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sunny\Desktop\Betty\"/>
    </mc:Choice>
  </mc:AlternateContent>
  <xr:revisionPtr revIDLastSave="0" documentId="8_{5B7BE5EF-0B26-411D-8BE4-7E892379AD75}" xr6:coauthVersionLast="40" xr6:coauthVersionMax="40" xr10:uidLastSave="{00000000-0000-0000-0000-000000000000}"/>
  <bookViews>
    <workbookView xWindow="-120" yWindow="-120" windowWidth="29040" windowHeight="15840" xr2:uid="{49D5104F-D20A-45BB-91B0-2E9AAE12A489}"/>
  </bookViews>
  <sheets>
    <sheet name="LTS-6 Loads" sheetId="1" r:id="rId1"/>
    <sheet name="Design Loading" sheetId="6" r:id="rId2"/>
    <sheet name="Steel Pole" sheetId="5" r:id="rId3"/>
    <sheet name="Constrained Foundation" sheetId="2" r:id="rId4"/>
    <sheet name="Nonconstrained Foundation" sheetId="11" r:id="rId5"/>
    <sheet name="Friction Mount Support" sheetId="10" r:id="rId6"/>
    <sheet name="Antenna Connection" sheetId="8" r:id="rId7"/>
  </sheets>
  <definedNames>
    <definedName name="density_conc">'LTS-6 Loads'!$S$9</definedName>
    <definedName name="DesignWindPressure">'LTS-6 Loads'!$N$12</definedName>
    <definedName name="f_prime_c">'LTS-6 Loads'!$S$8</definedName>
    <definedName name="fy">'LTS-6 Loads'!$S$10</definedName>
    <definedName name="ModulusElasticity">'LTS-6 Loads'!$S$3</definedName>
    <definedName name="pile_diameter">'LTS-6 Loads'!$W$4</definedName>
    <definedName name="pile_embed_depth">'LTS-6 Loads'!$W$16</definedName>
    <definedName name="_xlnm.Print_Area" localSheetId="6">'Antenna Connection'!$A$1:$G$123</definedName>
    <definedName name="_xlnm.Print_Area" localSheetId="3">'Constrained Foundation'!$A$1:$G$187</definedName>
    <definedName name="_xlnm.Print_Area" localSheetId="1">'Design Loading'!$A$1:$N$79</definedName>
    <definedName name="_xlnm.Print_Area" localSheetId="5">'Friction Mount Support'!$A$1:$G$193</definedName>
    <definedName name="_xlnm.Print_Area" localSheetId="4">'Nonconstrained Foundation'!$A$1:$G$191</definedName>
    <definedName name="_xlnm.Print_Area" localSheetId="2">'Steel Pole'!$A$18:$G$69</definedName>
    <definedName name="SteelDensity">'LTS-6 Loads'!$S$2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5" i="1" l="1"/>
  <c r="C96" i="1" l="1"/>
  <c r="C87" i="1"/>
  <c r="C81" i="1"/>
  <c r="C213" i="1" l="1"/>
  <c r="W2" i="1" l="1"/>
  <c r="W13" i="1" s="1"/>
  <c r="W3" i="1"/>
  <c r="W21" i="1" s="1"/>
  <c r="C26" i="11" l="1"/>
  <c r="C28" i="11" l="1"/>
  <c r="C442" i="11"/>
  <c r="D385" i="11"/>
  <c r="D381" i="11"/>
  <c r="C374" i="11"/>
  <c r="C371" i="11"/>
  <c r="C370" i="11"/>
  <c r="C367" i="11"/>
  <c r="C366" i="11"/>
  <c r="C363" i="11"/>
  <c r="C362" i="11"/>
  <c r="C359" i="11"/>
  <c r="C358" i="11"/>
  <c r="C355" i="11"/>
  <c r="C354" i="11"/>
  <c r="C351" i="11"/>
  <c r="C348" i="11"/>
  <c r="C345" i="11"/>
  <c r="C282" i="11"/>
  <c r="C279" i="11"/>
  <c r="C451" i="11" s="1"/>
  <c r="C236" i="11"/>
  <c r="C230" i="11"/>
  <c r="C232" i="11" s="1"/>
  <c r="C225" i="11"/>
  <c r="C238" i="11" s="1"/>
  <c r="C222" i="11"/>
  <c r="C234" i="11" s="1"/>
  <c r="C133" i="11"/>
  <c r="C130" i="11"/>
  <c r="C129" i="11"/>
  <c r="C126" i="11"/>
  <c r="K126" i="11"/>
  <c r="K122" i="11"/>
  <c r="C121" i="11"/>
  <c r="C118" i="11"/>
  <c r="C117" i="11"/>
  <c r="C114" i="11"/>
  <c r="C113" i="11"/>
  <c r="C110" i="11"/>
  <c r="C107" i="11"/>
  <c r="C104" i="11"/>
  <c r="C78" i="11"/>
  <c r="C75" i="11"/>
  <c r="C62" i="11"/>
  <c r="C56" i="11"/>
  <c r="C50" i="11"/>
  <c r="C52" i="11" s="1"/>
  <c r="C47" i="11"/>
  <c r="C45" i="11"/>
  <c r="C59" i="11" s="1"/>
  <c r="C64" i="11" s="1"/>
  <c r="C65" i="11" s="1"/>
  <c r="C41" i="11"/>
  <c r="C42" i="11" s="1"/>
  <c r="C24" i="11"/>
  <c r="C35" i="11" s="1"/>
  <c r="C36" i="11" s="1"/>
  <c r="C23" i="11"/>
  <c r="C9" i="11"/>
  <c r="C7" i="11"/>
  <c r="C6" i="11"/>
  <c r="C13" i="11" s="1"/>
  <c r="C14" i="11" s="1"/>
  <c r="C46" i="11" l="1"/>
  <c r="C66" i="11" s="1"/>
  <c r="J126" i="11" s="1"/>
  <c r="C227" i="11"/>
  <c r="C228" i="11" s="1"/>
  <c r="C108" i="11"/>
  <c r="C79" i="11"/>
  <c r="C12" i="11"/>
  <c r="K130" i="11"/>
  <c r="K134" i="11"/>
  <c r="D62" i="11"/>
  <c r="C242" i="11"/>
  <c r="C239" i="11"/>
  <c r="C106" i="11"/>
  <c r="C109" i="11" s="1"/>
  <c r="C347" i="11"/>
  <c r="C350" i="11" s="1"/>
  <c r="J134" i="11"/>
  <c r="M126" i="11"/>
  <c r="M134" i="11" s="1"/>
  <c r="L126" i="11"/>
  <c r="L134" i="11" s="1"/>
  <c r="C233" i="11"/>
  <c r="I134" i="11"/>
  <c r="I130" i="11"/>
  <c r="C48" i="11"/>
  <c r="C54" i="11"/>
  <c r="C53" i="11" s="1"/>
  <c r="C61" i="11"/>
  <c r="C60" i="11"/>
  <c r="C226" i="11"/>
  <c r="C436" i="11"/>
  <c r="C438" i="11" s="1"/>
  <c r="C240" i="11"/>
  <c r="C448" i="11"/>
  <c r="J122" i="11"/>
  <c r="C241" i="11"/>
  <c r="D241" i="11" s="1"/>
  <c r="C450" i="11"/>
  <c r="C443" i="11"/>
  <c r="C444" i="11" s="1"/>
  <c r="C445" i="11" s="1"/>
  <c r="C446" i="11" s="1"/>
  <c r="D446" i="11" s="1"/>
  <c r="C91" i="1"/>
  <c r="C90" i="1"/>
  <c r="C88" i="1"/>
  <c r="C86" i="1"/>
  <c r="L237" i="1" s="1"/>
  <c r="C84" i="1"/>
  <c r="C82" i="1"/>
  <c r="C94" i="1" s="1"/>
  <c r="C243" i="11" l="1"/>
  <c r="C381" i="11"/>
  <c r="M122" i="11"/>
  <c r="L122" i="11"/>
  <c r="L130" i="11" s="1"/>
  <c r="J130" i="11"/>
  <c r="C244" i="11"/>
  <c r="C385" i="11" s="1"/>
  <c r="C452" i="11"/>
  <c r="C349" i="11"/>
  <c r="C283" i="11"/>
  <c r="Q237" i="1"/>
  <c r="P237" i="1"/>
  <c r="C89" i="1"/>
  <c r="C95" i="1"/>
  <c r="D237" i="1" s="1"/>
  <c r="F385" i="11" l="1"/>
  <c r="E385" i="11"/>
  <c r="F381" i="11"/>
  <c r="E381" i="11"/>
  <c r="M123" i="11"/>
  <c r="M131" i="11" s="1"/>
  <c r="M130" i="11"/>
  <c r="J237" i="1"/>
  <c r="I237" i="1"/>
  <c r="B253" i="1"/>
  <c r="B237" i="1"/>
  <c r="G237" i="1" s="1"/>
  <c r="B269" i="1"/>
  <c r="C24" i="2"/>
  <c r="C25" i="10"/>
  <c r="C27" i="5"/>
  <c r="F382" i="11" l="1"/>
  <c r="C199" i="1"/>
  <c r="C211" i="1" s="1"/>
  <c r="C205" i="1"/>
  <c r="C203" i="1"/>
  <c r="C26" i="10"/>
  <c r="F28" i="10" s="1"/>
  <c r="C29" i="10" s="1"/>
  <c r="C201" i="1"/>
  <c r="K268" i="1" s="1"/>
  <c r="K133" i="6" s="1"/>
  <c r="B238" i="1"/>
  <c r="B239" i="1"/>
  <c r="B46" i="6" s="1"/>
  <c r="B240" i="1"/>
  <c r="C207" i="1"/>
  <c r="C44" i="6"/>
  <c r="C37" i="5"/>
  <c r="C37" i="2"/>
  <c r="C38" i="2" s="1"/>
  <c r="C41" i="2"/>
  <c r="C42" i="2" s="1"/>
  <c r="C41" i="6"/>
  <c r="M44" i="6"/>
  <c r="G57" i="6"/>
  <c r="H57" i="6"/>
  <c r="C58" i="2"/>
  <c r="K59" i="5"/>
  <c r="C43" i="6"/>
  <c r="F43" i="6"/>
  <c r="M43" i="6"/>
  <c r="E44" i="6"/>
  <c r="C43" i="2"/>
  <c r="K45" i="5"/>
  <c r="C19" i="10"/>
  <c r="K120" i="10"/>
  <c r="K128" i="10" s="1"/>
  <c r="K116" i="10"/>
  <c r="K124" i="10" s="1"/>
  <c r="I128" i="10"/>
  <c r="I124" i="10"/>
  <c r="J120" i="10"/>
  <c r="J128" i="10"/>
  <c r="M120" i="10"/>
  <c r="M128" i="10"/>
  <c r="L120" i="10"/>
  <c r="L128" i="10" s="1"/>
  <c r="J116" i="10"/>
  <c r="J124" i="10" s="1"/>
  <c r="J118" i="10"/>
  <c r="M116" i="10"/>
  <c r="M117" i="10" s="1"/>
  <c r="M125" i="10" s="1"/>
  <c r="L116" i="10"/>
  <c r="L124" i="10"/>
  <c r="J119" i="10"/>
  <c r="L119" i="10" s="1"/>
  <c r="L127" i="10" s="1"/>
  <c r="I119" i="10"/>
  <c r="I118" i="10"/>
  <c r="I126" i="10" s="1"/>
  <c r="J126" i="10"/>
  <c r="L118" i="10"/>
  <c r="L126" i="10"/>
  <c r="M118" i="10"/>
  <c r="M126" i="10"/>
  <c r="K119" i="10"/>
  <c r="K127" i="10" s="1"/>
  <c r="I127" i="10"/>
  <c r="C188" i="1"/>
  <c r="B283" i="1" s="1"/>
  <c r="C168" i="1"/>
  <c r="H19" i="1"/>
  <c r="H20" i="1" s="1"/>
  <c r="C180" i="1"/>
  <c r="C181" i="1" s="1"/>
  <c r="C193" i="1" s="1"/>
  <c r="C194" i="1" s="1"/>
  <c r="D235" i="1" s="1"/>
  <c r="C160" i="1"/>
  <c r="C161" i="1" s="1"/>
  <c r="C173" i="1" s="1"/>
  <c r="C174" i="1" s="1"/>
  <c r="Q300" i="1"/>
  <c r="U300" i="1" s="1"/>
  <c r="P300" i="1"/>
  <c r="T300" i="1" s="1"/>
  <c r="Q285" i="1"/>
  <c r="D208" i="6" s="1"/>
  <c r="P285" i="1"/>
  <c r="C208" i="6" s="1"/>
  <c r="Q269" i="1"/>
  <c r="D148" i="6" s="1"/>
  <c r="P269" i="1"/>
  <c r="C148" i="6" s="1"/>
  <c r="Q253" i="1"/>
  <c r="D114" i="6" s="1"/>
  <c r="P253" i="1"/>
  <c r="C114" i="6" s="1"/>
  <c r="D58" i="6"/>
  <c r="C58" i="6"/>
  <c r="C190" i="1"/>
  <c r="C170" i="1"/>
  <c r="C189" i="1"/>
  <c r="C169" i="1"/>
  <c r="A237" i="1"/>
  <c r="A44" i="6" s="1"/>
  <c r="A253" i="1"/>
  <c r="A114" i="6" s="1"/>
  <c r="F253" i="1"/>
  <c r="F100" i="6" s="1"/>
  <c r="A269" i="1"/>
  <c r="G269" i="1"/>
  <c r="G134" i="6" s="1"/>
  <c r="F269" i="1"/>
  <c r="A285" i="1"/>
  <c r="A194" i="6" s="1"/>
  <c r="B285" i="1"/>
  <c r="B194" i="6" s="1"/>
  <c r="F285" i="1"/>
  <c r="F194" i="6" s="1"/>
  <c r="A300" i="1"/>
  <c r="B300" i="1"/>
  <c r="G300" i="1" s="1"/>
  <c r="D300" i="1"/>
  <c r="F300" i="1"/>
  <c r="D44" i="6"/>
  <c r="I44" i="6"/>
  <c r="J44" i="6"/>
  <c r="G44" i="6"/>
  <c r="B44" i="6"/>
  <c r="G285" i="1"/>
  <c r="G194" i="6" s="1"/>
  <c r="C187" i="1"/>
  <c r="C185" i="1"/>
  <c r="L283" i="1" s="1"/>
  <c r="S283" i="1" s="1"/>
  <c r="F206" i="6" s="1"/>
  <c r="C183" i="1"/>
  <c r="C167" i="1"/>
  <c r="C165" i="1"/>
  <c r="K234" i="1" s="1"/>
  <c r="C163" i="1"/>
  <c r="L297" i="1" s="1"/>
  <c r="S297" i="1" s="1"/>
  <c r="A299" i="1"/>
  <c r="A298" i="1"/>
  <c r="A297" i="1"/>
  <c r="A296" i="1"/>
  <c r="A295" i="1"/>
  <c r="A294" i="1"/>
  <c r="A284" i="1"/>
  <c r="A193" i="6" s="1"/>
  <c r="A283" i="1"/>
  <c r="A192" i="6" s="1"/>
  <c r="A282" i="1"/>
  <c r="A281" i="1"/>
  <c r="A190" i="6" s="1"/>
  <c r="A280" i="1"/>
  <c r="A189" i="6" s="1"/>
  <c r="A279" i="1"/>
  <c r="A202" i="6" s="1"/>
  <c r="A268" i="1"/>
  <c r="A133" i="6" s="1"/>
  <c r="A267" i="1"/>
  <c r="A146" i="6" s="1"/>
  <c r="A266" i="1"/>
  <c r="A131" i="6" s="1"/>
  <c r="A265" i="1"/>
  <c r="A264" i="1"/>
  <c r="A129" i="6" s="1"/>
  <c r="A263" i="1"/>
  <c r="A128" i="6" s="1"/>
  <c r="A252" i="1"/>
  <c r="A99" i="6" s="1"/>
  <c r="A251" i="1"/>
  <c r="A250" i="1"/>
  <c r="A249" i="1"/>
  <c r="A96" i="6" s="1"/>
  <c r="A248" i="1"/>
  <c r="A95" i="6" s="1"/>
  <c r="A247" i="1"/>
  <c r="A108" i="6" s="1"/>
  <c r="A233" i="1"/>
  <c r="A54" i="6" s="1"/>
  <c r="A232" i="1"/>
  <c r="A39" i="6" s="1"/>
  <c r="A231" i="1"/>
  <c r="A52" i="6" s="1"/>
  <c r="A236" i="1"/>
  <c r="A57" i="6" s="1"/>
  <c r="A235" i="1"/>
  <c r="A234" i="1"/>
  <c r="A55" i="6" s="1"/>
  <c r="A303" i="1"/>
  <c r="A302" i="1"/>
  <c r="A301" i="1"/>
  <c r="A288" i="1"/>
  <c r="A197" i="6" s="1"/>
  <c r="A287" i="1"/>
  <c r="A210" i="6" s="1"/>
  <c r="A286" i="1"/>
  <c r="A272" i="1"/>
  <c r="A137" i="6" s="1"/>
  <c r="A271" i="1"/>
  <c r="A150" i="6" s="1"/>
  <c r="A270" i="1"/>
  <c r="A149" i="6" s="1"/>
  <c r="A256" i="1"/>
  <c r="A117" i="6" s="1"/>
  <c r="A255" i="1"/>
  <c r="A254" i="1"/>
  <c r="A115" i="6" s="1"/>
  <c r="A240" i="1"/>
  <c r="A61" i="6" s="1"/>
  <c r="A239" i="1"/>
  <c r="A46" i="6" s="1"/>
  <c r="A238" i="1"/>
  <c r="A59" i="6" s="1"/>
  <c r="B286" i="1"/>
  <c r="B195" i="6" s="1"/>
  <c r="B270" i="1"/>
  <c r="B135" i="6" s="1"/>
  <c r="B254" i="1"/>
  <c r="B101" i="6" s="1"/>
  <c r="A132" i="6"/>
  <c r="A38" i="6"/>
  <c r="A145" i="6"/>
  <c r="A136" i="6"/>
  <c r="H27" i="1"/>
  <c r="H28" i="1" s="1"/>
  <c r="AA274" i="1" s="1"/>
  <c r="AA275" i="1" s="1"/>
  <c r="B301" i="1"/>
  <c r="H301" i="1" s="1"/>
  <c r="C109" i="1"/>
  <c r="C108" i="1"/>
  <c r="C106" i="1"/>
  <c r="C104" i="1"/>
  <c r="C102" i="1"/>
  <c r="C100" i="1"/>
  <c r="C112" i="1" s="1"/>
  <c r="C113" i="1" s="1"/>
  <c r="C143" i="1"/>
  <c r="C155" i="1" s="1"/>
  <c r="C156" i="1" s="1"/>
  <c r="D240" i="1" s="1"/>
  <c r="C118" i="1"/>
  <c r="C136" i="1" s="1"/>
  <c r="C137" i="1" s="1"/>
  <c r="D302" i="1" s="1"/>
  <c r="C124" i="1"/>
  <c r="C122" i="1"/>
  <c r="C120" i="1"/>
  <c r="C9" i="1"/>
  <c r="C38" i="1"/>
  <c r="F19" i="6"/>
  <c r="G202" i="6"/>
  <c r="H202" i="6"/>
  <c r="G203" i="6"/>
  <c r="H203" i="6"/>
  <c r="G204" i="6"/>
  <c r="H204" i="6"/>
  <c r="G205" i="6"/>
  <c r="H205" i="6"/>
  <c r="G206" i="6"/>
  <c r="H206" i="6"/>
  <c r="G207" i="6"/>
  <c r="H207" i="6"/>
  <c r="G210" i="6"/>
  <c r="H210" i="6"/>
  <c r="G211" i="6"/>
  <c r="H211" i="6"/>
  <c r="C188" i="6"/>
  <c r="E188" i="6"/>
  <c r="M188" i="6"/>
  <c r="C189" i="6"/>
  <c r="E189" i="6"/>
  <c r="M189" i="6"/>
  <c r="C190" i="6"/>
  <c r="E190" i="6"/>
  <c r="M190" i="6"/>
  <c r="C191" i="6"/>
  <c r="E191" i="6"/>
  <c r="M191" i="6"/>
  <c r="C192" i="6"/>
  <c r="F192" i="6"/>
  <c r="M192" i="6"/>
  <c r="C193" i="6"/>
  <c r="E193" i="6"/>
  <c r="M193" i="6"/>
  <c r="C194" i="6"/>
  <c r="E194" i="6"/>
  <c r="M194" i="6"/>
  <c r="C195" i="6"/>
  <c r="F195" i="6"/>
  <c r="M195" i="6"/>
  <c r="C196" i="6"/>
  <c r="F196" i="6"/>
  <c r="M196" i="6"/>
  <c r="C197" i="6"/>
  <c r="F197" i="6"/>
  <c r="M197" i="6"/>
  <c r="G142" i="6"/>
  <c r="H142" i="6"/>
  <c r="G143" i="6"/>
  <c r="H143" i="6"/>
  <c r="G144" i="6"/>
  <c r="H144" i="6"/>
  <c r="G145" i="6"/>
  <c r="H145" i="6"/>
  <c r="G146" i="6"/>
  <c r="H146" i="6"/>
  <c r="G147" i="6"/>
  <c r="H147" i="6"/>
  <c r="G150" i="6"/>
  <c r="H150" i="6"/>
  <c r="G151" i="6"/>
  <c r="H151" i="6"/>
  <c r="C128" i="6"/>
  <c r="E128" i="6"/>
  <c r="M128" i="6"/>
  <c r="C129" i="6"/>
  <c r="E129" i="6"/>
  <c r="M129" i="6"/>
  <c r="C130" i="6"/>
  <c r="E130" i="6"/>
  <c r="M130" i="6"/>
  <c r="C131" i="6"/>
  <c r="E131" i="6"/>
  <c r="M131" i="6"/>
  <c r="C132" i="6"/>
  <c r="F132" i="6"/>
  <c r="M132" i="6"/>
  <c r="C133" i="6"/>
  <c r="E133" i="6"/>
  <c r="M133" i="6"/>
  <c r="C134" i="6"/>
  <c r="E134" i="6"/>
  <c r="M134" i="6"/>
  <c r="C135" i="6"/>
  <c r="F135" i="6"/>
  <c r="M135" i="6"/>
  <c r="C136" i="6"/>
  <c r="F136" i="6"/>
  <c r="M136" i="6"/>
  <c r="C137" i="6"/>
  <c r="F137" i="6"/>
  <c r="M137" i="6"/>
  <c r="G108" i="6"/>
  <c r="H108" i="6"/>
  <c r="G109" i="6"/>
  <c r="H109" i="6"/>
  <c r="G110" i="6"/>
  <c r="H110" i="6"/>
  <c r="G111" i="6"/>
  <c r="H111" i="6"/>
  <c r="G112" i="6"/>
  <c r="H112" i="6"/>
  <c r="G113" i="6"/>
  <c r="H113" i="6"/>
  <c r="G116" i="6"/>
  <c r="H116" i="6"/>
  <c r="G117" i="6"/>
  <c r="H117" i="6"/>
  <c r="C94" i="6"/>
  <c r="E94" i="6"/>
  <c r="M94" i="6"/>
  <c r="C95" i="6"/>
  <c r="E95" i="6"/>
  <c r="M95" i="6"/>
  <c r="C96" i="6"/>
  <c r="E96" i="6"/>
  <c r="M96" i="6"/>
  <c r="C97" i="6"/>
  <c r="E97" i="6"/>
  <c r="M97" i="6"/>
  <c r="C98" i="6"/>
  <c r="F98" i="6"/>
  <c r="M98" i="6"/>
  <c r="C99" i="6"/>
  <c r="E99" i="6"/>
  <c r="M99" i="6"/>
  <c r="C100" i="6"/>
  <c r="E100" i="6"/>
  <c r="M100" i="6"/>
  <c r="C101" i="6"/>
  <c r="F101" i="6"/>
  <c r="M101" i="6"/>
  <c r="C102" i="6"/>
  <c r="F102" i="6"/>
  <c r="M102" i="6"/>
  <c r="C103" i="6"/>
  <c r="F103" i="6"/>
  <c r="M103" i="6"/>
  <c r="G52" i="6"/>
  <c r="H52" i="6"/>
  <c r="G53" i="6"/>
  <c r="H53" i="6"/>
  <c r="G54" i="6"/>
  <c r="H54" i="6"/>
  <c r="G55" i="6"/>
  <c r="H55" i="6"/>
  <c r="G56" i="6"/>
  <c r="H56" i="6"/>
  <c r="G60" i="6"/>
  <c r="H60" i="6"/>
  <c r="G61" i="6"/>
  <c r="H61" i="6"/>
  <c r="C38" i="6"/>
  <c r="M38" i="6"/>
  <c r="C39" i="6"/>
  <c r="M39" i="6"/>
  <c r="C40" i="6"/>
  <c r="M40" i="6"/>
  <c r="M41" i="6"/>
  <c r="C42" i="6"/>
  <c r="M42" i="6"/>
  <c r="C45" i="6"/>
  <c r="F45" i="6"/>
  <c r="M45" i="6"/>
  <c r="C46" i="6"/>
  <c r="F46" i="6"/>
  <c r="M46" i="6"/>
  <c r="C47" i="6"/>
  <c r="F47" i="6"/>
  <c r="M47" i="6"/>
  <c r="K266" i="1"/>
  <c r="K131" i="6" s="1"/>
  <c r="L234" i="1"/>
  <c r="L41" i="6" s="1"/>
  <c r="L266" i="1"/>
  <c r="K297" i="1"/>
  <c r="R297" i="1" s="1"/>
  <c r="C10" i="8"/>
  <c r="J18" i="8"/>
  <c r="J20" i="8"/>
  <c r="C89" i="8"/>
  <c r="C107" i="8"/>
  <c r="C90" i="8"/>
  <c r="C36" i="8"/>
  <c r="C35" i="8"/>
  <c r="C27" i="8"/>
  <c r="C48" i="8" s="1"/>
  <c r="C26" i="8"/>
  <c r="C58" i="8" s="1"/>
  <c r="C32" i="8"/>
  <c r="C31" i="8"/>
  <c r="B282" i="1"/>
  <c r="B191" i="6" s="1"/>
  <c r="B234" i="1"/>
  <c r="B41" i="6" s="1"/>
  <c r="B297" i="1"/>
  <c r="G297" i="1" s="1"/>
  <c r="B266" i="1"/>
  <c r="B250" i="1"/>
  <c r="G250" i="1" s="1"/>
  <c r="G97" i="6" s="1"/>
  <c r="C91" i="8"/>
  <c r="C72" i="8"/>
  <c r="C37" i="8"/>
  <c r="C71" i="8"/>
  <c r="C73" i="8"/>
  <c r="C109" i="8"/>
  <c r="C108" i="8"/>
  <c r="C78" i="1"/>
  <c r="B295" i="1" s="1"/>
  <c r="G295" i="1" s="1"/>
  <c r="C59" i="5"/>
  <c r="C31" i="2"/>
  <c r="B73" i="6"/>
  <c r="C73" i="6"/>
  <c r="D73" i="6"/>
  <c r="C72" i="6"/>
  <c r="D72" i="6"/>
  <c r="B72" i="6"/>
  <c r="Z49" i="6"/>
  <c r="B47" i="6"/>
  <c r="H240" i="1"/>
  <c r="H47" i="6" s="1"/>
  <c r="F25" i="6"/>
  <c r="F24" i="6"/>
  <c r="F22" i="6"/>
  <c r="F21" i="6"/>
  <c r="F20" i="6"/>
  <c r="F18" i="6"/>
  <c r="F12" i="6"/>
  <c r="F17" i="6"/>
  <c r="C115" i="5"/>
  <c r="C114" i="5"/>
  <c r="C113" i="5"/>
  <c r="C97" i="5"/>
  <c r="C79" i="5"/>
  <c r="C61" i="5"/>
  <c r="C60" i="5"/>
  <c r="C96" i="5"/>
  <c r="C95" i="5"/>
  <c r="C78" i="5"/>
  <c r="C77" i="5"/>
  <c r="K60" i="5"/>
  <c r="C109" i="5" s="1"/>
  <c r="C111" i="5" s="1"/>
  <c r="K46" i="5"/>
  <c r="K51" i="5" s="1"/>
  <c r="K32" i="5"/>
  <c r="K35" i="5" s="1"/>
  <c r="K31" i="5"/>
  <c r="C72" i="5" s="1"/>
  <c r="AA227" i="1"/>
  <c r="K37" i="5"/>
  <c r="K65" i="5"/>
  <c r="C368" i="1"/>
  <c r="D367" i="1"/>
  <c r="C363" i="1"/>
  <c r="D362" i="1"/>
  <c r="D358" i="1"/>
  <c r="C358" i="1"/>
  <c r="D357" i="1"/>
  <c r="C357" i="1"/>
  <c r="D356" i="1"/>
  <c r="C356" i="1"/>
  <c r="D355" i="1"/>
  <c r="C355" i="1"/>
  <c r="B303" i="1"/>
  <c r="H303" i="1" s="1"/>
  <c r="B302" i="1"/>
  <c r="H302" i="1" s="1"/>
  <c r="B288" i="1"/>
  <c r="B197" i="6" s="1"/>
  <c r="B287" i="1"/>
  <c r="B196" i="6" s="1"/>
  <c r="B272" i="1"/>
  <c r="B271" i="1"/>
  <c r="B136" i="6" s="1"/>
  <c r="B134" i="6"/>
  <c r="B256" i="1"/>
  <c r="B255" i="1"/>
  <c r="B102" i="6" s="1"/>
  <c r="C225" i="1"/>
  <c r="C226" i="1" s="1"/>
  <c r="C224" i="1"/>
  <c r="C223" i="1"/>
  <c r="C218" i="1"/>
  <c r="C216" i="1"/>
  <c r="C208" i="1"/>
  <c r="C152" i="1"/>
  <c r="C151" i="1"/>
  <c r="C149" i="1"/>
  <c r="H11" i="1" s="1"/>
  <c r="H12" i="1" s="1"/>
  <c r="C147" i="1"/>
  <c r="L288" i="1" s="1"/>
  <c r="C145" i="1"/>
  <c r="K288" i="1" s="1"/>
  <c r="C133" i="1"/>
  <c r="C132" i="1"/>
  <c r="C130" i="1"/>
  <c r="C128" i="1"/>
  <c r="L287" i="1" s="1"/>
  <c r="L196" i="6" s="1"/>
  <c r="C126" i="1"/>
  <c r="K255" i="1" s="1"/>
  <c r="C76" i="1"/>
  <c r="D295" i="1" s="1"/>
  <c r="C74" i="1"/>
  <c r="C73" i="1"/>
  <c r="C70" i="1"/>
  <c r="C68" i="1"/>
  <c r="C66" i="1"/>
  <c r="L295" i="1" s="1"/>
  <c r="C61" i="1"/>
  <c r="C59" i="1"/>
  <c r="C57" i="1"/>
  <c r="C55" i="1"/>
  <c r="C53" i="1"/>
  <c r="D233" i="1" s="1"/>
  <c r="C51" i="1"/>
  <c r="F233" i="1" s="1"/>
  <c r="F40" i="6" s="1"/>
  <c r="C49" i="1"/>
  <c r="C50" i="1" s="1"/>
  <c r="J249" i="1" s="1"/>
  <c r="C40" i="1"/>
  <c r="S19" i="1"/>
  <c r="C19" i="1"/>
  <c r="E232" i="1" s="1"/>
  <c r="S18" i="1"/>
  <c r="S17" i="1"/>
  <c r="C12" i="1"/>
  <c r="C10" i="1"/>
  <c r="K279" i="1" s="1"/>
  <c r="C7" i="1"/>
  <c r="C5" i="1"/>
  <c r="C25" i="2"/>
  <c r="S3" i="1"/>
  <c r="M3" i="1"/>
  <c r="C3" i="1"/>
  <c r="M2" i="1"/>
  <c r="F13" i="6" s="1"/>
  <c r="S16" i="1"/>
  <c r="C48" i="1"/>
  <c r="I265" i="1" s="1"/>
  <c r="C45" i="1"/>
  <c r="C46" i="1" s="1"/>
  <c r="C42" i="1"/>
  <c r="K233" i="1" s="1"/>
  <c r="C41" i="1"/>
  <c r="I296" i="1"/>
  <c r="V296" i="1" s="1"/>
  <c r="F14" i="6"/>
  <c r="H270" i="1"/>
  <c r="H135" i="6" s="1"/>
  <c r="H271" i="1"/>
  <c r="H136" i="6" s="1"/>
  <c r="I281" i="1"/>
  <c r="I190" i="6" s="1"/>
  <c r="H288" i="1"/>
  <c r="H197" i="6" s="1"/>
  <c r="C108" i="5"/>
  <c r="C90" i="5"/>
  <c r="K75" i="5"/>
  <c r="K74" i="5"/>
  <c r="K76" i="5" s="1"/>
  <c r="K73" i="5"/>
  <c r="K77" i="5" s="1"/>
  <c r="C73" i="5"/>
  <c r="C75" i="5" s="1"/>
  <c r="K79" i="5"/>
  <c r="K36" i="5"/>
  <c r="C74" i="5" s="1"/>
  <c r="V23" i="5"/>
  <c r="V10" i="5"/>
  <c r="V14" i="5"/>
  <c r="V11" i="5"/>
  <c r="V15" i="5" s="1"/>
  <c r="G59" i="6"/>
  <c r="E41" i="6"/>
  <c r="E42" i="6"/>
  <c r="K13" i="5"/>
  <c r="K10" i="5"/>
  <c r="K14" i="5" s="1"/>
  <c r="K9" i="5"/>
  <c r="C32" i="5" s="1"/>
  <c r="K22" i="5"/>
  <c r="G115" i="6"/>
  <c r="H115" i="6"/>
  <c r="H59" i="6"/>
  <c r="C28" i="5"/>
  <c r="C49" i="5" s="1"/>
  <c r="C36" i="5"/>
  <c r="C23" i="2"/>
  <c r="C275" i="2"/>
  <c r="C278" i="2"/>
  <c r="C438" i="2"/>
  <c r="C232" i="2"/>
  <c r="D381" i="2"/>
  <c r="D377" i="2"/>
  <c r="C341" i="2"/>
  <c r="C347" i="2"/>
  <c r="C344" i="2"/>
  <c r="C447" i="2"/>
  <c r="C74" i="2"/>
  <c r="C100" i="2"/>
  <c r="C113" i="2"/>
  <c r="C103" i="2"/>
  <c r="C71" i="2"/>
  <c r="C355" i="2"/>
  <c r="C370" i="2"/>
  <c r="C354" i="2"/>
  <c r="C359" i="2"/>
  <c r="C366" i="2"/>
  <c r="C363" i="2"/>
  <c r="C362" i="2"/>
  <c r="C367" i="2"/>
  <c r="C351" i="2"/>
  <c r="C350" i="2"/>
  <c r="C358" i="2"/>
  <c r="C122" i="2"/>
  <c r="C126" i="2"/>
  <c r="C109" i="2"/>
  <c r="C110" i="2"/>
  <c r="C114" i="2"/>
  <c r="C106" i="2"/>
  <c r="C129" i="2"/>
  <c r="C117" i="2"/>
  <c r="C125" i="2"/>
  <c r="K121" i="2"/>
  <c r="K117" i="2"/>
  <c r="C52" i="2"/>
  <c r="C226" i="2"/>
  <c r="C228" i="2"/>
  <c r="C46" i="2"/>
  <c r="C48" i="2"/>
  <c r="C221" i="2"/>
  <c r="C234" i="2" s="1"/>
  <c r="C218" i="2"/>
  <c r="C446" i="2" s="1"/>
  <c r="C9" i="2"/>
  <c r="C7" i="2"/>
  <c r="C6" i="2"/>
  <c r="C444" i="2" s="1"/>
  <c r="C55" i="2"/>
  <c r="C56" i="2" s="1"/>
  <c r="K64" i="5" l="1"/>
  <c r="C110" i="5" s="1"/>
  <c r="K63" i="5"/>
  <c r="M119" i="10"/>
  <c r="M127" i="10" s="1"/>
  <c r="C38" i="5"/>
  <c r="J127" i="10"/>
  <c r="K118" i="10"/>
  <c r="K126" i="10" s="1"/>
  <c r="M124" i="10"/>
  <c r="C33" i="5"/>
  <c r="V13" i="5"/>
  <c r="V17" i="5" s="1"/>
  <c r="V18" i="5" s="1"/>
  <c r="V24" i="5"/>
  <c r="K49" i="5"/>
  <c r="C91" i="5"/>
  <c r="C93" i="5" s="1"/>
  <c r="A211" i="6"/>
  <c r="I117" i="10"/>
  <c r="K23" i="5"/>
  <c r="K50" i="5"/>
  <c r="C92" i="5" s="1"/>
  <c r="C11" i="2"/>
  <c r="C8" i="11"/>
  <c r="C11" i="11"/>
  <c r="C449" i="11"/>
  <c r="C453" i="11" s="1"/>
  <c r="A110" i="6"/>
  <c r="K12" i="5"/>
  <c r="K16" i="5" s="1"/>
  <c r="K17" i="5" s="1"/>
  <c r="K299" i="1"/>
  <c r="K252" i="1"/>
  <c r="K99" i="6" s="1"/>
  <c r="C60" i="2"/>
  <c r="J117" i="2" s="1"/>
  <c r="C75" i="2"/>
  <c r="C222" i="2"/>
  <c r="C236" i="2"/>
  <c r="C235" i="2"/>
  <c r="C238" i="2"/>
  <c r="C377" i="2" s="1"/>
  <c r="F377" i="2" s="1"/>
  <c r="F378" i="2" s="1"/>
  <c r="C62" i="2"/>
  <c r="J121" i="2" s="1"/>
  <c r="M121" i="2" s="1"/>
  <c r="M129" i="2" s="1"/>
  <c r="C104" i="2"/>
  <c r="C237" i="2"/>
  <c r="D237" i="2" s="1"/>
  <c r="C223" i="2"/>
  <c r="C224" i="2" s="1"/>
  <c r="C432" i="2"/>
  <c r="C434" i="2" s="1"/>
  <c r="C230" i="2"/>
  <c r="C229" i="2" s="1"/>
  <c r="C439" i="2"/>
  <c r="C440" i="2" s="1"/>
  <c r="C441" i="2" s="1"/>
  <c r="C442" i="2" s="1"/>
  <c r="D442" i="2" s="1"/>
  <c r="D58" i="2"/>
  <c r="K284" i="1"/>
  <c r="K193" i="6" s="1"/>
  <c r="K236" i="1"/>
  <c r="K43" i="6" s="1"/>
  <c r="Q284" i="1"/>
  <c r="D207" i="6" s="1"/>
  <c r="Q299" i="1"/>
  <c r="U299" i="1" s="1"/>
  <c r="P284" i="1"/>
  <c r="C207" i="6" s="1"/>
  <c r="A100" i="6"/>
  <c r="Q252" i="1"/>
  <c r="D113" i="6" s="1"/>
  <c r="Q236" i="1"/>
  <c r="D57" i="6" s="1"/>
  <c r="Q268" i="1"/>
  <c r="D147" i="6" s="1"/>
  <c r="P236" i="1"/>
  <c r="C57" i="6" s="1"/>
  <c r="H285" i="1"/>
  <c r="H194" i="6" s="1"/>
  <c r="C50" i="2"/>
  <c r="C49" i="2" s="1"/>
  <c r="K125" i="2"/>
  <c r="C32" i="2"/>
  <c r="K129" i="2"/>
  <c r="K287" i="1"/>
  <c r="K196" i="6" s="1"/>
  <c r="B298" i="1"/>
  <c r="H298" i="1" s="1"/>
  <c r="I125" i="2"/>
  <c r="L265" i="1"/>
  <c r="L130" i="6" s="1"/>
  <c r="L231" i="1"/>
  <c r="L38" i="6" s="1"/>
  <c r="P256" i="1"/>
  <c r="C117" i="6" s="1"/>
  <c r="F296" i="1"/>
  <c r="I249" i="1"/>
  <c r="I233" i="1"/>
  <c r="A151" i="6"/>
  <c r="P280" i="1"/>
  <c r="C203" i="6" s="1"/>
  <c r="C13" i="2"/>
  <c r="C14" i="2" s="1"/>
  <c r="C102" i="2" s="1"/>
  <c r="C105" i="2" s="1"/>
  <c r="A58" i="6"/>
  <c r="P268" i="1"/>
  <c r="C147" i="6" s="1"/>
  <c r="B264" i="1"/>
  <c r="B129" i="6" s="1"/>
  <c r="C60" i="8"/>
  <c r="C96" i="8"/>
  <c r="K250" i="1"/>
  <c r="A41" i="6"/>
  <c r="A101" i="6"/>
  <c r="A204" i="6"/>
  <c r="A142" i="6"/>
  <c r="A53" i="6"/>
  <c r="V281" i="1"/>
  <c r="I204" i="6" s="1"/>
  <c r="P272" i="1"/>
  <c r="C151" i="6" s="1"/>
  <c r="C114" i="8"/>
  <c r="K282" i="1"/>
  <c r="C111" i="2"/>
  <c r="C112" i="2" s="1"/>
  <c r="C276" i="2"/>
  <c r="C296" i="2" s="1"/>
  <c r="C360" i="2"/>
  <c r="C361" i="2" s="1"/>
  <c r="C352" i="2"/>
  <c r="C353" i="2" s="1"/>
  <c r="C364" i="2"/>
  <c r="C365" i="2" s="1"/>
  <c r="H287" i="1"/>
  <c r="H196" i="6" s="1"/>
  <c r="K302" i="1"/>
  <c r="Q233" i="1"/>
  <c r="D54" i="6" s="1"/>
  <c r="C239" i="2"/>
  <c r="C26" i="5"/>
  <c r="C52" i="5" s="1"/>
  <c r="P255" i="1"/>
  <c r="C116" i="6" s="1"/>
  <c r="L263" i="1"/>
  <c r="L281" i="1"/>
  <c r="D296" i="1"/>
  <c r="L239" i="1"/>
  <c r="L46" i="6" s="1"/>
  <c r="H239" i="1"/>
  <c r="H46" i="6" s="1"/>
  <c r="B235" i="1"/>
  <c r="B42" i="6" s="1"/>
  <c r="B267" i="1"/>
  <c r="P238" i="1"/>
  <c r="C59" i="6" s="1"/>
  <c r="A103" i="6"/>
  <c r="Q255" i="1"/>
  <c r="D116" i="6" s="1"/>
  <c r="Q296" i="1"/>
  <c r="K247" i="1"/>
  <c r="K94" i="6" s="1"/>
  <c r="Q265" i="1"/>
  <c r="D144" i="6" s="1"/>
  <c r="B251" i="1"/>
  <c r="C445" i="2"/>
  <c r="F265" i="1"/>
  <c r="F130" i="6" s="1"/>
  <c r="P296" i="1"/>
  <c r="Q281" i="1"/>
  <c r="D204" i="6" s="1"/>
  <c r="K249" i="1"/>
  <c r="R249" i="1" s="1"/>
  <c r="E110" i="6" s="1"/>
  <c r="K239" i="1"/>
  <c r="K46" i="6" s="1"/>
  <c r="N237" i="1"/>
  <c r="N285" i="1" s="1"/>
  <c r="Q280" i="1"/>
  <c r="D203" i="6" s="1"/>
  <c r="C220" i="1"/>
  <c r="L282" i="1"/>
  <c r="L191" i="6" s="1"/>
  <c r="Q238" i="1"/>
  <c r="D59" i="6" s="1"/>
  <c r="A203" i="6"/>
  <c r="H300" i="1"/>
  <c r="A208" i="6"/>
  <c r="N233" i="1"/>
  <c r="N40" i="6" s="1"/>
  <c r="D40" i="6"/>
  <c r="P287" i="1"/>
  <c r="C210" i="6" s="1"/>
  <c r="L271" i="1"/>
  <c r="L255" i="1"/>
  <c r="S255" i="1" s="1"/>
  <c r="F116" i="6" s="1"/>
  <c r="P239" i="1"/>
  <c r="C60" i="6" s="1"/>
  <c r="B232" i="1"/>
  <c r="G232" i="1" s="1"/>
  <c r="G39" i="6" s="1"/>
  <c r="C77" i="8"/>
  <c r="C113" i="8"/>
  <c r="C112" i="8"/>
  <c r="C94" i="8"/>
  <c r="P265" i="1"/>
  <c r="C144" i="6" s="1"/>
  <c r="P302" i="1"/>
  <c r="T302" i="1" s="1"/>
  <c r="L302" i="1"/>
  <c r="H254" i="1"/>
  <c r="H101" i="6" s="1"/>
  <c r="N300" i="1"/>
  <c r="O300" i="1" s="1"/>
  <c r="C76" i="8"/>
  <c r="C59" i="8"/>
  <c r="A47" i="6"/>
  <c r="C12" i="2"/>
  <c r="G234" i="1"/>
  <c r="G41" i="6" s="1"/>
  <c r="B248" i="1"/>
  <c r="B95" i="6" s="1"/>
  <c r="B280" i="1"/>
  <c r="B189" i="6" s="1"/>
  <c r="P295" i="1"/>
  <c r="T295" i="1" s="1"/>
  <c r="C78" i="8"/>
  <c r="A94" i="6"/>
  <c r="K188" i="6"/>
  <c r="R279" i="1"/>
  <c r="E202" i="6" s="1"/>
  <c r="K40" i="6"/>
  <c r="R233" i="1"/>
  <c r="E54" i="6" s="1"/>
  <c r="N235" i="1"/>
  <c r="O235" i="1" s="1"/>
  <c r="B56" i="6" s="1"/>
  <c r="Q287" i="1"/>
  <c r="D210" i="6" s="1"/>
  <c r="P288" i="1"/>
  <c r="C211" i="6" s="1"/>
  <c r="L256" i="1"/>
  <c r="B97" i="6"/>
  <c r="G282" i="1"/>
  <c r="G191" i="6" s="1"/>
  <c r="L250" i="1"/>
  <c r="R266" i="1"/>
  <c r="E145" i="6" s="1"/>
  <c r="L267" i="1"/>
  <c r="L132" i="6" s="1"/>
  <c r="A109" i="6"/>
  <c r="A135" i="6"/>
  <c r="L303" i="1"/>
  <c r="P281" i="1"/>
  <c r="C204" i="6" s="1"/>
  <c r="J280" i="1"/>
  <c r="Q239" i="1"/>
  <c r="D60" i="6" s="1"/>
  <c r="C72" i="2"/>
  <c r="C115" i="2"/>
  <c r="C116" i="2" s="1"/>
  <c r="C123" i="2"/>
  <c r="C124" i="2" s="1"/>
  <c r="C348" i="2"/>
  <c r="C349" i="2" s="1"/>
  <c r="R268" i="1"/>
  <c r="E147" i="6" s="1"/>
  <c r="R239" i="1"/>
  <c r="E60" i="6" s="1"/>
  <c r="Q271" i="1"/>
  <c r="D150" i="6" s="1"/>
  <c r="L272" i="1"/>
  <c r="S272" i="1" s="1"/>
  <c r="F151" i="6" s="1"/>
  <c r="F249" i="1"/>
  <c r="F96" i="6" s="1"/>
  <c r="P249" i="1"/>
  <c r="C110" i="6" s="1"/>
  <c r="K271" i="1"/>
  <c r="P303" i="1"/>
  <c r="T303" i="1" s="1"/>
  <c r="L249" i="1"/>
  <c r="L96" i="6" s="1"/>
  <c r="Q249" i="1"/>
  <c r="D110" i="6" s="1"/>
  <c r="K281" i="1"/>
  <c r="L233" i="1"/>
  <c r="P233" i="1"/>
  <c r="C54" i="6" s="1"/>
  <c r="K231" i="1"/>
  <c r="L240" i="1"/>
  <c r="C63" i="1"/>
  <c r="B296" i="1" s="1"/>
  <c r="L251" i="1"/>
  <c r="P282" i="1"/>
  <c r="C205" i="6" s="1"/>
  <c r="D280" i="1"/>
  <c r="D189" i="6" s="1"/>
  <c r="A207" i="6"/>
  <c r="A196" i="6"/>
  <c r="C356" i="2"/>
  <c r="C357" i="2" s="1"/>
  <c r="C107" i="2"/>
  <c r="C108" i="2" s="1"/>
  <c r="C127" i="2"/>
  <c r="C128" i="2" s="1"/>
  <c r="Q302" i="1"/>
  <c r="U302" i="1" s="1"/>
  <c r="P271" i="1"/>
  <c r="C150" i="6" s="1"/>
  <c r="F281" i="1"/>
  <c r="F190" i="6" s="1"/>
  <c r="Q256" i="1"/>
  <c r="D117" i="6" s="1"/>
  <c r="K265" i="1"/>
  <c r="K296" i="1"/>
  <c r="L296" i="1"/>
  <c r="P240" i="1"/>
  <c r="C61" i="6" s="1"/>
  <c r="F247" i="1"/>
  <c r="F94" i="6" s="1"/>
  <c r="H255" i="1"/>
  <c r="H102" i="6" s="1"/>
  <c r="D303" i="1"/>
  <c r="I303" i="1" s="1"/>
  <c r="S234" i="1"/>
  <c r="F55" i="6" s="1"/>
  <c r="K102" i="6"/>
  <c r="R255" i="1"/>
  <c r="E116" i="6" s="1"/>
  <c r="A116" i="6"/>
  <c r="A102" i="6"/>
  <c r="C57" i="2"/>
  <c r="C44" i="2"/>
  <c r="I129" i="2"/>
  <c r="C25" i="8"/>
  <c r="C8" i="2"/>
  <c r="B103" i="6"/>
  <c r="H256" i="1"/>
  <c r="H103" i="6" s="1"/>
  <c r="K41" i="6"/>
  <c r="R234" i="1"/>
  <c r="E55" i="6" s="1"/>
  <c r="A45" i="6"/>
  <c r="I300" i="1"/>
  <c r="V300" i="1" s="1"/>
  <c r="J300" i="1"/>
  <c r="W300" i="1" s="1"/>
  <c r="A134" i="6"/>
  <c r="A148" i="6"/>
  <c r="J265" i="1"/>
  <c r="J233" i="1"/>
  <c r="J281" i="1"/>
  <c r="A56" i="6"/>
  <c r="A42" i="6"/>
  <c r="A111" i="6"/>
  <c r="A97" i="6"/>
  <c r="A205" i="6"/>
  <c r="A191" i="6"/>
  <c r="P266" i="1"/>
  <c r="C145" i="6" s="1"/>
  <c r="Q234" i="1"/>
  <c r="D55" i="6" s="1"/>
  <c r="Q250" i="1"/>
  <c r="D111" i="6" s="1"/>
  <c r="P250" i="1"/>
  <c r="C111" i="6" s="1"/>
  <c r="P234" i="1"/>
  <c r="C55" i="6" s="1"/>
  <c r="P297" i="1"/>
  <c r="B45" i="6"/>
  <c r="H286" i="1"/>
  <c r="H195" i="6" s="1"/>
  <c r="H238" i="1"/>
  <c r="H45" i="6" s="1"/>
  <c r="C61" i="2"/>
  <c r="C368" i="2"/>
  <c r="C369" i="2" s="1"/>
  <c r="S287" i="1"/>
  <c r="F210" i="6" s="1"/>
  <c r="R287" i="1"/>
  <c r="E210" i="6" s="1"/>
  <c r="N295" i="1"/>
  <c r="L192" i="6"/>
  <c r="A143" i="6"/>
  <c r="K235" i="1"/>
  <c r="K42" i="6" s="1"/>
  <c r="P283" i="1"/>
  <c r="C206" i="6" s="1"/>
  <c r="P251" i="1"/>
  <c r="C112" i="6" s="1"/>
  <c r="L298" i="1"/>
  <c r="S298" i="1" s="1"/>
  <c r="P235" i="1"/>
  <c r="C56" i="6" s="1"/>
  <c r="P298" i="1"/>
  <c r="P267" i="1"/>
  <c r="C146" i="6" s="1"/>
  <c r="K97" i="6"/>
  <c r="R250" i="1"/>
  <c r="E111" i="6" s="1"/>
  <c r="K197" i="6"/>
  <c r="R288" i="1"/>
  <c r="E211" i="6" s="1"/>
  <c r="S249" i="1"/>
  <c r="F110" i="6" s="1"/>
  <c r="J296" i="1"/>
  <c r="W296" i="1" s="1"/>
  <c r="E39" i="6"/>
  <c r="L232" i="1"/>
  <c r="L248" i="1"/>
  <c r="P248" i="1"/>
  <c r="C109" i="6" s="1"/>
  <c r="C72" i="1"/>
  <c r="L264" i="1"/>
  <c r="L280" i="1"/>
  <c r="P232" i="1"/>
  <c r="C53" i="6" s="1"/>
  <c r="P264" i="1"/>
  <c r="C143" i="6" s="1"/>
  <c r="F248" i="1"/>
  <c r="F264" i="1"/>
  <c r="F232" i="1"/>
  <c r="F295" i="1"/>
  <c r="H295" i="1" s="1"/>
  <c r="F280" i="1"/>
  <c r="F189" i="6" s="1"/>
  <c r="K240" i="1"/>
  <c r="Q288" i="1"/>
  <c r="D211" i="6" s="1"/>
  <c r="Q303" i="1"/>
  <c r="U303" i="1" s="1"/>
  <c r="K256" i="1"/>
  <c r="Q240" i="1"/>
  <c r="D61" i="6" s="1"/>
  <c r="Q272" i="1"/>
  <c r="D151" i="6" s="1"/>
  <c r="K303" i="1"/>
  <c r="K272" i="1"/>
  <c r="B137" i="6"/>
  <c r="H272" i="1"/>
  <c r="H137" i="6" s="1"/>
  <c r="B131" i="6"/>
  <c r="G266" i="1"/>
  <c r="G131" i="6" s="1"/>
  <c r="Q266" i="1"/>
  <c r="D145" i="6" s="1"/>
  <c r="Q297" i="1"/>
  <c r="Q282" i="1"/>
  <c r="D205" i="6" s="1"/>
  <c r="F30" i="1"/>
  <c r="G14" i="1"/>
  <c r="A40" i="6"/>
  <c r="G29" i="1"/>
  <c r="N296" i="1"/>
  <c r="L117" i="2"/>
  <c r="L125" i="2" s="1"/>
  <c r="J125" i="2"/>
  <c r="M117" i="2"/>
  <c r="N42" i="6"/>
  <c r="S288" i="1"/>
  <c r="F211" i="6" s="1"/>
  <c r="L197" i="6"/>
  <c r="I130" i="6"/>
  <c r="V265" i="1"/>
  <c r="J96" i="6"/>
  <c r="W249" i="1"/>
  <c r="S231" i="1"/>
  <c r="F52" i="6" s="1"/>
  <c r="D301" i="1"/>
  <c r="D286" i="1"/>
  <c r="D238" i="1"/>
  <c r="D288" i="1"/>
  <c r="D285" i="1"/>
  <c r="D287" i="1"/>
  <c r="D283" i="1"/>
  <c r="D281" i="1"/>
  <c r="S237" i="1"/>
  <c r="L44" i="6"/>
  <c r="K253" i="1"/>
  <c r="L300" i="1"/>
  <c r="K269" i="1"/>
  <c r="L285" i="1"/>
  <c r="K237" i="1"/>
  <c r="L253" i="1"/>
  <c r="K285" i="1"/>
  <c r="K300" i="1"/>
  <c r="L269" i="1"/>
  <c r="B192" i="6"/>
  <c r="H283" i="1"/>
  <c r="H192" i="6" s="1"/>
  <c r="Q283" i="1"/>
  <c r="D206" i="6" s="1"/>
  <c r="K298" i="1"/>
  <c r="R298" i="1" s="1"/>
  <c r="Q267" i="1"/>
  <c r="D146" i="6" s="1"/>
  <c r="K251" i="1"/>
  <c r="Q298" i="1"/>
  <c r="L235" i="1"/>
  <c r="Q251" i="1"/>
  <c r="D112" i="6" s="1"/>
  <c r="K283" i="1"/>
  <c r="K267" i="1"/>
  <c r="Q235" i="1"/>
  <c r="D56" i="6" s="1"/>
  <c r="H269" i="1"/>
  <c r="H134" i="6" s="1"/>
  <c r="F134" i="6"/>
  <c r="L102" i="6"/>
  <c r="G28" i="1"/>
  <c r="G4" i="1"/>
  <c r="G20" i="1"/>
  <c r="G5" i="1"/>
  <c r="G21" i="1"/>
  <c r="F6" i="1"/>
  <c r="G12" i="1"/>
  <c r="G6" i="1"/>
  <c r="Q247" i="1"/>
  <c r="D108" i="6" s="1"/>
  <c r="Q294" i="1"/>
  <c r="L247" i="1"/>
  <c r="L294" i="1"/>
  <c r="Q231" i="1"/>
  <c r="D52" i="6" s="1"/>
  <c r="P231" i="1"/>
  <c r="C52" i="6" s="1"/>
  <c r="K294" i="1"/>
  <c r="P279" i="1"/>
  <c r="C202" i="6" s="1"/>
  <c r="P294" i="1"/>
  <c r="Q263" i="1"/>
  <c r="D142" i="6" s="1"/>
  <c r="L279" i="1"/>
  <c r="C11" i="1"/>
  <c r="C92" i="1" s="1"/>
  <c r="C93" i="1" s="1"/>
  <c r="F237" i="1" s="1"/>
  <c r="F44" i="6" s="1"/>
  <c r="P263" i="1"/>
  <c r="C142" i="6" s="1"/>
  <c r="Q279" i="1"/>
  <c r="D202" i="6" s="1"/>
  <c r="K263" i="1"/>
  <c r="P247" i="1"/>
  <c r="C108" i="6" s="1"/>
  <c r="E231" i="1"/>
  <c r="E38" i="6" s="1"/>
  <c r="C20" i="1"/>
  <c r="F263" i="1"/>
  <c r="F128" i="6" s="1"/>
  <c r="F231" i="1"/>
  <c r="F38" i="6" s="1"/>
  <c r="E233" i="1"/>
  <c r="E40" i="6" s="1"/>
  <c r="F279" i="1"/>
  <c r="F188" i="6" s="1"/>
  <c r="F294" i="1"/>
  <c r="K232" i="1"/>
  <c r="Q232" i="1"/>
  <c r="D53" i="6" s="1"/>
  <c r="Q248" i="1"/>
  <c r="D109" i="6" s="1"/>
  <c r="J264" i="1"/>
  <c r="Q264" i="1"/>
  <c r="D143" i="6" s="1"/>
  <c r="K248" i="1"/>
  <c r="J295" i="1"/>
  <c r="J248" i="1"/>
  <c r="J232" i="1"/>
  <c r="Q295" i="1"/>
  <c r="U295" i="1" s="1"/>
  <c r="K280" i="1"/>
  <c r="K264" i="1"/>
  <c r="K295" i="1"/>
  <c r="D232" i="1"/>
  <c r="D47" i="6"/>
  <c r="I240" i="1"/>
  <c r="N240" i="1"/>
  <c r="J240" i="1"/>
  <c r="L190" i="6"/>
  <c r="S281" i="1"/>
  <c r="F204" i="6" s="1"/>
  <c r="I302" i="1"/>
  <c r="J302" i="1"/>
  <c r="W302" i="1" s="1"/>
  <c r="N302" i="1"/>
  <c r="B39" i="6"/>
  <c r="D42" i="6"/>
  <c r="J235" i="1"/>
  <c r="I235" i="1"/>
  <c r="G13" i="1"/>
  <c r="A60" i="6"/>
  <c r="F22" i="1"/>
  <c r="C8" i="1"/>
  <c r="C71" i="5"/>
  <c r="G30" i="1"/>
  <c r="F14" i="1"/>
  <c r="D298" i="1"/>
  <c r="A195" i="6"/>
  <c r="A209" i="6"/>
  <c r="A98" i="6"/>
  <c r="A112" i="6"/>
  <c r="A144" i="6"/>
  <c r="A130" i="6"/>
  <c r="D282" i="1"/>
  <c r="D297" i="1"/>
  <c r="D234" i="1"/>
  <c r="H253" i="1"/>
  <c r="H100" i="6" s="1"/>
  <c r="G253" i="1"/>
  <c r="G100" i="6" s="1"/>
  <c r="B100" i="6"/>
  <c r="J303" i="1"/>
  <c r="AA242" i="1"/>
  <c r="AA243" i="1" s="1"/>
  <c r="S266" i="1"/>
  <c r="F145" i="6" s="1"/>
  <c r="L131" i="6"/>
  <c r="AA258" i="1"/>
  <c r="AA259" i="1" s="1"/>
  <c r="D266" i="1" s="1"/>
  <c r="G22" i="1"/>
  <c r="A188" i="6"/>
  <c r="A206" i="6"/>
  <c r="D239" i="1"/>
  <c r="C95" i="8"/>
  <c r="R284" i="1"/>
  <c r="E207" i="6" s="1"/>
  <c r="A147" i="6"/>
  <c r="V27" i="5"/>
  <c r="V25" i="5"/>
  <c r="V28" i="5" s="1"/>
  <c r="K24" i="5"/>
  <c r="K27" i="5" s="1"/>
  <c r="K26" i="5"/>
  <c r="L299" i="1"/>
  <c r="L268" i="1"/>
  <c r="P252" i="1"/>
  <c r="C113" i="6" s="1"/>
  <c r="P299" i="1"/>
  <c r="T299" i="1" s="1"/>
  <c r="L236" i="1"/>
  <c r="C206" i="1"/>
  <c r="B284" i="1" s="1"/>
  <c r="B193" i="6" s="1"/>
  <c r="L252" i="1"/>
  <c r="L284" i="1"/>
  <c r="R236" i="1"/>
  <c r="E57" i="6" s="1"/>
  <c r="C212" i="1"/>
  <c r="D252" i="1" s="1"/>
  <c r="A43" i="6"/>
  <c r="A113" i="6"/>
  <c r="C34" i="5" l="1"/>
  <c r="C35" i="5"/>
  <c r="C209" i="1"/>
  <c r="K117" i="10"/>
  <c r="K125" i="10" s="1"/>
  <c r="I125" i="10"/>
  <c r="J117" i="10"/>
  <c r="G248" i="1"/>
  <c r="G95" i="6" s="1"/>
  <c r="N283" i="1"/>
  <c r="O283" i="1" s="1"/>
  <c r="B206" i="6" s="1"/>
  <c r="N249" i="1"/>
  <c r="G235" i="1"/>
  <c r="G42" i="6" s="1"/>
  <c r="C76" i="11"/>
  <c r="C127" i="11"/>
  <c r="C128" i="11" s="1"/>
  <c r="C372" i="11"/>
  <c r="C373" i="11" s="1"/>
  <c r="C352" i="11"/>
  <c r="C353" i="11" s="1"/>
  <c r="C364" i="11"/>
  <c r="C365" i="11" s="1"/>
  <c r="C280" i="11"/>
  <c r="C360" i="11"/>
  <c r="C361" i="11" s="1"/>
  <c r="C368" i="11"/>
  <c r="C369" i="11" s="1"/>
  <c r="C131" i="11"/>
  <c r="C132" i="11" s="1"/>
  <c r="C119" i="11"/>
  <c r="C120" i="11" s="1"/>
  <c r="C356" i="11"/>
  <c r="C357" i="11" s="1"/>
  <c r="C111" i="11"/>
  <c r="C112" i="11" s="1"/>
  <c r="C115" i="11"/>
  <c r="C116" i="11" s="1"/>
  <c r="E377" i="2"/>
  <c r="S265" i="1"/>
  <c r="F144" i="6" s="1"/>
  <c r="V302" i="1"/>
  <c r="H237" i="1"/>
  <c r="H44" i="6" s="1"/>
  <c r="R252" i="1"/>
  <c r="E113" i="6" s="1"/>
  <c r="C448" i="2"/>
  <c r="C279" i="2"/>
  <c r="C240" i="2"/>
  <c r="C381" i="2" s="1"/>
  <c r="C449" i="2"/>
  <c r="C345" i="2"/>
  <c r="J129" i="2"/>
  <c r="L121" i="2"/>
  <c r="L129" i="2" s="1"/>
  <c r="C281" i="2"/>
  <c r="C282" i="2" s="1"/>
  <c r="C283" i="2" s="1"/>
  <c r="C41" i="5"/>
  <c r="C343" i="2"/>
  <c r="C346" i="2" s="1"/>
  <c r="C372" i="2" s="1"/>
  <c r="B380" i="2" s="1"/>
  <c r="D380" i="2" s="1"/>
  <c r="N269" i="1"/>
  <c r="O269" i="1" s="1"/>
  <c r="B148" i="6" s="1"/>
  <c r="C73" i="2"/>
  <c r="C76" i="2" s="1"/>
  <c r="L137" i="6"/>
  <c r="S282" i="1"/>
  <c r="F205" i="6" s="1"/>
  <c r="B233" i="1"/>
  <c r="G281" i="1" s="1"/>
  <c r="G190" i="6" s="1"/>
  <c r="R235" i="1"/>
  <c r="E56" i="6" s="1"/>
  <c r="G264" i="1"/>
  <c r="G129" i="6" s="1"/>
  <c r="V233" i="1"/>
  <c r="I54" i="6" s="1"/>
  <c r="I40" i="6"/>
  <c r="W303" i="1"/>
  <c r="C210" i="1"/>
  <c r="F252" i="1" s="1"/>
  <c r="I96" i="6"/>
  <c r="V249" i="1"/>
  <c r="I110" i="6" s="1"/>
  <c r="B249" i="1"/>
  <c r="H249" i="1" s="1"/>
  <c r="H96" i="6" s="1"/>
  <c r="B281" i="1"/>
  <c r="B190" i="6" s="1"/>
  <c r="B265" i="1"/>
  <c r="B130" i="6" s="1"/>
  <c r="Y300" i="1"/>
  <c r="AA300" i="1" s="1"/>
  <c r="C304" i="2"/>
  <c r="N282" i="1"/>
  <c r="O233" i="1"/>
  <c r="B54" i="6" s="1"/>
  <c r="C51" i="5"/>
  <c r="C285" i="2"/>
  <c r="C286" i="2" s="1"/>
  <c r="C287" i="2" s="1"/>
  <c r="C50" i="5"/>
  <c r="N44" i="6"/>
  <c r="C300" i="2"/>
  <c r="C289" i="2"/>
  <c r="C290" i="2" s="1"/>
  <c r="C291" i="2" s="1"/>
  <c r="N281" i="1"/>
  <c r="C293" i="2"/>
  <c r="C294" i="2" s="1"/>
  <c r="C295" i="2" s="1"/>
  <c r="C292" i="2"/>
  <c r="N265" i="1"/>
  <c r="N130" i="6" s="1"/>
  <c r="K191" i="6"/>
  <c r="R282" i="1"/>
  <c r="E205" i="6" s="1"/>
  <c r="H280" i="1"/>
  <c r="H189" i="6" s="1"/>
  <c r="C288" i="2"/>
  <c r="C277" i="2"/>
  <c r="C280" i="2" s="1"/>
  <c r="C284" i="2"/>
  <c r="C297" i="2"/>
  <c r="C298" i="2" s="1"/>
  <c r="C299" i="2" s="1"/>
  <c r="C301" i="2"/>
  <c r="C302" i="2" s="1"/>
  <c r="C303" i="2" s="1"/>
  <c r="C130" i="2"/>
  <c r="J120" i="2" s="1"/>
  <c r="J128" i="2" s="1"/>
  <c r="L128" i="6"/>
  <c r="S263" i="1"/>
  <c r="F142" i="6" s="1"/>
  <c r="R247" i="1"/>
  <c r="E108" i="6" s="1"/>
  <c r="R300" i="1"/>
  <c r="S267" i="1"/>
  <c r="F146" i="6" s="1"/>
  <c r="C81" i="2"/>
  <c r="C82" i="2" s="1"/>
  <c r="C83" i="2" s="1"/>
  <c r="X300" i="1"/>
  <c r="Z300" i="1" s="1"/>
  <c r="G280" i="1"/>
  <c r="G189" i="6" s="1"/>
  <c r="S239" i="1"/>
  <c r="F60" i="6" s="1"/>
  <c r="K96" i="6"/>
  <c r="N253" i="1"/>
  <c r="O237" i="1"/>
  <c r="B58" i="6" s="1"/>
  <c r="B98" i="6"/>
  <c r="H251" i="1"/>
  <c r="H98" i="6" s="1"/>
  <c r="H267" i="1"/>
  <c r="H132" i="6" s="1"/>
  <c r="B132" i="6"/>
  <c r="R295" i="1"/>
  <c r="S300" i="1"/>
  <c r="L136" i="6"/>
  <c r="S271" i="1"/>
  <c r="F150" i="6" s="1"/>
  <c r="V303" i="1"/>
  <c r="K38" i="6"/>
  <c r="R231" i="1"/>
  <c r="E52" i="6" s="1"/>
  <c r="L103" i="6"/>
  <c r="S256" i="1"/>
  <c r="F117" i="6" s="1"/>
  <c r="C131" i="2"/>
  <c r="I120" i="2" s="1"/>
  <c r="N303" i="1"/>
  <c r="S303" i="1" s="1"/>
  <c r="C371" i="2"/>
  <c r="C380" i="2" s="1"/>
  <c r="F380" i="2" s="1"/>
  <c r="S251" i="1"/>
  <c r="F112" i="6" s="1"/>
  <c r="L98" i="6"/>
  <c r="N194" i="6"/>
  <c r="O285" i="1"/>
  <c r="B208" i="6" s="1"/>
  <c r="S250" i="1"/>
  <c r="F111" i="6" s="1"/>
  <c r="L97" i="6"/>
  <c r="K130" i="6"/>
  <c r="R265" i="1"/>
  <c r="E144" i="6" s="1"/>
  <c r="S233" i="1"/>
  <c r="F54" i="6" s="1"/>
  <c r="L40" i="6"/>
  <c r="J189" i="6"/>
  <c r="W280" i="1"/>
  <c r="J203" i="6" s="1"/>
  <c r="L47" i="6"/>
  <c r="S240" i="1"/>
  <c r="F61" i="6" s="1"/>
  <c r="R281" i="1"/>
  <c r="E204" i="6" s="1"/>
  <c r="K190" i="6"/>
  <c r="K136" i="6"/>
  <c r="R271" i="1"/>
  <c r="E150" i="6" s="1"/>
  <c r="C89" i="2"/>
  <c r="C90" i="2" s="1"/>
  <c r="C85" i="2"/>
  <c r="C86" i="2" s="1"/>
  <c r="C87" i="2" s="1"/>
  <c r="C80" i="2"/>
  <c r="C91" i="2"/>
  <c r="C92" i="2" s="1"/>
  <c r="C93" i="2" s="1"/>
  <c r="C88" i="2"/>
  <c r="C84" i="2"/>
  <c r="C94" i="2"/>
  <c r="C77" i="2"/>
  <c r="C78" i="2" s="1"/>
  <c r="C79" i="2" s="1"/>
  <c r="F39" i="6"/>
  <c r="H232" i="1"/>
  <c r="H39" i="6" s="1"/>
  <c r="K47" i="6"/>
  <c r="R240" i="1"/>
  <c r="E61" i="6" s="1"/>
  <c r="F129" i="6"/>
  <c r="H264" i="1"/>
  <c r="H129" i="6" s="1"/>
  <c r="L189" i="6"/>
  <c r="S280" i="1"/>
  <c r="F203" i="6" s="1"/>
  <c r="L95" i="6"/>
  <c r="S248" i="1"/>
  <c r="F109" i="6" s="1"/>
  <c r="J190" i="6"/>
  <c r="W281" i="1"/>
  <c r="R296" i="1"/>
  <c r="S296" i="1"/>
  <c r="O296" i="1"/>
  <c r="X296" i="1" s="1"/>
  <c r="Z296" i="1" s="1"/>
  <c r="O249" i="1"/>
  <c r="Y249" i="1" s="1"/>
  <c r="N96" i="6"/>
  <c r="K137" i="6"/>
  <c r="R272" i="1"/>
  <c r="E151" i="6" s="1"/>
  <c r="R256" i="1"/>
  <c r="E117" i="6" s="1"/>
  <c r="K103" i="6"/>
  <c r="F95" i="6"/>
  <c r="H248" i="1"/>
  <c r="H95" i="6" s="1"/>
  <c r="L129" i="6"/>
  <c r="S264" i="1"/>
  <c r="F143" i="6" s="1"/>
  <c r="L39" i="6"/>
  <c r="S232" i="1"/>
  <c r="F53" i="6" s="1"/>
  <c r="S295" i="1"/>
  <c r="O295" i="1"/>
  <c r="J40" i="6"/>
  <c r="W233" i="1"/>
  <c r="C40" i="8"/>
  <c r="C49" i="8"/>
  <c r="C50" i="8"/>
  <c r="C51" i="8"/>
  <c r="O282" i="1"/>
  <c r="B205" i="6" s="1"/>
  <c r="N191" i="6"/>
  <c r="I232" i="1"/>
  <c r="I248" i="1"/>
  <c r="I295" i="1"/>
  <c r="V295" i="1" s="1"/>
  <c r="I280" i="1"/>
  <c r="I264" i="1"/>
  <c r="R303" i="1"/>
  <c r="O303" i="1"/>
  <c r="J130" i="6"/>
  <c r="W265" i="1"/>
  <c r="D46" i="6"/>
  <c r="I239" i="1"/>
  <c r="J239" i="1"/>
  <c r="N239" i="1"/>
  <c r="D255" i="1"/>
  <c r="D250" i="1"/>
  <c r="D249" i="1"/>
  <c r="D253" i="1"/>
  <c r="D256" i="1"/>
  <c r="D251" i="1"/>
  <c r="J282" i="1"/>
  <c r="D191" i="6"/>
  <c r="I282" i="1"/>
  <c r="J298" i="1"/>
  <c r="W298" i="1" s="1"/>
  <c r="N298" i="1"/>
  <c r="O298" i="1" s="1"/>
  <c r="I298" i="1"/>
  <c r="V298" i="1" s="1"/>
  <c r="C28" i="8"/>
  <c r="C29" i="8" s="1"/>
  <c r="C29" i="5"/>
  <c r="C30" i="5" s="1"/>
  <c r="C40" i="5" s="1"/>
  <c r="S302" i="1"/>
  <c r="R302" i="1"/>
  <c r="O302" i="1"/>
  <c r="Y302" i="1" s="1"/>
  <c r="AA302" i="1" s="1"/>
  <c r="K129" i="6"/>
  <c r="R264" i="1"/>
  <c r="E143" i="6" s="1"/>
  <c r="J95" i="6"/>
  <c r="W248" i="1"/>
  <c r="J129" i="6"/>
  <c r="W264" i="1"/>
  <c r="R263" i="1"/>
  <c r="E142" i="6" s="1"/>
  <c r="K128" i="6"/>
  <c r="L188" i="6"/>
  <c r="S279" i="1"/>
  <c r="F202" i="6" s="1"/>
  <c r="L94" i="6"/>
  <c r="S247" i="1"/>
  <c r="F108" i="6" s="1"/>
  <c r="K132" i="6"/>
  <c r="R267" i="1"/>
  <c r="E146" i="6" s="1"/>
  <c r="S285" i="1"/>
  <c r="L194" i="6"/>
  <c r="D196" i="6"/>
  <c r="J287" i="1"/>
  <c r="I287" i="1"/>
  <c r="I238" i="1"/>
  <c r="D45" i="6"/>
  <c r="J238" i="1"/>
  <c r="N238" i="1"/>
  <c r="I144" i="6"/>
  <c r="D272" i="1"/>
  <c r="D269" i="1"/>
  <c r="D271" i="1"/>
  <c r="D265" i="1"/>
  <c r="D130" i="6" s="1"/>
  <c r="D264" i="1"/>
  <c r="D129" i="6" s="1"/>
  <c r="I234" i="1"/>
  <c r="J234" i="1"/>
  <c r="D41" i="6"/>
  <c r="N234" i="1"/>
  <c r="W240" i="1"/>
  <c r="J47" i="6"/>
  <c r="D39" i="6"/>
  <c r="N232" i="1"/>
  <c r="R280" i="1"/>
  <c r="E203" i="6" s="1"/>
  <c r="K189" i="6"/>
  <c r="W295" i="1"/>
  <c r="K192" i="6"/>
  <c r="R283" i="1"/>
  <c r="E206" i="6" s="1"/>
  <c r="R251" i="1"/>
  <c r="E112" i="6" s="1"/>
  <c r="K98" i="6"/>
  <c r="R285" i="1"/>
  <c r="K194" i="6"/>
  <c r="R269" i="1"/>
  <c r="K134" i="6"/>
  <c r="F58" i="6"/>
  <c r="I285" i="1"/>
  <c r="J285" i="1"/>
  <c r="D194" i="6"/>
  <c r="I286" i="1"/>
  <c r="D195" i="6"/>
  <c r="J286" i="1"/>
  <c r="G296" i="1"/>
  <c r="H296" i="1"/>
  <c r="M125" i="2"/>
  <c r="M118" i="2"/>
  <c r="M126" i="2" s="1"/>
  <c r="J266" i="1"/>
  <c r="I266" i="1"/>
  <c r="N266" i="1"/>
  <c r="D131" i="6"/>
  <c r="I42" i="6"/>
  <c r="V235" i="1"/>
  <c r="X302" i="1"/>
  <c r="Z302" i="1" s="1"/>
  <c r="O240" i="1"/>
  <c r="B61" i="6" s="1"/>
  <c r="N47" i="6"/>
  <c r="N288" i="1"/>
  <c r="N272" i="1"/>
  <c r="N256" i="1"/>
  <c r="D248" i="1"/>
  <c r="D95" i="6" s="1"/>
  <c r="K95" i="6"/>
  <c r="R248" i="1"/>
  <c r="E109" i="6" s="1"/>
  <c r="S253" i="1"/>
  <c r="L100" i="6"/>
  <c r="D190" i="6"/>
  <c r="J288" i="1"/>
  <c r="D197" i="6"/>
  <c r="I288" i="1"/>
  <c r="D270" i="1"/>
  <c r="J110" i="6"/>
  <c r="G249" i="1"/>
  <c r="G96" i="6" s="1"/>
  <c r="G233" i="1"/>
  <c r="G40" i="6" s="1"/>
  <c r="J297" i="1"/>
  <c r="W297" i="1" s="1"/>
  <c r="I297" i="1"/>
  <c r="V297" i="1" s="1"/>
  <c r="N297" i="1"/>
  <c r="O297" i="1" s="1"/>
  <c r="D267" i="1"/>
  <c r="W235" i="1"/>
  <c r="J42" i="6"/>
  <c r="V240" i="1"/>
  <c r="I47" i="6"/>
  <c r="J39" i="6"/>
  <c r="W232" i="1"/>
  <c r="K39" i="6"/>
  <c r="R232" i="1"/>
  <c r="E53" i="6" s="1"/>
  <c r="C114" i="1"/>
  <c r="C110" i="1"/>
  <c r="C111" i="1" s="1"/>
  <c r="J301" i="1" s="1"/>
  <c r="F28" i="1"/>
  <c r="F20" i="1"/>
  <c r="C176" i="1"/>
  <c r="C177" i="1" s="1"/>
  <c r="C134" i="1"/>
  <c r="C135" i="1" s="1"/>
  <c r="C191" i="1"/>
  <c r="C192" i="1" s="1"/>
  <c r="F12" i="1"/>
  <c r="F4" i="1"/>
  <c r="C30" i="8"/>
  <c r="F23" i="6"/>
  <c r="C139" i="1"/>
  <c r="F21" i="1"/>
  <c r="C153" i="1"/>
  <c r="C154" i="1" s="1"/>
  <c r="C171" i="1"/>
  <c r="C172" i="1" s="1"/>
  <c r="C15" i="1"/>
  <c r="C16" i="1" s="1"/>
  <c r="C35" i="1" s="1"/>
  <c r="C157" i="1"/>
  <c r="F29" i="1"/>
  <c r="F13" i="1"/>
  <c r="C31" i="5"/>
  <c r="F5" i="1"/>
  <c r="S235" i="1"/>
  <c r="F56" i="6" s="1"/>
  <c r="L42" i="6"/>
  <c r="S269" i="1"/>
  <c r="L134" i="6"/>
  <c r="K44" i="6"/>
  <c r="R237" i="1"/>
  <c r="K100" i="6"/>
  <c r="R253" i="1"/>
  <c r="I283" i="1"/>
  <c r="J283" i="1"/>
  <c r="D192" i="6"/>
  <c r="D254" i="1"/>
  <c r="N301" i="1"/>
  <c r="B252" i="1"/>
  <c r="B99" i="6" s="1"/>
  <c r="B236" i="1"/>
  <c r="B43" i="6" s="1"/>
  <c r="B268" i="1"/>
  <c r="G268" i="1" s="1"/>
  <c r="G133" i="6" s="1"/>
  <c r="B299" i="1"/>
  <c r="G299" i="1" s="1"/>
  <c r="S236" i="1"/>
  <c r="F57" i="6" s="1"/>
  <c r="L43" i="6"/>
  <c r="L193" i="6"/>
  <c r="S284" i="1"/>
  <c r="F207" i="6" s="1"/>
  <c r="L99" i="6"/>
  <c r="S252" i="1"/>
  <c r="F113" i="6" s="1"/>
  <c r="S268" i="1"/>
  <c r="F147" i="6" s="1"/>
  <c r="L133" i="6"/>
  <c r="D236" i="1"/>
  <c r="D268" i="1"/>
  <c r="D299" i="1"/>
  <c r="D284" i="1"/>
  <c r="N192" i="6" l="1"/>
  <c r="C134" i="11"/>
  <c r="J125" i="11" s="1"/>
  <c r="C135" i="11"/>
  <c r="H281" i="1"/>
  <c r="H190" i="6" s="1"/>
  <c r="C81" i="11"/>
  <c r="C82" i="11" s="1"/>
  <c r="C83" i="11" s="1"/>
  <c r="C95" i="11"/>
  <c r="C96" i="11" s="1"/>
  <c r="C97" i="11" s="1"/>
  <c r="C77" i="11"/>
  <c r="C80" i="11" s="1"/>
  <c r="C92" i="11"/>
  <c r="C93" i="11"/>
  <c r="C94" i="11" s="1"/>
  <c r="C98" i="11"/>
  <c r="C84" i="11"/>
  <c r="C85" i="11"/>
  <c r="C86" i="11" s="1"/>
  <c r="C87" i="11" s="1"/>
  <c r="C89" i="11"/>
  <c r="C90" i="11" s="1"/>
  <c r="C91" i="11" s="1"/>
  <c r="C88" i="11"/>
  <c r="C376" i="11"/>
  <c r="C375" i="11"/>
  <c r="C384" i="11" s="1"/>
  <c r="C301" i="11"/>
  <c r="C302" i="11" s="1"/>
  <c r="C303" i="11" s="1"/>
  <c r="C285" i="11"/>
  <c r="C286" i="11" s="1"/>
  <c r="C287" i="11" s="1"/>
  <c r="C305" i="11"/>
  <c r="C306" i="11" s="1"/>
  <c r="C307" i="11" s="1"/>
  <c r="C281" i="11"/>
  <c r="C284" i="11" s="1"/>
  <c r="C304" i="11"/>
  <c r="C292" i="11"/>
  <c r="C288" i="11"/>
  <c r="C297" i="11"/>
  <c r="C298" i="11" s="1"/>
  <c r="C299" i="11" s="1"/>
  <c r="C289" i="11"/>
  <c r="C290" i="11" s="1"/>
  <c r="C291" i="11" s="1"/>
  <c r="C296" i="11"/>
  <c r="C293" i="11"/>
  <c r="C294" i="11" s="1"/>
  <c r="C295" i="11" s="1"/>
  <c r="C308" i="11"/>
  <c r="C300" i="11"/>
  <c r="J125" i="10"/>
  <c r="L117" i="10"/>
  <c r="L125" i="10" s="1"/>
  <c r="H233" i="1"/>
  <c r="H40" i="6" s="1"/>
  <c r="O265" i="1"/>
  <c r="B40" i="6"/>
  <c r="E381" i="2"/>
  <c r="F381" i="2"/>
  <c r="M120" i="2"/>
  <c r="M128" i="2" s="1"/>
  <c r="E380" i="2"/>
  <c r="L120" i="2"/>
  <c r="L128" i="2" s="1"/>
  <c r="N134" i="6"/>
  <c r="G252" i="1"/>
  <c r="G99" i="6" s="1"/>
  <c r="E236" i="1"/>
  <c r="E43" i="6" s="1"/>
  <c r="F268" i="1"/>
  <c r="H268" i="1" s="1"/>
  <c r="H133" i="6" s="1"/>
  <c r="F299" i="1"/>
  <c r="H299" i="1" s="1"/>
  <c r="F284" i="1"/>
  <c r="H284" i="1" s="1"/>
  <c r="H193" i="6" s="1"/>
  <c r="C373" i="2"/>
  <c r="B96" i="6"/>
  <c r="X303" i="1"/>
  <c r="Z303" i="1" s="1"/>
  <c r="G265" i="1"/>
  <c r="G130" i="6" s="1"/>
  <c r="H265" i="1"/>
  <c r="H130" i="6" s="1"/>
  <c r="X233" i="1"/>
  <c r="K54" i="6" s="1"/>
  <c r="C305" i="2"/>
  <c r="C379" i="2" s="1"/>
  <c r="F379" i="2" s="1"/>
  <c r="C306" i="2"/>
  <c r="B379" i="2" s="1"/>
  <c r="D379" i="2" s="1"/>
  <c r="C132" i="2"/>
  <c r="N190" i="6"/>
  <c r="O281" i="1"/>
  <c r="Y281" i="1" s="1"/>
  <c r="N100" i="6"/>
  <c r="O253" i="1"/>
  <c r="B114" i="6" s="1"/>
  <c r="I301" i="1"/>
  <c r="C95" i="2"/>
  <c r="J119" i="2" s="1"/>
  <c r="J127" i="2" s="1"/>
  <c r="C96" i="2"/>
  <c r="I189" i="6"/>
  <c r="V280" i="1"/>
  <c r="I203" i="6" s="1"/>
  <c r="Y303" i="1"/>
  <c r="AA303" i="1" s="1"/>
  <c r="H236" i="1"/>
  <c r="H43" i="6" s="1"/>
  <c r="X297" i="1"/>
  <c r="Z297" i="1" s="1"/>
  <c r="Z233" i="1"/>
  <c r="M54" i="6" s="1"/>
  <c r="X295" i="1"/>
  <c r="Z295" i="1" s="1"/>
  <c r="B110" i="6"/>
  <c r="X249" i="1"/>
  <c r="K110" i="6" s="1"/>
  <c r="J204" i="6"/>
  <c r="Y295" i="1"/>
  <c r="AA295" i="1" s="1"/>
  <c r="J144" i="6"/>
  <c r="Y265" i="1"/>
  <c r="I95" i="6"/>
  <c r="V248" i="1"/>
  <c r="I109" i="6" s="1"/>
  <c r="J54" i="6"/>
  <c r="Y233" i="1"/>
  <c r="I129" i="6"/>
  <c r="V264" i="1"/>
  <c r="I143" i="6" s="1"/>
  <c r="V232" i="1"/>
  <c r="I53" i="6" s="1"/>
  <c r="I39" i="6"/>
  <c r="Y296" i="1"/>
  <c r="AA296" i="1" s="1"/>
  <c r="W283" i="1"/>
  <c r="J192" i="6"/>
  <c r="E58" i="6"/>
  <c r="F7" i="1"/>
  <c r="C17" i="1" s="1"/>
  <c r="C18" i="1" s="1"/>
  <c r="J56" i="6"/>
  <c r="Y235" i="1"/>
  <c r="Y297" i="1"/>
  <c r="AA297" i="1" s="1"/>
  <c r="I197" i="6"/>
  <c r="V288" i="1"/>
  <c r="N197" i="6"/>
  <c r="O288" i="1"/>
  <c r="B211" i="6" s="1"/>
  <c r="I56" i="6"/>
  <c r="X235" i="1"/>
  <c r="I131" i="6"/>
  <c r="V266" i="1"/>
  <c r="H58" i="6"/>
  <c r="W237" i="1"/>
  <c r="T285" i="1"/>
  <c r="G208" i="6" s="1"/>
  <c r="E208" i="6"/>
  <c r="N39" i="6"/>
  <c r="N264" i="1"/>
  <c r="N280" i="1"/>
  <c r="N248" i="1"/>
  <c r="O232" i="1"/>
  <c r="V234" i="1"/>
  <c r="I41" i="6"/>
  <c r="J269" i="1"/>
  <c r="I269" i="1"/>
  <c r="D134" i="6"/>
  <c r="Y298" i="1"/>
  <c r="AA298" i="1" s="1"/>
  <c r="J251" i="1"/>
  <c r="N251" i="1"/>
  <c r="D98" i="6"/>
  <c r="I251" i="1"/>
  <c r="N250" i="1"/>
  <c r="J250" i="1"/>
  <c r="I250" i="1"/>
  <c r="D97" i="6"/>
  <c r="I46" i="6"/>
  <c r="V239" i="1"/>
  <c r="G284" i="1"/>
  <c r="G193" i="6" s="1"/>
  <c r="B133" i="6"/>
  <c r="O301" i="1"/>
  <c r="I192" i="6"/>
  <c r="V283" i="1"/>
  <c r="B231" i="1"/>
  <c r="B279" i="1"/>
  <c r="B188" i="6" s="1"/>
  <c r="B263" i="1"/>
  <c r="B294" i="1"/>
  <c r="B247" i="1"/>
  <c r="F15" i="1"/>
  <c r="C23" i="1" s="1"/>
  <c r="C24" i="1" s="1"/>
  <c r="F23" i="1"/>
  <c r="C27" i="1" s="1"/>
  <c r="C28" i="1" s="1"/>
  <c r="J267" i="1"/>
  <c r="D132" i="6"/>
  <c r="I267" i="1"/>
  <c r="N267" i="1"/>
  <c r="L110" i="6"/>
  <c r="AA249" i="1"/>
  <c r="N110" i="6" s="1"/>
  <c r="D314" i="1"/>
  <c r="J131" i="6"/>
  <c r="W266" i="1"/>
  <c r="J195" i="6"/>
  <c r="J194" i="6"/>
  <c r="O234" i="1"/>
  <c r="B55" i="6" s="1"/>
  <c r="N41" i="6"/>
  <c r="D137" i="6"/>
  <c r="I272" i="1"/>
  <c r="J272" i="1"/>
  <c r="I45" i="6"/>
  <c r="V238" i="1"/>
  <c r="J109" i="6"/>
  <c r="I191" i="6"/>
  <c r="V282" i="1"/>
  <c r="J256" i="1"/>
  <c r="I256" i="1"/>
  <c r="D103" i="6"/>
  <c r="J255" i="1"/>
  <c r="D102" i="6"/>
  <c r="I255" i="1"/>
  <c r="I254" i="1"/>
  <c r="D101" i="6"/>
  <c r="J254" i="1"/>
  <c r="T253" i="1"/>
  <c r="G114" i="6" s="1"/>
  <c r="E114" i="6"/>
  <c r="F234" i="1"/>
  <c r="F250" i="1"/>
  <c r="F266" i="1"/>
  <c r="F297" i="1"/>
  <c r="H297" i="1" s="1"/>
  <c r="F282" i="1"/>
  <c r="F235" i="1"/>
  <c r="E283" i="1"/>
  <c r="E267" i="1"/>
  <c r="E251" i="1"/>
  <c r="E298" i="1"/>
  <c r="G298" i="1" s="1"/>
  <c r="F31" i="1"/>
  <c r="C31" i="1" s="1"/>
  <c r="C32" i="1" s="1"/>
  <c r="X240" i="1"/>
  <c r="I61" i="6"/>
  <c r="J197" i="6"/>
  <c r="W288" i="1"/>
  <c r="U253" i="1"/>
  <c r="H114" i="6" s="1"/>
  <c r="F114" i="6"/>
  <c r="O256" i="1"/>
  <c r="B117" i="6" s="1"/>
  <c r="N103" i="6"/>
  <c r="K120" i="2"/>
  <c r="K128" i="2" s="1"/>
  <c r="I128" i="2"/>
  <c r="I194" i="6"/>
  <c r="T269" i="1"/>
  <c r="G148" i="6" s="1"/>
  <c r="E148" i="6"/>
  <c r="N45" i="6"/>
  <c r="N286" i="1"/>
  <c r="O238" i="1"/>
  <c r="B59" i="6" s="1"/>
  <c r="N254" i="1"/>
  <c r="N270" i="1"/>
  <c r="V287" i="1"/>
  <c r="I196" i="6"/>
  <c r="U285" i="1"/>
  <c r="H208" i="6" s="1"/>
  <c r="F208" i="6"/>
  <c r="X298" i="1"/>
  <c r="Z298" i="1" s="1"/>
  <c r="D100" i="6"/>
  <c r="I253" i="1"/>
  <c r="J253" i="1"/>
  <c r="N46" i="6"/>
  <c r="O239" i="1"/>
  <c r="B60" i="6" s="1"/>
  <c r="N271" i="1"/>
  <c r="N255" i="1"/>
  <c r="N287" i="1"/>
  <c r="U269" i="1"/>
  <c r="H148" i="6" s="1"/>
  <c r="F148" i="6"/>
  <c r="E303" i="1"/>
  <c r="G303" i="1" s="1"/>
  <c r="E256" i="1"/>
  <c r="E240" i="1"/>
  <c r="E288" i="1"/>
  <c r="E272" i="1"/>
  <c r="E255" i="1"/>
  <c r="E239" i="1"/>
  <c r="E302" i="1"/>
  <c r="G302" i="1" s="1"/>
  <c r="E287" i="1"/>
  <c r="E271" i="1"/>
  <c r="L301" i="1"/>
  <c r="S301" i="1" s="1"/>
  <c r="K286" i="1"/>
  <c r="K238" i="1"/>
  <c r="K270" i="1"/>
  <c r="L270" i="1"/>
  <c r="Q254" i="1"/>
  <c r="D115" i="6" s="1"/>
  <c r="E254" i="1"/>
  <c r="E301" i="1"/>
  <c r="G301" i="1" s="1"/>
  <c r="P270" i="1"/>
  <c r="C149" i="6" s="1"/>
  <c r="P254" i="1"/>
  <c r="C115" i="6" s="1"/>
  <c r="L254" i="1"/>
  <c r="L238" i="1"/>
  <c r="E270" i="1"/>
  <c r="K301" i="1"/>
  <c r="R301" i="1" s="1"/>
  <c r="P286" i="1"/>
  <c r="C209" i="6" s="1"/>
  <c r="P301" i="1"/>
  <c r="L286" i="1"/>
  <c r="K254" i="1"/>
  <c r="E286" i="1"/>
  <c r="Q286" i="1"/>
  <c r="D209" i="6" s="1"/>
  <c r="E238" i="1"/>
  <c r="Q270" i="1"/>
  <c r="D149" i="6" s="1"/>
  <c r="Q301" i="1"/>
  <c r="J53" i="6"/>
  <c r="Y232" i="1"/>
  <c r="D135" i="6"/>
  <c r="I270" i="1"/>
  <c r="J270" i="1"/>
  <c r="N137" i="6"/>
  <c r="O272" i="1"/>
  <c r="B151" i="6" s="1"/>
  <c r="N131" i="6"/>
  <c r="O266" i="1"/>
  <c r="B145" i="6" s="1"/>
  <c r="I195" i="6"/>
  <c r="Y240" i="1"/>
  <c r="J61" i="6"/>
  <c r="W234" i="1"/>
  <c r="J41" i="6"/>
  <c r="J271" i="1"/>
  <c r="I271" i="1"/>
  <c r="D136" i="6"/>
  <c r="J45" i="6"/>
  <c r="W238" i="1"/>
  <c r="W287" i="1"/>
  <c r="J196" i="6"/>
  <c r="J143" i="6"/>
  <c r="J191" i="6"/>
  <c r="W282" i="1"/>
  <c r="D96" i="6"/>
  <c r="W239" i="1"/>
  <c r="J46" i="6"/>
  <c r="I299" i="1"/>
  <c r="V299" i="1" s="1"/>
  <c r="N299" i="1"/>
  <c r="J299" i="1"/>
  <c r="W299" i="1" s="1"/>
  <c r="I268" i="1"/>
  <c r="J268" i="1"/>
  <c r="D133" i="6"/>
  <c r="J252" i="1"/>
  <c r="I252" i="1"/>
  <c r="D99" i="6"/>
  <c r="J284" i="1"/>
  <c r="I284" i="1"/>
  <c r="D193" i="6"/>
  <c r="D43" i="6"/>
  <c r="J236" i="1"/>
  <c r="I236" i="1"/>
  <c r="N236" i="1"/>
  <c r="F99" i="6"/>
  <c r="H252" i="1"/>
  <c r="H99" i="6" s="1"/>
  <c r="C99" i="11" l="1"/>
  <c r="J124" i="11" s="1"/>
  <c r="C310" i="11"/>
  <c r="C100" i="11"/>
  <c r="C136" i="11"/>
  <c r="I125" i="11"/>
  <c r="C309" i="11"/>
  <c r="C383" i="11" s="1"/>
  <c r="M125" i="11"/>
  <c r="M133" i="11" s="1"/>
  <c r="L125" i="11"/>
  <c r="L133" i="11" s="1"/>
  <c r="J133" i="11"/>
  <c r="F384" i="11"/>
  <c r="E384" i="11"/>
  <c r="B384" i="11"/>
  <c r="D384" i="11" s="1"/>
  <c r="C377" i="11"/>
  <c r="B144" i="6"/>
  <c r="X265" i="1"/>
  <c r="E379" i="2"/>
  <c r="G236" i="1"/>
  <c r="G43" i="6" s="1"/>
  <c r="F133" i="6"/>
  <c r="F193" i="6"/>
  <c r="V285" i="1"/>
  <c r="X285" i="1" s="1"/>
  <c r="C307" i="2"/>
  <c r="B378" i="2"/>
  <c r="C378" i="2" s="1"/>
  <c r="E378" i="2" s="1"/>
  <c r="B204" i="6"/>
  <c r="X281" i="1"/>
  <c r="L119" i="2"/>
  <c r="L127" i="2" s="1"/>
  <c r="Z249" i="1"/>
  <c r="M110" i="6" s="1"/>
  <c r="G31" i="1"/>
  <c r="C34" i="1" s="1"/>
  <c r="C33" i="1" s="1"/>
  <c r="D279" i="1" s="1"/>
  <c r="D188" i="6" s="1"/>
  <c r="M119" i="2"/>
  <c r="M127" i="2" s="1"/>
  <c r="C97" i="2"/>
  <c r="I119" i="2"/>
  <c r="C314" i="1"/>
  <c r="AA233" i="1"/>
  <c r="N54" i="6" s="1"/>
  <c r="L54" i="6"/>
  <c r="L144" i="6"/>
  <c r="AA265" i="1"/>
  <c r="N144" i="6" s="1"/>
  <c r="E314" i="1"/>
  <c r="E336" i="1" s="1"/>
  <c r="L204" i="6"/>
  <c r="AA281" i="1"/>
  <c r="N204" i="6" s="1"/>
  <c r="F314" i="1"/>
  <c r="E342" i="1" s="1"/>
  <c r="G7" i="1"/>
  <c r="C22" i="1" s="1"/>
  <c r="C21" i="1" s="1"/>
  <c r="D231" i="1" s="1"/>
  <c r="Y238" i="1"/>
  <c r="J59" i="6"/>
  <c r="J55" i="6"/>
  <c r="Y234" i="1"/>
  <c r="L53" i="6"/>
  <c r="AA232" i="1"/>
  <c r="N53" i="6" s="1"/>
  <c r="G238" i="1"/>
  <c r="G45" i="6" s="1"/>
  <c r="E45" i="6"/>
  <c r="L195" i="6"/>
  <c r="S286" i="1"/>
  <c r="E135" i="6"/>
  <c r="G270" i="1"/>
  <c r="G135" i="6" s="1"/>
  <c r="L135" i="6"/>
  <c r="S270" i="1"/>
  <c r="E46" i="6"/>
  <c r="G239" i="1"/>
  <c r="G46" i="6" s="1"/>
  <c r="E47" i="6"/>
  <c r="G240" i="1"/>
  <c r="G47" i="6" s="1"/>
  <c r="N136" i="6"/>
  <c r="O271" i="1"/>
  <c r="B150" i="6" s="1"/>
  <c r="I100" i="6"/>
  <c r="V253" i="1"/>
  <c r="N101" i="6"/>
  <c r="O254" i="1"/>
  <c r="B115" i="6" s="1"/>
  <c r="J211" i="6"/>
  <c r="Y288" i="1"/>
  <c r="E132" i="6"/>
  <c r="G267" i="1"/>
  <c r="G132" i="6" s="1"/>
  <c r="I101" i="6"/>
  <c r="V254" i="1"/>
  <c r="I132" i="6"/>
  <c r="V267" i="1"/>
  <c r="G23" i="1"/>
  <c r="C30" i="1" s="1"/>
  <c r="C29" i="1" s="1"/>
  <c r="D263" i="1" s="1"/>
  <c r="D128" i="6" s="1"/>
  <c r="H294" i="1"/>
  <c r="G294" i="1"/>
  <c r="I206" i="6"/>
  <c r="X283" i="1"/>
  <c r="O250" i="1"/>
  <c r="B111" i="6" s="1"/>
  <c r="N97" i="6"/>
  <c r="J98" i="6"/>
  <c r="W251" i="1"/>
  <c r="I55" i="6"/>
  <c r="X234" i="1"/>
  <c r="N129" i="6"/>
  <c r="O264" i="1"/>
  <c r="J58" i="6"/>
  <c r="Y237" i="1"/>
  <c r="K56" i="6"/>
  <c r="Z235" i="1"/>
  <c r="M56" i="6" s="1"/>
  <c r="I211" i="6"/>
  <c r="X288" i="1"/>
  <c r="G58" i="6"/>
  <c r="V237" i="1"/>
  <c r="Y239" i="1"/>
  <c r="J60" i="6"/>
  <c r="I136" i="6"/>
  <c r="V271" i="1"/>
  <c r="J135" i="6"/>
  <c r="T301" i="1"/>
  <c r="V301" i="1" s="1"/>
  <c r="X301" i="1" s="1"/>
  <c r="Z301" i="1" s="1"/>
  <c r="L45" i="6"/>
  <c r="S238" i="1"/>
  <c r="F59" i="6" s="1"/>
  <c r="K135" i="6"/>
  <c r="R270" i="1"/>
  <c r="G271" i="1"/>
  <c r="G136" i="6" s="1"/>
  <c r="E136" i="6"/>
  <c r="E102" i="6"/>
  <c r="G255" i="1"/>
  <c r="G102" i="6" s="1"/>
  <c r="G256" i="1"/>
  <c r="G103" i="6" s="1"/>
  <c r="E103" i="6"/>
  <c r="I279" i="1"/>
  <c r="J279" i="1"/>
  <c r="G283" i="1"/>
  <c r="G192" i="6" s="1"/>
  <c r="E192" i="6"/>
  <c r="F131" i="6"/>
  <c r="H266" i="1"/>
  <c r="H131" i="6" s="1"/>
  <c r="I102" i="6"/>
  <c r="V255" i="1"/>
  <c r="V256" i="1"/>
  <c r="I103" i="6"/>
  <c r="J137" i="6"/>
  <c r="W272" i="1"/>
  <c r="G15" i="1"/>
  <c r="C26" i="1" s="1"/>
  <c r="C25" i="1" s="1"/>
  <c r="D247" i="1" s="1"/>
  <c r="D94" i="6" s="1"/>
  <c r="B128" i="6"/>
  <c r="G263" i="1"/>
  <c r="G128" i="6" s="1"/>
  <c r="H263" i="1"/>
  <c r="H128" i="6" s="1"/>
  <c r="I98" i="6"/>
  <c r="V251" i="1"/>
  <c r="V269" i="1"/>
  <c r="I134" i="6"/>
  <c r="B53" i="6"/>
  <c r="X232" i="1"/>
  <c r="F26" i="6"/>
  <c r="J231" i="1"/>
  <c r="J294" i="1"/>
  <c r="W294" i="1" s="1"/>
  <c r="I294" i="1"/>
  <c r="V294" i="1" s="1"/>
  <c r="I231" i="1"/>
  <c r="J205" i="6"/>
  <c r="Y282" i="1"/>
  <c r="J136" i="6"/>
  <c r="W271" i="1"/>
  <c r="L61" i="6"/>
  <c r="AA240" i="1"/>
  <c r="N61" i="6" s="1"/>
  <c r="I135" i="6"/>
  <c r="U301" i="1"/>
  <c r="W301" i="1" s="1"/>
  <c r="Y301" i="1" s="1"/>
  <c r="AA301" i="1" s="1"/>
  <c r="E195" i="6"/>
  <c r="G286" i="1"/>
  <c r="G195" i="6" s="1"/>
  <c r="L101" i="6"/>
  <c r="S254" i="1"/>
  <c r="F115" i="6" s="1"/>
  <c r="G254" i="1"/>
  <c r="G101" i="6" s="1"/>
  <c r="E101" i="6"/>
  <c r="K45" i="6"/>
  <c r="R238" i="1"/>
  <c r="E59" i="6" s="1"/>
  <c r="G287" i="1"/>
  <c r="G196" i="6" s="1"/>
  <c r="E196" i="6"/>
  <c r="E137" i="6"/>
  <c r="G272" i="1"/>
  <c r="G137" i="6" s="1"/>
  <c r="N196" i="6"/>
  <c r="O287" i="1"/>
  <c r="B210" i="6" s="1"/>
  <c r="I210" i="6"/>
  <c r="N195" i="6"/>
  <c r="O286" i="1"/>
  <c r="B209" i="6" s="1"/>
  <c r="F42" i="6"/>
  <c r="H235" i="1"/>
  <c r="H42" i="6" s="1"/>
  <c r="F97" i="6"/>
  <c r="H250" i="1"/>
  <c r="H97" i="6" s="1"/>
  <c r="J101" i="6"/>
  <c r="W254" i="1"/>
  <c r="J103" i="6"/>
  <c r="W256" i="1"/>
  <c r="V272" i="1"/>
  <c r="I137" i="6"/>
  <c r="J145" i="6"/>
  <c r="Y266" i="1"/>
  <c r="J132" i="6"/>
  <c r="W267" i="1"/>
  <c r="I247" i="1"/>
  <c r="J247" i="1"/>
  <c r="I97" i="6"/>
  <c r="V250" i="1"/>
  <c r="J134" i="6"/>
  <c r="W269" i="1"/>
  <c r="N95" i="6"/>
  <c r="O248" i="1"/>
  <c r="I145" i="6"/>
  <c r="X266" i="1"/>
  <c r="J206" i="6"/>
  <c r="Y283" i="1"/>
  <c r="J210" i="6"/>
  <c r="K101" i="6"/>
  <c r="R254" i="1"/>
  <c r="E115" i="6" s="1"/>
  <c r="K195" i="6"/>
  <c r="R286" i="1"/>
  <c r="G288" i="1"/>
  <c r="G197" i="6" s="1"/>
  <c r="E197" i="6"/>
  <c r="N102" i="6"/>
  <c r="O255" i="1"/>
  <c r="B116" i="6" s="1"/>
  <c r="J100" i="6"/>
  <c r="W253" i="1"/>
  <c r="O270" i="1"/>
  <c r="B149" i="6" s="1"/>
  <c r="N135" i="6"/>
  <c r="K61" i="6"/>
  <c r="Z240" i="1"/>
  <c r="M61" i="6" s="1"/>
  <c r="G251" i="1"/>
  <c r="G98" i="6" s="1"/>
  <c r="E98" i="6"/>
  <c r="F191" i="6"/>
  <c r="H282" i="1"/>
  <c r="H191" i="6" s="1"/>
  <c r="H234" i="1"/>
  <c r="H41" i="6" s="1"/>
  <c r="F41" i="6"/>
  <c r="J102" i="6"/>
  <c r="W255" i="1"/>
  <c r="I205" i="6"/>
  <c r="X282" i="1"/>
  <c r="X238" i="1"/>
  <c r="I59" i="6"/>
  <c r="W285" i="1"/>
  <c r="O267" i="1"/>
  <c r="B146" i="6" s="1"/>
  <c r="N132" i="6"/>
  <c r="I263" i="1"/>
  <c r="J263" i="1"/>
  <c r="B94" i="6"/>
  <c r="G247" i="1"/>
  <c r="G94" i="6" s="1"/>
  <c r="H247" i="1"/>
  <c r="H94" i="6" s="1"/>
  <c r="B38" i="6"/>
  <c r="H279" i="1"/>
  <c r="H188" i="6" s="1"/>
  <c r="H231" i="1"/>
  <c r="G279" i="1"/>
  <c r="G188" i="6" s="1"/>
  <c r="G231" i="1"/>
  <c r="G38" i="6" s="1"/>
  <c r="C306" i="1"/>
  <c r="X239" i="1"/>
  <c r="I60" i="6"/>
  <c r="W250" i="1"/>
  <c r="J97" i="6"/>
  <c r="O251" i="1"/>
  <c r="B112" i="6" s="1"/>
  <c r="N98" i="6"/>
  <c r="N189" i="6"/>
  <c r="O280" i="1"/>
  <c r="AA235" i="1"/>
  <c r="N56" i="6" s="1"/>
  <c r="L56" i="6"/>
  <c r="J43" i="6"/>
  <c r="W236" i="1"/>
  <c r="J193" i="6"/>
  <c r="W284" i="1"/>
  <c r="I99" i="6"/>
  <c r="V252" i="1"/>
  <c r="J99" i="6"/>
  <c r="W252" i="1"/>
  <c r="J133" i="6"/>
  <c r="W268" i="1"/>
  <c r="R299" i="1"/>
  <c r="O299" i="1"/>
  <c r="Y299" i="1" s="1"/>
  <c r="AA299" i="1" s="1"/>
  <c r="S299" i="1"/>
  <c r="O236" i="1"/>
  <c r="B57" i="6" s="1"/>
  <c r="N252" i="1"/>
  <c r="N284" i="1"/>
  <c r="N43" i="6"/>
  <c r="N268" i="1"/>
  <c r="V268" i="1"/>
  <c r="I133" i="6"/>
  <c r="V236" i="1"/>
  <c r="I43" i="6"/>
  <c r="I193" i="6"/>
  <c r="V284" i="1"/>
  <c r="K144" i="6" l="1"/>
  <c r="Z265" i="1"/>
  <c r="M144" i="6" s="1"/>
  <c r="F383" i="11"/>
  <c r="B382" i="11" s="1"/>
  <c r="E383" i="11"/>
  <c r="I133" i="11"/>
  <c r="K125" i="11"/>
  <c r="K133" i="11" s="1"/>
  <c r="I124" i="11"/>
  <c r="C101" i="11"/>
  <c r="B383" i="11"/>
  <c r="D383" i="11" s="1"/>
  <c r="C311" i="11"/>
  <c r="L124" i="11"/>
  <c r="L132" i="11" s="1"/>
  <c r="J132" i="11"/>
  <c r="M124" i="11"/>
  <c r="D378" i="2"/>
  <c r="I208" i="6"/>
  <c r="D294" i="1"/>
  <c r="N294" i="1" s="1"/>
  <c r="S294" i="1" s="1"/>
  <c r="X287" i="1"/>
  <c r="K210" i="6" s="1"/>
  <c r="K204" i="6"/>
  <c r="Z281" i="1"/>
  <c r="M204" i="6" s="1"/>
  <c r="Y287" i="1"/>
  <c r="L210" i="6" s="1"/>
  <c r="C308" i="1"/>
  <c r="I127" i="2"/>
  <c r="K119" i="2"/>
  <c r="E324" i="1"/>
  <c r="E330" i="1"/>
  <c r="X280" i="1"/>
  <c r="B203" i="6"/>
  <c r="Y280" i="1"/>
  <c r="C336" i="1"/>
  <c r="C330" i="1"/>
  <c r="C342" i="1"/>
  <c r="C324" i="1"/>
  <c r="C307" i="1"/>
  <c r="K205" i="6"/>
  <c r="Z282" i="1"/>
  <c r="M205" i="6" s="1"/>
  <c r="E209" i="6"/>
  <c r="T286" i="1"/>
  <c r="X248" i="1"/>
  <c r="B109" i="6"/>
  <c r="Y248" i="1"/>
  <c r="X250" i="1"/>
  <c r="I111" i="6"/>
  <c r="J146" i="6"/>
  <c r="Y267" i="1"/>
  <c r="J115" i="6"/>
  <c r="Y254" i="1"/>
  <c r="Z287" i="1"/>
  <c r="M210" i="6" s="1"/>
  <c r="J38" i="6"/>
  <c r="W231" i="1"/>
  <c r="J151" i="6"/>
  <c r="Y272" i="1"/>
  <c r="I116" i="6"/>
  <c r="X255" i="1"/>
  <c r="L60" i="6"/>
  <c r="AA239" i="1"/>
  <c r="N60" i="6" s="1"/>
  <c r="I115" i="6"/>
  <c r="X254" i="1"/>
  <c r="L211" i="6"/>
  <c r="AA288" i="1"/>
  <c r="N211" i="6" s="1"/>
  <c r="X253" i="1"/>
  <c r="I114" i="6"/>
  <c r="U270" i="1"/>
  <c r="F149" i="6"/>
  <c r="U286" i="1"/>
  <c r="F209" i="6"/>
  <c r="J111" i="6"/>
  <c r="Y250" i="1"/>
  <c r="J128" i="6"/>
  <c r="W263" i="1"/>
  <c r="Y285" i="1"/>
  <c r="J208" i="6"/>
  <c r="N231" i="1"/>
  <c r="F15" i="6"/>
  <c r="D38" i="6"/>
  <c r="F31" i="6"/>
  <c r="I151" i="6"/>
  <c r="X272" i="1"/>
  <c r="J150" i="6"/>
  <c r="Y271" i="1"/>
  <c r="V231" i="1"/>
  <c r="F27" i="6"/>
  <c r="I38" i="6"/>
  <c r="X269" i="1"/>
  <c r="I148" i="6"/>
  <c r="Z285" i="1"/>
  <c r="M208" i="6" s="1"/>
  <c r="K208" i="6"/>
  <c r="I150" i="6"/>
  <c r="X271" i="1"/>
  <c r="X237" i="1"/>
  <c r="I58" i="6"/>
  <c r="X264" i="1"/>
  <c r="B143" i="6"/>
  <c r="Y264" i="1"/>
  <c r="J112" i="6"/>
  <c r="Y251" i="1"/>
  <c r="Z283" i="1"/>
  <c r="M206" i="6" s="1"/>
  <c r="K206" i="6"/>
  <c r="AA238" i="1"/>
  <c r="N59" i="6" s="1"/>
  <c r="L59" i="6"/>
  <c r="I128" i="6"/>
  <c r="V263" i="1"/>
  <c r="J116" i="6"/>
  <c r="Y255" i="1"/>
  <c r="Y253" i="1"/>
  <c r="J114" i="6"/>
  <c r="L206" i="6"/>
  <c r="AA283" i="1"/>
  <c r="N206" i="6" s="1"/>
  <c r="K145" i="6"/>
  <c r="Z266" i="1"/>
  <c r="M145" i="6" s="1"/>
  <c r="Y269" i="1"/>
  <c r="J148" i="6"/>
  <c r="W247" i="1"/>
  <c r="J94" i="6"/>
  <c r="AA266" i="1"/>
  <c r="N145" i="6" s="1"/>
  <c r="L145" i="6"/>
  <c r="J117" i="6"/>
  <c r="Y256" i="1"/>
  <c r="K53" i="6"/>
  <c r="Z232" i="1"/>
  <c r="M53" i="6" s="1"/>
  <c r="X251" i="1"/>
  <c r="I112" i="6"/>
  <c r="W279" i="1"/>
  <c r="J188" i="6"/>
  <c r="T270" i="1"/>
  <c r="E149" i="6"/>
  <c r="I146" i="6"/>
  <c r="X267" i="1"/>
  <c r="AA234" i="1"/>
  <c r="N55" i="6" s="1"/>
  <c r="L55" i="6"/>
  <c r="K60" i="6"/>
  <c r="Z239" i="1"/>
  <c r="M60" i="6" s="1"/>
  <c r="H38" i="6"/>
  <c r="C309" i="1"/>
  <c r="K59" i="6"/>
  <c r="Z238" i="1"/>
  <c r="M59" i="6" s="1"/>
  <c r="I94" i="6"/>
  <c r="V247" i="1"/>
  <c r="L205" i="6"/>
  <c r="AA282" i="1"/>
  <c r="N205" i="6" s="1"/>
  <c r="I117" i="6"/>
  <c r="X256" i="1"/>
  <c r="I188" i="6"/>
  <c r="V279" i="1"/>
  <c r="Z288" i="1"/>
  <c r="M211" i="6" s="1"/>
  <c r="K211" i="6"/>
  <c r="AA237" i="1"/>
  <c r="N58" i="6" s="1"/>
  <c r="L58" i="6"/>
  <c r="Z234" i="1"/>
  <c r="M55" i="6" s="1"/>
  <c r="K55" i="6"/>
  <c r="X299" i="1"/>
  <c r="Z299" i="1" s="1"/>
  <c r="I147" i="6"/>
  <c r="N99" i="6"/>
  <c r="O252" i="1"/>
  <c r="B113" i="6" s="1"/>
  <c r="I113" i="6"/>
  <c r="J57" i="6"/>
  <c r="Y236" i="1"/>
  <c r="I57" i="6"/>
  <c r="X236" i="1"/>
  <c r="J147" i="6"/>
  <c r="J207" i="6"/>
  <c r="J113" i="6"/>
  <c r="O268" i="1"/>
  <c r="B147" i="6" s="1"/>
  <c r="N133" i="6"/>
  <c r="I207" i="6"/>
  <c r="N193" i="6"/>
  <c r="O284" i="1"/>
  <c r="B207" i="6" s="1"/>
  <c r="K124" i="11" l="1"/>
  <c r="K132" i="11" s="1"/>
  <c r="I132" i="11"/>
  <c r="M132" i="11"/>
  <c r="I123" i="11"/>
  <c r="R294" i="1"/>
  <c r="O294" i="1"/>
  <c r="Y294" i="1" s="1"/>
  <c r="AA294" i="1" s="1"/>
  <c r="C382" i="11"/>
  <c r="E382" i="11" s="1"/>
  <c r="D382" i="11"/>
  <c r="AA287" i="1"/>
  <c r="N210" i="6" s="1"/>
  <c r="K127" i="2"/>
  <c r="I118" i="2"/>
  <c r="E367" i="1"/>
  <c r="C42" i="5"/>
  <c r="E362" i="1"/>
  <c r="C41" i="8"/>
  <c r="J202" i="6"/>
  <c r="AA255" i="1"/>
  <c r="N116" i="6" s="1"/>
  <c r="L116" i="6"/>
  <c r="AA251" i="1"/>
  <c r="N112" i="6" s="1"/>
  <c r="L112" i="6"/>
  <c r="K143" i="6"/>
  <c r="Z264" i="1"/>
  <c r="M143" i="6" s="1"/>
  <c r="Z269" i="1"/>
  <c r="M148" i="6" s="1"/>
  <c r="K148" i="6"/>
  <c r="L150" i="6"/>
  <c r="AA271" i="1"/>
  <c r="N150" i="6" s="1"/>
  <c r="AA250" i="1"/>
  <c r="N111" i="6" s="1"/>
  <c r="L111" i="6"/>
  <c r="L151" i="6"/>
  <c r="AA272" i="1"/>
  <c r="N151" i="6" s="1"/>
  <c r="L146" i="6"/>
  <c r="AA267" i="1"/>
  <c r="N146" i="6" s="1"/>
  <c r="L109" i="6"/>
  <c r="AA248" i="1"/>
  <c r="N109" i="6" s="1"/>
  <c r="G209" i="6"/>
  <c r="V286" i="1"/>
  <c r="F336" i="1"/>
  <c r="F154" i="6" s="1"/>
  <c r="G336" i="1"/>
  <c r="G154" i="6" s="1"/>
  <c r="Y252" i="1"/>
  <c r="AA252" i="1" s="1"/>
  <c r="Z256" i="1"/>
  <c r="M117" i="6" s="1"/>
  <c r="K117" i="6"/>
  <c r="AA269" i="1"/>
  <c r="N148" i="6" s="1"/>
  <c r="L148" i="6"/>
  <c r="AA285" i="1"/>
  <c r="N208" i="6" s="1"/>
  <c r="L208" i="6"/>
  <c r="H149" i="6"/>
  <c r="W270" i="1"/>
  <c r="C362" i="1"/>
  <c r="C43" i="5"/>
  <c r="F324" i="1"/>
  <c r="G324" i="1"/>
  <c r="G76" i="6" s="1"/>
  <c r="C42" i="8"/>
  <c r="C367" i="1"/>
  <c r="AA280" i="1"/>
  <c r="N203" i="6" s="1"/>
  <c r="L203" i="6"/>
  <c r="I108" i="6"/>
  <c r="C326" i="1"/>
  <c r="C344" i="1"/>
  <c r="C338" i="1"/>
  <c r="C332" i="1"/>
  <c r="G149" i="6"/>
  <c r="V270" i="1"/>
  <c r="K112" i="6"/>
  <c r="Z251" i="1"/>
  <c r="M112" i="6" s="1"/>
  <c r="L117" i="6"/>
  <c r="AA256" i="1"/>
  <c r="N117" i="6" s="1"/>
  <c r="I142" i="6"/>
  <c r="L143" i="6"/>
  <c r="AA264" i="1"/>
  <c r="N143" i="6" s="1"/>
  <c r="Z237" i="1"/>
  <c r="M58" i="6" s="1"/>
  <c r="K58" i="6"/>
  <c r="K151" i="6"/>
  <c r="Z272" i="1"/>
  <c r="M151" i="6" s="1"/>
  <c r="J142" i="6"/>
  <c r="K115" i="6"/>
  <c r="Z254" i="1"/>
  <c r="M115" i="6" s="1"/>
  <c r="Z255" i="1"/>
  <c r="M116" i="6" s="1"/>
  <c r="K116" i="6"/>
  <c r="J52" i="6"/>
  <c r="AA254" i="1"/>
  <c r="N115" i="6" s="1"/>
  <c r="L115" i="6"/>
  <c r="K109" i="6"/>
  <c r="Z248" i="1"/>
  <c r="M109" i="6" s="1"/>
  <c r="F342" i="1"/>
  <c r="F214" i="6" s="1"/>
  <c r="G342" i="1"/>
  <c r="G214" i="6" s="1"/>
  <c r="I202" i="6"/>
  <c r="K146" i="6"/>
  <c r="Z267" i="1"/>
  <c r="M146" i="6" s="1"/>
  <c r="J108" i="6"/>
  <c r="AA253" i="1"/>
  <c r="N114" i="6" s="1"/>
  <c r="L114" i="6"/>
  <c r="K150" i="6"/>
  <c r="Z271" i="1"/>
  <c r="M150" i="6" s="1"/>
  <c r="I52" i="6"/>
  <c r="N247" i="1"/>
  <c r="O231" i="1"/>
  <c r="Y231" i="1" s="1"/>
  <c r="N263" i="1"/>
  <c r="N279" i="1"/>
  <c r="N38" i="6"/>
  <c r="F16" i="6"/>
  <c r="H209" i="6"/>
  <c r="W286" i="1"/>
  <c r="Z253" i="1"/>
  <c r="M114" i="6" s="1"/>
  <c r="K114" i="6"/>
  <c r="K111" i="6"/>
  <c r="Z250" i="1"/>
  <c r="M111" i="6" s="1"/>
  <c r="G330" i="1"/>
  <c r="G120" i="6" s="1"/>
  <c r="F330" i="1"/>
  <c r="F120" i="6" s="1"/>
  <c r="Z280" i="1"/>
  <c r="M203" i="6" s="1"/>
  <c r="K203" i="6"/>
  <c r="X284" i="1"/>
  <c r="Z284" i="1" s="1"/>
  <c r="Y268" i="1"/>
  <c r="AA268" i="1" s="1"/>
  <c r="L57" i="6"/>
  <c r="AA236" i="1"/>
  <c r="Y284" i="1"/>
  <c r="K57" i="6"/>
  <c r="Z236" i="1"/>
  <c r="X268" i="1"/>
  <c r="X252" i="1"/>
  <c r="I131" i="11" l="1"/>
  <c r="K123" i="11"/>
  <c r="K131" i="11" s="1"/>
  <c r="J123" i="11"/>
  <c r="X294" i="1"/>
  <c r="Z294" i="1" s="1"/>
  <c r="C1" i="11"/>
  <c r="C34" i="11" s="1"/>
  <c r="C38" i="11" s="1"/>
  <c r="C39" i="11" s="1"/>
  <c r="D39" i="11" s="1"/>
  <c r="L113" i="6"/>
  <c r="C44" i="5"/>
  <c r="L147" i="6"/>
  <c r="I126" i="2"/>
  <c r="J118" i="2"/>
  <c r="K118" i="2"/>
  <c r="K126" i="2" s="1"/>
  <c r="K207" i="6"/>
  <c r="F30" i="6"/>
  <c r="AA231" i="1"/>
  <c r="C316" i="1" s="1"/>
  <c r="E326" i="1" s="1"/>
  <c r="L52" i="6"/>
  <c r="C315" i="1"/>
  <c r="E325" i="1" s="1"/>
  <c r="E368" i="1" s="1"/>
  <c r="O263" i="1"/>
  <c r="N128" i="6"/>
  <c r="X231" i="1"/>
  <c r="Q312" i="1" s="1"/>
  <c r="C369" i="1"/>
  <c r="C364" i="1"/>
  <c r="C1" i="2"/>
  <c r="C30" i="2" s="1"/>
  <c r="C34" i="2" s="1"/>
  <c r="C35" i="2" s="1"/>
  <c r="D35" i="2" s="1"/>
  <c r="C18" i="5"/>
  <c r="F76" i="6"/>
  <c r="C1" i="5"/>
  <c r="C1" i="8"/>
  <c r="I149" i="6"/>
  <c r="X270" i="1"/>
  <c r="F367" i="1"/>
  <c r="G367" i="1"/>
  <c r="B52" i="6"/>
  <c r="F28" i="6"/>
  <c r="N94" i="6"/>
  <c r="O247" i="1"/>
  <c r="G362" i="1"/>
  <c r="F362" i="1"/>
  <c r="I209" i="6"/>
  <c r="X286" i="1"/>
  <c r="J209" i="6"/>
  <c r="Y286" i="1"/>
  <c r="N188" i="6"/>
  <c r="O279" i="1"/>
  <c r="Y270" i="1"/>
  <c r="J149" i="6"/>
  <c r="N113" i="6"/>
  <c r="K113" i="6"/>
  <c r="Z252" i="1"/>
  <c r="K147" i="6"/>
  <c r="Z268" i="1"/>
  <c r="M57" i="6"/>
  <c r="M207" i="6"/>
  <c r="N57" i="6"/>
  <c r="L207" i="6"/>
  <c r="AA284" i="1"/>
  <c r="N147" i="6"/>
  <c r="L123" i="11" l="1"/>
  <c r="L131" i="11" s="1"/>
  <c r="J131" i="11"/>
  <c r="W9" i="1"/>
  <c r="C25" i="11" s="1"/>
  <c r="M10" i="1"/>
  <c r="E363" i="1"/>
  <c r="L118" i="2"/>
  <c r="L126" i="2" s="1"/>
  <c r="J126" i="2"/>
  <c r="L209" i="6"/>
  <c r="AA286" i="1"/>
  <c r="N209" i="6" s="1"/>
  <c r="K149" i="6"/>
  <c r="Z270" i="1"/>
  <c r="M149" i="6" s="1"/>
  <c r="L149" i="6"/>
  <c r="AA270" i="1"/>
  <c r="N149" i="6" s="1"/>
  <c r="K52" i="6"/>
  <c r="F29" i="6"/>
  <c r="Z231" i="1"/>
  <c r="C311" i="1"/>
  <c r="D325" i="1" s="1"/>
  <c r="B202" i="6"/>
  <c r="Y279" i="1"/>
  <c r="X279" i="1"/>
  <c r="B108" i="6"/>
  <c r="X247" i="1"/>
  <c r="Y247" i="1"/>
  <c r="N52" i="6"/>
  <c r="F33" i="6"/>
  <c r="K209" i="6"/>
  <c r="Z286" i="1"/>
  <c r="M209" i="6" s="1"/>
  <c r="C99" i="5"/>
  <c r="C117" i="5"/>
  <c r="C63" i="5"/>
  <c r="C81" i="5"/>
  <c r="B142" i="6"/>
  <c r="X263" i="1"/>
  <c r="Y263" i="1"/>
  <c r="N207" i="6"/>
  <c r="E364" i="1"/>
  <c r="E369" i="1"/>
  <c r="M147" i="6"/>
  <c r="M113" i="6"/>
  <c r="Z263" i="1" l="1"/>
  <c r="K142" i="6"/>
  <c r="E311" i="1"/>
  <c r="D337" i="1" s="1"/>
  <c r="K202" i="6"/>
  <c r="Z279" i="1"/>
  <c r="F311" i="1"/>
  <c r="D343" i="1" s="1"/>
  <c r="L108" i="6"/>
  <c r="AA247" i="1"/>
  <c r="D315" i="1"/>
  <c r="E331" i="1" s="1"/>
  <c r="L202" i="6"/>
  <c r="AA279" i="1"/>
  <c r="F315" i="1"/>
  <c r="E343" i="1" s="1"/>
  <c r="G325" i="1"/>
  <c r="G77" i="6" s="1"/>
  <c r="D368" i="1"/>
  <c r="D363" i="1"/>
  <c r="F325" i="1"/>
  <c r="L142" i="6"/>
  <c r="AA263" i="1"/>
  <c r="E315" i="1"/>
  <c r="E337" i="1" s="1"/>
  <c r="Z247" i="1"/>
  <c r="K108" i="6"/>
  <c r="D311" i="1"/>
  <c r="D331" i="1" s="1"/>
  <c r="M52" i="6"/>
  <c r="F32" i="6"/>
  <c r="C312" i="1"/>
  <c r="D326" i="1" s="1"/>
  <c r="C4" i="11" l="1"/>
  <c r="C439" i="11" s="1"/>
  <c r="D439" i="11" s="1"/>
  <c r="F343" i="1"/>
  <c r="C119" i="5" s="1"/>
  <c r="M108" i="6"/>
  <c r="D312" i="1"/>
  <c r="D332" i="1" s="1"/>
  <c r="C4" i="5"/>
  <c r="C65" i="5" s="1"/>
  <c r="W8" i="1"/>
  <c r="C21" i="11" s="1"/>
  <c r="C22" i="5"/>
  <c r="F77" i="6"/>
  <c r="C4" i="2"/>
  <c r="C435" i="2" s="1"/>
  <c r="D435" i="2" s="1"/>
  <c r="C4" i="8"/>
  <c r="N108" i="6"/>
  <c r="D316" i="1"/>
  <c r="E332" i="1" s="1"/>
  <c r="G363" i="1"/>
  <c r="F363" i="1"/>
  <c r="N202" i="6"/>
  <c r="F316" i="1"/>
  <c r="E344" i="1" s="1"/>
  <c r="F337" i="1"/>
  <c r="G337" i="1"/>
  <c r="G155" i="6" s="1"/>
  <c r="G331" i="1"/>
  <c r="G121" i="6" s="1"/>
  <c r="F331" i="1"/>
  <c r="N142" i="6"/>
  <c r="E316" i="1"/>
  <c r="E338" i="1" s="1"/>
  <c r="G368" i="1"/>
  <c r="F368" i="1"/>
  <c r="G343" i="1"/>
  <c r="G215" i="6" s="1"/>
  <c r="D364" i="1"/>
  <c r="G326" i="1"/>
  <c r="G78" i="6" s="1"/>
  <c r="F326" i="1"/>
  <c r="D369" i="1"/>
  <c r="M202" i="6"/>
  <c r="F312" i="1"/>
  <c r="D344" i="1" s="1"/>
  <c r="M142" i="6"/>
  <c r="E312" i="1"/>
  <c r="D338" i="1" s="1"/>
  <c r="C2" i="11" l="1"/>
  <c r="C3" i="11" s="1"/>
  <c r="F215" i="6"/>
  <c r="F344" i="1"/>
  <c r="F216" i="6" s="1"/>
  <c r="W11" i="1"/>
  <c r="C2" i="2"/>
  <c r="C19" i="5"/>
  <c r="C21" i="5" s="1"/>
  <c r="C2" i="5"/>
  <c r="C3" i="5" s="1"/>
  <c r="F78" i="6"/>
  <c r="C2" i="8"/>
  <c r="C3" i="8" s="1"/>
  <c r="F121" i="6"/>
  <c r="C83" i="5"/>
  <c r="G344" i="1"/>
  <c r="G216" i="6" s="1"/>
  <c r="W10" i="1"/>
  <c r="W14" i="1"/>
  <c r="C27" i="11" s="1"/>
  <c r="C30" i="11" s="1"/>
  <c r="F364" i="1"/>
  <c r="G364" i="1"/>
  <c r="F332" i="1"/>
  <c r="G332" i="1"/>
  <c r="G122" i="6" s="1"/>
  <c r="F338" i="1"/>
  <c r="G338" i="1"/>
  <c r="G156" i="6" s="1"/>
  <c r="G369" i="1"/>
  <c r="F369" i="1"/>
  <c r="C372" i="1" s="1"/>
  <c r="F155" i="6"/>
  <c r="C101" i="5"/>
  <c r="W17" i="1" l="1"/>
  <c r="C31" i="11" s="1"/>
  <c r="C118" i="5"/>
  <c r="C120" i="5" s="1"/>
  <c r="W22" i="1"/>
  <c r="K18" i="5"/>
  <c r="K19" i="5" s="1"/>
  <c r="C64" i="5"/>
  <c r="C66" i="5" s="1"/>
  <c r="V19" i="5"/>
  <c r="V21" i="5" s="1"/>
  <c r="C21" i="2"/>
  <c r="C3" i="2"/>
  <c r="C100" i="5"/>
  <c r="C102" i="5" s="1"/>
  <c r="F156" i="6"/>
  <c r="F122" i="6"/>
  <c r="C82" i="5"/>
  <c r="C84" i="5" s="1"/>
  <c r="C26" i="2" l="1"/>
  <c r="C27" i="2" s="1"/>
</calcChain>
</file>

<file path=xl/sharedStrings.xml><?xml version="1.0" encoding="utf-8"?>
<sst xmlns="http://schemas.openxmlformats.org/spreadsheetml/2006/main" count="4077" uniqueCount="1066">
  <si>
    <t>ft</t>
  </si>
  <si>
    <t>b</t>
  </si>
  <si>
    <t>h</t>
  </si>
  <si>
    <t>P</t>
  </si>
  <si>
    <t>A</t>
  </si>
  <si>
    <t>psf/ft</t>
  </si>
  <si>
    <t>psf</t>
  </si>
  <si>
    <t>lb</t>
  </si>
  <si>
    <t>V</t>
  </si>
  <si>
    <t>G</t>
  </si>
  <si>
    <t>Basic wind speed</t>
  </si>
  <si>
    <t>Gust factor</t>
  </si>
  <si>
    <t>Importance factor</t>
  </si>
  <si>
    <t>mph</t>
  </si>
  <si>
    <t>α</t>
  </si>
  <si>
    <t>N</t>
  </si>
  <si>
    <t>Projected luminaire length</t>
  </si>
  <si>
    <t>Total height</t>
  </si>
  <si>
    <t>Pole height</t>
  </si>
  <si>
    <t>Luminaire rise</t>
  </si>
  <si>
    <t>M</t>
  </si>
  <si>
    <t>in</t>
  </si>
  <si>
    <t>-</t>
  </si>
  <si>
    <t>psi</t>
  </si>
  <si>
    <t>Pole thickness</t>
  </si>
  <si>
    <t>pcf</t>
  </si>
  <si>
    <t>Pole cross-sectional area</t>
  </si>
  <si>
    <t>Base Plate</t>
  </si>
  <si>
    <t>Pole</t>
  </si>
  <si>
    <t>Pole outer diameter at top</t>
  </si>
  <si>
    <t>Pole outer diameter at base</t>
  </si>
  <si>
    <t>Mast arm outer diameter</t>
  </si>
  <si>
    <t>Mast arm thickness</t>
  </si>
  <si>
    <t>Mast arm cross-sectional area</t>
  </si>
  <si>
    <t>Mast arm weight</t>
  </si>
  <si>
    <t>Material Properties</t>
  </si>
  <si>
    <t>Pole wind area centroid x</t>
  </si>
  <si>
    <t>Steel density</t>
  </si>
  <si>
    <t>Pole steel yield strength</t>
  </si>
  <si>
    <t>Anchor bolt steel yield strength</t>
  </si>
  <si>
    <t>Steel yield strength</t>
  </si>
  <si>
    <t>IBC 2015, Table 1806.2, Presumptive Load-Bearing Values</t>
  </si>
  <si>
    <t>RC Pile</t>
  </si>
  <si>
    <t>Pile diameter</t>
  </si>
  <si>
    <t>Pile gross section area</t>
  </si>
  <si>
    <t>Pile weight</t>
  </si>
  <si>
    <t>Pile embedment depth</t>
  </si>
  <si>
    <t>Mast arm wind area centroid x</t>
  </si>
  <si>
    <t>Mast arm wind area centroid z</t>
  </si>
  <si>
    <t>DL</t>
  </si>
  <si>
    <t>Total normal wind shear</t>
  </si>
  <si>
    <t>Total normal wind moment</t>
  </si>
  <si>
    <t>Total transverse wind moment</t>
  </si>
  <si>
    <t>Mast arm length</t>
  </si>
  <si>
    <t>Mast arm angle</t>
  </si>
  <si>
    <t>θ</t>
  </si>
  <si>
    <t>°</t>
  </si>
  <si>
    <t>rad</t>
  </si>
  <si>
    <t>Transverse wind compression</t>
  </si>
  <si>
    <t>Load Patterns</t>
  </si>
  <si>
    <t>Load Case 1</t>
  </si>
  <si>
    <t>Load Case 2</t>
  </si>
  <si>
    <t>z</t>
  </si>
  <si>
    <t>d</t>
  </si>
  <si>
    <t>ASD Moment Demand</t>
  </si>
  <si>
    <t>ASD Shear Demand</t>
  </si>
  <si>
    <t>ASD Axial Demand</t>
  </si>
  <si>
    <t>AASHTO Load Factor Design, 17th Edition</t>
  </si>
  <si>
    <t>Load Factor</t>
  </si>
  <si>
    <t>γ</t>
  </si>
  <si>
    <t>(max moment, min axial)</t>
  </si>
  <si>
    <t>(min. moment, max axial)</t>
  </si>
  <si>
    <t>Dead load factor coefficient</t>
  </si>
  <si>
    <t>Wind load factor coefficient</t>
  </si>
  <si>
    <t>LRFD Axial Demand</t>
  </si>
  <si>
    <t>LRFD Shear Demand</t>
  </si>
  <si>
    <t>Load Case 1 (Max. Moment)</t>
  </si>
  <si>
    <t>Load Case 1 (Max. Axial)</t>
  </si>
  <si>
    <t>Load Case 2 (Max. Moment)</t>
  </si>
  <si>
    <t>Load Case 2 (Max. Axial)</t>
  </si>
  <si>
    <t>Max Moment</t>
  </si>
  <si>
    <t>Max Axial</t>
  </si>
  <si>
    <t>Structure dead load</t>
  </si>
  <si>
    <t>Structure dead load with CIDH</t>
  </si>
  <si>
    <t>Group II load factors</t>
  </si>
  <si>
    <t>Dead</t>
  </si>
  <si>
    <t>Normal Wind</t>
  </si>
  <si>
    <t>Group II factored loads:</t>
  </si>
  <si>
    <t>(50 yr return period)</t>
  </si>
  <si>
    <t>Area</t>
  </si>
  <si>
    <t>centroid</t>
  </si>
  <si>
    <t>e</t>
  </si>
  <si>
    <t>2'-6" dia. pile rebar size</t>
  </si>
  <si>
    <t>2'-6" pile diameter</t>
  </si>
  <si>
    <t>Load eccentricity</t>
  </si>
  <si>
    <t>β</t>
  </si>
  <si>
    <t>Design max. axial load capacity</t>
  </si>
  <si>
    <t>kip</t>
  </si>
  <si>
    <t>Gross pile concrete area</t>
  </si>
  <si>
    <t>Concrete core area</t>
  </si>
  <si>
    <t>Concrete core diameter</t>
  </si>
  <si>
    <t>λ</t>
  </si>
  <si>
    <r>
      <t xml:space="preserve">lateral </t>
    </r>
    <r>
      <rPr>
        <i/>
        <sz val="11"/>
        <color theme="1"/>
        <rFont val="Arial"/>
        <family val="2"/>
      </rPr>
      <t>BP</t>
    </r>
    <r>
      <rPr>
        <i/>
        <vertAlign val="subscript"/>
        <sz val="11"/>
        <color theme="1"/>
        <rFont val="Arial"/>
        <family val="2"/>
      </rPr>
      <t>allow</t>
    </r>
  </si>
  <si>
    <r>
      <t>w</t>
    </r>
    <r>
      <rPr>
        <i/>
        <vertAlign val="subscript"/>
        <sz val="11"/>
        <color theme="1"/>
        <rFont val="Arial"/>
        <family val="2"/>
      </rPr>
      <t>steel</t>
    </r>
  </si>
  <si>
    <r>
      <t>z</t>
    </r>
    <r>
      <rPr>
        <i/>
        <vertAlign val="subscript"/>
        <sz val="11"/>
        <color theme="1"/>
        <rFont val="Arial"/>
        <family val="2"/>
      </rPr>
      <t>g</t>
    </r>
  </si>
  <si>
    <r>
      <t>f</t>
    </r>
    <r>
      <rPr>
        <i/>
        <vertAlign val="subscript"/>
        <sz val="11"/>
        <color theme="1"/>
        <rFont val="Arial"/>
        <family val="2"/>
      </rPr>
      <t>y,pole</t>
    </r>
  </si>
  <si>
    <r>
      <t>f</t>
    </r>
    <r>
      <rPr>
        <i/>
        <vertAlign val="subscript"/>
        <sz val="11"/>
        <color theme="1"/>
        <rFont val="Arial"/>
        <family val="2"/>
      </rPr>
      <t>y,bolt</t>
    </r>
  </si>
  <si>
    <r>
      <t>K</t>
    </r>
    <r>
      <rPr>
        <i/>
        <vertAlign val="subscript"/>
        <sz val="11"/>
        <color theme="1"/>
        <rFont val="Arial"/>
        <family val="2"/>
      </rPr>
      <t>z</t>
    </r>
  </si>
  <si>
    <r>
      <t>f</t>
    </r>
    <r>
      <rPr>
        <i/>
        <vertAlign val="subscript"/>
        <sz val="11"/>
        <color theme="1"/>
        <rFont val="Arial"/>
        <family val="2"/>
      </rPr>
      <t>y</t>
    </r>
  </si>
  <si>
    <r>
      <t>f'</t>
    </r>
    <r>
      <rPr>
        <i/>
        <vertAlign val="subscript"/>
        <sz val="11"/>
        <color theme="1"/>
        <rFont val="Arial"/>
        <family val="2"/>
      </rPr>
      <t>c</t>
    </r>
  </si>
  <si>
    <r>
      <t>I</t>
    </r>
    <r>
      <rPr>
        <i/>
        <vertAlign val="subscript"/>
        <sz val="11"/>
        <color theme="1"/>
        <rFont val="Arial"/>
        <family val="2"/>
      </rPr>
      <t>r</t>
    </r>
  </si>
  <si>
    <r>
      <t>w</t>
    </r>
    <r>
      <rPr>
        <i/>
        <vertAlign val="subscript"/>
        <sz val="11"/>
        <color theme="1"/>
        <rFont val="Arial"/>
        <family val="2"/>
      </rPr>
      <t>c</t>
    </r>
  </si>
  <si>
    <r>
      <t>S</t>
    </r>
    <r>
      <rPr>
        <i/>
        <vertAlign val="subscript"/>
        <sz val="11"/>
        <color theme="1"/>
        <rFont val="Arial"/>
        <family val="2"/>
      </rPr>
      <t>1</t>
    </r>
  </si>
  <si>
    <r>
      <t>C</t>
    </r>
    <r>
      <rPr>
        <i/>
        <vertAlign val="subscript"/>
        <sz val="11"/>
        <color theme="1"/>
        <rFont val="Arial"/>
        <family val="2"/>
      </rPr>
      <t>v</t>
    </r>
  </si>
  <si>
    <r>
      <t>f</t>
    </r>
    <r>
      <rPr>
        <i/>
        <vertAlign val="subscript"/>
        <sz val="11"/>
        <color theme="1"/>
        <rFont val="Arial"/>
        <family val="2"/>
      </rPr>
      <t>y,CIDH</t>
    </r>
  </si>
  <si>
    <r>
      <t>d</t>
    </r>
    <r>
      <rPr>
        <i/>
        <vertAlign val="subscript"/>
        <sz val="11"/>
        <color theme="1"/>
        <rFont val="Arial"/>
        <family val="2"/>
      </rPr>
      <t>test</t>
    </r>
  </si>
  <si>
    <r>
      <t>OD</t>
    </r>
    <r>
      <rPr>
        <i/>
        <vertAlign val="subscript"/>
        <sz val="11"/>
        <color theme="1"/>
        <rFont val="Arial"/>
        <family val="2"/>
      </rPr>
      <t>pole</t>
    </r>
  </si>
  <si>
    <r>
      <t>d</t>
    </r>
    <r>
      <rPr>
        <i/>
        <vertAlign val="subscript"/>
        <sz val="11"/>
        <color theme="1"/>
        <rFont val="Arial"/>
        <family val="2"/>
      </rPr>
      <t>res</t>
    </r>
  </si>
  <si>
    <r>
      <t>t</t>
    </r>
    <r>
      <rPr>
        <i/>
        <vertAlign val="subscript"/>
        <sz val="11"/>
        <color theme="1"/>
        <rFont val="Arial"/>
        <family val="2"/>
      </rPr>
      <t>pole</t>
    </r>
  </si>
  <si>
    <r>
      <t>A</t>
    </r>
    <r>
      <rPr>
        <i/>
        <vertAlign val="subscript"/>
        <sz val="11"/>
        <color theme="1"/>
        <rFont val="Arial"/>
        <family val="2"/>
      </rPr>
      <t>pole</t>
    </r>
  </si>
  <si>
    <r>
      <t>in</t>
    </r>
    <r>
      <rPr>
        <vertAlign val="superscript"/>
        <sz val="11"/>
        <color theme="1"/>
        <rFont val="Arial"/>
        <family val="2"/>
      </rPr>
      <t>2</t>
    </r>
  </si>
  <si>
    <r>
      <t>ft</t>
    </r>
    <r>
      <rPr>
        <vertAlign val="superscript"/>
        <sz val="11"/>
        <color theme="1"/>
        <rFont val="Arial"/>
        <family val="2"/>
      </rPr>
      <t>2</t>
    </r>
  </si>
  <si>
    <r>
      <t>A</t>
    </r>
    <r>
      <rPr>
        <i/>
        <vertAlign val="subscript"/>
        <sz val="11"/>
        <color theme="1"/>
        <rFont val="Arial"/>
        <family val="2"/>
      </rPr>
      <t>pole,w</t>
    </r>
  </si>
  <si>
    <r>
      <t>x</t>
    </r>
    <r>
      <rPr>
        <i/>
        <vertAlign val="subscript"/>
        <sz val="11"/>
        <color theme="1"/>
        <rFont val="Arial"/>
        <family val="2"/>
      </rPr>
      <t>pole</t>
    </r>
  </si>
  <si>
    <r>
      <t>z</t>
    </r>
    <r>
      <rPr>
        <i/>
        <vertAlign val="subscript"/>
        <sz val="11"/>
        <color theme="1"/>
        <rFont val="Arial"/>
        <family val="2"/>
      </rPr>
      <t>pole</t>
    </r>
  </si>
  <si>
    <r>
      <t>DL</t>
    </r>
    <r>
      <rPr>
        <i/>
        <vertAlign val="subscript"/>
        <sz val="11"/>
        <color theme="1"/>
        <rFont val="Arial"/>
        <family val="2"/>
      </rPr>
      <t>pole</t>
    </r>
  </si>
  <si>
    <r>
      <t>b</t>
    </r>
    <r>
      <rPr>
        <i/>
        <vertAlign val="subscript"/>
        <sz val="11"/>
        <color theme="1"/>
        <rFont val="Arial"/>
        <family val="2"/>
      </rPr>
      <t>base</t>
    </r>
  </si>
  <si>
    <r>
      <t>t</t>
    </r>
    <r>
      <rPr>
        <i/>
        <vertAlign val="subscript"/>
        <sz val="11"/>
        <color theme="1"/>
        <rFont val="Arial"/>
        <family val="2"/>
      </rPr>
      <t>base</t>
    </r>
  </si>
  <si>
    <r>
      <t>DL</t>
    </r>
    <r>
      <rPr>
        <i/>
        <vertAlign val="subscript"/>
        <sz val="11"/>
        <color theme="1"/>
        <rFont val="Arial"/>
        <family val="2"/>
      </rPr>
      <t>base</t>
    </r>
  </si>
  <si>
    <r>
      <t>L</t>
    </r>
    <r>
      <rPr>
        <i/>
        <vertAlign val="subscript"/>
        <sz val="11"/>
        <color theme="1"/>
        <rFont val="Arial"/>
        <family val="2"/>
      </rPr>
      <t>arm</t>
    </r>
  </si>
  <si>
    <r>
      <t>OD</t>
    </r>
    <r>
      <rPr>
        <i/>
        <vertAlign val="subscript"/>
        <sz val="11"/>
        <color theme="1"/>
        <rFont val="Arial"/>
        <family val="2"/>
      </rPr>
      <t>arm</t>
    </r>
  </si>
  <si>
    <r>
      <t>t</t>
    </r>
    <r>
      <rPr>
        <i/>
        <vertAlign val="subscript"/>
        <sz val="11"/>
        <color theme="1"/>
        <rFont val="Arial"/>
        <family val="2"/>
      </rPr>
      <t>arm</t>
    </r>
  </si>
  <si>
    <r>
      <t>A</t>
    </r>
    <r>
      <rPr>
        <i/>
        <vertAlign val="subscript"/>
        <sz val="11"/>
        <color theme="1"/>
        <rFont val="Arial"/>
        <family val="2"/>
      </rPr>
      <t>arm</t>
    </r>
  </si>
  <si>
    <r>
      <t>A</t>
    </r>
    <r>
      <rPr>
        <i/>
        <vertAlign val="subscript"/>
        <sz val="11"/>
        <color theme="1"/>
        <rFont val="Arial"/>
        <family val="2"/>
      </rPr>
      <t>arm,w</t>
    </r>
  </si>
  <si>
    <r>
      <t>x</t>
    </r>
    <r>
      <rPr>
        <i/>
        <vertAlign val="subscript"/>
        <sz val="11"/>
        <color theme="1"/>
        <rFont val="Arial"/>
        <family val="2"/>
      </rPr>
      <t>arm</t>
    </r>
  </si>
  <si>
    <r>
      <t>z</t>
    </r>
    <r>
      <rPr>
        <i/>
        <vertAlign val="subscript"/>
        <sz val="11"/>
        <color theme="1"/>
        <rFont val="Arial"/>
        <family val="2"/>
      </rPr>
      <t>arm</t>
    </r>
  </si>
  <si>
    <r>
      <t>DL</t>
    </r>
    <r>
      <rPr>
        <i/>
        <vertAlign val="subscript"/>
        <sz val="11"/>
        <color theme="1"/>
        <rFont val="Arial"/>
        <family val="2"/>
      </rPr>
      <t>arm</t>
    </r>
  </si>
  <si>
    <r>
      <t>b</t>
    </r>
    <r>
      <rPr>
        <i/>
        <vertAlign val="subscript"/>
        <sz val="11"/>
        <color theme="1"/>
        <rFont val="Arial"/>
        <family val="2"/>
      </rPr>
      <t>pile</t>
    </r>
  </si>
  <si>
    <r>
      <t>d</t>
    </r>
    <r>
      <rPr>
        <i/>
        <vertAlign val="subscript"/>
        <sz val="11"/>
        <color theme="1"/>
        <rFont val="Arial"/>
        <family val="2"/>
      </rPr>
      <t>pile</t>
    </r>
  </si>
  <si>
    <r>
      <t>A</t>
    </r>
    <r>
      <rPr>
        <i/>
        <vertAlign val="subscript"/>
        <sz val="11"/>
        <color theme="1"/>
        <rFont val="Arial"/>
        <family val="2"/>
      </rPr>
      <t>g,pile</t>
    </r>
  </si>
  <si>
    <r>
      <t>DL</t>
    </r>
    <r>
      <rPr>
        <i/>
        <vertAlign val="subscript"/>
        <sz val="11"/>
        <color theme="1"/>
        <rFont val="Arial"/>
        <family val="2"/>
      </rPr>
      <t>pile</t>
    </r>
  </si>
  <si>
    <r>
      <t>DL</t>
    </r>
    <r>
      <rPr>
        <i/>
        <vertAlign val="subscript"/>
        <sz val="11"/>
        <color theme="1"/>
        <rFont val="Arial"/>
        <family val="2"/>
      </rPr>
      <t>super</t>
    </r>
  </si>
  <si>
    <r>
      <t>DL</t>
    </r>
    <r>
      <rPr>
        <i/>
        <vertAlign val="subscript"/>
        <sz val="11"/>
        <color theme="1"/>
        <rFont val="Arial"/>
        <family val="2"/>
      </rPr>
      <t>super</t>
    </r>
    <r>
      <rPr>
        <i/>
        <sz val="11"/>
        <color theme="1"/>
        <rFont val="Arial"/>
        <family val="2"/>
      </rPr>
      <t xml:space="preserve"> + DL</t>
    </r>
    <r>
      <rPr>
        <i/>
        <vertAlign val="subscript"/>
        <sz val="11"/>
        <color theme="1"/>
        <rFont val="Arial"/>
        <family val="2"/>
      </rPr>
      <t>sub</t>
    </r>
  </si>
  <si>
    <r>
      <t>V</t>
    </r>
    <r>
      <rPr>
        <i/>
        <vertAlign val="subscript"/>
        <sz val="11"/>
        <color theme="1"/>
        <rFont val="Arial"/>
        <family val="2"/>
      </rPr>
      <t>W,N</t>
    </r>
  </si>
  <si>
    <r>
      <t>M</t>
    </r>
    <r>
      <rPr>
        <i/>
        <vertAlign val="subscript"/>
        <sz val="11"/>
        <color theme="1"/>
        <rFont val="Arial"/>
        <family val="2"/>
      </rPr>
      <t>W,N</t>
    </r>
  </si>
  <si>
    <r>
      <t>P</t>
    </r>
    <r>
      <rPr>
        <i/>
        <vertAlign val="subscript"/>
        <sz val="11"/>
        <color theme="1"/>
        <rFont val="Arial"/>
        <family val="2"/>
      </rPr>
      <t>W,Trans</t>
    </r>
  </si>
  <si>
    <r>
      <t>V</t>
    </r>
    <r>
      <rPr>
        <i/>
        <vertAlign val="subscript"/>
        <sz val="11"/>
        <color theme="1"/>
        <rFont val="Arial"/>
        <family val="2"/>
      </rPr>
      <t>W,Trans</t>
    </r>
  </si>
  <si>
    <r>
      <t>M</t>
    </r>
    <r>
      <rPr>
        <i/>
        <vertAlign val="subscript"/>
        <sz val="11"/>
        <color theme="1"/>
        <rFont val="Arial"/>
        <family val="2"/>
      </rPr>
      <t>W,Trans</t>
    </r>
  </si>
  <si>
    <r>
      <t>W</t>
    </r>
    <r>
      <rPr>
        <vertAlign val="subscript"/>
        <sz val="11"/>
        <color theme="1"/>
        <rFont val="Arial"/>
        <family val="2"/>
      </rPr>
      <t>normal</t>
    </r>
  </si>
  <si>
    <r>
      <t>W</t>
    </r>
    <r>
      <rPr>
        <vertAlign val="subscript"/>
        <sz val="11"/>
        <color theme="1"/>
        <rFont val="Arial"/>
        <family val="2"/>
      </rPr>
      <t>trans</t>
    </r>
  </si>
  <si>
    <r>
      <t>β</t>
    </r>
    <r>
      <rPr>
        <i/>
        <vertAlign val="subscript"/>
        <sz val="11"/>
        <color theme="1"/>
        <rFont val="Arial"/>
        <family val="2"/>
      </rPr>
      <t>D</t>
    </r>
  </si>
  <si>
    <r>
      <t>β</t>
    </r>
    <r>
      <rPr>
        <i/>
        <vertAlign val="subscript"/>
        <sz val="11"/>
        <color theme="1"/>
        <rFont val="Arial"/>
        <family val="2"/>
      </rPr>
      <t>W</t>
    </r>
  </si>
  <si>
    <r>
      <t>γ(β</t>
    </r>
    <r>
      <rPr>
        <i/>
        <vertAlign val="subscript"/>
        <sz val="11"/>
        <color theme="1"/>
        <rFont val="Arial"/>
        <family val="2"/>
      </rPr>
      <t>D</t>
    </r>
    <r>
      <rPr>
        <i/>
        <sz val="11"/>
        <color theme="1"/>
        <rFont val="Arial"/>
        <family val="2"/>
      </rPr>
      <t>DL + β</t>
    </r>
    <r>
      <rPr>
        <i/>
        <vertAlign val="subscript"/>
        <sz val="11"/>
        <color theme="1"/>
        <rFont val="Arial"/>
        <family val="2"/>
      </rPr>
      <t>W</t>
    </r>
    <r>
      <rPr>
        <i/>
        <sz val="11"/>
        <color theme="1"/>
        <rFont val="Arial"/>
        <family val="2"/>
      </rPr>
      <t>W)</t>
    </r>
  </si>
  <si>
    <r>
      <t>P</t>
    </r>
    <r>
      <rPr>
        <i/>
        <vertAlign val="subscript"/>
        <sz val="11"/>
        <color theme="1"/>
        <rFont val="Arial"/>
        <family val="2"/>
      </rPr>
      <t>u</t>
    </r>
  </si>
  <si>
    <r>
      <t>V</t>
    </r>
    <r>
      <rPr>
        <i/>
        <vertAlign val="subscript"/>
        <sz val="11"/>
        <color theme="1"/>
        <rFont val="Arial"/>
        <family val="2"/>
      </rPr>
      <t>u</t>
    </r>
  </si>
  <si>
    <r>
      <t>M</t>
    </r>
    <r>
      <rPr>
        <i/>
        <vertAlign val="subscript"/>
        <sz val="11"/>
        <color theme="1"/>
        <rFont val="Arial"/>
        <family val="2"/>
      </rPr>
      <t>u</t>
    </r>
  </si>
  <si>
    <r>
      <t>φ</t>
    </r>
    <r>
      <rPr>
        <i/>
        <vertAlign val="subscript"/>
        <sz val="11"/>
        <color theme="1"/>
        <rFont val="Arial"/>
        <family val="2"/>
      </rPr>
      <t>c,s</t>
    </r>
  </si>
  <si>
    <r>
      <t>φ</t>
    </r>
    <r>
      <rPr>
        <i/>
        <vertAlign val="subscript"/>
        <sz val="11"/>
        <color theme="1"/>
        <rFont val="Arial"/>
        <family val="2"/>
      </rPr>
      <t>v</t>
    </r>
  </si>
  <si>
    <r>
      <t>dia.</t>
    </r>
    <r>
      <rPr>
        <i/>
        <vertAlign val="subscript"/>
        <sz val="11"/>
        <color theme="1"/>
        <rFont val="Arial"/>
        <family val="2"/>
      </rPr>
      <t>2.5</t>
    </r>
  </si>
  <si>
    <r>
      <t>dia.</t>
    </r>
    <r>
      <rPr>
        <i/>
        <vertAlign val="subscript"/>
        <sz val="11"/>
        <color theme="1"/>
        <rFont val="Arial"/>
        <family val="2"/>
      </rPr>
      <t>3</t>
    </r>
  </si>
  <si>
    <r>
      <t>n</t>
    </r>
    <r>
      <rPr>
        <i/>
        <vertAlign val="subscript"/>
        <sz val="11"/>
        <color theme="1"/>
        <rFont val="Arial"/>
        <family val="2"/>
      </rPr>
      <t>2.5</t>
    </r>
  </si>
  <si>
    <r>
      <t>n</t>
    </r>
    <r>
      <rPr>
        <i/>
        <vertAlign val="subscript"/>
        <sz val="11"/>
        <color theme="1"/>
        <rFont val="Arial"/>
        <family val="2"/>
      </rPr>
      <t>3</t>
    </r>
  </si>
  <si>
    <r>
      <t>#</t>
    </r>
    <r>
      <rPr>
        <i/>
        <vertAlign val="subscript"/>
        <sz val="11"/>
        <color theme="1"/>
        <rFont val="Arial"/>
        <family val="2"/>
      </rPr>
      <t>2.5</t>
    </r>
  </si>
  <si>
    <r>
      <t>#</t>
    </r>
    <r>
      <rPr>
        <i/>
        <vertAlign val="subscript"/>
        <sz val="11"/>
        <color theme="1"/>
        <rFont val="Arial"/>
        <family val="2"/>
      </rPr>
      <t>3</t>
    </r>
  </si>
  <si>
    <r>
      <t>#</t>
    </r>
    <r>
      <rPr>
        <i/>
        <vertAlign val="subscript"/>
        <sz val="11"/>
        <color theme="1"/>
        <rFont val="Arial"/>
        <family val="2"/>
      </rPr>
      <t>sp,2.5</t>
    </r>
  </si>
  <si>
    <r>
      <t>#</t>
    </r>
    <r>
      <rPr>
        <i/>
        <vertAlign val="subscript"/>
        <sz val="11"/>
        <color theme="1"/>
        <rFont val="Arial"/>
        <family val="2"/>
      </rPr>
      <t>sp,3</t>
    </r>
  </si>
  <si>
    <r>
      <t>s</t>
    </r>
    <r>
      <rPr>
        <i/>
        <vertAlign val="subscript"/>
        <sz val="11"/>
        <color theme="1"/>
        <rFont val="Arial"/>
        <family val="2"/>
      </rPr>
      <t>sp,2.5</t>
    </r>
  </si>
  <si>
    <r>
      <t>A</t>
    </r>
    <r>
      <rPr>
        <i/>
        <vertAlign val="subscript"/>
        <sz val="11"/>
        <color theme="1"/>
        <rFont val="Arial"/>
        <family val="2"/>
      </rPr>
      <t>sp,2.5</t>
    </r>
  </si>
  <si>
    <r>
      <t>A</t>
    </r>
    <r>
      <rPr>
        <i/>
        <vertAlign val="subscript"/>
        <sz val="11"/>
        <color theme="1"/>
        <rFont val="Arial"/>
        <family val="2"/>
      </rPr>
      <t>sp,3</t>
    </r>
  </si>
  <si>
    <r>
      <t>s</t>
    </r>
    <r>
      <rPr>
        <i/>
        <vertAlign val="subscript"/>
        <sz val="11"/>
        <color theme="1"/>
        <rFont val="Arial"/>
        <family val="2"/>
      </rPr>
      <t>sp,req</t>
    </r>
  </si>
  <si>
    <r>
      <t>D</t>
    </r>
    <r>
      <rPr>
        <i/>
        <vertAlign val="subscript"/>
        <sz val="11"/>
        <color theme="1"/>
        <rFont val="Arial"/>
        <family val="2"/>
      </rPr>
      <t>c,2.5</t>
    </r>
  </si>
  <si>
    <r>
      <t>ρ</t>
    </r>
    <r>
      <rPr>
        <i/>
        <vertAlign val="subscript"/>
        <sz val="11"/>
        <color theme="1"/>
        <rFont val="Arial"/>
        <family val="2"/>
      </rPr>
      <t>s,2.5</t>
    </r>
  </si>
  <si>
    <r>
      <t>A</t>
    </r>
    <r>
      <rPr>
        <i/>
        <vertAlign val="subscript"/>
        <sz val="11"/>
        <color theme="1"/>
        <rFont val="Arial"/>
        <family val="2"/>
      </rPr>
      <t>g,2.5</t>
    </r>
  </si>
  <si>
    <r>
      <t>A</t>
    </r>
    <r>
      <rPr>
        <i/>
        <vertAlign val="subscript"/>
        <sz val="11"/>
        <color theme="1"/>
        <rFont val="Arial"/>
        <family val="2"/>
      </rPr>
      <t>g,3</t>
    </r>
  </si>
  <si>
    <r>
      <t>A</t>
    </r>
    <r>
      <rPr>
        <i/>
        <vertAlign val="subscript"/>
        <sz val="11"/>
        <color theme="1"/>
        <rFont val="Arial"/>
        <family val="2"/>
      </rPr>
      <t>st,2.5</t>
    </r>
  </si>
  <si>
    <r>
      <t>ρ</t>
    </r>
    <r>
      <rPr>
        <i/>
        <vertAlign val="subscript"/>
        <sz val="11"/>
        <color theme="1"/>
        <rFont val="Arial"/>
        <family val="2"/>
      </rPr>
      <t>g,2.5</t>
    </r>
  </si>
  <si>
    <r>
      <t>ρ</t>
    </r>
    <r>
      <rPr>
        <i/>
        <vertAlign val="subscript"/>
        <sz val="11"/>
        <color theme="1"/>
        <rFont val="Arial"/>
        <family val="2"/>
      </rPr>
      <t>g,3</t>
    </r>
  </si>
  <si>
    <r>
      <t>e/h</t>
    </r>
    <r>
      <rPr>
        <i/>
        <vertAlign val="subscript"/>
        <sz val="11"/>
        <color theme="1"/>
        <rFont val="Arial"/>
        <family val="2"/>
      </rPr>
      <t>2.5</t>
    </r>
  </si>
  <si>
    <r>
      <t>P</t>
    </r>
    <r>
      <rPr>
        <i/>
        <vertAlign val="subscript"/>
        <sz val="11"/>
        <color theme="1"/>
        <rFont val="Arial"/>
        <family val="2"/>
      </rPr>
      <t>o,2.5</t>
    </r>
  </si>
  <si>
    <t>Nominal max. axial load capacity</t>
  </si>
  <si>
    <t>λh</t>
  </si>
  <si>
    <r>
      <t>ε</t>
    </r>
    <r>
      <rPr>
        <i/>
        <vertAlign val="subscript"/>
        <sz val="11"/>
        <color theme="1"/>
        <rFont val="Arial"/>
        <family val="2"/>
      </rPr>
      <t>y</t>
    </r>
  </si>
  <si>
    <t>Steel modulus of elasticity</t>
  </si>
  <si>
    <t>E</t>
  </si>
  <si>
    <r>
      <t>A</t>
    </r>
    <r>
      <rPr>
        <i/>
        <vertAlign val="subscript"/>
        <sz val="11"/>
        <color theme="1"/>
        <rFont val="Arial"/>
        <family val="2"/>
      </rPr>
      <t>#6</t>
    </r>
  </si>
  <si>
    <r>
      <t>A</t>
    </r>
    <r>
      <rPr>
        <i/>
        <vertAlign val="subscript"/>
        <sz val="11"/>
        <color theme="1"/>
        <rFont val="Arial"/>
        <family val="2"/>
      </rPr>
      <t>#7</t>
    </r>
  </si>
  <si>
    <r>
      <t>α</t>
    </r>
    <r>
      <rPr>
        <i/>
        <vertAlign val="subscript"/>
        <sz val="11"/>
        <color theme="1"/>
        <rFont val="Arial"/>
        <family val="2"/>
      </rPr>
      <t>col</t>
    </r>
  </si>
  <si>
    <r>
      <t>φ</t>
    </r>
    <r>
      <rPr>
        <i/>
        <vertAlign val="subscript"/>
        <sz val="11"/>
        <color theme="1"/>
        <rFont val="Arial"/>
        <family val="2"/>
      </rPr>
      <t>c,s</t>
    </r>
    <r>
      <rPr>
        <i/>
        <sz val="11"/>
        <color theme="1"/>
        <rFont val="Arial"/>
        <family val="2"/>
      </rPr>
      <t>α</t>
    </r>
    <r>
      <rPr>
        <i/>
        <vertAlign val="subscript"/>
        <sz val="11"/>
        <color theme="1"/>
        <rFont val="Arial"/>
        <family val="2"/>
      </rPr>
      <t>col</t>
    </r>
    <r>
      <rPr>
        <i/>
        <sz val="11"/>
        <color theme="1"/>
        <rFont val="Arial"/>
        <family val="2"/>
      </rPr>
      <t>P</t>
    </r>
    <r>
      <rPr>
        <i/>
        <vertAlign val="subscript"/>
        <sz val="11"/>
        <color theme="1"/>
        <rFont val="Arial"/>
        <family val="2"/>
      </rPr>
      <t>o,2.5</t>
    </r>
  </si>
  <si>
    <r>
      <t>β</t>
    </r>
    <r>
      <rPr>
        <i/>
        <vertAlign val="subscript"/>
        <sz val="11"/>
        <color theme="1"/>
        <rFont val="Arial"/>
        <family val="2"/>
      </rPr>
      <t>1</t>
    </r>
    <r>
      <rPr>
        <i/>
        <sz val="11"/>
        <color theme="1"/>
        <rFont val="Arial"/>
        <family val="2"/>
      </rPr>
      <t xml:space="preserve"> = </t>
    </r>
    <r>
      <rPr>
        <sz val="11"/>
        <color theme="1"/>
        <rFont val="Arial"/>
        <family val="2"/>
      </rPr>
      <t>2</t>
    </r>
    <r>
      <rPr>
        <i/>
        <sz val="11"/>
        <color theme="1"/>
        <rFont val="Arial"/>
        <family val="2"/>
      </rPr>
      <t>β</t>
    </r>
  </si>
  <si>
    <t>Principal moments and X-Y directions about centroid:</t>
  </si>
  <si>
    <t xml:space="preserve">                      I: 1288.5803 along [1.0000 0.0000]</t>
  </si>
  <si>
    <t xml:space="preserve">                      J: 6299.6514 along [0.0000 1.0000]</t>
  </si>
  <si>
    <t xml:space="preserve"> ----------------   REGION 1   ----------------</t>
  </si>
  <si>
    <t>Area:</t>
  </si>
  <si>
    <t>Perimeter:</t>
  </si>
  <si>
    <t xml:space="preserve">Centroid:             </t>
  </si>
  <si>
    <t xml:space="preserve">Moments of inertia:   </t>
  </si>
  <si>
    <t>30" dia.</t>
  </si>
  <si>
    <t>X:</t>
  </si>
  <si>
    <t>Y:</t>
  </si>
  <si>
    <t>Extreme comp. fiber to tensile steel centroid</t>
  </si>
  <si>
    <t>Extreme comp. fiber to neutral axis</t>
  </si>
  <si>
    <t>Gross reinforcement ratio</t>
  </si>
  <si>
    <t>Longitudinal reinforcing steel area</t>
  </si>
  <si>
    <t>Spiral reinforcement ratio</t>
  </si>
  <si>
    <t>Spiral wire area</t>
  </si>
  <si>
    <t>Spiral wire spacing</t>
  </si>
  <si>
    <t>Spiral wire size</t>
  </si>
  <si>
    <t>Long. bar-to-bar distance</t>
  </si>
  <si>
    <t>Single long. bar area</t>
  </si>
  <si>
    <t>Number of long. reinforcing bars</t>
  </si>
  <si>
    <t>Column strength factor</t>
  </si>
  <si>
    <t>Shear strength reduction factor</t>
  </si>
  <si>
    <t>Compressive strength reduction factor</t>
  </si>
  <si>
    <t>Concrete experimental value beta</t>
  </si>
  <si>
    <t>Concrete experimental value alpha</t>
  </si>
  <si>
    <t>Steel yield strain</t>
  </si>
  <si>
    <t>Concrete crushing strain</t>
  </si>
  <si>
    <t>Reinforcing steel yield strength</t>
  </si>
  <si>
    <t>Pile concrete compressive strength</t>
  </si>
  <si>
    <t>Reinforced concrete density</t>
  </si>
  <si>
    <r>
      <t>C</t>
    </r>
    <r>
      <rPr>
        <i/>
        <vertAlign val="subscript"/>
        <sz val="11"/>
        <color theme="1"/>
        <rFont val="Arial"/>
        <family val="2"/>
      </rPr>
      <t>c</t>
    </r>
    <r>
      <rPr>
        <i/>
        <sz val="11"/>
        <color theme="1"/>
        <rFont val="Arial"/>
        <family val="2"/>
      </rPr>
      <t xml:space="preserve"> = </t>
    </r>
    <r>
      <rPr>
        <sz val="11"/>
        <color theme="1"/>
        <rFont val="Arial"/>
        <family val="2"/>
      </rPr>
      <t>0.85</t>
    </r>
    <r>
      <rPr>
        <i/>
        <sz val="11"/>
        <color theme="1"/>
        <rFont val="Arial"/>
        <family val="2"/>
      </rPr>
      <t>f'</t>
    </r>
    <r>
      <rPr>
        <i/>
        <vertAlign val="subscript"/>
        <sz val="11"/>
        <color theme="1"/>
        <rFont val="Arial"/>
        <family val="2"/>
      </rPr>
      <t>c</t>
    </r>
    <r>
      <rPr>
        <i/>
        <sz val="11"/>
        <color theme="1"/>
        <rFont val="Arial"/>
        <family val="2"/>
      </rPr>
      <t>A</t>
    </r>
    <r>
      <rPr>
        <i/>
        <vertAlign val="subscript"/>
        <sz val="11"/>
        <color theme="1"/>
        <rFont val="Arial"/>
        <family val="2"/>
      </rPr>
      <t>block</t>
    </r>
  </si>
  <si>
    <r>
      <t>a</t>
    </r>
    <r>
      <rPr>
        <i/>
        <sz val="11"/>
        <color theme="1"/>
        <rFont val="Arial"/>
        <family val="2"/>
      </rPr>
      <t xml:space="preserve"> = β</t>
    </r>
    <r>
      <rPr>
        <i/>
        <vertAlign val="subscript"/>
        <sz val="11"/>
        <color theme="1"/>
        <rFont val="Arial"/>
        <family val="2"/>
      </rPr>
      <t>1</t>
    </r>
    <r>
      <rPr>
        <i/>
        <sz val="11"/>
        <color theme="1"/>
        <rFont val="Arial"/>
        <family val="2"/>
      </rPr>
      <t>c</t>
    </r>
  </si>
  <si>
    <t xml:space="preserve">X: </t>
  </si>
  <si>
    <t xml:space="preserve">Y: </t>
  </si>
  <si>
    <r>
      <t>in</t>
    </r>
    <r>
      <rPr>
        <vertAlign val="superscript"/>
        <sz val="11"/>
        <color theme="1"/>
        <rFont val="Arial"/>
        <family val="2"/>
      </rPr>
      <t>4</t>
    </r>
  </si>
  <si>
    <t xml:space="preserve">Product of inertia:  </t>
  </si>
  <si>
    <t xml:space="preserve">XY: </t>
  </si>
  <si>
    <t xml:space="preserve">Radii of gyration:    </t>
  </si>
  <si>
    <t>N.A. to centroid of primary top layer rebar</t>
  </si>
  <si>
    <t>N.A. to centroid of secondary top layer rebar</t>
  </si>
  <si>
    <t>N.A. to centroid of center layer rebar</t>
  </si>
  <si>
    <t>N.A. to centroid of secondary bottom layer rebar</t>
  </si>
  <si>
    <t>N.A. to centroid of bottom primary layer rebar</t>
  </si>
  <si>
    <t>kip-in</t>
  </si>
  <si>
    <t>kip-ft</t>
  </si>
  <si>
    <r>
      <t>M</t>
    </r>
    <r>
      <rPr>
        <i/>
        <vertAlign val="subscript"/>
        <sz val="11"/>
        <color theme="1"/>
        <rFont val="Arial"/>
        <family val="2"/>
      </rPr>
      <t>n</t>
    </r>
    <r>
      <rPr>
        <i/>
        <sz val="11"/>
        <color theme="1"/>
        <rFont val="Arial"/>
        <family val="2"/>
      </rPr>
      <t xml:space="preserve"> = </t>
    </r>
    <r>
      <rPr>
        <sz val="11"/>
        <color theme="1"/>
        <rFont val="Calibri"/>
        <family val="2"/>
      </rPr>
      <t>∑</t>
    </r>
    <r>
      <rPr>
        <i/>
        <sz val="11"/>
        <color theme="1"/>
        <rFont val="Arial"/>
        <family val="2"/>
      </rPr>
      <t>C</t>
    </r>
    <r>
      <rPr>
        <i/>
        <vertAlign val="subscript"/>
        <sz val="11"/>
        <color theme="1"/>
        <rFont val="Arial"/>
        <family val="2"/>
      </rPr>
      <t>i</t>
    </r>
    <r>
      <rPr>
        <i/>
        <sz val="11"/>
        <color theme="1"/>
        <rFont val="Arial"/>
        <family val="2"/>
      </rPr>
      <t>*g</t>
    </r>
    <r>
      <rPr>
        <i/>
        <vertAlign val="subscript"/>
        <sz val="11"/>
        <color theme="1"/>
        <rFont val="Arial"/>
        <family val="2"/>
      </rPr>
      <t xml:space="preserve">i </t>
    </r>
    <r>
      <rPr>
        <i/>
        <sz val="11"/>
        <color theme="1"/>
        <rFont val="Arial"/>
        <family val="2"/>
      </rPr>
      <t>+ ∑T</t>
    </r>
    <r>
      <rPr>
        <i/>
        <vertAlign val="subscript"/>
        <sz val="11"/>
        <color theme="1"/>
        <rFont val="Arial"/>
        <family val="2"/>
      </rPr>
      <t>i</t>
    </r>
    <r>
      <rPr>
        <i/>
        <sz val="11"/>
        <color theme="1"/>
        <rFont val="Arial"/>
        <family val="2"/>
      </rPr>
      <t>*g</t>
    </r>
    <r>
      <rPr>
        <i/>
        <vertAlign val="subscript"/>
        <sz val="11"/>
        <color theme="1"/>
        <rFont val="Arial"/>
        <family val="2"/>
      </rPr>
      <t>i</t>
    </r>
  </si>
  <si>
    <r>
      <t>P</t>
    </r>
    <r>
      <rPr>
        <i/>
        <vertAlign val="subscript"/>
        <sz val="11"/>
        <color theme="1"/>
        <rFont val="Arial"/>
        <family val="2"/>
      </rPr>
      <t>n</t>
    </r>
    <r>
      <rPr>
        <i/>
        <sz val="11"/>
        <color theme="1"/>
        <rFont val="Arial"/>
        <family val="2"/>
      </rPr>
      <t xml:space="preserve"> = </t>
    </r>
    <r>
      <rPr>
        <sz val="11"/>
        <color theme="1"/>
        <rFont val="Calibri"/>
        <family val="2"/>
      </rPr>
      <t>∑</t>
    </r>
    <r>
      <rPr>
        <i/>
        <sz val="11"/>
        <color theme="1"/>
        <rFont val="Arial"/>
        <family val="2"/>
      </rPr>
      <t>C</t>
    </r>
    <r>
      <rPr>
        <i/>
        <vertAlign val="subscript"/>
        <sz val="11"/>
        <color theme="1"/>
        <rFont val="Arial"/>
        <family val="2"/>
      </rPr>
      <t>i</t>
    </r>
    <r>
      <rPr>
        <i/>
        <vertAlign val="subscript"/>
        <sz val="11"/>
        <color theme="1"/>
        <rFont val="Arial"/>
        <family val="2"/>
      </rPr>
      <t xml:space="preserve"> </t>
    </r>
    <r>
      <rPr>
        <i/>
        <sz val="11"/>
        <color theme="1"/>
        <rFont val="Arial"/>
        <family val="2"/>
      </rPr>
      <t>+ ∑T</t>
    </r>
    <r>
      <rPr>
        <i/>
        <vertAlign val="subscript"/>
        <sz val="11"/>
        <color theme="1"/>
        <rFont val="Arial"/>
        <family val="2"/>
      </rPr>
      <t>i</t>
    </r>
  </si>
  <si>
    <t>Centroid:             X: 0.0000</t>
  </si>
  <si>
    <t>Product of inertia:  XY: 0.0000</t>
  </si>
  <si>
    <r>
      <t>P</t>
    </r>
    <r>
      <rPr>
        <i/>
        <vertAlign val="subscript"/>
        <sz val="11"/>
        <color theme="1"/>
        <rFont val="Arial"/>
        <family val="2"/>
      </rPr>
      <t>n</t>
    </r>
  </si>
  <si>
    <r>
      <t>M</t>
    </r>
    <r>
      <rPr>
        <i/>
        <vertAlign val="subscript"/>
        <sz val="11"/>
        <color theme="1"/>
        <rFont val="Arial"/>
        <family val="2"/>
      </rPr>
      <t>n</t>
    </r>
  </si>
  <si>
    <r>
      <t>P</t>
    </r>
    <r>
      <rPr>
        <i/>
        <vertAlign val="subscript"/>
        <sz val="11"/>
        <color theme="1"/>
        <rFont val="Arial"/>
        <family val="2"/>
      </rPr>
      <t>o</t>
    </r>
  </si>
  <si>
    <t>LRFD Moment Demand</t>
  </si>
  <si>
    <t>ksi</t>
  </si>
  <si>
    <r>
      <t>P</t>
    </r>
    <r>
      <rPr>
        <i/>
        <vertAlign val="subscript"/>
        <sz val="11"/>
        <color theme="1"/>
        <rFont val="Arial"/>
        <family val="2"/>
      </rPr>
      <t>n</t>
    </r>
    <r>
      <rPr>
        <i/>
        <sz val="11"/>
        <color theme="1"/>
        <rFont val="Arial"/>
        <family val="2"/>
      </rPr>
      <t>/A</t>
    </r>
    <r>
      <rPr>
        <i/>
        <vertAlign val="subscript"/>
        <sz val="11"/>
        <color theme="1"/>
        <rFont val="Arial"/>
        <family val="2"/>
      </rPr>
      <t>g</t>
    </r>
  </si>
  <si>
    <r>
      <t>M</t>
    </r>
    <r>
      <rPr>
        <i/>
        <vertAlign val="subscript"/>
        <sz val="11"/>
        <color theme="1"/>
        <rFont val="Arial"/>
        <family val="2"/>
      </rPr>
      <t>n/</t>
    </r>
    <r>
      <rPr>
        <i/>
        <sz val="11"/>
        <color theme="1"/>
        <rFont val="Arial"/>
        <family val="2"/>
      </rPr>
      <t>(A</t>
    </r>
    <r>
      <rPr>
        <i/>
        <vertAlign val="subscript"/>
        <sz val="11"/>
        <color theme="1"/>
        <rFont val="Arial"/>
        <family val="2"/>
      </rPr>
      <t>g</t>
    </r>
    <r>
      <rPr>
        <i/>
        <sz val="11"/>
        <color theme="1"/>
        <rFont val="Arial"/>
        <family val="2"/>
      </rPr>
      <t>h)</t>
    </r>
  </si>
  <si>
    <t>Steel elastic modulus</t>
  </si>
  <si>
    <r>
      <t>E</t>
    </r>
    <r>
      <rPr>
        <i/>
        <vertAlign val="subscript"/>
        <sz val="11"/>
        <color theme="1"/>
        <rFont val="Arial"/>
        <family val="2"/>
      </rPr>
      <t>s</t>
    </r>
  </si>
  <si>
    <t>min. flexural reinforcement ratio</t>
  </si>
  <si>
    <r>
      <t>A</t>
    </r>
    <r>
      <rPr>
        <i/>
        <vertAlign val="subscript"/>
        <sz val="11"/>
        <color theme="1"/>
        <rFont val="Arial"/>
        <family val="2"/>
      </rPr>
      <t>s,min</t>
    </r>
  </si>
  <si>
    <r>
      <rPr>
        <i/>
        <sz val="11"/>
        <color theme="1"/>
        <rFont val="Calibri"/>
        <family val="2"/>
      </rPr>
      <t>φ</t>
    </r>
    <r>
      <rPr>
        <i/>
        <sz val="11"/>
        <color theme="1"/>
        <rFont val="Arial"/>
        <family val="2"/>
      </rPr>
      <t>M</t>
    </r>
    <r>
      <rPr>
        <i/>
        <vertAlign val="subscript"/>
        <sz val="11"/>
        <color theme="1"/>
        <rFont val="Arial"/>
        <family val="2"/>
      </rPr>
      <t>n/</t>
    </r>
    <r>
      <rPr>
        <i/>
        <sz val="11"/>
        <color theme="1"/>
        <rFont val="Arial"/>
        <family val="2"/>
      </rPr>
      <t>(A</t>
    </r>
    <r>
      <rPr>
        <i/>
        <vertAlign val="subscript"/>
        <sz val="11"/>
        <color theme="1"/>
        <rFont val="Arial"/>
        <family val="2"/>
      </rPr>
      <t>g</t>
    </r>
    <r>
      <rPr>
        <i/>
        <sz val="11"/>
        <color theme="1"/>
        <rFont val="Arial"/>
        <family val="2"/>
      </rPr>
      <t>h)</t>
    </r>
  </si>
  <si>
    <r>
      <t>φP</t>
    </r>
    <r>
      <rPr>
        <i/>
        <vertAlign val="subscript"/>
        <sz val="11"/>
        <color theme="1"/>
        <rFont val="Arial"/>
        <family val="2"/>
      </rPr>
      <t>n</t>
    </r>
    <r>
      <rPr>
        <i/>
        <sz val="11"/>
        <color theme="1"/>
        <rFont val="Arial"/>
        <family val="2"/>
      </rPr>
      <t>/A</t>
    </r>
    <r>
      <rPr>
        <i/>
        <vertAlign val="subscript"/>
        <sz val="11"/>
        <color theme="1"/>
        <rFont val="Arial"/>
        <family val="2"/>
      </rPr>
      <t>g</t>
    </r>
  </si>
  <si>
    <r>
      <rPr>
        <i/>
        <sz val="11"/>
        <color theme="1"/>
        <rFont val="Calibri"/>
        <family val="2"/>
      </rPr>
      <t>φ</t>
    </r>
    <r>
      <rPr>
        <i/>
        <sz val="11"/>
        <color theme="1"/>
        <rFont val="Arial"/>
        <family val="2"/>
      </rPr>
      <t>M</t>
    </r>
    <r>
      <rPr>
        <i/>
        <vertAlign val="subscript"/>
        <sz val="11"/>
        <color theme="1"/>
        <rFont val="Arial"/>
        <family val="2"/>
      </rPr>
      <t>n</t>
    </r>
  </si>
  <si>
    <r>
      <t>φP</t>
    </r>
    <r>
      <rPr>
        <i/>
        <vertAlign val="subscript"/>
        <sz val="11"/>
        <color theme="1"/>
        <rFont val="Arial"/>
        <family val="2"/>
      </rPr>
      <t>n</t>
    </r>
  </si>
  <si>
    <r>
      <t>T</t>
    </r>
    <r>
      <rPr>
        <i/>
        <vertAlign val="subscript"/>
        <sz val="11"/>
        <color theme="1"/>
        <rFont val="Arial"/>
        <family val="2"/>
      </rPr>
      <t>o</t>
    </r>
  </si>
  <si>
    <r>
      <t>T</t>
    </r>
    <r>
      <rPr>
        <i/>
        <vertAlign val="subscript"/>
        <sz val="11"/>
        <color theme="1"/>
        <rFont val="Arial"/>
        <family val="2"/>
      </rPr>
      <t>n</t>
    </r>
  </si>
  <si>
    <t>LRFD Torsional Demand</t>
  </si>
  <si>
    <r>
      <t>T</t>
    </r>
    <r>
      <rPr>
        <i/>
        <vertAlign val="subscript"/>
        <sz val="11"/>
        <color theme="1"/>
        <rFont val="Arial"/>
        <family val="2"/>
      </rPr>
      <t>u</t>
    </r>
  </si>
  <si>
    <t>TIA-222 Wind Pressure</t>
  </si>
  <si>
    <t>I</t>
  </si>
  <si>
    <t>Concrete density</t>
  </si>
  <si>
    <t>Pole weight</t>
  </si>
  <si>
    <t>Base plate square width</t>
  </si>
  <si>
    <t>Base plate thickness</t>
  </si>
  <si>
    <t>Base plate weight</t>
  </si>
  <si>
    <t>Dead load transverse moment</t>
  </si>
  <si>
    <t>Topographic factor</t>
  </si>
  <si>
    <t>Wind direction prob. fact.</t>
  </si>
  <si>
    <r>
      <t>K</t>
    </r>
    <r>
      <rPr>
        <i/>
        <vertAlign val="subscript"/>
        <sz val="11"/>
        <color theme="1"/>
        <rFont val="Arial"/>
        <family val="2"/>
      </rPr>
      <t>zt</t>
    </r>
  </si>
  <si>
    <r>
      <t>K</t>
    </r>
    <r>
      <rPr>
        <i/>
        <vertAlign val="subscript"/>
        <sz val="11"/>
        <color theme="1"/>
        <rFont val="Arial"/>
        <family val="2"/>
      </rPr>
      <t>d</t>
    </r>
  </si>
  <si>
    <t>Exposure category</t>
  </si>
  <si>
    <r>
      <t>K</t>
    </r>
    <r>
      <rPr>
        <i/>
        <vertAlign val="subscript"/>
        <sz val="11"/>
        <color theme="1"/>
        <rFont val="Arial"/>
        <family val="2"/>
      </rPr>
      <t>z,min</t>
    </r>
  </si>
  <si>
    <r>
      <t>K</t>
    </r>
    <r>
      <rPr>
        <i/>
        <vertAlign val="subscript"/>
        <sz val="11"/>
        <color theme="1"/>
        <rFont val="Arial"/>
        <family val="2"/>
      </rPr>
      <t>e</t>
    </r>
  </si>
  <si>
    <t>Gust effect factor</t>
  </si>
  <si>
    <r>
      <t>G</t>
    </r>
    <r>
      <rPr>
        <i/>
        <vertAlign val="subscript"/>
        <sz val="11"/>
        <color theme="1"/>
        <rFont val="Arial"/>
        <family val="2"/>
      </rPr>
      <t>h</t>
    </r>
  </si>
  <si>
    <t>Structure class</t>
  </si>
  <si>
    <t>II</t>
  </si>
  <si>
    <t>Luminaire</t>
  </si>
  <si>
    <t>Mast Arm</t>
  </si>
  <si>
    <r>
      <t>L</t>
    </r>
    <r>
      <rPr>
        <i/>
        <vertAlign val="subscript"/>
        <sz val="11"/>
        <color theme="1"/>
        <rFont val="Arial"/>
        <family val="2"/>
      </rPr>
      <t>lum</t>
    </r>
  </si>
  <si>
    <r>
      <t>b</t>
    </r>
    <r>
      <rPr>
        <i/>
        <vertAlign val="subscript"/>
        <sz val="11"/>
        <color theme="1"/>
        <rFont val="Arial"/>
        <family val="2"/>
      </rPr>
      <t>lum</t>
    </r>
  </si>
  <si>
    <t>Luminaire length</t>
  </si>
  <si>
    <t>Luminaire width</t>
  </si>
  <si>
    <t>Luminaire depth</t>
  </si>
  <si>
    <r>
      <t>d</t>
    </r>
    <r>
      <rPr>
        <i/>
        <vertAlign val="subscript"/>
        <sz val="11"/>
        <color theme="1"/>
        <rFont val="Arial"/>
        <family val="2"/>
      </rPr>
      <t>lum</t>
    </r>
  </si>
  <si>
    <t>Luminaire weight</t>
  </si>
  <si>
    <r>
      <t>W</t>
    </r>
    <r>
      <rPr>
        <i/>
        <vertAlign val="subscript"/>
        <sz val="11"/>
        <color theme="1"/>
        <rFont val="Arial"/>
        <family val="2"/>
      </rPr>
      <t>lum</t>
    </r>
  </si>
  <si>
    <t>Luminaire wind area</t>
  </si>
  <si>
    <r>
      <t>A</t>
    </r>
    <r>
      <rPr>
        <i/>
        <vertAlign val="subscript"/>
        <sz val="11"/>
        <color theme="1"/>
        <rFont val="Arial"/>
        <family val="2"/>
      </rPr>
      <t>lum,w</t>
    </r>
  </si>
  <si>
    <t>Luminaire wind area centroid x</t>
  </si>
  <si>
    <r>
      <t>x</t>
    </r>
    <r>
      <rPr>
        <i/>
        <vertAlign val="subscript"/>
        <sz val="11"/>
        <color theme="1"/>
        <rFont val="Arial"/>
        <family val="2"/>
      </rPr>
      <t>lum</t>
    </r>
  </si>
  <si>
    <r>
      <t>z</t>
    </r>
    <r>
      <rPr>
        <i/>
        <vertAlign val="subscript"/>
        <sz val="11"/>
        <color theme="1"/>
        <rFont val="Arial"/>
        <family val="2"/>
      </rPr>
      <t>lum</t>
    </r>
  </si>
  <si>
    <t>Aluminum density</t>
  </si>
  <si>
    <r>
      <t>w</t>
    </r>
    <r>
      <rPr>
        <i/>
        <vertAlign val="subscript"/>
        <sz val="11"/>
        <color theme="1"/>
        <rFont val="Arial"/>
        <family val="2"/>
      </rPr>
      <t>alum</t>
    </r>
  </si>
  <si>
    <t>thickness</t>
  </si>
  <si>
    <t>width</t>
  </si>
  <si>
    <t>length</t>
  </si>
  <si>
    <t>weight</t>
  </si>
  <si>
    <r>
      <t>s</t>
    </r>
    <r>
      <rPr>
        <i/>
        <vertAlign val="subscript"/>
        <sz val="11"/>
        <color theme="1"/>
        <rFont val="Arial"/>
        <family val="2"/>
      </rPr>
      <t>sp3</t>
    </r>
  </si>
  <si>
    <r>
      <t>ρ</t>
    </r>
    <r>
      <rPr>
        <i/>
        <vertAlign val="subscript"/>
        <sz val="11"/>
        <color theme="1"/>
        <rFont val="Arial"/>
        <family val="2"/>
      </rPr>
      <t>s,3</t>
    </r>
  </si>
  <si>
    <r>
      <t>A</t>
    </r>
    <r>
      <rPr>
        <i/>
        <vertAlign val="subscript"/>
        <sz val="11"/>
        <color theme="1"/>
        <rFont val="Arial"/>
        <family val="2"/>
      </rPr>
      <t>st,3</t>
    </r>
  </si>
  <si>
    <r>
      <t>e/h</t>
    </r>
    <r>
      <rPr>
        <i/>
        <vertAlign val="subscript"/>
        <sz val="11"/>
        <color theme="1"/>
        <rFont val="Arial"/>
        <family val="2"/>
      </rPr>
      <t>3</t>
    </r>
  </si>
  <si>
    <t xml:space="preserve"> ----------------   REGIONS   ----------------</t>
  </si>
  <si>
    <t>Area:                    305.1090</t>
  </si>
  <si>
    <t>Perimeter:               75.6001</t>
  </si>
  <si>
    <t xml:space="preserve">                      Y: 5.4988</t>
  </si>
  <si>
    <t>Moments of inertia:   X: 12978.2647</t>
  </si>
  <si>
    <t xml:space="preserve">                      Y: 16974.7673</t>
  </si>
  <si>
    <t>Radii of gyration:    X: 6.5220</t>
  </si>
  <si>
    <t xml:space="preserve">                      Y: 7.4589</t>
  </si>
  <si>
    <t xml:space="preserve">                      I: 3752.7614 along [1.0000 0.0000]</t>
  </si>
  <si>
    <t xml:space="preserve">                      J: 16974.7673 along [0.0000 1.0000]</t>
  </si>
  <si>
    <r>
      <t>T</t>
    </r>
    <r>
      <rPr>
        <i/>
        <vertAlign val="subscript"/>
        <sz val="11"/>
        <color theme="1"/>
        <rFont val="Arial"/>
        <family val="2"/>
      </rPr>
      <t>s</t>
    </r>
    <r>
      <rPr>
        <i/>
        <sz val="11"/>
        <color theme="1"/>
        <rFont val="Arial"/>
        <family val="2"/>
      </rPr>
      <t xml:space="preserve"> = f</t>
    </r>
    <r>
      <rPr>
        <i/>
        <vertAlign val="subscript"/>
        <sz val="11"/>
        <color theme="1"/>
        <rFont val="Arial"/>
        <family val="2"/>
      </rPr>
      <t>s</t>
    </r>
    <r>
      <rPr>
        <i/>
        <sz val="11"/>
        <color theme="1"/>
        <rFont val="Arial"/>
        <family val="2"/>
      </rPr>
      <t>A</t>
    </r>
    <r>
      <rPr>
        <i/>
        <vertAlign val="subscript"/>
        <sz val="11"/>
        <color theme="1"/>
        <rFont val="Arial"/>
        <family val="2"/>
      </rPr>
      <t>s</t>
    </r>
  </si>
  <si>
    <r>
      <t>f</t>
    </r>
    <r>
      <rPr>
        <i/>
        <vertAlign val="subscript"/>
        <sz val="11"/>
        <color theme="1"/>
        <rFont val="Arial"/>
        <family val="2"/>
      </rPr>
      <t>s</t>
    </r>
    <r>
      <rPr>
        <i/>
        <sz val="11"/>
        <color theme="1"/>
        <rFont val="Arial"/>
        <family val="2"/>
      </rPr>
      <t xml:space="preserve"> = E</t>
    </r>
    <r>
      <rPr>
        <i/>
        <vertAlign val="subscript"/>
        <sz val="11"/>
        <color theme="1"/>
        <rFont val="Arial"/>
        <family val="2"/>
      </rPr>
      <t>s</t>
    </r>
    <r>
      <rPr>
        <i/>
        <sz val="11"/>
        <color theme="1"/>
        <rFont val="Calibri"/>
        <family val="2"/>
      </rPr>
      <t>ε</t>
    </r>
    <r>
      <rPr>
        <i/>
        <vertAlign val="subscript"/>
        <sz val="11"/>
        <color theme="1"/>
        <rFont val="Arial"/>
        <family val="2"/>
      </rPr>
      <t>s</t>
    </r>
  </si>
  <si>
    <r>
      <t>f'</t>
    </r>
    <r>
      <rPr>
        <i/>
        <vertAlign val="subscript"/>
        <sz val="11"/>
        <color theme="1"/>
        <rFont val="Arial"/>
        <family val="2"/>
      </rPr>
      <t>s</t>
    </r>
    <r>
      <rPr>
        <i/>
        <sz val="11"/>
        <color theme="1"/>
        <rFont val="Arial"/>
        <family val="2"/>
      </rPr>
      <t xml:space="preserve"> = E</t>
    </r>
    <r>
      <rPr>
        <i/>
        <vertAlign val="subscript"/>
        <sz val="11"/>
        <color theme="1"/>
        <rFont val="Arial"/>
        <family val="2"/>
      </rPr>
      <t>s</t>
    </r>
    <r>
      <rPr>
        <i/>
        <sz val="11"/>
        <color theme="1"/>
        <rFont val="Calibri"/>
        <family val="2"/>
      </rPr>
      <t>ε</t>
    </r>
    <r>
      <rPr>
        <i/>
        <sz val="11"/>
        <color theme="1"/>
        <rFont val="Arial"/>
        <family val="2"/>
      </rPr>
      <t>'</t>
    </r>
    <r>
      <rPr>
        <i/>
        <vertAlign val="subscript"/>
        <sz val="11"/>
        <color theme="1"/>
        <rFont val="Arial"/>
        <family val="2"/>
      </rPr>
      <t>s</t>
    </r>
  </si>
  <si>
    <r>
      <t>C</t>
    </r>
    <r>
      <rPr>
        <i/>
        <vertAlign val="subscript"/>
        <sz val="11"/>
        <color theme="1"/>
        <rFont val="Arial"/>
        <family val="2"/>
      </rPr>
      <t>s</t>
    </r>
    <r>
      <rPr>
        <i/>
        <sz val="11"/>
        <color theme="1"/>
        <rFont val="Arial"/>
        <family val="2"/>
      </rPr>
      <t xml:space="preserve"> = f'</t>
    </r>
    <r>
      <rPr>
        <i/>
        <vertAlign val="subscript"/>
        <sz val="11"/>
        <color theme="1"/>
        <rFont val="Arial"/>
        <family val="2"/>
      </rPr>
      <t>s</t>
    </r>
    <r>
      <rPr>
        <i/>
        <sz val="11"/>
        <color theme="1"/>
        <rFont val="Arial"/>
        <family val="2"/>
      </rPr>
      <t>A'</t>
    </r>
    <r>
      <rPr>
        <i/>
        <vertAlign val="subscript"/>
        <sz val="11"/>
        <color theme="1"/>
        <rFont val="Arial"/>
        <family val="2"/>
      </rPr>
      <t>s</t>
    </r>
  </si>
  <si>
    <t>Area:                    72.2178</t>
  </si>
  <si>
    <t>Perimeter:               46.3035</t>
  </si>
  <si>
    <t xml:space="preserve">                      Y: 1.9830</t>
  </si>
  <si>
    <t>Moments of inertia:   X: 406.3334</t>
  </si>
  <si>
    <t xml:space="preserve">                      Y: 1724.5998</t>
  </si>
  <si>
    <t>Radii of gyration:    X: 2.3720</t>
  </si>
  <si>
    <t xml:space="preserve">                      Y: 4.8868</t>
  </si>
  <si>
    <t xml:space="preserve">                      I: 122.3573 along [1.0000 0.0000]</t>
  </si>
  <si>
    <t xml:space="preserve">                      J: 1724.5998 along [0.0000 1.0000]</t>
  </si>
  <si>
    <t>Area:                    57.9460</t>
  </si>
  <si>
    <t>Perimeter:               40.0782</t>
  </si>
  <si>
    <t xml:space="preserve">                      Y: 1.8557</t>
  </si>
  <si>
    <t>Moments of inertia:   X: 285.5292</t>
  </si>
  <si>
    <t xml:space="preserve">                      Y: 1017.3603</t>
  </si>
  <si>
    <t>Radii of gyration:    X: 2.2198</t>
  </si>
  <si>
    <t xml:space="preserve">                      Y: 4.1901</t>
  </si>
  <si>
    <t xml:space="preserve">                      I: 85.9860 along [1.0000 0.0000]</t>
  </si>
  <si>
    <t xml:space="preserve">                      J: 1017.3603 along [0.0000 1.0000]</t>
  </si>
  <si>
    <r>
      <rPr>
        <i/>
        <sz val="11"/>
        <color theme="1"/>
        <rFont val="Calibri"/>
        <family val="2"/>
      </rPr>
      <t>α</t>
    </r>
    <r>
      <rPr>
        <i/>
        <sz val="11"/>
        <color theme="1"/>
        <rFont val="Arial"/>
        <family val="2"/>
      </rPr>
      <t>φP</t>
    </r>
    <r>
      <rPr>
        <i/>
        <vertAlign val="subscript"/>
        <sz val="11"/>
        <color theme="1"/>
        <rFont val="Arial"/>
        <family val="2"/>
      </rPr>
      <t>n</t>
    </r>
  </si>
  <si>
    <r>
      <rPr>
        <i/>
        <sz val="11"/>
        <color theme="1"/>
        <rFont val="Calibri"/>
        <family val="2"/>
      </rPr>
      <t>α</t>
    </r>
    <r>
      <rPr>
        <i/>
        <sz val="11"/>
        <color theme="1"/>
        <rFont val="Arial"/>
        <family val="2"/>
      </rPr>
      <t>φP</t>
    </r>
    <r>
      <rPr>
        <i/>
        <vertAlign val="subscript"/>
        <sz val="11"/>
        <color theme="1"/>
        <rFont val="Arial"/>
        <family val="2"/>
      </rPr>
      <t>n</t>
    </r>
    <r>
      <rPr>
        <i/>
        <sz val="11"/>
        <color theme="1"/>
        <rFont val="Arial"/>
        <family val="2"/>
      </rPr>
      <t>/A</t>
    </r>
    <r>
      <rPr>
        <i/>
        <vertAlign val="subscript"/>
        <sz val="11"/>
        <color theme="1"/>
        <rFont val="Arial"/>
        <family val="2"/>
      </rPr>
      <t>g</t>
    </r>
  </si>
  <si>
    <r>
      <t>d</t>
    </r>
    <r>
      <rPr>
        <i/>
        <vertAlign val="subscript"/>
        <sz val="11"/>
        <color theme="1"/>
        <rFont val="Arial"/>
        <family val="2"/>
      </rPr>
      <t>b</t>
    </r>
  </si>
  <si>
    <r>
      <t>c</t>
    </r>
    <r>
      <rPr>
        <i/>
        <vertAlign val="subscript"/>
        <sz val="11"/>
        <color theme="1"/>
        <rFont val="Arial"/>
        <family val="2"/>
      </rPr>
      <t>b</t>
    </r>
  </si>
  <si>
    <r>
      <t>a</t>
    </r>
    <r>
      <rPr>
        <i/>
        <vertAlign val="subscript"/>
        <sz val="11"/>
        <color theme="1"/>
        <rFont val="Arial"/>
        <family val="2"/>
      </rPr>
      <t>b</t>
    </r>
  </si>
  <si>
    <r>
      <t>A</t>
    </r>
    <r>
      <rPr>
        <i/>
        <vertAlign val="subscript"/>
        <sz val="11"/>
        <color theme="1"/>
        <rFont val="Arial"/>
        <family val="2"/>
      </rPr>
      <t>block,b</t>
    </r>
  </si>
  <si>
    <r>
      <t>C</t>
    </r>
    <r>
      <rPr>
        <b/>
        <i/>
        <vertAlign val="subscript"/>
        <sz val="11"/>
        <color theme="1"/>
        <rFont val="Arial"/>
        <family val="2"/>
      </rPr>
      <t>c,b</t>
    </r>
  </si>
  <si>
    <r>
      <t>g</t>
    </r>
    <r>
      <rPr>
        <i/>
        <vertAlign val="subscript"/>
        <sz val="11"/>
        <color theme="1"/>
        <rFont val="Arial"/>
        <family val="2"/>
      </rPr>
      <t>c,b</t>
    </r>
  </si>
  <si>
    <r>
      <t>ε'</t>
    </r>
    <r>
      <rPr>
        <i/>
        <vertAlign val="subscript"/>
        <sz val="11"/>
        <color theme="1"/>
        <rFont val="Arial"/>
        <family val="2"/>
      </rPr>
      <t>s,top,prim,b</t>
    </r>
  </si>
  <si>
    <r>
      <t>f'</t>
    </r>
    <r>
      <rPr>
        <i/>
        <vertAlign val="subscript"/>
        <sz val="11"/>
        <color theme="1"/>
        <rFont val="Arial"/>
        <family val="2"/>
      </rPr>
      <t>s,top,prim,b</t>
    </r>
  </si>
  <si>
    <r>
      <t>C</t>
    </r>
    <r>
      <rPr>
        <b/>
        <i/>
        <vertAlign val="subscript"/>
        <sz val="11"/>
        <color theme="1"/>
        <rFont val="Arial"/>
        <family val="2"/>
      </rPr>
      <t>s,top,prim,b</t>
    </r>
  </si>
  <si>
    <r>
      <t>g</t>
    </r>
    <r>
      <rPr>
        <i/>
        <vertAlign val="subscript"/>
        <sz val="11"/>
        <color theme="1"/>
        <rFont val="Arial"/>
        <family val="2"/>
      </rPr>
      <t>s,top,prim,b</t>
    </r>
  </si>
  <si>
    <r>
      <t>ε'</t>
    </r>
    <r>
      <rPr>
        <i/>
        <vertAlign val="subscript"/>
        <sz val="11"/>
        <color theme="1"/>
        <rFont val="Arial"/>
        <family val="2"/>
      </rPr>
      <t>s,top,sec,b</t>
    </r>
  </si>
  <si>
    <r>
      <t>f'</t>
    </r>
    <r>
      <rPr>
        <i/>
        <vertAlign val="subscript"/>
        <sz val="11"/>
        <color theme="1"/>
        <rFont val="Arial"/>
        <family val="2"/>
      </rPr>
      <t>s,top,sec,b</t>
    </r>
  </si>
  <si>
    <r>
      <t>C</t>
    </r>
    <r>
      <rPr>
        <b/>
        <i/>
        <vertAlign val="subscript"/>
        <sz val="11"/>
        <color theme="1"/>
        <rFont val="Arial"/>
        <family val="2"/>
      </rPr>
      <t>s,top,sec,b</t>
    </r>
  </si>
  <si>
    <r>
      <t>g</t>
    </r>
    <r>
      <rPr>
        <i/>
        <vertAlign val="subscript"/>
        <sz val="11"/>
        <color theme="1"/>
        <rFont val="Arial"/>
        <family val="2"/>
      </rPr>
      <t>s,top,sec,b</t>
    </r>
  </si>
  <si>
    <r>
      <t>ε</t>
    </r>
    <r>
      <rPr>
        <i/>
        <vertAlign val="subscript"/>
        <sz val="11"/>
        <color theme="1"/>
        <rFont val="Arial"/>
        <family val="2"/>
      </rPr>
      <t>s,cent,b</t>
    </r>
  </si>
  <si>
    <r>
      <t>f</t>
    </r>
    <r>
      <rPr>
        <i/>
        <vertAlign val="subscript"/>
        <sz val="11"/>
        <color theme="1"/>
        <rFont val="Arial"/>
        <family val="2"/>
      </rPr>
      <t>s,cent,b</t>
    </r>
  </si>
  <si>
    <r>
      <t>g</t>
    </r>
    <r>
      <rPr>
        <i/>
        <vertAlign val="subscript"/>
        <sz val="11"/>
        <color theme="1"/>
        <rFont val="Arial"/>
        <family val="2"/>
      </rPr>
      <t>s,cent,b</t>
    </r>
  </si>
  <si>
    <r>
      <t>T</t>
    </r>
    <r>
      <rPr>
        <b/>
        <i/>
        <vertAlign val="subscript"/>
        <sz val="11"/>
        <color theme="1"/>
        <rFont val="Arial"/>
        <family val="2"/>
      </rPr>
      <t>s,cent,b</t>
    </r>
  </si>
  <si>
    <r>
      <t>ε</t>
    </r>
    <r>
      <rPr>
        <i/>
        <vertAlign val="subscript"/>
        <sz val="11"/>
        <color theme="1"/>
        <rFont val="Arial"/>
        <family val="2"/>
      </rPr>
      <t>s,bot,sec,b</t>
    </r>
  </si>
  <si>
    <r>
      <t>f</t>
    </r>
    <r>
      <rPr>
        <i/>
        <vertAlign val="subscript"/>
        <sz val="11"/>
        <color theme="1"/>
        <rFont val="Arial"/>
        <family val="2"/>
      </rPr>
      <t>s,bot,sec,b</t>
    </r>
  </si>
  <si>
    <r>
      <t>T</t>
    </r>
    <r>
      <rPr>
        <b/>
        <i/>
        <vertAlign val="subscript"/>
        <sz val="11"/>
        <color theme="1"/>
        <rFont val="Arial"/>
        <family val="2"/>
      </rPr>
      <t>s,bot,sec,b</t>
    </r>
  </si>
  <si>
    <r>
      <t>g</t>
    </r>
    <r>
      <rPr>
        <i/>
        <vertAlign val="subscript"/>
        <sz val="11"/>
        <color theme="1"/>
        <rFont val="Arial"/>
        <family val="2"/>
      </rPr>
      <t>s,bot,sec,b</t>
    </r>
  </si>
  <si>
    <r>
      <t>ε</t>
    </r>
    <r>
      <rPr>
        <i/>
        <vertAlign val="subscript"/>
        <sz val="11"/>
        <color theme="1"/>
        <rFont val="Arial"/>
        <family val="2"/>
      </rPr>
      <t>s,bot,prim,b</t>
    </r>
  </si>
  <si>
    <r>
      <t>f</t>
    </r>
    <r>
      <rPr>
        <i/>
        <vertAlign val="subscript"/>
        <sz val="11"/>
        <color theme="1"/>
        <rFont val="Arial"/>
        <family val="2"/>
      </rPr>
      <t>s,bot,prim,b</t>
    </r>
  </si>
  <si>
    <r>
      <t>T</t>
    </r>
    <r>
      <rPr>
        <b/>
        <i/>
        <vertAlign val="subscript"/>
        <sz val="11"/>
        <color theme="1"/>
        <rFont val="Arial"/>
        <family val="2"/>
      </rPr>
      <t>s,bot,prim,b</t>
    </r>
  </si>
  <si>
    <r>
      <t>g</t>
    </r>
    <r>
      <rPr>
        <i/>
        <vertAlign val="subscript"/>
        <sz val="11"/>
        <color theme="1"/>
        <rFont val="Arial"/>
        <family val="2"/>
      </rPr>
      <t>s,bot,prim,b</t>
    </r>
  </si>
  <si>
    <r>
      <t>P</t>
    </r>
    <r>
      <rPr>
        <i/>
        <vertAlign val="subscript"/>
        <sz val="11"/>
        <color theme="1"/>
        <rFont val="Arial"/>
        <family val="2"/>
      </rPr>
      <t>n,b</t>
    </r>
  </si>
  <si>
    <r>
      <t>M</t>
    </r>
    <r>
      <rPr>
        <i/>
        <vertAlign val="subscript"/>
        <sz val="11"/>
        <color theme="1"/>
        <rFont val="Arial"/>
        <family val="2"/>
      </rPr>
      <t>n,b</t>
    </r>
  </si>
  <si>
    <r>
      <t>C</t>
    </r>
    <r>
      <rPr>
        <b/>
        <i/>
        <vertAlign val="subscript"/>
        <sz val="11"/>
        <color theme="1"/>
        <rFont val="Arial"/>
        <family val="2"/>
      </rPr>
      <t>s,top,cent,b</t>
    </r>
  </si>
  <si>
    <r>
      <t>g</t>
    </r>
    <r>
      <rPr>
        <i/>
        <vertAlign val="subscript"/>
        <sz val="11"/>
        <color theme="1"/>
        <rFont val="Arial"/>
        <family val="2"/>
      </rPr>
      <t>s,top,cent,b</t>
    </r>
  </si>
  <si>
    <r>
      <t>ε</t>
    </r>
    <r>
      <rPr>
        <i/>
        <vertAlign val="subscript"/>
        <sz val="11"/>
        <color theme="1"/>
        <rFont val="Arial"/>
        <family val="2"/>
      </rPr>
      <t>s,bot,cent,b</t>
    </r>
  </si>
  <si>
    <r>
      <t>g</t>
    </r>
    <r>
      <rPr>
        <i/>
        <vertAlign val="subscript"/>
        <sz val="11"/>
        <color theme="1"/>
        <rFont val="Arial"/>
        <family val="2"/>
      </rPr>
      <t>s,bot,cent,b</t>
    </r>
  </si>
  <si>
    <r>
      <rPr>
        <i/>
        <sz val="11"/>
        <color theme="1"/>
        <rFont val="Arial"/>
        <family val="2"/>
      </rPr>
      <t>d</t>
    </r>
    <r>
      <rPr>
        <i/>
        <vertAlign val="subscript"/>
        <sz val="11"/>
        <color theme="1"/>
        <rFont val="Arial"/>
        <family val="2"/>
      </rPr>
      <t>0</t>
    </r>
  </si>
  <si>
    <r>
      <rPr>
        <i/>
        <sz val="11"/>
        <color theme="1"/>
        <rFont val="Arial"/>
        <family val="2"/>
      </rPr>
      <t>c</t>
    </r>
    <r>
      <rPr>
        <i/>
        <vertAlign val="subscript"/>
        <sz val="11"/>
        <color theme="1"/>
        <rFont val="Arial"/>
        <family val="2"/>
      </rPr>
      <t>0</t>
    </r>
  </si>
  <si>
    <r>
      <rPr>
        <i/>
        <sz val="11"/>
        <color theme="1"/>
        <rFont val="Arial"/>
        <family val="2"/>
      </rPr>
      <t>a</t>
    </r>
    <r>
      <rPr>
        <i/>
        <vertAlign val="subscript"/>
        <sz val="11"/>
        <color theme="1"/>
        <rFont val="Arial"/>
        <family val="2"/>
      </rPr>
      <t>0</t>
    </r>
  </si>
  <si>
    <r>
      <rPr>
        <i/>
        <sz val="11"/>
        <color theme="1"/>
        <rFont val="Arial"/>
        <family val="2"/>
      </rPr>
      <t>A</t>
    </r>
    <r>
      <rPr>
        <i/>
        <vertAlign val="subscript"/>
        <sz val="11"/>
        <color theme="1"/>
        <rFont val="Arial"/>
        <family val="2"/>
      </rPr>
      <t>block,0</t>
    </r>
  </si>
  <si>
    <r>
      <rPr>
        <b/>
        <i/>
        <sz val="11"/>
        <color theme="1"/>
        <rFont val="Arial"/>
        <family val="2"/>
      </rPr>
      <t>C</t>
    </r>
    <r>
      <rPr>
        <b/>
        <i/>
        <vertAlign val="subscript"/>
        <sz val="11"/>
        <color theme="1"/>
        <rFont val="Arial"/>
        <family val="2"/>
      </rPr>
      <t>c,0</t>
    </r>
  </si>
  <si>
    <r>
      <rPr>
        <i/>
        <sz val="11"/>
        <color theme="1"/>
        <rFont val="Arial"/>
        <family val="2"/>
      </rPr>
      <t>g</t>
    </r>
    <r>
      <rPr>
        <i/>
        <vertAlign val="subscript"/>
        <sz val="11"/>
        <color theme="1"/>
        <rFont val="Arial"/>
        <family val="2"/>
      </rPr>
      <t>c,0</t>
    </r>
  </si>
  <si>
    <r>
      <rPr>
        <i/>
        <sz val="11"/>
        <color theme="1"/>
        <rFont val="Arial"/>
        <family val="2"/>
      </rPr>
      <t>ε'</t>
    </r>
    <r>
      <rPr>
        <i/>
        <vertAlign val="subscript"/>
        <sz val="11"/>
        <color theme="1"/>
        <rFont val="Arial"/>
        <family val="2"/>
      </rPr>
      <t>s,top,prim,0</t>
    </r>
  </si>
  <si>
    <r>
      <rPr>
        <i/>
        <sz val="11"/>
        <color theme="1"/>
        <rFont val="Arial"/>
        <family val="2"/>
      </rPr>
      <t>f'</t>
    </r>
    <r>
      <rPr>
        <i/>
        <vertAlign val="subscript"/>
        <sz val="11"/>
        <color theme="1"/>
        <rFont val="Arial"/>
        <family val="2"/>
      </rPr>
      <t>s,top,prim,0</t>
    </r>
  </si>
  <si>
    <r>
      <rPr>
        <b/>
        <i/>
        <sz val="11"/>
        <color theme="1"/>
        <rFont val="Arial"/>
        <family val="2"/>
      </rPr>
      <t>C</t>
    </r>
    <r>
      <rPr>
        <b/>
        <i/>
        <vertAlign val="subscript"/>
        <sz val="11"/>
        <color theme="1"/>
        <rFont val="Arial"/>
        <family val="2"/>
      </rPr>
      <t>s,top,prim,0</t>
    </r>
  </si>
  <si>
    <r>
      <rPr>
        <i/>
        <sz val="11"/>
        <color theme="1"/>
        <rFont val="Arial"/>
        <family val="2"/>
      </rPr>
      <t>g</t>
    </r>
    <r>
      <rPr>
        <i/>
        <vertAlign val="subscript"/>
        <sz val="11"/>
        <color theme="1"/>
        <rFont val="Arial"/>
        <family val="2"/>
      </rPr>
      <t>s,top,prim,0</t>
    </r>
  </si>
  <si>
    <r>
      <rPr>
        <i/>
        <sz val="11"/>
        <color theme="1"/>
        <rFont val="Arial"/>
        <family val="2"/>
      </rPr>
      <t>g</t>
    </r>
    <r>
      <rPr>
        <i/>
        <vertAlign val="subscript"/>
        <sz val="11"/>
        <color theme="1"/>
        <rFont val="Arial"/>
        <family val="2"/>
      </rPr>
      <t>s,top,sec,0</t>
    </r>
  </si>
  <si>
    <r>
      <rPr>
        <i/>
        <sz val="11"/>
        <color theme="1"/>
        <rFont val="Arial"/>
        <family val="2"/>
      </rPr>
      <t>ε</t>
    </r>
    <r>
      <rPr>
        <i/>
        <vertAlign val="subscript"/>
        <sz val="11"/>
        <color theme="1"/>
        <rFont val="Arial"/>
        <family val="2"/>
      </rPr>
      <t>s,cent,0</t>
    </r>
  </si>
  <si>
    <r>
      <rPr>
        <i/>
        <sz val="11"/>
        <color theme="1"/>
        <rFont val="Arial"/>
        <family val="2"/>
      </rPr>
      <t>f</t>
    </r>
    <r>
      <rPr>
        <i/>
        <vertAlign val="subscript"/>
        <sz val="11"/>
        <color theme="1"/>
        <rFont val="Arial"/>
        <family val="2"/>
      </rPr>
      <t>s,cent,0</t>
    </r>
  </si>
  <si>
    <r>
      <rPr>
        <b/>
        <i/>
        <sz val="11"/>
        <color theme="1"/>
        <rFont val="Arial"/>
        <family val="2"/>
      </rPr>
      <t>T</t>
    </r>
    <r>
      <rPr>
        <b/>
        <i/>
        <vertAlign val="subscript"/>
        <sz val="11"/>
        <color theme="1"/>
        <rFont val="Arial"/>
        <family val="2"/>
      </rPr>
      <t>s,cent,0</t>
    </r>
  </si>
  <si>
    <r>
      <rPr>
        <i/>
        <sz val="11"/>
        <color theme="1"/>
        <rFont val="Arial"/>
        <family val="2"/>
      </rPr>
      <t>g</t>
    </r>
    <r>
      <rPr>
        <i/>
        <vertAlign val="subscript"/>
        <sz val="11"/>
        <color theme="1"/>
        <rFont val="Arial"/>
        <family val="2"/>
      </rPr>
      <t>s,cent,0</t>
    </r>
  </si>
  <si>
    <r>
      <rPr>
        <i/>
        <sz val="11"/>
        <color theme="1"/>
        <rFont val="Arial"/>
        <family val="2"/>
      </rPr>
      <t>ε</t>
    </r>
    <r>
      <rPr>
        <i/>
        <vertAlign val="subscript"/>
        <sz val="11"/>
        <color theme="1"/>
        <rFont val="Arial"/>
        <family val="2"/>
      </rPr>
      <t>s,bot,sec,0</t>
    </r>
  </si>
  <si>
    <r>
      <rPr>
        <i/>
        <sz val="11"/>
        <color theme="1"/>
        <rFont val="Arial"/>
        <family val="2"/>
      </rPr>
      <t>f</t>
    </r>
    <r>
      <rPr>
        <i/>
        <vertAlign val="subscript"/>
        <sz val="11"/>
        <color theme="1"/>
        <rFont val="Arial"/>
        <family val="2"/>
      </rPr>
      <t>s,bot,sec,0</t>
    </r>
  </si>
  <si>
    <r>
      <rPr>
        <b/>
        <i/>
        <sz val="11"/>
        <color theme="1"/>
        <rFont val="Arial"/>
        <family val="2"/>
      </rPr>
      <t>T</t>
    </r>
    <r>
      <rPr>
        <b/>
        <i/>
        <vertAlign val="subscript"/>
        <sz val="11"/>
        <color theme="1"/>
        <rFont val="Arial"/>
        <family val="2"/>
      </rPr>
      <t>s,bot,sec,0</t>
    </r>
  </si>
  <si>
    <r>
      <rPr>
        <i/>
        <sz val="11"/>
        <color theme="1"/>
        <rFont val="Arial"/>
        <family val="2"/>
      </rPr>
      <t>g</t>
    </r>
    <r>
      <rPr>
        <i/>
        <vertAlign val="subscript"/>
        <sz val="11"/>
        <color theme="1"/>
        <rFont val="Arial"/>
        <family val="2"/>
      </rPr>
      <t>s,bot,sec,0</t>
    </r>
  </si>
  <si>
    <r>
      <rPr>
        <i/>
        <sz val="11"/>
        <color theme="1"/>
        <rFont val="Arial"/>
        <family val="2"/>
      </rPr>
      <t>ε</t>
    </r>
    <r>
      <rPr>
        <i/>
        <vertAlign val="subscript"/>
        <sz val="11"/>
        <color theme="1"/>
        <rFont val="Arial"/>
        <family val="2"/>
      </rPr>
      <t>s,bot,prim,0</t>
    </r>
  </si>
  <si>
    <r>
      <rPr>
        <i/>
        <sz val="11"/>
        <color theme="1"/>
        <rFont val="Arial"/>
        <family val="2"/>
      </rPr>
      <t>f</t>
    </r>
    <r>
      <rPr>
        <i/>
        <vertAlign val="subscript"/>
        <sz val="11"/>
        <color theme="1"/>
        <rFont val="Arial"/>
        <family val="2"/>
      </rPr>
      <t>s,bot,prim,0</t>
    </r>
  </si>
  <si>
    <r>
      <rPr>
        <b/>
        <i/>
        <sz val="11"/>
        <color theme="1"/>
        <rFont val="Arial"/>
        <family val="2"/>
      </rPr>
      <t>T</t>
    </r>
    <r>
      <rPr>
        <b/>
        <i/>
        <vertAlign val="subscript"/>
        <sz val="11"/>
        <color theme="1"/>
        <rFont val="Arial"/>
        <family val="2"/>
      </rPr>
      <t>s,bot,prim,0</t>
    </r>
  </si>
  <si>
    <r>
      <rPr>
        <i/>
        <sz val="11"/>
        <color theme="1"/>
        <rFont val="Arial"/>
        <family val="2"/>
      </rPr>
      <t>g</t>
    </r>
    <r>
      <rPr>
        <i/>
        <vertAlign val="subscript"/>
        <sz val="11"/>
        <color theme="1"/>
        <rFont val="Arial"/>
        <family val="2"/>
      </rPr>
      <t>s,bot,prim,0</t>
    </r>
  </si>
  <si>
    <r>
      <rPr>
        <i/>
        <sz val="11"/>
        <color theme="1"/>
        <rFont val="Arial"/>
        <family val="2"/>
      </rPr>
      <t>P</t>
    </r>
    <r>
      <rPr>
        <i/>
        <vertAlign val="subscript"/>
        <sz val="11"/>
        <color theme="1"/>
        <rFont val="Arial"/>
        <family val="2"/>
      </rPr>
      <t>n,0</t>
    </r>
  </si>
  <si>
    <r>
      <rPr>
        <i/>
        <sz val="11"/>
        <color theme="1"/>
        <rFont val="Arial"/>
        <family val="2"/>
      </rPr>
      <t>M</t>
    </r>
    <r>
      <rPr>
        <i/>
        <vertAlign val="subscript"/>
        <sz val="11"/>
        <color theme="1"/>
        <rFont val="Arial"/>
        <family val="2"/>
      </rPr>
      <t>n,0</t>
    </r>
  </si>
  <si>
    <r>
      <rPr>
        <b/>
        <i/>
        <sz val="11"/>
        <color theme="1"/>
        <rFont val="Arial"/>
        <family val="2"/>
      </rPr>
      <t>T</t>
    </r>
    <r>
      <rPr>
        <b/>
        <i/>
        <vertAlign val="subscript"/>
        <sz val="11"/>
        <color theme="1"/>
        <rFont val="Arial"/>
        <family val="2"/>
      </rPr>
      <t>s,top,sec,0</t>
    </r>
  </si>
  <si>
    <r>
      <t>ε</t>
    </r>
    <r>
      <rPr>
        <i/>
        <vertAlign val="subscript"/>
        <sz val="11"/>
        <color theme="1"/>
        <rFont val="Arial"/>
        <family val="2"/>
      </rPr>
      <t>s,top,cent,0</t>
    </r>
  </si>
  <si>
    <r>
      <t>f</t>
    </r>
    <r>
      <rPr>
        <i/>
        <vertAlign val="subscript"/>
        <sz val="11"/>
        <color theme="1"/>
        <rFont val="Arial"/>
        <family val="2"/>
      </rPr>
      <t>s,top,cent,0</t>
    </r>
  </si>
  <si>
    <r>
      <t>T</t>
    </r>
    <r>
      <rPr>
        <b/>
        <i/>
        <vertAlign val="subscript"/>
        <sz val="11"/>
        <color theme="1"/>
        <rFont val="Arial"/>
        <family val="2"/>
      </rPr>
      <t>s,top,cent,0</t>
    </r>
  </si>
  <si>
    <r>
      <t>g</t>
    </r>
    <r>
      <rPr>
        <i/>
        <vertAlign val="subscript"/>
        <sz val="11"/>
        <color theme="1"/>
        <rFont val="Arial"/>
        <family val="2"/>
      </rPr>
      <t>s,top,cent,0</t>
    </r>
  </si>
  <si>
    <r>
      <t>ε</t>
    </r>
    <r>
      <rPr>
        <i/>
        <vertAlign val="subscript"/>
        <sz val="11"/>
        <color theme="1"/>
        <rFont val="Arial"/>
        <family val="2"/>
      </rPr>
      <t>s,bot,cent,0</t>
    </r>
  </si>
  <si>
    <r>
      <t>f</t>
    </r>
    <r>
      <rPr>
        <i/>
        <vertAlign val="subscript"/>
        <sz val="11"/>
        <color theme="1"/>
        <rFont val="Arial"/>
        <family val="2"/>
      </rPr>
      <t>s,bot,cent,0</t>
    </r>
  </si>
  <si>
    <r>
      <t>T</t>
    </r>
    <r>
      <rPr>
        <b/>
        <i/>
        <vertAlign val="subscript"/>
        <sz val="11"/>
        <color theme="1"/>
        <rFont val="Arial"/>
        <family val="2"/>
      </rPr>
      <t>s,bot,cent,0</t>
    </r>
  </si>
  <si>
    <r>
      <t>g</t>
    </r>
    <r>
      <rPr>
        <i/>
        <vertAlign val="subscript"/>
        <sz val="11"/>
        <color theme="1"/>
        <rFont val="Arial"/>
        <family val="2"/>
      </rPr>
      <t>s,bot,cent,0</t>
    </r>
  </si>
  <si>
    <r>
      <t>NA</t>
    </r>
    <r>
      <rPr>
        <i/>
        <vertAlign val="subscript"/>
        <sz val="11"/>
        <color theme="1"/>
        <rFont val="Arial"/>
        <family val="2"/>
      </rPr>
      <t>b</t>
    </r>
  </si>
  <si>
    <r>
      <t>NA</t>
    </r>
    <r>
      <rPr>
        <i/>
        <vertAlign val="subscript"/>
        <sz val="11"/>
        <color theme="1"/>
        <rFont val="Arial"/>
        <family val="2"/>
      </rPr>
      <t>0</t>
    </r>
  </si>
  <si>
    <r>
      <t>D</t>
    </r>
    <r>
      <rPr>
        <i/>
        <vertAlign val="subscript"/>
        <sz val="11"/>
        <color theme="1"/>
        <rFont val="Arial"/>
        <family val="2"/>
      </rPr>
      <t>c,3</t>
    </r>
  </si>
  <si>
    <r>
      <t>A</t>
    </r>
    <r>
      <rPr>
        <i/>
        <vertAlign val="subscript"/>
        <sz val="11"/>
        <color theme="1"/>
        <rFont val="Arial"/>
        <family val="2"/>
      </rPr>
      <t>core,2.5</t>
    </r>
  </si>
  <si>
    <r>
      <t>A</t>
    </r>
    <r>
      <rPr>
        <i/>
        <vertAlign val="subscript"/>
        <sz val="11"/>
        <color theme="1"/>
        <rFont val="Arial"/>
        <family val="2"/>
      </rPr>
      <t>core,3</t>
    </r>
  </si>
  <si>
    <t>Depth to bottom of unif. conc. stress block 0</t>
  </si>
  <si>
    <t>Area of stress block 0</t>
  </si>
  <si>
    <t>Stress block 0 compressive force</t>
  </si>
  <si>
    <t>N.A. to centroid of stress block 0</t>
  </si>
  <si>
    <t>Primary top layer rebar compressive strain 0</t>
  </si>
  <si>
    <t>Primary top layer rebar compressive stress 0</t>
  </si>
  <si>
    <t>Primary top layer rebar compressive force 0</t>
  </si>
  <si>
    <t>Secondary top layer rebar compressive strain 0</t>
  </si>
  <si>
    <t>Secondary top layer rebar compressive stress 0</t>
  </si>
  <si>
    <t>Secondary top layer rebar compressive force 0</t>
  </si>
  <si>
    <t>Center layer rebar tensile strain 0</t>
  </si>
  <si>
    <t>Center layer rebar tensile stress 0</t>
  </si>
  <si>
    <t>Center layer rebar tensile force 0</t>
  </si>
  <si>
    <t>Secondary bottom layer rebar tensile strain 0</t>
  </si>
  <si>
    <t>Secondary bottom layer rebar tensile stress 0</t>
  </si>
  <si>
    <t>Secondary bottom layer rebar tensile force 0</t>
  </si>
  <si>
    <t>Bottom primary layer rebar tensile force 0</t>
  </si>
  <si>
    <t>net compressive capacity 0</t>
  </si>
  <si>
    <t>net moment capacity 0</t>
  </si>
  <si>
    <t>3'-0" pile diameter</t>
  </si>
  <si>
    <t>3'-0" dia. pile rebar size</t>
  </si>
  <si>
    <t>Depth to bottom of unif. conc. stress block b</t>
  </si>
  <si>
    <t>Area of stress block b</t>
  </si>
  <si>
    <t>Stress block b compressive force</t>
  </si>
  <si>
    <t>N.A. to centroid of stress block b</t>
  </si>
  <si>
    <t>Primary top layer rebar compressive strain b</t>
  </si>
  <si>
    <t>Primary top layer rebar compressive stress b</t>
  </si>
  <si>
    <t>Primary top layer rebar compressive force b</t>
  </si>
  <si>
    <t>Secondary top layer rebar compressive strain b</t>
  </si>
  <si>
    <t>Secondary top layer rebar compressive stress b</t>
  </si>
  <si>
    <t>Secondary top layer rebar compressive force b</t>
  </si>
  <si>
    <t>Center layer rebar tensile strain b</t>
  </si>
  <si>
    <t>Center layer rebar tensile stress b</t>
  </si>
  <si>
    <t>Center layer rebar tensile force b</t>
  </si>
  <si>
    <t>Secondary bottom layer rebar tensile strain b</t>
  </si>
  <si>
    <t>Secondary bottom layer rebar tensile stress b</t>
  </si>
  <si>
    <t>Secondary bottom layer rebar tensile force b</t>
  </si>
  <si>
    <t>Bottom primary layer rebar tensile force b</t>
  </si>
  <si>
    <t>net compressive capacity b</t>
  </si>
  <si>
    <t>net moment capacity b</t>
  </si>
  <si>
    <t>36" pile bar layers</t>
  </si>
  <si>
    <t>30" pile bar layers</t>
  </si>
  <si>
    <r>
      <t>φ</t>
    </r>
    <r>
      <rPr>
        <i/>
        <vertAlign val="subscript"/>
        <sz val="11"/>
        <color theme="1"/>
        <rFont val="Arial"/>
        <family val="2"/>
      </rPr>
      <t>c,s</t>
    </r>
    <r>
      <rPr>
        <i/>
        <sz val="11"/>
        <color theme="1"/>
        <rFont val="Arial"/>
        <family val="2"/>
      </rPr>
      <t>α</t>
    </r>
    <r>
      <rPr>
        <i/>
        <vertAlign val="subscript"/>
        <sz val="11"/>
        <color theme="1"/>
        <rFont val="Arial"/>
        <family val="2"/>
      </rPr>
      <t>col</t>
    </r>
    <r>
      <rPr>
        <i/>
        <sz val="11"/>
        <color theme="1"/>
        <rFont val="Arial"/>
        <family val="2"/>
      </rPr>
      <t>P</t>
    </r>
    <r>
      <rPr>
        <i/>
        <vertAlign val="subscript"/>
        <sz val="11"/>
        <color theme="1"/>
        <rFont val="Arial"/>
        <family val="2"/>
      </rPr>
      <t>o,3</t>
    </r>
  </si>
  <si>
    <t>Top center layer rebar tensile strain b</t>
  </si>
  <si>
    <t>Top center layer rebar tensile stress b</t>
  </si>
  <si>
    <t>Top center layer rebar tensile force b</t>
  </si>
  <si>
    <t>N.A. to centroid of top center layer rebar</t>
  </si>
  <si>
    <t>Bottom center layer rebar tensile strain b</t>
  </si>
  <si>
    <t>Bottom center layer rebar tensile stress b</t>
  </si>
  <si>
    <t>Bottom center layer rebar tensile force b</t>
  </si>
  <si>
    <t>N.A. to centroid of bottom center layer rebar</t>
  </si>
  <si>
    <t>Balanced Strain Condition</t>
  </si>
  <si>
    <t>Pure Flexure Condition</t>
  </si>
  <si>
    <t>Nominal pure tension capacity</t>
  </si>
  <si>
    <t>CalTrans RSP ES-7N</t>
  </si>
  <si>
    <t>ACI 318 Sec. 10.9.1</t>
  </si>
  <si>
    <t>ACI 318 Sec. 10.2.3</t>
  </si>
  <si>
    <t>ACI 318 Eq. 10-2</t>
  </si>
  <si>
    <t>ACI 318 Eq. 10-3</t>
  </si>
  <si>
    <t>ACI 318 Sec. 10.2.7.3</t>
  </si>
  <si>
    <t>ACI 318 Sec. 10.2.4</t>
  </si>
  <si>
    <t>ACI 318 Sec. 9.3.2.2</t>
  </si>
  <si>
    <t>Diameter of circular section for shear strength</t>
  </si>
  <si>
    <t>Lightweight concrete factor</t>
  </si>
  <si>
    <r>
      <t>b</t>
    </r>
    <r>
      <rPr>
        <i/>
        <vertAlign val="subscript"/>
        <sz val="11"/>
        <color theme="1"/>
        <rFont val="Arial"/>
        <family val="2"/>
      </rPr>
      <t>w</t>
    </r>
  </si>
  <si>
    <t>ACI 318 Sec. 8.6.1</t>
  </si>
  <si>
    <t>ACI 318 Sec. 2.1</t>
  </si>
  <si>
    <t>Shear demand/capacity ratio</t>
  </si>
  <si>
    <r>
      <t>A</t>
    </r>
    <r>
      <rPr>
        <i/>
        <vertAlign val="subscript"/>
        <sz val="11"/>
        <color theme="1"/>
        <rFont val="Arial"/>
        <family val="2"/>
      </rPr>
      <t>cp</t>
    </r>
  </si>
  <si>
    <t>Area enclosed by outside concrete perimeter</t>
  </si>
  <si>
    <r>
      <t>p</t>
    </r>
    <r>
      <rPr>
        <i/>
        <vertAlign val="subscript"/>
        <sz val="11"/>
        <color theme="1"/>
        <rFont val="Arial"/>
        <family val="2"/>
      </rPr>
      <t>cp</t>
    </r>
  </si>
  <si>
    <t>Outside perimeter of concrete cross section</t>
  </si>
  <si>
    <t>Shear Capacity Check</t>
  </si>
  <si>
    <t>Torsion Check</t>
  </si>
  <si>
    <t>Interaction Diagram Construction</t>
  </si>
  <si>
    <t>Design shear strength provided by concrete</t>
  </si>
  <si>
    <t>ACI 318 Sec. 9.3.2.3</t>
  </si>
  <si>
    <t>Threshold torsion</t>
  </si>
  <si>
    <t>lb-in</t>
  </si>
  <si>
    <r>
      <t>T</t>
    </r>
    <r>
      <rPr>
        <i/>
        <vertAlign val="subscript"/>
        <sz val="11"/>
        <color theme="1"/>
        <rFont val="Arial"/>
        <family val="2"/>
      </rPr>
      <t xml:space="preserve">u </t>
    </r>
    <r>
      <rPr>
        <sz val="11"/>
        <color theme="1"/>
        <rFont val="Arial"/>
        <family val="2"/>
      </rPr>
      <t xml:space="preserve">≤ </t>
    </r>
    <r>
      <rPr>
        <i/>
        <sz val="11"/>
        <color theme="1"/>
        <rFont val="Arial"/>
        <family val="2"/>
      </rPr>
      <t>T</t>
    </r>
    <r>
      <rPr>
        <i/>
        <vertAlign val="subscript"/>
        <sz val="11"/>
        <color theme="1"/>
        <rFont val="Arial"/>
        <family val="2"/>
      </rPr>
      <t>cr</t>
    </r>
    <r>
      <rPr>
        <i/>
        <sz val="11"/>
        <color theme="1"/>
        <rFont val="Arial"/>
        <family val="2"/>
      </rPr>
      <t>/4</t>
    </r>
  </si>
  <si>
    <r>
      <t>T</t>
    </r>
    <r>
      <rPr>
        <i/>
        <vertAlign val="subscript"/>
        <sz val="11"/>
        <color theme="1"/>
        <rFont val="Arial"/>
        <family val="2"/>
      </rPr>
      <t>cr</t>
    </r>
    <r>
      <rPr>
        <i/>
        <sz val="11"/>
        <color theme="1"/>
        <rFont val="Arial"/>
        <family val="2"/>
      </rPr>
      <t>/4 = φ</t>
    </r>
    <r>
      <rPr>
        <i/>
        <vertAlign val="subscript"/>
        <sz val="11"/>
        <color theme="1"/>
        <rFont val="Arial"/>
        <family val="2"/>
      </rPr>
      <t>v</t>
    </r>
    <r>
      <rPr>
        <i/>
        <sz val="11"/>
        <color theme="1"/>
        <rFont val="Arial"/>
        <family val="2"/>
      </rPr>
      <t>f'</t>
    </r>
    <r>
      <rPr>
        <i/>
        <vertAlign val="subscript"/>
        <sz val="11"/>
        <color theme="1"/>
        <rFont val="Arial"/>
        <family val="2"/>
      </rPr>
      <t>c</t>
    </r>
    <r>
      <rPr>
        <i/>
        <vertAlign val="superscript"/>
        <sz val="11"/>
        <color theme="1"/>
        <rFont val="Arial"/>
        <family val="2"/>
      </rPr>
      <t>1/2</t>
    </r>
    <r>
      <rPr>
        <i/>
        <sz val="11"/>
        <color theme="1"/>
        <rFont val="Arial"/>
        <family val="2"/>
      </rPr>
      <t>(A</t>
    </r>
    <r>
      <rPr>
        <i/>
        <vertAlign val="superscript"/>
        <sz val="11"/>
        <color theme="1"/>
        <rFont val="Arial"/>
        <family val="2"/>
      </rPr>
      <t>2</t>
    </r>
    <r>
      <rPr>
        <i/>
        <vertAlign val="subscript"/>
        <sz val="11"/>
        <color theme="1"/>
        <rFont val="Arial"/>
        <family val="2"/>
      </rPr>
      <t>cp</t>
    </r>
    <r>
      <rPr>
        <i/>
        <sz val="11"/>
        <color theme="1"/>
        <rFont val="Arial"/>
        <family val="2"/>
      </rPr>
      <t>/p</t>
    </r>
    <r>
      <rPr>
        <i/>
        <vertAlign val="subscript"/>
        <sz val="11"/>
        <color theme="1"/>
        <rFont val="Arial"/>
        <family val="2"/>
      </rPr>
      <t>cp</t>
    </r>
    <r>
      <rPr>
        <i/>
        <sz val="11"/>
        <color theme="1"/>
        <rFont val="Arial"/>
        <family val="2"/>
      </rPr>
      <t>)</t>
    </r>
  </si>
  <si>
    <t>Threshold torsion demand/capacity ratio</t>
  </si>
  <si>
    <r>
      <t>φ</t>
    </r>
    <r>
      <rPr>
        <i/>
        <vertAlign val="subscript"/>
        <sz val="11"/>
        <color theme="1"/>
        <rFont val="Arial"/>
        <family val="2"/>
      </rPr>
      <t>v</t>
    </r>
    <r>
      <rPr>
        <i/>
        <sz val="11"/>
        <color theme="1"/>
        <rFont val="Arial"/>
        <family val="2"/>
      </rPr>
      <t>V</t>
    </r>
    <r>
      <rPr>
        <i/>
        <vertAlign val="subscript"/>
        <sz val="11"/>
        <color theme="1"/>
        <rFont val="Arial"/>
        <family val="2"/>
      </rPr>
      <t>c</t>
    </r>
    <r>
      <rPr>
        <i/>
        <sz val="11"/>
        <color theme="1"/>
        <rFont val="Arial"/>
        <family val="2"/>
      </rPr>
      <t xml:space="preserve"> = 2</t>
    </r>
    <r>
      <rPr>
        <i/>
        <sz val="11"/>
        <color theme="1"/>
        <rFont val="Calibri"/>
        <family val="2"/>
      </rPr>
      <t>φ</t>
    </r>
    <r>
      <rPr>
        <i/>
        <vertAlign val="subscript"/>
        <sz val="11"/>
        <color theme="1"/>
        <rFont val="Arial"/>
        <family val="2"/>
      </rPr>
      <t>v</t>
    </r>
    <r>
      <rPr>
        <i/>
        <sz val="11"/>
        <color theme="1"/>
        <rFont val="Calibri"/>
        <family val="2"/>
      </rPr>
      <t>λ</t>
    </r>
    <r>
      <rPr>
        <i/>
        <sz val="11"/>
        <color theme="1"/>
        <rFont val="Arial"/>
        <family val="2"/>
      </rPr>
      <t>f'</t>
    </r>
    <r>
      <rPr>
        <i/>
        <vertAlign val="subscript"/>
        <sz val="11"/>
        <color theme="1"/>
        <rFont val="Arial"/>
        <family val="2"/>
      </rPr>
      <t>c</t>
    </r>
    <r>
      <rPr>
        <i/>
        <vertAlign val="superscript"/>
        <sz val="11"/>
        <color theme="1"/>
        <rFont val="Arial"/>
        <family val="2"/>
      </rPr>
      <t>1/2</t>
    </r>
    <r>
      <rPr>
        <i/>
        <sz val="11"/>
        <color theme="1"/>
        <rFont val="Arial"/>
        <family val="2"/>
      </rPr>
      <t>b</t>
    </r>
    <r>
      <rPr>
        <i/>
        <vertAlign val="subscript"/>
        <sz val="11"/>
        <color theme="1"/>
        <rFont val="Arial"/>
        <family val="2"/>
      </rPr>
      <t>w</t>
    </r>
    <r>
      <rPr>
        <i/>
        <sz val="11"/>
        <color theme="1"/>
        <rFont val="Arial"/>
        <family val="2"/>
      </rPr>
      <t>d</t>
    </r>
  </si>
  <si>
    <t>ACI 318 Eq. 11-3 (conservative assumption)</t>
  </si>
  <si>
    <t>ACI 318 Sec. 11.5.1(a) (conservative assumption)</t>
  </si>
  <si>
    <r>
      <t>f'</t>
    </r>
    <r>
      <rPr>
        <i/>
        <vertAlign val="subscript"/>
        <sz val="11"/>
        <color theme="1"/>
        <rFont val="Arial"/>
        <family val="2"/>
      </rPr>
      <t>s,top,cent,b</t>
    </r>
  </si>
  <si>
    <r>
      <t>P</t>
    </r>
    <r>
      <rPr>
        <i/>
        <vertAlign val="subscript"/>
        <sz val="11"/>
        <color theme="1"/>
        <rFont val="Arial"/>
        <family val="2"/>
      </rPr>
      <t>o,3</t>
    </r>
    <r>
      <rPr>
        <i/>
        <sz val="11"/>
        <color theme="1"/>
        <rFont val="Arial"/>
        <family val="2"/>
      </rPr>
      <t xml:space="preserve"> = 0.85f'</t>
    </r>
    <r>
      <rPr>
        <i/>
        <vertAlign val="subscript"/>
        <sz val="11"/>
        <color theme="1"/>
        <rFont val="Arial"/>
        <family val="2"/>
      </rPr>
      <t>c</t>
    </r>
    <r>
      <rPr>
        <i/>
        <sz val="11"/>
        <color theme="1"/>
        <rFont val="Arial"/>
        <family val="2"/>
      </rPr>
      <t>(A</t>
    </r>
    <r>
      <rPr>
        <i/>
        <vertAlign val="subscript"/>
        <sz val="11"/>
        <color theme="1"/>
        <rFont val="Arial"/>
        <family val="2"/>
      </rPr>
      <t>g</t>
    </r>
    <r>
      <rPr>
        <i/>
        <sz val="11"/>
        <color theme="1"/>
        <rFont val="Arial"/>
        <family val="2"/>
      </rPr>
      <t xml:space="preserve"> - A</t>
    </r>
    <r>
      <rPr>
        <i/>
        <vertAlign val="subscript"/>
        <sz val="11"/>
        <color theme="1"/>
        <rFont val="Arial"/>
        <family val="2"/>
      </rPr>
      <t>st</t>
    </r>
    <r>
      <rPr>
        <i/>
        <sz val="11"/>
        <color theme="1"/>
        <rFont val="Arial"/>
        <family val="2"/>
      </rPr>
      <t>) + A</t>
    </r>
    <r>
      <rPr>
        <i/>
        <vertAlign val="subscript"/>
        <sz val="11"/>
        <color theme="1"/>
        <rFont val="Arial"/>
        <family val="2"/>
      </rPr>
      <t>st</t>
    </r>
    <r>
      <rPr>
        <i/>
        <sz val="11"/>
        <color theme="1"/>
        <rFont val="Arial"/>
        <family val="2"/>
      </rPr>
      <t>f</t>
    </r>
    <r>
      <rPr>
        <i/>
        <vertAlign val="subscript"/>
        <sz val="11"/>
        <color theme="1"/>
        <rFont val="Arial"/>
        <family val="2"/>
      </rPr>
      <t>y</t>
    </r>
  </si>
  <si>
    <t>ACI 318 Eq. 10-1</t>
  </si>
  <si>
    <r>
      <t>A</t>
    </r>
    <r>
      <rPr>
        <i/>
        <vertAlign val="subscript"/>
        <sz val="11"/>
        <color theme="1"/>
        <rFont val="Arial"/>
        <family val="2"/>
      </rPr>
      <t>s,min</t>
    </r>
    <r>
      <rPr>
        <i/>
        <sz val="11"/>
        <color theme="1"/>
        <rFont val="Arial"/>
        <family val="2"/>
      </rPr>
      <t xml:space="preserve"> = max(3f'</t>
    </r>
    <r>
      <rPr>
        <i/>
        <vertAlign val="subscript"/>
        <sz val="11"/>
        <color theme="1"/>
        <rFont val="Arial"/>
        <family val="2"/>
      </rPr>
      <t>c</t>
    </r>
    <r>
      <rPr>
        <i/>
        <vertAlign val="superscript"/>
        <sz val="11"/>
        <color theme="1"/>
        <rFont val="Arial"/>
        <family val="2"/>
      </rPr>
      <t>1/2</t>
    </r>
    <r>
      <rPr>
        <i/>
        <sz val="11"/>
        <color theme="1"/>
        <rFont val="Arial"/>
        <family val="2"/>
      </rPr>
      <t>b</t>
    </r>
    <r>
      <rPr>
        <i/>
        <vertAlign val="subscript"/>
        <sz val="11"/>
        <color theme="1"/>
        <rFont val="Arial"/>
        <family val="2"/>
      </rPr>
      <t>w</t>
    </r>
    <r>
      <rPr>
        <i/>
        <sz val="11"/>
        <color theme="1"/>
        <rFont val="Arial"/>
        <family val="2"/>
      </rPr>
      <t>d/f</t>
    </r>
    <r>
      <rPr>
        <i/>
        <vertAlign val="subscript"/>
        <sz val="11"/>
        <color theme="1"/>
        <rFont val="Arial"/>
        <family val="2"/>
      </rPr>
      <t>y</t>
    </r>
    <r>
      <rPr>
        <i/>
        <sz val="11"/>
        <color theme="1"/>
        <rFont val="Arial"/>
        <family val="2"/>
      </rPr>
      <t>,200b</t>
    </r>
    <r>
      <rPr>
        <i/>
        <vertAlign val="subscript"/>
        <sz val="11"/>
        <color theme="1"/>
        <rFont val="Arial"/>
        <family val="2"/>
      </rPr>
      <t>w</t>
    </r>
    <r>
      <rPr>
        <i/>
        <sz val="11"/>
        <color theme="1"/>
        <rFont val="Arial"/>
        <family val="2"/>
      </rPr>
      <t>d/f</t>
    </r>
    <r>
      <rPr>
        <i/>
        <vertAlign val="subscript"/>
        <sz val="11"/>
        <color theme="1"/>
        <rFont val="Arial"/>
        <family val="2"/>
      </rPr>
      <t>y</t>
    </r>
    <r>
      <rPr>
        <i/>
        <sz val="11"/>
        <color theme="1"/>
        <rFont val="Arial"/>
        <family val="2"/>
      </rPr>
      <t>)</t>
    </r>
  </si>
  <si>
    <r>
      <rPr>
        <i/>
        <sz val="11"/>
        <color theme="1"/>
        <rFont val="Arial"/>
        <family val="2"/>
      </rPr>
      <t>ε</t>
    </r>
    <r>
      <rPr>
        <i/>
        <vertAlign val="subscript"/>
        <sz val="11"/>
        <color theme="1"/>
        <rFont val="Arial"/>
        <family val="2"/>
      </rPr>
      <t>s,top,sec,0</t>
    </r>
  </si>
  <si>
    <r>
      <rPr>
        <i/>
        <sz val="11"/>
        <color theme="1"/>
        <rFont val="Arial"/>
        <family val="2"/>
      </rPr>
      <t>f</t>
    </r>
    <r>
      <rPr>
        <i/>
        <vertAlign val="subscript"/>
        <sz val="11"/>
        <color theme="1"/>
        <rFont val="Arial"/>
        <family val="2"/>
      </rPr>
      <t>s,top,sec,0</t>
    </r>
  </si>
  <si>
    <r>
      <t>ε'</t>
    </r>
    <r>
      <rPr>
        <i/>
        <vertAlign val="subscript"/>
        <sz val="11"/>
        <color theme="1"/>
        <rFont val="Arial"/>
        <family val="2"/>
      </rPr>
      <t>s,top,cent,b</t>
    </r>
  </si>
  <si>
    <t>Luminaire wind area centroid z</t>
  </si>
  <si>
    <t>Ground Bearing Pressure Check</t>
  </si>
  <si>
    <t>Allowable ground bearing pressure</t>
  </si>
  <si>
    <r>
      <t>GBP</t>
    </r>
    <r>
      <rPr>
        <i/>
        <vertAlign val="subscript"/>
        <sz val="11"/>
        <color theme="1"/>
        <rFont val="Arial"/>
        <family val="2"/>
      </rPr>
      <t>allow</t>
    </r>
  </si>
  <si>
    <t>ASD vertical demand</t>
  </si>
  <si>
    <t>Applied ground bearing pressure</t>
  </si>
  <si>
    <t>Total pile weight</t>
  </si>
  <si>
    <r>
      <t>d</t>
    </r>
    <r>
      <rPr>
        <i/>
        <vertAlign val="subscript"/>
        <sz val="11"/>
        <color theme="1"/>
        <rFont val="Arial"/>
        <family val="2"/>
      </rPr>
      <t>embed</t>
    </r>
  </si>
  <si>
    <r>
      <t>W</t>
    </r>
    <r>
      <rPr>
        <i/>
        <vertAlign val="subscript"/>
        <sz val="11"/>
        <color theme="1"/>
        <rFont val="Arial"/>
        <family val="2"/>
      </rPr>
      <t>pile</t>
    </r>
    <r>
      <rPr>
        <i/>
        <sz val="11"/>
        <color theme="1"/>
        <rFont val="Arial"/>
        <family val="2"/>
      </rPr>
      <t xml:space="preserve"> = w</t>
    </r>
    <r>
      <rPr>
        <i/>
        <vertAlign val="subscript"/>
        <sz val="11"/>
        <color theme="1"/>
        <rFont val="Arial"/>
        <family val="2"/>
      </rPr>
      <t>c</t>
    </r>
    <r>
      <rPr>
        <i/>
        <sz val="11"/>
        <color theme="1"/>
        <rFont val="Arial"/>
        <family val="2"/>
      </rPr>
      <t>A</t>
    </r>
    <r>
      <rPr>
        <i/>
        <vertAlign val="subscript"/>
        <sz val="11"/>
        <color theme="1"/>
        <rFont val="Arial"/>
        <family val="2"/>
      </rPr>
      <t>pile</t>
    </r>
    <r>
      <rPr>
        <i/>
        <sz val="11"/>
        <color theme="1"/>
        <rFont val="Arial"/>
        <family val="2"/>
      </rPr>
      <t>d</t>
    </r>
    <r>
      <rPr>
        <i/>
        <vertAlign val="subscript"/>
        <sz val="11"/>
        <color theme="1"/>
        <rFont val="Arial"/>
        <family val="2"/>
      </rPr>
      <t>embed</t>
    </r>
  </si>
  <si>
    <t>centroid of sign z</t>
  </si>
  <si>
    <t>Pile deflection due to shear</t>
  </si>
  <si>
    <r>
      <rPr>
        <sz val="11"/>
        <color theme="1"/>
        <rFont val="Calibri"/>
        <family val="2"/>
      </rPr>
      <t>Δ</t>
    </r>
    <r>
      <rPr>
        <i/>
        <vertAlign val="subscript"/>
        <sz val="11"/>
        <color theme="1"/>
        <rFont val="Arial"/>
        <family val="2"/>
      </rPr>
      <t>V</t>
    </r>
    <r>
      <rPr>
        <i/>
        <sz val="11"/>
        <color theme="1"/>
        <rFont val="Arial"/>
        <family val="2"/>
      </rPr>
      <t xml:space="preserve"> = Fd</t>
    </r>
    <r>
      <rPr>
        <i/>
        <vertAlign val="subscript"/>
        <sz val="11"/>
        <color theme="1"/>
        <rFont val="Arial"/>
        <family val="2"/>
      </rPr>
      <t>embed</t>
    </r>
    <r>
      <rPr>
        <i/>
        <vertAlign val="superscript"/>
        <sz val="11"/>
        <color theme="1"/>
        <rFont val="Arial"/>
        <family val="2"/>
      </rPr>
      <t>3</t>
    </r>
    <r>
      <rPr>
        <i/>
        <sz val="11"/>
        <color theme="1"/>
        <rFont val="Arial"/>
        <family val="2"/>
      </rPr>
      <t>/(3EI)</t>
    </r>
  </si>
  <si>
    <t>Pile deflection due to moment</t>
  </si>
  <si>
    <t>Effective section moment of inertia</t>
  </si>
  <si>
    <r>
      <rPr>
        <sz val="11"/>
        <color theme="1"/>
        <rFont val="Calibri"/>
        <family val="2"/>
      </rPr>
      <t>Δ</t>
    </r>
    <r>
      <rPr>
        <i/>
        <vertAlign val="subscript"/>
        <sz val="11"/>
        <color theme="1"/>
        <rFont val="Arial"/>
        <family val="2"/>
      </rPr>
      <t>M</t>
    </r>
    <r>
      <rPr>
        <i/>
        <sz val="11"/>
        <color theme="1"/>
        <rFont val="Arial"/>
        <family val="2"/>
      </rPr>
      <t xml:space="preserve"> = M</t>
    </r>
    <r>
      <rPr>
        <i/>
        <vertAlign val="subscript"/>
        <sz val="11"/>
        <color theme="1"/>
        <rFont val="Arial"/>
        <family val="2"/>
      </rPr>
      <t>0</t>
    </r>
    <r>
      <rPr>
        <i/>
        <sz val="11"/>
        <color theme="1"/>
        <rFont val="Arial"/>
        <family val="2"/>
      </rPr>
      <t>d</t>
    </r>
    <r>
      <rPr>
        <i/>
        <vertAlign val="subscript"/>
        <sz val="11"/>
        <color theme="1"/>
        <rFont val="Arial"/>
        <family val="2"/>
      </rPr>
      <t>embed</t>
    </r>
    <r>
      <rPr>
        <i/>
        <vertAlign val="superscript"/>
        <sz val="11"/>
        <color theme="1"/>
        <rFont val="Arial"/>
        <family val="2"/>
      </rPr>
      <t>2</t>
    </r>
    <r>
      <rPr>
        <i/>
        <sz val="11"/>
        <color theme="1"/>
        <rFont val="Arial"/>
        <family val="2"/>
      </rPr>
      <t>/(2EI)</t>
    </r>
  </si>
  <si>
    <r>
      <t>M</t>
    </r>
    <r>
      <rPr>
        <i/>
        <vertAlign val="subscript"/>
        <sz val="11"/>
        <color theme="1"/>
        <rFont val="Arial"/>
        <family val="2"/>
      </rPr>
      <t xml:space="preserve">cr </t>
    </r>
    <r>
      <rPr>
        <i/>
        <sz val="11"/>
        <color theme="1"/>
        <rFont val="Arial"/>
        <family val="2"/>
      </rPr>
      <t>= 7.5</t>
    </r>
    <r>
      <rPr>
        <i/>
        <sz val="11"/>
        <color theme="1"/>
        <rFont val="Calibri"/>
        <family val="2"/>
      </rPr>
      <t>λ</t>
    </r>
    <r>
      <rPr>
        <i/>
        <sz val="11"/>
        <color theme="1"/>
        <rFont val="Arial"/>
        <family val="2"/>
      </rPr>
      <t>f'</t>
    </r>
    <r>
      <rPr>
        <i/>
        <vertAlign val="subscript"/>
        <sz val="11"/>
        <color theme="1"/>
        <rFont val="Arial"/>
        <family val="2"/>
      </rPr>
      <t>c</t>
    </r>
    <r>
      <rPr>
        <i/>
        <vertAlign val="superscript"/>
        <sz val="11"/>
        <color theme="1"/>
        <rFont val="Arial"/>
        <family val="2"/>
      </rPr>
      <t>1/2</t>
    </r>
    <r>
      <rPr>
        <i/>
        <sz val="11"/>
        <color theme="1"/>
        <rFont val="Arial"/>
        <family val="2"/>
      </rPr>
      <t>I</t>
    </r>
    <r>
      <rPr>
        <i/>
        <vertAlign val="subscript"/>
        <sz val="11"/>
        <color theme="1"/>
        <rFont val="Arial"/>
        <family val="2"/>
      </rPr>
      <t>g</t>
    </r>
    <r>
      <rPr>
        <i/>
        <sz val="11"/>
        <color theme="1"/>
        <rFont val="Arial"/>
        <family val="2"/>
      </rPr>
      <t>/y</t>
    </r>
    <r>
      <rPr>
        <i/>
        <vertAlign val="subscript"/>
        <sz val="11"/>
        <color theme="1"/>
        <rFont val="Arial"/>
        <family val="2"/>
      </rPr>
      <t>t</t>
    </r>
  </si>
  <si>
    <t>Cracking moment</t>
  </si>
  <si>
    <t>Elastic modulus of concrete</t>
  </si>
  <si>
    <t>Gross section moment of inertia</t>
  </si>
  <si>
    <t>Maximum moment due to service loads</t>
  </si>
  <si>
    <r>
      <t>E</t>
    </r>
    <r>
      <rPr>
        <i/>
        <vertAlign val="subscript"/>
        <sz val="11"/>
        <color theme="1"/>
        <rFont val="Arial"/>
        <family val="2"/>
      </rPr>
      <t>c</t>
    </r>
    <r>
      <rPr>
        <i/>
        <sz val="11"/>
        <color theme="1"/>
        <rFont val="Arial"/>
        <family val="2"/>
      </rPr>
      <t xml:space="preserve"> = 57,000f'</t>
    </r>
    <r>
      <rPr>
        <i/>
        <vertAlign val="subscript"/>
        <sz val="11"/>
        <color theme="1"/>
        <rFont val="Arial"/>
        <family val="2"/>
      </rPr>
      <t>c</t>
    </r>
    <r>
      <rPr>
        <i/>
        <vertAlign val="superscript"/>
        <sz val="11"/>
        <color theme="1"/>
        <rFont val="Arial"/>
        <family val="2"/>
      </rPr>
      <t>1/2</t>
    </r>
  </si>
  <si>
    <r>
      <t>I</t>
    </r>
    <r>
      <rPr>
        <i/>
        <vertAlign val="subscript"/>
        <sz val="11"/>
        <color theme="1"/>
        <rFont val="Arial"/>
        <family val="2"/>
      </rPr>
      <t>g</t>
    </r>
    <r>
      <rPr>
        <i/>
        <sz val="11"/>
        <color theme="1"/>
        <rFont val="Arial"/>
        <family val="2"/>
      </rPr>
      <t xml:space="preserve"> = dia</t>
    </r>
    <r>
      <rPr>
        <i/>
        <vertAlign val="superscript"/>
        <sz val="11"/>
        <color theme="1"/>
        <rFont val="Arial"/>
        <family val="2"/>
      </rPr>
      <t>4</t>
    </r>
    <r>
      <rPr>
        <i/>
        <sz val="11"/>
        <color theme="1"/>
        <rFont val="Arial"/>
        <family val="2"/>
      </rPr>
      <t>/64</t>
    </r>
  </si>
  <si>
    <t>Cracked moment of inertia</t>
  </si>
  <si>
    <r>
      <t>I</t>
    </r>
    <r>
      <rPr>
        <i/>
        <vertAlign val="subscript"/>
        <sz val="11"/>
        <color theme="1"/>
        <rFont val="Arial"/>
        <family val="2"/>
      </rPr>
      <t>cr</t>
    </r>
    <r>
      <rPr>
        <i/>
        <sz val="11"/>
        <color theme="1"/>
        <rFont val="Arial"/>
        <family val="2"/>
      </rPr>
      <t xml:space="preserve"> =</t>
    </r>
  </si>
  <si>
    <t>Modulus ratio</t>
  </si>
  <si>
    <r>
      <t>n = E</t>
    </r>
    <r>
      <rPr>
        <i/>
        <vertAlign val="subscript"/>
        <sz val="11"/>
        <color theme="1"/>
        <rFont val="Arial"/>
        <family val="2"/>
      </rPr>
      <t>s</t>
    </r>
    <r>
      <rPr>
        <i/>
        <sz val="11"/>
        <color theme="1"/>
        <rFont val="Arial"/>
        <family val="2"/>
      </rPr>
      <t>/E</t>
    </r>
    <r>
      <rPr>
        <i/>
        <vertAlign val="subscript"/>
        <sz val="11"/>
        <color theme="1"/>
        <rFont val="Arial"/>
        <family val="2"/>
      </rPr>
      <t>c</t>
    </r>
  </si>
  <si>
    <r>
      <t>M</t>
    </r>
    <r>
      <rPr>
        <i/>
        <vertAlign val="subscript"/>
        <sz val="11"/>
        <color theme="1"/>
        <rFont val="Arial"/>
        <family val="2"/>
      </rPr>
      <t>a</t>
    </r>
    <r>
      <rPr>
        <i/>
        <sz val="11"/>
        <color theme="1"/>
        <rFont val="Arial"/>
        <family val="2"/>
      </rPr>
      <t xml:space="preserve"> = </t>
    </r>
  </si>
  <si>
    <t>centroid of tensile reinforcement</t>
  </si>
  <si>
    <t>tensile steel reinforcement ratio</t>
  </si>
  <si>
    <r>
      <rPr>
        <i/>
        <sz val="11"/>
        <color theme="1"/>
        <rFont val="Calibri"/>
        <family val="2"/>
      </rPr>
      <t>ρ</t>
    </r>
    <r>
      <rPr>
        <i/>
        <sz val="11"/>
        <color theme="1"/>
        <rFont val="Arial"/>
        <family val="2"/>
      </rPr>
      <t xml:space="preserve"> = A</t>
    </r>
    <r>
      <rPr>
        <i/>
        <vertAlign val="subscript"/>
        <sz val="11"/>
        <color theme="1"/>
        <rFont val="Arial"/>
        <family val="2"/>
      </rPr>
      <t>s</t>
    </r>
    <r>
      <rPr>
        <i/>
        <sz val="11"/>
        <color theme="1"/>
        <rFont val="Arial"/>
        <family val="2"/>
      </rPr>
      <t>/(bd)</t>
    </r>
    <r>
      <rPr>
        <i/>
        <vertAlign val="subscript"/>
        <sz val="11"/>
        <color theme="1"/>
        <rFont val="Arial"/>
        <family val="2"/>
      </rPr>
      <t>eq</t>
    </r>
  </si>
  <si>
    <t>k</t>
  </si>
  <si>
    <t>Required Embedment Depth</t>
  </si>
  <si>
    <t>Allowable lateral bearing pressure</t>
  </si>
  <si>
    <t>min. required flexural reinforcement ratio</t>
  </si>
  <si>
    <t>Demand Capacity Ratio</t>
  </si>
  <si>
    <r>
      <t>D/C = V</t>
    </r>
    <r>
      <rPr>
        <i/>
        <vertAlign val="subscript"/>
        <sz val="11"/>
        <color theme="1"/>
        <rFont val="Arial"/>
        <family val="2"/>
      </rPr>
      <t>u</t>
    </r>
    <r>
      <rPr>
        <i/>
        <sz val="11"/>
        <color theme="1"/>
        <rFont val="Arial"/>
        <family val="2"/>
      </rPr>
      <t>/φ</t>
    </r>
    <r>
      <rPr>
        <i/>
        <vertAlign val="subscript"/>
        <sz val="11"/>
        <color theme="1"/>
        <rFont val="Arial"/>
        <family val="2"/>
      </rPr>
      <t>v</t>
    </r>
    <r>
      <rPr>
        <i/>
        <sz val="11"/>
        <color theme="1"/>
        <rFont val="Arial"/>
        <family val="2"/>
      </rPr>
      <t>V</t>
    </r>
    <r>
      <rPr>
        <i/>
        <vertAlign val="subscript"/>
        <sz val="11"/>
        <color theme="1"/>
        <rFont val="Arial"/>
        <family val="2"/>
      </rPr>
      <t>c</t>
    </r>
  </si>
  <si>
    <r>
      <t>D/C = GBP</t>
    </r>
    <r>
      <rPr>
        <i/>
        <vertAlign val="subscript"/>
        <sz val="11"/>
        <color theme="1"/>
        <rFont val="Arial"/>
        <family val="2"/>
      </rPr>
      <t>u</t>
    </r>
    <r>
      <rPr>
        <i/>
        <sz val="11"/>
        <color theme="1"/>
        <rFont val="Arial"/>
        <family val="2"/>
      </rPr>
      <t>/GBP</t>
    </r>
    <r>
      <rPr>
        <i/>
        <vertAlign val="subscript"/>
        <sz val="11"/>
        <color theme="1"/>
        <rFont val="Arial"/>
        <family val="2"/>
      </rPr>
      <t>allow</t>
    </r>
  </si>
  <si>
    <r>
      <t>ε</t>
    </r>
    <r>
      <rPr>
        <i/>
        <vertAlign val="subscript"/>
        <sz val="11"/>
        <color theme="1"/>
        <rFont val="Arial"/>
        <family val="2"/>
      </rPr>
      <t>cu</t>
    </r>
  </si>
  <si>
    <r>
      <t>C</t>
    </r>
    <r>
      <rPr>
        <b/>
        <i/>
        <vertAlign val="subscript"/>
        <sz val="11"/>
        <color theme="1"/>
        <rFont val="Arial"/>
        <family val="2"/>
      </rPr>
      <t>cb</t>
    </r>
    <r>
      <rPr>
        <b/>
        <i/>
        <sz val="11"/>
        <color theme="1"/>
        <rFont val="Arial"/>
        <family val="2"/>
      </rPr>
      <t xml:space="preserve"> = </t>
    </r>
    <r>
      <rPr>
        <b/>
        <sz val="11"/>
        <color theme="1"/>
        <rFont val="Arial"/>
        <family val="2"/>
      </rPr>
      <t>0.85</t>
    </r>
    <r>
      <rPr>
        <b/>
        <i/>
        <sz val="11"/>
        <color theme="1"/>
        <rFont val="Arial"/>
        <family val="2"/>
      </rPr>
      <t>f'</t>
    </r>
    <r>
      <rPr>
        <b/>
        <i/>
        <vertAlign val="subscript"/>
        <sz val="11"/>
        <color theme="1"/>
        <rFont val="Arial"/>
        <family val="2"/>
      </rPr>
      <t>c</t>
    </r>
    <r>
      <rPr>
        <b/>
        <i/>
        <sz val="11"/>
        <color theme="1"/>
        <rFont val="Arial"/>
        <family val="2"/>
      </rPr>
      <t>A</t>
    </r>
    <r>
      <rPr>
        <b/>
        <i/>
        <vertAlign val="subscript"/>
        <sz val="11"/>
        <color theme="1"/>
        <rFont val="Arial"/>
        <family val="2"/>
      </rPr>
      <t>block</t>
    </r>
  </si>
  <si>
    <r>
      <t>a</t>
    </r>
    <r>
      <rPr>
        <i/>
        <vertAlign val="subscript"/>
        <sz val="11"/>
        <color theme="1"/>
        <rFont val="Arial"/>
        <family val="2"/>
      </rPr>
      <t>b</t>
    </r>
    <r>
      <rPr>
        <i/>
        <sz val="11"/>
        <color theme="1"/>
        <rFont val="Arial"/>
        <family val="2"/>
      </rPr>
      <t xml:space="preserve"> = β</t>
    </r>
    <r>
      <rPr>
        <i/>
        <vertAlign val="subscript"/>
        <sz val="11"/>
        <color theme="1"/>
        <rFont val="Arial"/>
        <family val="2"/>
      </rPr>
      <t>1</t>
    </r>
    <r>
      <rPr>
        <i/>
        <sz val="11"/>
        <color theme="1"/>
        <rFont val="Arial"/>
        <family val="2"/>
      </rPr>
      <t>c</t>
    </r>
  </si>
  <si>
    <r>
      <t>f'</t>
    </r>
    <r>
      <rPr>
        <i/>
        <vertAlign val="subscript"/>
        <sz val="11"/>
        <color theme="1"/>
        <rFont val="Arial"/>
        <family val="2"/>
      </rPr>
      <t>s,top,prim,b</t>
    </r>
    <r>
      <rPr>
        <i/>
        <sz val="11"/>
        <color theme="1"/>
        <rFont val="Arial"/>
        <family val="2"/>
      </rPr>
      <t xml:space="preserve"> = E</t>
    </r>
    <r>
      <rPr>
        <i/>
        <vertAlign val="subscript"/>
        <sz val="11"/>
        <color theme="1"/>
        <rFont val="Arial"/>
        <family val="2"/>
      </rPr>
      <t>s</t>
    </r>
    <r>
      <rPr>
        <i/>
        <sz val="11"/>
        <color theme="1"/>
        <rFont val="Calibri"/>
        <family val="2"/>
      </rPr>
      <t>ε</t>
    </r>
    <r>
      <rPr>
        <i/>
        <sz val="11"/>
        <color theme="1"/>
        <rFont val="Arial"/>
        <family val="2"/>
      </rPr>
      <t>'</t>
    </r>
    <r>
      <rPr>
        <i/>
        <vertAlign val="subscript"/>
        <sz val="11"/>
        <color theme="1"/>
        <rFont val="Arial"/>
        <family val="2"/>
      </rPr>
      <t>s</t>
    </r>
  </si>
  <si>
    <r>
      <t>C</t>
    </r>
    <r>
      <rPr>
        <b/>
        <i/>
        <vertAlign val="subscript"/>
        <sz val="11"/>
        <color theme="1"/>
        <rFont val="Arial"/>
        <family val="2"/>
      </rPr>
      <t>s,top,prim,b</t>
    </r>
    <r>
      <rPr>
        <b/>
        <i/>
        <sz val="11"/>
        <color theme="1"/>
        <rFont val="Arial"/>
        <family val="2"/>
      </rPr>
      <t xml:space="preserve"> = f'</t>
    </r>
    <r>
      <rPr>
        <b/>
        <i/>
        <vertAlign val="subscript"/>
        <sz val="11"/>
        <color theme="1"/>
        <rFont val="Arial"/>
        <family val="2"/>
      </rPr>
      <t>s</t>
    </r>
    <r>
      <rPr>
        <b/>
        <i/>
        <sz val="11"/>
        <color theme="1"/>
        <rFont val="Arial"/>
        <family val="2"/>
      </rPr>
      <t>A'</t>
    </r>
    <r>
      <rPr>
        <b/>
        <i/>
        <vertAlign val="subscript"/>
        <sz val="11"/>
        <color theme="1"/>
        <rFont val="Arial"/>
        <family val="2"/>
      </rPr>
      <t>s</t>
    </r>
  </si>
  <si>
    <t>(from extreme comp. fiber)</t>
  </si>
  <si>
    <r>
      <t>f</t>
    </r>
    <r>
      <rPr>
        <i/>
        <vertAlign val="subscript"/>
        <sz val="11"/>
        <color theme="1"/>
        <rFont val="Arial"/>
        <family val="2"/>
      </rPr>
      <t>s,bot,cent,b</t>
    </r>
    <r>
      <rPr>
        <i/>
        <sz val="11"/>
        <color theme="1"/>
        <rFont val="Arial"/>
        <family val="2"/>
      </rPr>
      <t xml:space="preserve"> = E</t>
    </r>
    <r>
      <rPr>
        <i/>
        <vertAlign val="subscript"/>
        <sz val="11"/>
        <color theme="1"/>
        <rFont val="Arial"/>
        <family val="2"/>
      </rPr>
      <t>s</t>
    </r>
    <r>
      <rPr>
        <i/>
        <sz val="11"/>
        <color theme="1"/>
        <rFont val="Calibri"/>
        <family val="2"/>
      </rPr>
      <t>ε</t>
    </r>
    <r>
      <rPr>
        <i/>
        <vertAlign val="subscript"/>
        <sz val="11"/>
        <color theme="1"/>
        <rFont val="Arial"/>
        <family val="2"/>
      </rPr>
      <t>s</t>
    </r>
  </si>
  <si>
    <r>
      <t>T</t>
    </r>
    <r>
      <rPr>
        <b/>
        <i/>
        <vertAlign val="subscript"/>
        <sz val="11"/>
        <color theme="1"/>
        <rFont val="Arial"/>
        <family val="2"/>
      </rPr>
      <t>s,bot,cent,b</t>
    </r>
    <r>
      <rPr>
        <b/>
        <i/>
        <sz val="11"/>
        <color theme="1"/>
        <rFont val="Arial"/>
        <family val="2"/>
      </rPr>
      <t xml:space="preserve"> = f</t>
    </r>
    <r>
      <rPr>
        <b/>
        <i/>
        <vertAlign val="subscript"/>
        <sz val="11"/>
        <color theme="1"/>
        <rFont val="Arial"/>
        <family val="2"/>
      </rPr>
      <t>s</t>
    </r>
    <r>
      <rPr>
        <b/>
        <i/>
        <sz val="11"/>
        <color theme="1"/>
        <rFont val="Arial"/>
        <family val="2"/>
      </rPr>
      <t>A</t>
    </r>
    <r>
      <rPr>
        <b/>
        <i/>
        <vertAlign val="subscript"/>
        <sz val="11"/>
        <color theme="1"/>
        <rFont val="Arial"/>
        <family val="2"/>
      </rPr>
      <t>s</t>
    </r>
  </si>
  <si>
    <r>
      <t>C</t>
    </r>
    <r>
      <rPr>
        <b/>
        <i/>
        <vertAlign val="subscript"/>
        <sz val="11"/>
        <color theme="1"/>
        <rFont val="Arial"/>
        <family val="2"/>
      </rPr>
      <t>c,0</t>
    </r>
    <r>
      <rPr>
        <b/>
        <i/>
        <sz val="11"/>
        <color theme="1"/>
        <rFont val="Arial"/>
        <family val="2"/>
      </rPr>
      <t xml:space="preserve"> = </t>
    </r>
    <r>
      <rPr>
        <b/>
        <sz val="11"/>
        <color theme="1"/>
        <rFont val="Arial"/>
        <family val="2"/>
      </rPr>
      <t>0.85</t>
    </r>
    <r>
      <rPr>
        <b/>
        <i/>
        <sz val="11"/>
        <color theme="1"/>
        <rFont val="Arial"/>
        <family val="2"/>
      </rPr>
      <t>f'</t>
    </r>
    <r>
      <rPr>
        <b/>
        <i/>
        <vertAlign val="subscript"/>
        <sz val="11"/>
        <color theme="1"/>
        <rFont val="Arial"/>
        <family val="2"/>
      </rPr>
      <t>c</t>
    </r>
    <r>
      <rPr>
        <b/>
        <i/>
        <sz val="11"/>
        <color theme="1"/>
        <rFont val="Arial"/>
        <family val="2"/>
      </rPr>
      <t>A</t>
    </r>
    <r>
      <rPr>
        <b/>
        <i/>
        <vertAlign val="subscript"/>
        <sz val="11"/>
        <color theme="1"/>
        <rFont val="Arial"/>
        <family val="2"/>
      </rPr>
      <t>block</t>
    </r>
  </si>
  <si>
    <r>
      <t>a</t>
    </r>
    <r>
      <rPr>
        <i/>
        <vertAlign val="subscript"/>
        <sz val="11"/>
        <color theme="1"/>
        <rFont val="Arial"/>
        <family val="2"/>
      </rPr>
      <t>0</t>
    </r>
    <r>
      <rPr>
        <i/>
        <sz val="11"/>
        <color theme="1"/>
        <rFont val="Arial"/>
        <family val="2"/>
      </rPr>
      <t xml:space="preserve"> = β</t>
    </r>
    <r>
      <rPr>
        <i/>
        <vertAlign val="subscript"/>
        <sz val="11"/>
        <color theme="1"/>
        <rFont val="Arial"/>
        <family val="2"/>
      </rPr>
      <t>1</t>
    </r>
    <r>
      <rPr>
        <i/>
        <sz val="11"/>
        <color theme="1"/>
        <rFont val="Arial"/>
        <family val="2"/>
      </rPr>
      <t>c</t>
    </r>
  </si>
  <si>
    <r>
      <t>f'</t>
    </r>
    <r>
      <rPr>
        <i/>
        <vertAlign val="subscript"/>
        <sz val="11"/>
        <color theme="1"/>
        <rFont val="Arial"/>
        <family val="2"/>
      </rPr>
      <t>s,top,prim,0</t>
    </r>
    <r>
      <rPr>
        <i/>
        <sz val="11"/>
        <color theme="1"/>
        <rFont val="Arial"/>
        <family val="2"/>
      </rPr>
      <t xml:space="preserve"> = E</t>
    </r>
    <r>
      <rPr>
        <i/>
        <vertAlign val="subscript"/>
        <sz val="11"/>
        <color theme="1"/>
        <rFont val="Arial"/>
        <family val="2"/>
      </rPr>
      <t>s</t>
    </r>
    <r>
      <rPr>
        <i/>
        <sz val="11"/>
        <color theme="1"/>
        <rFont val="Calibri"/>
        <family val="2"/>
      </rPr>
      <t>ε</t>
    </r>
    <r>
      <rPr>
        <i/>
        <sz val="11"/>
        <color theme="1"/>
        <rFont val="Arial"/>
        <family val="2"/>
      </rPr>
      <t>'</t>
    </r>
    <r>
      <rPr>
        <i/>
        <vertAlign val="subscript"/>
        <sz val="11"/>
        <color theme="1"/>
        <rFont val="Arial"/>
        <family val="2"/>
      </rPr>
      <t>s</t>
    </r>
  </si>
  <si>
    <r>
      <t>C</t>
    </r>
    <r>
      <rPr>
        <b/>
        <i/>
        <vertAlign val="subscript"/>
        <sz val="11"/>
        <color theme="1"/>
        <rFont val="Arial"/>
        <family val="2"/>
      </rPr>
      <t>s,top,prim,0</t>
    </r>
    <r>
      <rPr>
        <b/>
        <i/>
        <sz val="11"/>
        <color theme="1"/>
        <rFont val="Arial"/>
        <family val="2"/>
      </rPr>
      <t xml:space="preserve"> = f'</t>
    </r>
    <r>
      <rPr>
        <b/>
        <i/>
        <vertAlign val="subscript"/>
        <sz val="11"/>
        <color theme="1"/>
        <rFont val="Arial"/>
        <family val="2"/>
      </rPr>
      <t>s</t>
    </r>
    <r>
      <rPr>
        <b/>
        <i/>
        <sz val="11"/>
        <color theme="1"/>
        <rFont val="Arial"/>
        <family val="2"/>
      </rPr>
      <t>A'</t>
    </r>
    <r>
      <rPr>
        <b/>
        <i/>
        <vertAlign val="subscript"/>
        <sz val="11"/>
        <color theme="1"/>
        <rFont val="Arial"/>
        <family val="2"/>
      </rPr>
      <t>s</t>
    </r>
  </si>
  <si>
    <r>
      <t>f</t>
    </r>
    <r>
      <rPr>
        <i/>
        <vertAlign val="subscript"/>
        <sz val="11"/>
        <color theme="1"/>
        <rFont val="Arial"/>
        <family val="2"/>
      </rPr>
      <t>s,top,sec,0</t>
    </r>
    <r>
      <rPr>
        <i/>
        <sz val="11"/>
        <color theme="1"/>
        <rFont val="Arial"/>
        <family val="2"/>
      </rPr>
      <t xml:space="preserve"> = E</t>
    </r>
    <r>
      <rPr>
        <i/>
        <vertAlign val="subscript"/>
        <sz val="11"/>
        <color theme="1"/>
        <rFont val="Arial"/>
        <family val="2"/>
      </rPr>
      <t>s</t>
    </r>
    <r>
      <rPr>
        <i/>
        <sz val="11"/>
        <color theme="1"/>
        <rFont val="Calibri"/>
        <family val="2"/>
      </rPr>
      <t>ε</t>
    </r>
    <r>
      <rPr>
        <i/>
        <vertAlign val="subscript"/>
        <sz val="11"/>
        <color theme="1"/>
        <rFont val="Arial"/>
        <family val="2"/>
      </rPr>
      <t>s</t>
    </r>
  </si>
  <si>
    <r>
      <t>T</t>
    </r>
    <r>
      <rPr>
        <b/>
        <i/>
        <vertAlign val="subscript"/>
        <sz val="11"/>
        <color theme="1"/>
        <rFont val="Arial"/>
        <family val="2"/>
      </rPr>
      <t>s,top,sec,0</t>
    </r>
    <r>
      <rPr>
        <b/>
        <i/>
        <sz val="11"/>
        <color theme="1"/>
        <rFont val="Arial"/>
        <family val="2"/>
      </rPr>
      <t xml:space="preserve"> = f</t>
    </r>
    <r>
      <rPr>
        <b/>
        <i/>
        <vertAlign val="subscript"/>
        <sz val="11"/>
        <color theme="1"/>
        <rFont val="Arial"/>
        <family val="2"/>
      </rPr>
      <t>s</t>
    </r>
    <r>
      <rPr>
        <b/>
        <i/>
        <sz val="11"/>
        <color theme="1"/>
        <rFont val="Arial"/>
        <family val="2"/>
      </rPr>
      <t>A</t>
    </r>
    <r>
      <rPr>
        <b/>
        <i/>
        <vertAlign val="subscript"/>
        <sz val="11"/>
        <color theme="1"/>
        <rFont val="Arial"/>
        <family val="2"/>
      </rPr>
      <t>s</t>
    </r>
  </si>
  <si>
    <t>Section dimensions</t>
  </si>
  <si>
    <t>Area section properties</t>
  </si>
  <si>
    <t>Balanced Strain Section Diagram</t>
  </si>
  <si>
    <t>Zero Net Axial Load Strain Section Diagram</t>
  </si>
  <si>
    <t xml:space="preserve"> ----------------   REGION 2   ----------------</t>
  </si>
  <si>
    <t>Force Totals Table</t>
  </si>
  <si>
    <r>
      <t>GBP</t>
    </r>
    <r>
      <rPr>
        <i/>
        <vertAlign val="subscript"/>
        <sz val="11"/>
        <color theme="1"/>
        <rFont val="Arial"/>
        <family val="2"/>
      </rPr>
      <t>u</t>
    </r>
    <r>
      <rPr>
        <i/>
        <sz val="11"/>
        <color theme="1"/>
        <rFont val="Arial"/>
        <family val="2"/>
      </rPr>
      <t xml:space="preserve"> = (P</t>
    </r>
    <r>
      <rPr>
        <i/>
        <vertAlign val="subscript"/>
        <sz val="11"/>
        <color theme="1"/>
        <rFont val="Arial"/>
        <family val="2"/>
      </rPr>
      <t>u</t>
    </r>
    <r>
      <rPr>
        <i/>
        <sz val="11"/>
        <color theme="1"/>
        <rFont val="Arial"/>
        <family val="2"/>
      </rPr>
      <t xml:space="preserve"> + W</t>
    </r>
    <r>
      <rPr>
        <i/>
        <vertAlign val="subscript"/>
        <sz val="11"/>
        <color theme="1"/>
        <rFont val="Arial"/>
        <family val="2"/>
      </rPr>
      <t>pile</t>
    </r>
    <r>
      <rPr>
        <i/>
        <sz val="11"/>
        <color theme="1"/>
        <rFont val="Arial"/>
        <family val="2"/>
      </rPr>
      <t>)/A</t>
    </r>
    <r>
      <rPr>
        <i/>
        <vertAlign val="subscript"/>
        <sz val="11"/>
        <color theme="1"/>
        <rFont val="Arial"/>
        <family val="2"/>
      </rPr>
      <t>pile</t>
    </r>
  </si>
  <si>
    <t>1807.3.2.1 Nonconstrained</t>
  </si>
  <si>
    <r>
      <t>S</t>
    </r>
    <r>
      <rPr>
        <i/>
        <vertAlign val="subscript"/>
        <sz val="11"/>
        <color theme="1"/>
        <rFont val="Arial"/>
        <family val="2"/>
      </rPr>
      <t>3</t>
    </r>
  </si>
  <si>
    <t>1807.3.2.2 Constrained</t>
  </si>
  <si>
    <t>Disconnect</t>
  </si>
  <si>
    <r>
      <t>W</t>
    </r>
    <r>
      <rPr>
        <i/>
        <vertAlign val="subscript"/>
        <sz val="11"/>
        <color theme="1"/>
        <rFont val="Arial"/>
        <family val="2"/>
      </rPr>
      <t>normal</t>
    </r>
  </si>
  <si>
    <r>
      <t>W</t>
    </r>
    <r>
      <rPr>
        <i/>
        <vertAlign val="subscript"/>
        <sz val="11"/>
        <color theme="1"/>
        <rFont val="Arial"/>
        <family val="2"/>
      </rPr>
      <t>trans</t>
    </r>
  </si>
  <si>
    <r>
      <t>t</t>
    </r>
    <r>
      <rPr>
        <i/>
        <vertAlign val="subscript"/>
        <sz val="11"/>
        <color theme="1"/>
        <rFont val="Arial"/>
        <family val="2"/>
      </rPr>
      <t>sign</t>
    </r>
  </si>
  <si>
    <r>
      <t>b</t>
    </r>
    <r>
      <rPr>
        <i/>
        <vertAlign val="subscript"/>
        <sz val="11"/>
        <color theme="1"/>
        <rFont val="Arial"/>
        <family val="2"/>
      </rPr>
      <t>sign</t>
    </r>
  </si>
  <si>
    <r>
      <t>L</t>
    </r>
    <r>
      <rPr>
        <i/>
        <vertAlign val="subscript"/>
        <sz val="11"/>
        <color theme="1"/>
        <rFont val="Arial"/>
        <family val="2"/>
      </rPr>
      <t>sign</t>
    </r>
  </si>
  <si>
    <r>
      <t>z</t>
    </r>
    <r>
      <rPr>
        <i/>
        <vertAlign val="subscript"/>
        <sz val="11"/>
        <color theme="1"/>
        <rFont val="Arial"/>
        <family val="2"/>
      </rPr>
      <t>sign</t>
    </r>
  </si>
  <si>
    <r>
      <t>DL</t>
    </r>
    <r>
      <rPr>
        <i/>
        <vertAlign val="subscript"/>
        <sz val="11"/>
        <color theme="1"/>
        <rFont val="Arial"/>
        <family val="2"/>
      </rPr>
      <t>sign</t>
    </r>
  </si>
  <si>
    <r>
      <t>t</t>
    </r>
    <r>
      <rPr>
        <i/>
        <vertAlign val="subscript"/>
        <sz val="11"/>
        <color theme="1"/>
        <rFont val="Arial"/>
        <family val="2"/>
      </rPr>
      <t>discon</t>
    </r>
  </si>
  <si>
    <r>
      <t>b</t>
    </r>
    <r>
      <rPr>
        <i/>
        <vertAlign val="subscript"/>
        <sz val="11"/>
        <color theme="1"/>
        <rFont val="Arial"/>
        <family val="2"/>
      </rPr>
      <t>discon</t>
    </r>
  </si>
  <si>
    <r>
      <t>L</t>
    </r>
    <r>
      <rPr>
        <i/>
        <vertAlign val="subscript"/>
        <sz val="11"/>
        <color theme="1"/>
        <rFont val="Arial"/>
        <family val="2"/>
      </rPr>
      <t>discon</t>
    </r>
  </si>
  <si>
    <r>
      <t>DL</t>
    </r>
    <r>
      <rPr>
        <i/>
        <vertAlign val="subscript"/>
        <sz val="11"/>
        <color theme="1"/>
        <rFont val="Arial"/>
        <family val="2"/>
      </rPr>
      <t>discon</t>
    </r>
  </si>
  <si>
    <r>
      <t>z</t>
    </r>
    <r>
      <rPr>
        <i/>
        <vertAlign val="subscript"/>
        <sz val="11"/>
        <color theme="1"/>
        <rFont val="Arial"/>
        <family val="2"/>
      </rPr>
      <t>discon</t>
    </r>
  </si>
  <si>
    <r>
      <t>t</t>
    </r>
    <r>
      <rPr>
        <i/>
        <vertAlign val="subscript"/>
        <sz val="11"/>
        <color theme="1"/>
        <rFont val="Arial"/>
        <family val="2"/>
      </rPr>
      <t>radio</t>
    </r>
  </si>
  <si>
    <r>
      <t>b</t>
    </r>
    <r>
      <rPr>
        <i/>
        <vertAlign val="subscript"/>
        <sz val="11"/>
        <color theme="1"/>
        <rFont val="Arial"/>
        <family val="2"/>
      </rPr>
      <t>radio</t>
    </r>
  </si>
  <si>
    <r>
      <t>L</t>
    </r>
    <r>
      <rPr>
        <i/>
        <vertAlign val="subscript"/>
        <sz val="11"/>
        <color theme="1"/>
        <rFont val="Arial"/>
        <family val="2"/>
      </rPr>
      <t>radio</t>
    </r>
  </si>
  <si>
    <r>
      <t>DL</t>
    </r>
    <r>
      <rPr>
        <i/>
        <vertAlign val="subscript"/>
        <sz val="11"/>
        <color theme="1"/>
        <rFont val="Arial"/>
        <family val="2"/>
      </rPr>
      <t>radio</t>
    </r>
  </si>
  <si>
    <r>
      <t>z</t>
    </r>
    <r>
      <rPr>
        <i/>
        <vertAlign val="subscript"/>
        <sz val="11"/>
        <color theme="1"/>
        <rFont val="Arial"/>
        <family val="2"/>
      </rPr>
      <t>radio</t>
    </r>
  </si>
  <si>
    <t>Mast arm normal wind area</t>
  </si>
  <si>
    <t>Mast arm transverse wind area</t>
  </si>
  <si>
    <t>Trans. Wind</t>
  </si>
  <si>
    <t>Existing</t>
  </si>
  <si>
    <t>Centroid</t>
  </si>
  <si>
    <t>Depth</t>
  </si>
  <si>
    <t>Shape</t>
  </si>
  <si>
    <t>or</t>
  </si>
  <si>
    <t>AGL</t>
  </si>
  <si>
    <t>Normal</t>
  </si>
  <si>
    <t>Trans.</t>
  </si>
  <si>
    <t>Proposed</t>
  </si>
  <si>
    <t>Flat</t>
  </si>
  <si>
    <t>Octag.</t>
  </si>
  <si>
    <t>Round</t>
  </si>
  <si>
    <t>Exposure</t>
  </si>
  <si>
    <t>Drag Coefficient</t>
  </si>
  <si>
    <t>Reinf. steel yield strength</t>
  </si>
  <si>
    <t>CIDH conc. comp. strength</t>
  </si>
  <si>
    <t>LTS-6 Wind</t>
  </si>
  <si>
    <t>Wind</t>
  </si>
  <si>
    <t>Pressure</t>
  </si>
  <si>
    <t>Dead Load</t>
  </si>
  <si>
    <t>Coeff.</t>
  </si>
  <si>
    <t>Vel. conv. factor</t>
  </si>
  <si>
    <t>Imp. factor</t>
  </si>
  <si>
    <t>centroid of sign x</t>
  </si>
  <si>
    <r>
      <t>x</t>
    </r>
    <r>
      <rPr>
        <i/>
        <vertAlign val="subscript"/>
        <sz val="11"/>
        <color theme="1"/>
        <rFont val="Arial"/>
        <family val="2"/>
      </rPr>
      <t>sign</t>
    </r>
  </si>
  <si>
    <t>centroid of disconnect z</t>
  </si>
  <si>
    <t>centroid of disconnect x</t>
  </si>
  <si>
    <r>
      <t>x</t>
    </r>
    <r>
      <rPr>
        <i/>
        <vertAlign val="subscript"/>
        <sz val="11"/>
        <color theme="1"/>
        <rFont val="Arial"/>
        <family val="2"/>
      </rPr>
      <t>discon</t>
    </r>
  </si>
  <si>
    <t>centroid of radio shield z</t>
  </si>
  <si>
    <t>centroid of radio shield x</t>
  </si>
  <si>
    <r>
      <t>x</t>
    </r>
    <r>
      <rPr>
        <i/>
        <vertAlign val="subscript"/>
        <sz val="11"/>
        <color theme="1"/>
        <rFont val="Arial"/>
        <family val="2"/>
      </rPr>
      <t>radio</t>
    </r>
  </si>
  <si>
    <t>normal wind area</t>
  </si>
  <si>
    <r>
      <t>A</t>
    </r>
    <r>
      <rPr>
        <i/>
        <vertAlign val="subscript"/>
        <sz val="11"/>
        <color theme="1"/>
        <rFont val="Arial"/>
        <family val="2"/>
      </rPr>
      <t>radio,wt</t>
    </r>
  </si>
  <si>
    <r>
      <t>A</t>
    </r>
    <r>
      <rPr>
        <i/>
        <vertAlign val="subscript"/>
        <sz val="11"/>
        <color theme="1"/>
        <rFont val="Arial"/>
        <family val="2"/>
      </rPr>
      <t>radio,wn</t>
    </r>
  </si>
  <si>
    <t>transverse wind area</t>
  </si>
  <si>
    <t>Effective Projected Area</t>
  </si>
  <si>
    <t>Wind Area</t>
  </si>
  <si>
    <t>Centroid eqp. ht.</t>
  </si>
  <si>
    <t>resultant point of load application</t>
  </si>
  <si>
    <t>Unfact. Wind Force</t>
  </si>
  <si>
    <t>ft-lb</t>
  </si>
  <si>
    <t>Unfactored DL Moment</t>
  </si>
  <si>
    <t>Centroid Offset Distance</t>
  </si>
  <si>
    <t>Dead load normal moment</t>
  </si>
  <si>
    <r>
      <t>M</t>
    </r>
    <r>
      <rPr>
        <i/>
        <vertAlign val="subscript"/>
        <sz val="11"/>
        <color theme="1"/>
        <rFont val="Arial"/>
        <family val="2"/>
      </rPr>
      <t>DL,T</t>
    </r>
  </si>
  <si>
    <r>
      <t>M</t>
    </r>
    <r>
      <rPr>
        <i/>
        <vertAlign val="subscript"/>
        <sz val="11"/>
        <color theme="1"/>
        <rFont val="Arial"/>
        <family val="2"/>
      </rPr>
      <t>DL,N</t>
    </r>
  </si>
  <si>
    <r>
      <t>C</t>
    </r>
    <r>
      <rPr>
        <i/>
        <vertAlign val="subscript"/>
        <sz val="11"/>
        <color theme="1"/>
        <rFont val="Arial"/>
        <family val="2"/>
      </rPr>
      <t>v</t>
    </r>
    <r>
      <rPr>
        <i/>
        <sz val="11"/>
        <color theme="1"/>
        <rFont val="Arial"/>
        <family val="2"/>
      </rPr>
      <t>Vd</t>
    </r>
  </si>
  <si>
    <r>
      <t>M</t>
    </r>
    <r>
      <rPr>
        <i/>
        <vertAlign val="subscript"/>
        <sz val="11"/>
        <color theme="1"/>
        <rFont val="Arial"/>
        <family val="2"/>
      </rPr>
      <t>g</t>
    </r>
  </si>
  <si>
    <r>
      <t>d</t>
    </r>
    <r>
      <rPr>
        <i/>
        <vertAlign val="subscript"/>
        <sz val="11"/>
        <color theme="1"/>
        <rFont val="Arial"/>
        <family val="2"/>
      </rPr>
      <t>constr</t>
    </r>
  </si>
  <si>
    <t>Ph</t>
  </si>
  <si>
    <r>
      <t>C</t>
    </r>
    <r>
      <rPr>
        <i/>
        <vertAlign val="subscript"/>
        <sz val="11"/>
        <color theme="1"/>
        <rFont val="Arial"/>
        <family val="2"/>
      </rPr>
      <t>d</t>
    </r>
  </si>
  <si>
    <t>Governing ASD axial compression demand</t>
  </si>
  <si>
    <t>Allowable lateral bearing pressure at full embed depth</t>
  </si>
  <si>
    <t>Governing flexural demand at base</t>
  </si>
  <si>
    <t>Required embedment depth</t>
  </si>
  <si>
    <r>
      <t>d</t>
    </r>
    <r>
      <rPr>
        <i/>
        <vertAlign val="subscript"/>
        <sz val="11"/>
        <color theme="1"/>
        <rFont val="Arial"/>
        <family val="2"/>
      </rPr>
      <t>req</t>
    </r>
    <r>
      <rPr>
        <i/>
        <sz val="11"/>
        <color theme="1"/>
        <rFont val="Arial"/>
        <family val="2"/>
      </rPr>
      <t xml:space="preserve"> = (4.25M</t>
    </r>
    <r>
      <rPr>
        <i/>
        <vertAlign val="subscript"/>
        <sz val="11"/>
        <color theme="1"/>
        <rFont val="Arial"/>
        <family val="2"/>
      </rPr>
      <t>g</t>
    </r>
    <r>
      <rPr>
        <i/>
        <sz val="11"/>
        <color theme="1"/>
        <rFont val="Arial"/>
        <family val="2"/>
      </rPr>
      <t>/(S</t>
    </r>
    <r>
      <rPr>
        <i/>
        <vertAlign val="subscript"/>
        <sz val="11"/>
        <color theme="1"/>
        <rFont val="Arial"/>
        <family val="2"/>
      </rPr>
      <t>3</t>
    </r>
    <r>
      <rPr>
        <i/>
        <sz val="11"/>
        <color theme="1"/>
        <rFont val="Arial"/>
        <family val="2"/>
      </rPr>
      <t>b))</t>
    </r>
    <r>
      <rPr>
        <i/>
        <vertAlign val="superscript"/>
        <sz val="11"/>
        <color theme="1"/>
        <rFont val="Arial"/>
        <family val="2"/>
      </rPr>
      <t>1/2</t>
    </r>
  </si>
  <si>
    <t>existing pile diameter</t>
  </si>
  <si>
    <t>existing pile depth</t>
  </si>
  <si>
    <t>City of San Jose Detail E-18</t>
  </si>
  <si>
    <r>
      <t>S</t>
    </r>
    <r>
      <rPr>
        <i/>
        <vertAlign val="subscript"/>
        <sz val="11"/>
        <color theme="1"/>
        <rFont val="Arial"/>
        <family val="2"/>
      </rPr>
      <t>3</t>
    </r>
    <r>
      <rPr>
        <i/>
        <sz val="11"/>
        <color theme="1"/>
        <rFont val="Arial"/>
        <family val="2"/>
      </rPr>
      <t xml:space="preserve"> = (LBP</t>
    </r>
    <r>
      <rPr>
        <i/>
        <vertAlign val="subscript"/>
        <sz val="11"/>
        <color theme="1"/>
        <rFont val="Arial"/>
        <family val="2"/>
      </rPr>
      <t>allow</t>
    </r>
    <r>
      <rPr>
        <i/>
        <sz val="11"/>
        <color theme="1"/>
        <rFont val="Arial"/>
        <family val="2"/>
      </rPr>
      <t>d</t>
    </r>
    <r>
      <rPr>
        <i/>
        <vertAlign val="subscript"/>
        <sz val="11"/>
        <color theme="1"/>
        <rFont val="Arial"/>
        <family val="2"/>
      </rPr>
      <t>pile</t>
    </r>
    <r>
      <rPr>
        <i/>
        <sz val="11"/>
        <color theme="1"/>
        <rFont val="Arial"/>
        <family val="2"/>
      </rPr>
      <t>)</t>
    </r>
  </si>
  <si>
    <t>Coefficient for amplification</t>
  </si>
  <si>
    <t>Existing pole steel yield strength</t>
  </si>
  <si>
    <r>
      <t>F</t>
    </r>
    <r>
      <rPr>
        <i/>
        <vertAlign val="subscript"/>
        <sz val="11"/>
        <color theme="1"/>
        <rFont val="Arial"/>
        <family val="2"/>
      </rPr>
      <t>y,pole</t>
    </r>
  </si>
  <si>
    <t>ASTM A570, Grade C</t>
  </si>
  <si>
    <t>Overall pole length</t>
  </si>
  <si>
    <r>
      <t>L</t>
    </r>
    <r>
      <rPr>
        <i/>
        <vertAlign val="subscript"/>
        <sz val="11"/>
        <color theme="1"/>
        <rFont val="Arial"/>
        <family val="2"/>
      </rPr>
      <t>pole</t>
    </r>
  </si>
  <si>
    <t>Perimeter</t>
  </si>
  <si>
    <t>Bounding box</t>
  </si>
  <si>
    <t>Moments of inertia</t>
  </si>
  <si>
    <t>Product of inertia</t>
  </si>
  <si>
    <t>Radii of gyration</t>
  </si>
  <si>
    <t>Principal moments and X-Y directions about centroid</t>
  </si>
  <si>
    <t>along</t>
  </si>
  <si>
    <t>Bounding box:</t>
  </si>
  <si>
    <t>Centroid:</t>
  </si>
  <si>
    <t>Moments of inertia:</t>
  </si>
  <si>
    <t>Radii of gyration:</t>
  </si>
  <si>
    <t>I:</t>
  </si>
  <si>
    <t>J:</t>
  </si>
  <si>
    <t>Product of inertia:</t>
  </si>
  <si>
    <t>Moment of Inertia:</t>
  </si>
  <si>
    <t>radius of gyration</t>
  </si>
  <si>
    <r>
      <t>in</t>
    </r>
    <r>
      <rPr>
        <vertAlign val="superscript"/>
        <sz val="11"/>
        <color theme="1"/>
        <rFont val="Arial"/>
        <family val="2"/>
      </rPr>
      <t>3</t>
    </r>
  </si>
  <si>
    <t>allowable moment</t>
  </si>
  <si>
    <t>applied moment</t>
  </si>
  <si>
    <t>Slenderness factor</t>
  </si>
  <si>
    <r>
      <t>I</t>
    </r>
    <r>
      <rPr>
        <i/>
        <vertAlign val="subscript"/>
        <sz val="11"/>
        <color theme="1"/>
        <rFont val="Arial"/>
        <family val="2"/>
      </rPr>
      <t>B</t>
    </r>
  </si>
  <si>
    <r>
      <t>I</t>
    </r>
    <r>
      <rPr>
        <i/>
        <vertAlign val="subscript"/>
        <sz val="11"/>
        <color theme="1"/>
        <rFont val="Arial"/>
        <family val="2"/>
      </rPr>
      <t>T</t>
    </r>
  </si>
  <si>
    <r>
      <t>P</t>
    </r>
    <r>
      <rPr>
        <i/>
        <vertAlign val="subscript"/>
        <sz val="11"/>
        <color theme="1"/>
        <rFont val="Arial"/>
        <family val="2"/>
      </rPr>
      <t>T</t>
    </r>
  </si>
  <si>
    <t>Vertical concentrated load at top of pole</t>
  </si>
  <si>
    <t>depth to centroid</t>
  </si>
  <si>
    <t>Pole dead load</t>
  </si>
  <si>
    <r>
      <t>D</t>
    </r>
    <r>
      <rPr>
        <i/>
        <vertAlign val="subscript"/>
        <sz val="11"/>
        <color theme="1"/>
        <rFont val="Arial"/>
        <family val="2"/>
      </rPr>
      <t>P</t>
    </r>
  </si>
  <si>
    <t>Y</t>
  </si>
  <si>
    <t>J</t>
  </si>
  <si>
    <t>X</t>
  </si>
  <si>
    <t>XY</t>
  </si>
  <si>
    <t>TOP</t>
  </si>
  <si>
    <t>psf at unconstrained depth</t>
  </si>
  <si>
    <t>City of San Jose</t>
  </si>
  <si>
    <t>psf at constrained depth</t>
  </si>
  <si>
    <t>Amplification Limit</t>
  </si>
  <si>
    <r>
      <t>(2π</t>
    </r>
    <r>
      <rPr>
        <i/>
        <vertAlign val="superscript"/>
        <sz val="11"/>
        <color theme="1"/>
        <rFont val="Arial"/>
        <family val="2"/>
      </rPr>
      <t>2</t>
    </r>
    <r>
      <rPr>
        <i/>
        <sz val="11"/>
        <color theme="1"/>
        <rFont val="Arial"/>
        <family val="2"/>
      </rPr>
      <t>E/F</t>
    </r>
    <r>
      <rPr>
        <i/>
        <vertAlign val="subscript"/>
        <sz val="11"/>
        <color theme="1"/>
        <rFont val="Arial"/>
        <family val="2"/>
      </rPr>
      <t>y</t>
    </r>
    <r>
      <rPr>
        <i/>
        <sz val="11"/>
        <color theme="1"/>
        <rFont val="Arial"/>
        <family val="2"/>
      </rPr>
      <t>)</t>
    </r>
    <r>
      <rPr>
        <i/>
        <vertAlign val="superscript"/>
        <sz val="11"/>
        <color theme="1"/>
        <rFont val="Arial"/>
        <family val="2"/>
      </rPr>
      <t>1/2</t>
    </r>
  </si>
  <si>
    <r>
      <t>d</t>
    </r>
    <r>
      <rPr>
        <i/>
        <vertAlign val="subscript"/>
        <sz val="11"/>
        <color theme="1"/>
        <rFont val="Arial"/>
        <family val="2"/>
      </rPr>
      <t>B</t>
    </r>
  </si>
  <si>
    <r>
      <t>d</t>
    </r>
    <r>
      <rPr>
        <i/>
        <vertAlign val="subscript"/>
        <sz val="11"/>
        <color theme="1"/>
        <rFont val="Arial"/>
        <family val="2"/>
      </rPr>
      <t>T</t>
    </r>
  </si>
  <si>
    <r>
      <rPr>
        <i/>
        <sz val="11"/>
        <color theme="1"/>
        <rFont val="Calibri"/>
        <family val="2"/>
      </rPr>
      <t>λ</t>
    </r>
    <r>
      <rPr>
        <i/>
        <vertAlign val="subscript"/>
        <sz val="11"/>
        <color theme="1"/>
        <rFont val="Arial"/>
        <family val="2"/>
      </rPr>
      <t>B</t>
    </r>
    <r>
      <rPr>
        <i/>
        <sz val="11"/>
        <color theme="1"/>
        <rFont val="Arial"/>
        <family val="2"/>
      </rPr>
      <t>= b/t</t>
    </r>
  </si>
  <si>
    <t>Pole wall thickness</t>
  </si>
  <si>
    <t>compact limit for octagonal tube</t>
  </si>
  <si>
    <t>Noncompact limit</t>
  </si>
  <si>
    <r>
      <rPr>
        <i/>
        <sz val="11"/>
        <color theme="1"/>
        <rFont val="Calibri"/>
        <family val="2"/>
      </rPr>
      <t>λ</t>
    </r>
    <r>
      <rPr>
        <i/>
        <vertAlign val="subscript"/>
        <sz val="11"/>
        <color theme="1"/>
        <rFont val="Arial"/>
        <family val="2"/>
      </rPr>
      <t>p</t>
    </r>
    <r>
      <rPr>
        <i/>
        <sz val="11"/>
        <color theme="1"/>
        <rFont val="Arial"/>
        <family val="2"/>
      </rPr>
      <t xml:space="preserve"> = </t>
    </r>
    <r>
      <rPr>
        <sz val="11"/>
        <color theme="1"/>
        <rFont val="Arial"/>
        <family val="2"/>
      </rPr>
      <t>1.12</t>
    </r>
    <r>
      <rPr>
        <i/>
        <sz val="11"/>
        <color theme="1"/>
        <rFont val="Arial"/>
        <family val="2"/>
      </rPr>
      <t>(E/F</t>
    </r>
    <r>
      <rPr>
        <i/>
        <vertAlign val="subscript"/>
        <sz val="11"/>
        <color theme="1"/>
        <rFont val="Arial"/>
        <family val="2"/>
      </rPr>
      <t>y</t>
    </r>
    <r>
      <rPr>
        <i/>
        <sz val="11"/>
        <color theme="1"/>
        <rFont val="Arial"/>
        <family val="2"/>
      </rPr>
      <t>)</t>
    </r>
    <r>
      <rPr>
        <i/>
        <vertAlign val="superscript"/>
        <sz val="11"/>
        <color theme="1"/>
        <rFont val="Arial"/>
        <family val="2"/>
      </rPr>
      <t>1/2</t>
    </r>
  </si>
  <si>
    <r>
      <rPr>
        <i/>
        <sz val="11"/>
        <color theme="1"/>
        <rFont val="Calibri"/>
        <family val="2"/>
      </rPr>
      <t>λ</t>
    </r>
    <r>
      <rPr>
        <i/>
        <vertAlign val="subscript"/>
        <sz val="11"/>
        <color theme="1"/>
        <rFont val="Arial"/>
        <family val="2"/>
      </rPr>
      <t>r</t>
    </r>
    <r>
      <rPr>
        <i/>
        <sz val="11"/>
        <color theme="1"/>
        <rFont val="Arial"/>
        <family val="2"/>
      </rPr>
      <t xml:space="preserve"> = </t>
    </r>
    <r>
      <rPr>
        <sz val="11"/>
        <color theme="1"/>
        <rFont val="Arial"/>
        <family val="2"/>
      </rPr>
      <t>1.53</t>
    </r>
    <r>
      <rPr>
        <i/>
        <sz val="11"/>
        <color theme="1"/>
        <rFont val="Arial"/>
        <family val="2"/>
      </rPr>
      <t>(E/F</t>
    </r>
    <r>
      <rPr>
        <i/>
        <vertAlign val="subscript"/>
        <sz val="11"/>
        <color theme="1"/>
        <rFont val="Arial"/>
        <family val="2"/>
      </rPr>
      <t>y</t>
    </r>
    <r>
      <rPr>
        <i/>
        <sz val="11"/>
        <color theme="1"/>
        <rFont val="Arial"/>
        <family val="2"/>
      </rPr>
      <t>)</t>
    </r>
    <r>
      <rPr>
        <i/>
        <vertAlign val="superscript"/>
        <sz val="11"/>
        <color theme="1"/>
        <rFont val="Arial"/>
        <family val="2"/>
      </rPr>
      <t>1/2</t>
    </r>
  </si>
  <si>
    <t>Applied compressive stress</t>
  </si>
  <si>
    <t>Applied shear stress</t>
  </si>
  <si>
    <t>applied bending stress</t>
  </si>
  <si>
    <t>Allowable bending stress</t>
  </si>
  <si>
    <t>Allowable shear stress</t>
  </si>
  <si>
    <t>Combined stress ratio</t>
  </si>
  <si>
    <t>equipment?</t>
  </si>
  <si>
    <t>yes</t>
  </si>
  <si>
    <t>TIA-222-H</t>
  </si>
  <si>
    <r>
      <t>C</t>
    </r>
    <r>
      <rPr>
        <i/>
        <vertAlign val="subscript"/>
        <sz val="11"/>
        <color theme="1"/>
        <rFont val="Arial"/>
        <family val="2"/>
      </rPr>
      <t>a</t>
    </r>
  </si>
  <si>
    <t>Force Coefficient</t>
  </si>
  <si>
    <r>
      <rPr>
        <sz val="11"/>
        <color theme="1"/>
        <rFont val="Arial"/>
        <family val="2"/>
      </rPr>
      <t>Flow Factor</t>
    </r>
    <r>
      <rPr>
        <i/>
        <sz val="11"/>
        <color theme="1"/>
        <rFont val="Arial"/>
        <family val="2"/>
      </rPr>
      <t xml:space="preserve"> C</t>
    </r>
  </si>
  <si>
    <t>Aspect Ratio L/b</t>
  </si>
  <si>
    <t>flat</t>
  </si>
  <si>
    <t>round</t>
  </si>
  <si>
    <t>aspect ratio</t>
  </si>
  <si>
    <t>32&lt;C≤64</t>
  </si>
  <si>
    <t>3.76/C^0.485</t>
  </si>
  <si>
    <t>38.4/C</t>
  </si>
  <si>
    <t>3.37/C^0.415</t>
  </si>
  <si>
    <r>
      <t>F'</t>
    </r>
    <r>
      <rPr>
        <i/>
        <vertAlign val="subscript"/>
        <sz val="11"/>
        <color theme="1"/>
        <rFont val="Arial"/>
        <family val="2"/>
      </rPr>
      <t>y</t>
    </r>
  </si>
  <si>
    <r>
      <t>S</t>
    </r>
    <r>
      <rPr>
        <i/>
        <vertAlign val="subscript"/>
        <sz val="11"/>
        <color theme="1"/>
        <rFont val="Arial"/>
        <family val="2"/>
      </rPr>
      <t>B</t>
    </r>
  </si>
  <si>
    <t>BASE</t>
  </si>
  <si>
    <t>in-lb</t>
  </si>
  <si>
    <t>----------------   REGIONS   ----------------</t>
  </si>
  <si>
    <t xml:space="preserve"> 1.7042 along [1.0000 0.0000]</t>
  </si>
  <si>
    <t xml:space="preserve"> 9.1956 along [0.0000 1.0000]</t>
  </si>
  <si>
    <t>elastic section modulus:</t>
  </si>
  <si>
    <t>plastic section modulus:</t>
  </si>
  <si>
    <r>
      <t>A</t>
    </r>
    <r>
      <rPr>
        <i/>
        <vertAlign val="subscript"/>
        <sz val="11"/>
        <color theme="1"/>
        <rFont val="Arial"/>
        <family val="2"/>
      </rPr>
      <t>B</t>
    </r>
  </si>
  <si>
    <r>
      <t>r</t>
    </r>
    <r>
      <rPr>
        <i/>
        <vertAlign val="subscript"/>
        <sz val="11"/>
        <color theme="1"/>
        <rFont val="Arial"/>
        <family val="2"/>
      </rPr>
      <t>B</t>
    </r>
  </si>
  <si>
    <t>Slenderness ratio at base</t>
  </si>
  <si>
    <r>
      <t>kL</t>
    </r>
    <r>
      <rPr>
        <i/>
        <vertAlign val="subscript"/>
        <sz val="11"/>
        <color theme="1"/>
        <rFont val="Arial"/>
        <family val="2"/>
      </rPr>
      <t>pole</t>
    </r>
    <r>
      <rPr>
        <i/>
        <sz val="11"/>
        <color theme="1"/>
        <rFont val="Arial"/>
        <family val="2"/>
      </rPr>
      <t>/r</t>
    </r>
    <r>
      <rPr>
        <i/>
        <vertAlign val="subscript"/>
        <sz val="11"/>
        <color theme="1"/>
        <rFont val="Arial"/>
        <family val="2"/>
      </rPr>
      <t>B</t>
    </r>
  </si>
  <si>
    <t>Width-thickness ratio at base</t>
  </si>
  <si>
    <t>effective pole flat section width at base</t>
  </si>
  <si>
    <r>
      <t>c</t>
    </r>
    <r>
      <rPr>
        <i/>
        <vertAlign val="subscript"/>
        <sz val="11"/>
        <color theme="1"/>
        <rFont val="Arial"/>
        <family val="2"/>
      </rPr>
      <t>B</t>
    </r>
  </si>
  <si>
    <r>
      <t>Z</t>
    </r>
    <r>
      <rPr>
        <i/>
        <vertAlign val="subscript"/>
        <sz val="11"/>
        <color theme="1"/>
        <rFont val="Arial"/>
        <family val="2"/>
      </rPr>
      <t>B</t>
    </r>
  </si>
  <si>
    <r>
      <t>M</t>
    </r>
    <r>
      <rPr>
        <i/>
        <vertAlign val="subscript"/>
        <sz val="11"/>
        <color theme="1"/>
        <rFont val="Arial"/>
        <family val="2"/>
      </rPr>
      <t>a,B</t>
    </r>
  </si>
  <si>
    <r>
      <t>M</t>
    </r>
    <r>
      <rPr>
        <i/>
        <vertAlign val="subscript"/>
        <sz val="11"/>
        <color theme="1"/>
        <rFont val="Arial"/>
        <family val="2"/>
      </rPr>
      <t>B</t>
    </r>
  </si>
  <si>
    <t>effective yield stress</t>
  </si>
  <si>
    <t>design moment capacity</t>
  </si>
  <si>
    <t>nominal moment capacity</t>
  </si>
  <si>
    <r>
      <t>A</t>
    </r>
    <r>
      <rPr>
        <i/>
        <vertAlign val="subscript"/>
        <sz val="11"/>
        <color theme="1"/>
        <rFont val="Arial"/>
        <family val="2"/>
      </rPr>
      <t>T</t>
    </r>
  </si>
  <si>
    <r>
      <t>c</t>
    </r>
    <r>
      <rPr>
        <i/>
        <vertAlign val="subscript"/>
        <sz val="11"/>
        <color theme="1"/>
        <rFont val="Arial"/>
        <family val="2"/>
      </rPr>
      <t>T</t>
    </r>
  </si>
  <si>
    <r>
      <t>S</t>
    </r>
    <r>
      <rPr>
        <i/>
        <vertAlign val="subscript"/>
        <sz val="11"/>
        <color theme="1"/>
        <rFont val="Arial"/>
        <family val="2"/>
      </rPr>
      <t>T</t>
    </r>
  </si>
  <si>
    <r>
      <t>Z</t>
    </r>
    <r>
      <rPr>
        <i/>
        <vertAlign val="subscript"/>
        <sz val="11"/>
        <color theme="1"/>
        <rFont val="Arial"/>
        <family val="2"/>
      </rPr>
      <t>T</t>
    </r>
  </si>
  <si>
    <r>
      <t>r</t>
    </r>
    <r>
      <rPr>
        <i/>
        <vertAlign val="subscript"/>
        <sz val="11"/>
        <color theme="1"/>
        <rFont val="Arial"/>
        <family val="2"/>
      </rPr>
      <t>T</t>
    </r>
  </si>
  <si>
    <t>moment resistance factor</t>
  </si>
  <si>
    <r>
      <rPr>
        <i/>
        <sz val="11"/>
        <color theme="1"/>
        <rFont val="Calibri"/>
        <family val="2"/>
      </rPr>
      <t>φ</t>
    </r>
    <r>
      <rPr>
        <i/>
        <vertAlign val="subscript"/>
        <sz val="11"/>
        <color theme="1"/>
        <rFont val="Arial"/>
        <family val="2"/>
      </rPr>
      <t>f</t>
    </r>
  </si>
  <si>
    <t>XY:</t>
  </si>
  <si>
    <t>[1.0000</t>
  </si>
  <si>
    <t>0.0000]</t>
  </si>
  <si>
    <t>[0.0000</t>
  </si>
  <si>
    <t>1.0000]</t>
  </si>
  <si>
    <t>Principal moments and X Y directions about centroid:</t>
  </si>
  <si>
    <t>structure code:</t>
  </si>
  <si>
    <t>AASHTO LTS-6</t>
  </si>
  <si>
    <t>Total transverse wind shear</t>
  </si>
  <si>
    <r>
      <rPr>
        <i/>
        <sz val="11"/>
        <color theme="1"/>
        <rFont val="Calibri"/>
        <family val="2"/>
      </rPr>
      <t>φ</t>
    </r>
    <r>
      <rPr>
        <i/>
        <vertAlign val="subscript"/>
        <sz val="11"/>
        <color theme="1"/>
        <rFont val="Arial"/>
        <family val="2"/>
      </rPr>
      <t>f</t>
    </r>
    <r>
      <rPr>
        <i/>
        <sz val="11"/>
        <color theme="1"/>
        <rFont val="Arial"/>
        <family val="2"/>
      </rPr>
      <t>M</t>
    </r>
    <r>
      <rPr>
        <i/>
        <vertAlign val="subscript"/>
        <sz val="11"/>
        <color theme="1"/>
        <rFont val="Arial"/>
        <family val="2"/>
      </rPr>
      <t>n</t>
    </r>
  </si>
  <si>
    <t>Check combined stress at base:</t>
  </si>
  <si>
    <r>
      <t>r</t>
    </r>
    <r>
      <rPr>
        <i/>
        <vertAlign val="subscript"/>
        <sz val="11"/>
        <color theme="1"/>
        <rFont val="Arial"/>
        <family val="2"/>
      </rPr>
      <t>B</t>
    </r>
    <r>
      <rPr>
        <i/>
        <sz val="11"/>
        <color theme="1"/>
        <rFont val="Arial"/>
        <family val="2"/>
      </rPr>
      <t xml:space="preserve"> = (I</t>
    </r>
    <r>
      <rPr>
        <i/>
        <vertAlign val="subscript"/>
        <sz val="11"/>
        <color theme="1"/>
        <rFont val="Arial"/>
        <family val="2"/>
      </rPr>
      <t>B</t>
    </r>
    <r>
      <rPr>
        <i/>
        <sz val="11"/>
        <color theme="1"/>
        <rFont val="Arial"/>
        <family val="2"/>
      </rPr>
      <t>/A</t>
    </r>
    <r>
      <rPr>
        <i/>
        <vertAlign val="subscript"/>
        <sz val="11"/>
        <color theme="1"/>
        <rFont val="Arial"/>
        <family val="2"/>
      </rPr>
      <t>B</t>
    </r>
    <r>
      <rPr>
        <i/>
        <sz val="11"/>
        <color theme="1"/>
        <rFont val="Arial"/>
        <family val="2"/>
      </rPr>
      <t>)</t>
    </r>
    <r>
      <rPr>
        <i/>
        <vertAlign val="superscript"/>
        <sz val="11"/>
        <color theme="1"/>
        <rFont val="Arial"/>
        <family val="2"/>
      </rPr>
      <t>1/2</t>
    </r>
  </si>
  <si>
    <t>OCTAGONAL ANALOG</t>
  </si>
  <si>
    <t>OCTAFLUTE</t>
  </si>
  <si>
    <t>top section modulus:</t>
  </si>
  <si>
    <t>top fiber to centroid</t>
  </si>
  <si>
    <t>bottom fiber to centroid</t>
  </si>
  <si>
    <t>Unfact. Wind Moment at grade</t>
  </si>
  <si>
    <t>Mast arm moment arm at grade</t>
  </si>
  <si>
    <t>Mast arm moment arm at bottom hole</t>
  </si>
  <si>
    <r>
      <t>arm</t>
    </r>
    <r>
      <rPr>
        <i/>
        <vertAlign val="subscript"/>
        <sz val="11"/>
        <color theme="1"/>
        <rFont val="Arial"/>
        <family val="2"/>
      </rPr>
      <t>W,trans,bot</t>
    </r>
  </si>
  <si>
    <r>
      <t>arm</t>
    </r>
    <r>
      <rPr>
        <i/>
        <vertAlign val="subscript"/>
        <sz val="11"/>
        <color theme="1"/>
        <rFont val="Arial"/>
        <family val="2"/>
      </rPr>
      <t>W,trans,grade</t>
    </r>
  </si>
  <si>
    <t>ASD Load Combinations at base (Group II)</t>
  </si>
  <si>
    <t>Unfact. Wind Moment at bottom hole</t>
  </si>
  <si>
    <t>Unfact. Wind Force at grade</t>
  </si>
  <si>
    <t>Unfact. Wind Force at bottom hole</t>
  </si>
  <si>
    <t>Pole wind area at base</t>
  </si>
  <si>
    <t>POLE AT BASE</t>
  </si>
  <si>
    <t>Pole wind area at bottom hole</t>
  </si>
  <si>
    <t>Pole wind area at middle hole</t>
  </si>
  <si>
    <t>Pole wind area at top hole</t>
  </si>
  <si>
    <t>ASD Load Combinations at bottom hole (Group II)</t>
  </si>
  <si>
    <r>
      <t>b</t>
    </r>
    <r>
      <rPr>
        <i/>
        <vertAlign val="subscript"/>
        <sz val="11"/>
        <color theme="1"/>
        <rFont val="Arial"/>
        <family val="2"/>
      </rPr>
      <t>B</t>
    </r>
  </si>
  <si>
    <r>
      <t>f</t>
    </r>
    <r>
      <rPr>
        <i/>
        <vertAlign val="subscript"/>
        <sz val="11"/>
        <color theme="1"/>
        <rFont val="Arial"/>
        <family val="2"/>
      </rPr>
      <t>a</t>
    </r>
    <r>
      <rPr>
        <i/>
        <sz val="11"/>
        <color theme="1"/>
        <rFont val="Arial"/>
        <family val="2"/>
      </rPr>
      <t xml:space="preserve"> = P</t>
    </r>
    <r>
      <rPr>
        <i/>
        <vertAlign val="subscript"/>
        <sz val="11"/>
        <color theme="1"/>
        <rFont val="Arial"/>
        <family val="2"/>
      </rPr>
      <t>T</t>
    </r>
    <r>
      <rPr>
        <i/>
        <sz val="11"/>
        <color theme="1"/>
        <rFont val="Arial"/>
        <family val="2"/>
      </rPr>
      <t>/A</t>
    </r>
    <r>
      <rPr>
        <i/>
        <vertAlign val="subscript"/>
        <sz val="11"/>
        <color theme="1"/>
        <rFont val="Arial"/>
        <family val="2"/>
      </rPr>
      <t>B</t>
    </r>
  </si>
  <si>
    <r>
      <t>f</t>
    </r>
    <r>
      <rPr>
        <i/>
        <vertAlign val="subscript"/>
        <sz val="11"/>
        <color theme="1"/>
        <rFont val="Arial"/>
        <family val="2"/>
      </rPr>
      <t>b</t>
    </r>
    <r>
      <rPr>
        <i/>
        <sz val="11"/>
        <color theme="1"/>
        <rFont val="Arial"/>
        <family val="2"/>
      </rPr>
      <t xml:space="preserve"> = M</t>
    </r>
    <r>
      <rPr>
        <i/>
        <vertAlign val="subscript"/>
        <sz val="11"/>
        <color theme="1"/>
        <rFont val="Arial"/>
        <family val="2"/>
      </rPr>
      <t>B</t>
    </r>
    <r>
      <rPr>
        <i/>
        <sz val="11"/>
        <color theme="1"/>
        <rFont val="Arial"/>
        <family val="2"/>
      </rPr>
      <t>/S</t>
    </r>
    <r>
      <rPr>
        <i/>
        <vertAlign val="subscript"/>
        <sz val="11"/>
        <color theme="1"/>
        <rFont val="Arial"/>
        <family val="2"/>
      </rPr>
      <t>B</t>
    </r>
  </si>
  <si>
    <r>
      <t>f</t>
    </r>
    <r>
      <rPr>
        <i/>
        <vertAlign val="subscript"/>
        <sz val="11"/>
        <color theme="1"/>
        <rFont val="Arial"/>
        <family val="2"/>
      </rPr>
      <t>v</t>
    </r>
    <r>
      <rPr>
        <i/>
        <sz val="11"/>
        <color theme="1"/>
        <rFont val="Arial"/>
        <family val="2"/>
      </rPr>
      <t xml:space="preserve"> = 2V</t>
    </r>
    <r>
      <rPr>
        <i/>
        <vertAlign val="subscript"/>
        <sz val="11"/>
        <color theme="1"/>
        <rFont val="Arial"/>
        <family val="2"/>
      </rPr>
      <t>B</t>
    </r>
    <r>
      <rPr>
        <i/>
        <sz val="11"/>
        <color theme="1"/>
        <rFont val="Arial"/>
        <family val="2"/>
      </rPr>
      <t>/A</t>
    </r>
    <r>
      <rPr>
        <i/>
        <vertAlign val="subscript"/>
        <sz val="11"/>
        <color theme="1"/>
        <rFont val="Arial"/>
        <family val="2"/>
      </rPr>
      <t>B</t>
    </r>
  </si>
  <si>
    <t>with 2" bottom hole</t>
  </si>
  <si>
    <t>with 2" middle hole</t>
  </si>
  <si>
    <t>----------------</t>
  </si>
  <si>
    <t>REGIONS</t>
  </si>
  <si>
    <t>with 2" top hole</t>
  </si>
  <si>
    <r>
      <t>A</t>
    </r>
    <r>
      <rPr>
        <i/>
        <vertAlign val="subscript"/>
        <sz val="11"/>
        <color theme="1"/>
        <rFont val="Arial"/>
        <family val="2"/>
      </rPr>
      <t>bh</t>
    </r>
  </si>
  <si>
    <r>
      <t>I</t>
    </r>
    <r>
      <rPr>
        <i/>
        <vertAlign val="subscript"/>
        <sz val="11"/>
        <color theme="1"/>
        <rFont val="Arial"/>
        <family val="2"/>
      </rPr>
      <t>bh</t>
    </r>
  </si>
  <si>
    <r>
      <t>c</t>
    </r>
    <r>
      <rPr>
        <i/>
        <vertAlign val="subscript"/>
        <sz val="11"/>
        <color theme="1"/>
        <rFont val="Arial"/>
        <family val="2"/>
      </rPr>
      <t>bh</t>
    </r>
  </si>
  <si>
    <r>
      <t>r</t>
    </r>
    <r>
      <rPr>
        <i/>
        <vertAlign val="subscript"/>
        <sz val="11"/>
        <color theme="1"/>
        <rFont val="Arial"/>
        <family val="2"/>
      </rPr>
      <t>bh</t>
    </r>
  </si>
  <si>
    <r>
      <t>S</t>
    </r>
    <r>
      <rPr>
        <i/>
        <vertAlign val="subscript"/>
        <sz val="11"/>
        <color theme="1"/>
        <rFont val="Arial"/>
        <family val="2"/>
      </rPr>
      <t>bh,top</t>
    </r>
  </si>
  <si>
    <r>
      <t>S</t>
    </r>
    <r>
      <rPr>
        <i/>
        <vertAlign val="subscript"/>
        <sz val="11"/>
        <color theme="1"/>
        <rFont val="Arial"/>
        <family val="2"/>
      </rPr>
      <t>bh,bot</t>
    </r>
  </si>
  <si>
    <r>
      <t>A</t>
    </r>
    <r>
      <rPr>
        <i/>
        <vertAlign val="subscript"/>
        <sz val="11"/>
        <color theme="1"/>
        <rFont val="Arial"/>
        <family val="2"/>
      </rPr>
      <t>mh</t>
    </r>
  </si>
  <si>
    <r>
      <t>I</t>
    </r>
    <r>
      <rPr>
        <i/>
        <vertAlign val="subscript"/>
        <sz val="11"/>
        <color theme="1"/>
        <rFont val="Arial"/>
        <family val="2"/>
      </rPr>
      <t>mh</t>
    </r>
  </si>
  <si>
    <r>
      <t>c</t>
    </r>
    <r>
      <rPr>
        <i/>
        <vertAlign val="subscript"/>
        <sz val="11"/>
        <color theme="1"/>
        <rFont val="Arial"/>
        <family val="2"/>
      </rPr>
      <t>mh</t>
    </r>
  </si>
  <si>
    <r>
      <t>S</t>
    </r>
    <r>
      <rPr>
        <i/>
        <vertAlign val="subscript"/>
        <sz val="11"/>
        <color theme="1"/>
        <rFont val="Arial"/>
        <family val="2"/>
      </rPr>
      <t>mh,top</t>
    </r>
  </si>
  <si>
    <r>
      <t>S</t>
    </r>
    <r>
      <rPr>
        <i/>
        <vertAlign val="subscript"/>
        <sz val="11"/>
        <color theme="1"/>
        <rFont val="Arial"/>
        <family val="2"/>
      </rPr>
      <t>mh,bot</t>
    </r>
  </si>
  <si>
    <r>
      <t>r</t>
    </r>
    <r>
      <rPr>
        <i/>
        <vertAlign val="subscript"/>
        <sz val="11"/>
        <color theme="1"/>
        <rFont val="Arial"/>
        <family val="2"/>
      </rPr>
      <t>mh</t>
    </r>
  </si>
  <si>
    <r>
      <t>A</t>
    </r>
    <r>
      <rPr>
        <i/>
        <vertAlign val="subscript"/>
        <sz val="11"/>
        <color theme="1"/>
        <rFont val="Arial"/>
        <family val="2"/>
      </rPr>
      <t>th</t>
    </r>
  </si>
  <si>
    <r>
      <t>I</t>
    </r>
    <r>
      <rPr>
        <i/>
        <vertAlign val="subscript"/>
        <sz val="11"/>
        <color theme="1"/>
        <rFont val="Arial"/>
        <family val="2"/>
      </rPr>
      <t>th</t>
    </r>
  </si>
  <si>
    <r>
      <t>c</t>
    </r>
    <r>
      <rPr>
        <i/>
        <vertAlign val="subscript"/>
        <sz val="11"/>
        <color theme="1"/>
        <rFont val="Arial"/>
        <family val="2"/>
      </rPr>
      <t>th</t>
    </r>
  </si>
  <si>
    <r>
      <t>S</t>
    </r>
    <r>
      <rPr>
        <i/>
        <vertAlign val="subscript"/>
        <sz val="11"/>
        <color theme="1"/>
        <rFont val="Arial"/>
        <family val="2"/>
      </rPr>
      <t>th,top</t>
    </r>
  </si>
  <si>
    <r>
      <t>S</t>
    </r>
    <r>
      <rPr>
        <i/>
        <vertAlign val="subscript"/>
        <sz val="11"/>
        <color theme="1"/>
        <rFont val="Arial"/>
        <family val="2"/>
      </rPr>
      <t>th,bot</t>
    </r>
  </si>
  <si>
    <r>
      <t>r</t>
    </r>
    <r>
      <rPr>
        <i/>
        <vertAlign val="subscript"/>
        <sz val="11"/>
        <color theme="1"/>
        <rFont val="Arial"/>
        <family val="2"/>
      </rPr>
      <t>th</t>
    </r>
  </si>
  <si>
    <t>LTS-6 at base</t>
  </si>
  <si>
    <t>ASD Load Combinations at middle hole (Group II)</t>
  </si>
  <si>
    <t>port hole at L =</t>
  </si>
  <si>
    <r>
      <t>A</t>
    </r>
    <r>
      <rPr>
        <i/>
        <vertAlign val="subscript"/>
        <sz val="11"/>
        <color theme="1"/>
        <rFont val="Arial"/>
        <family val="2"/>
      </rPr>
      <t>pole,bh</t>
    </r>
  </si>
  <si>
    <r>
      <t>A</t>
    </r>
    <r>
      <rPr>
        <i/>
        <vertAlign val="subscript"/>
        <sz val="11"/>
        <color theme="1"/>
        <rFont val="Arial"/>
        <family val="2"/>
      </rPr>
      <t>pole,mh</t>
    </r>
  </si>
  <si>
    <r>
      <t>A</t>
    </r>
    <r>
      <rPr>
        <i/>
        <vertAlign val="subscript"/>
        <sz val="11"/>
        <color theme="1"/>
        <rFont val="Arial"/>
        <family val="2"/>
      </rPr>
      <t>pole,th</t>
    </r>
  </si>
  <si>
    <t>Pole wind area centroid z at base</t>
  </si>
  <si>
    <t>Pole wind area centroid z at bot. hole</t>
  </si>
  <si>
    <r>
      <t>z</t>
    </r>
    <r>
      <rPr>
        <i/>
        <vertAlign val="subscript"/>
        <sz val="11"/>
        <color theme="1"/>
        <rFont val="Arial"/>
        <family val="2"/>
      </rPr>
      <t>pole,bh</t>
    </r>
  </si>
  <si>
    <r>
      <t>z</t>
    </r>
    <r>
      <rPr>
        <i/>
        <vertAlign val="subscript"/>
        <sz val="11"/>
        <color theme="1"/>
        <rFont val="Arial"/>
        <family val="2"/>
      </rPr>
      <t>pole,mh</t>
    </r>
  </si>
  <si>
    <t>Pole wind area centroid z at mid. hole</t>
  </si>
  <si>
    <r>
      <t>z</t>
    </r>
    <r>
      <rPr>
        <i/>
        <vertAlign val="subscript"/>
        <sz val="11"/>
        <color theme="1"/>
        <rFont val="Arial"/>
        <family val="2"/>
      </rPr>
      <t>pole,th</t>
    </r>
  </si>
  <si>
    <t>Mast arm moment arm at middle hole</t>
  </si>
  <si>
    <r>
      <t>arm</t>
    </r>
    <r>
      <rPr>
        <i/>
        <vertAlign val="subscript"/>
        <sz val="11"/>
        <color theme="1"/>
        <rFont val="Arial"/>
        <family val="2"/>
      </rPr>
      <t>W,trans,mid</t>
    </r>
  </si>
  <si>
    <r>
      <t>arm</t>
    </r>
    <r>
      <rPr>
        <i/>
        <vertAlign val="subscript"/>
        <sz val="11"/>
        <color theme="1"/>
        <rFont val="Arial"/>
        <family val="2"/>
      </rPr>
      <t>W,trans,top</t>
    </r>
  </si>
  <si>
    <t>Unfact. Wind Moment at middle hole</t>
  </si>
  <si>
    <t>above location</t>
  </si>
  <si>
    <t>Pole wind area centroid z at top hole</t>
  </si>
  <si>
    <t>Mast arm moment arm at top hole</t>
  </si>
  <si>
    <r>
      <rPr>
        <i/>
        <sz val="11"/>
        <color theme="1"/>
        <rFont val="Calibri"/>
        <family val="2"/>
      </rPr>
      <t>λ</t>
    </r>
    <r>
      <rPr>
        <i/>
        <vertAlign val="subscript"/>
        <sz val="11"/>
        <color theme="1"/>
        <rFont val="Arial"/>
        <family val="2"/>
      </rPr>
      <t>rmax</t>
    </r>
    <r>
      <rPr>
        <i/>
        <sz val="11"/>
        <color theme="1"/>
        <rFont val="Arial"/>
        <family val="2"/>
      </rPr>
      <t xml:space="preserve"> = </t>
    </r>
    <r>
      <rPr>
        <sz val="11"/>
        <color theme="1"/>
        <rFont val="Arial"/>
        <family val="2"/>
      </rPr>
      <t>2.14</t>
    </r>
    <r>
      <rPr>
        <i/>
        <sz val="11"/>
        <color theme="1"/>
        <rFont val="Arial"/>
        <family val="2"/>
      </rPr>
      <t>(E/F</t>
    </r>
    <r>
      <rPr>
        <i/>
        <vertAlign val="subscript"/>
        <sz val="11"/>
        <color theme="1"/>
        <rFont val="Arial"/>
        <family val="2"/>
      </rPr>
      <t>y</t>
    </r>
    <r>
      <rPr>
        <i/>
        <sz val="11"/>
        <color theme="1"/>
        <rFont val="Arial"/>
        <family val="2"/>
      </rPr>
      <t>)</t>
    </r>
    <r>
      <rPr>
        <i/>
        <vertAlign val="superscript"/>
        <sz val="11"/>
        <color theme="1"/>
        <rFont val="Arial"/>
        <family val="2"/>
      </rPr>
      <t>1/2</t>
    </r>
  </si>
  <si>
    <r>
      <t>r</t>
    </r>
    <r>
      <rPr>
        <i/>
        <vertAlign val="subscript"/>
        <sz val="11"/>
        <color theme="1"/>
        <rFont val="Arial"/>
        <family val="2"/>
      </rPr>
      <t>bh</t>
    </r>
    <r>
      <rPr>
        <i/>
        <sz val="11"/>
        <color theme="1"/>
        <rFont val="Arial"/>
        <family val="2"/>
      </rPr>
      <t xml:space="preserve"> = (I</t>
    </r>
    <r>
      <rPr>
        <i/>
        <vertAlign val="subscript"/>
        <sz val="11"/>
        <color theme="1"/>
        <rFont val="Arial"/>
        <family val="2"/>
      </rPr>
      <t>bh</t>
    </r>
    <r>
      <rPr>
        <i/>
        <sz val="11"/>
        <color theme="1"/>
        <rFont val="Arial"/>
        <family val="2"/>
      </rPr>
      <t>/A</t>
    </r>
    <r>
      <rPr>
        <i/>
        <vertAlign val="subscript"/>
        <sz val="11"/>
        <color theme="1"/>
        <rFont val="Arial"/>
        <family val="2"/>
      </rPr>
      <t>bh</t>
    </r>
    <r>
      <rPr>
        <i/>
        <sz val="11"/>
        <color theme="1"/>
        <rFont val="Arial"/>
        <family val="2"/>
      </rPr>
      <t>)</t>
    </r>
    <r>
      <rPr>
        <i/>
        <vertAlign val="superscript"/>
        <sz val="11"/>
        <color theme="1"/>
        <rFont val="Arial"/>
        <family val="2"/>
      </rPr>
      <t>1/2</t>
    </r>
  </si>
  <si>
    <r>
      <t>d</t>
    </r>
    <r>
      <rPr>
        <i/>
        <vertAlign val="subscript"/>
        <sz val="11"/>
        <color theme="1"/>
        <rFont val="Arial"/>
        <family val="2"/>
      </rPr>
      <t>bh</t>
    </r>
  </si>
  <si>
    <r>
      <t>f</t>
    </r>
    <r>
      <rPr>
        <i/>
        <vertAlign val="subscript"/>
        <sz val="11"/>
        <color theme="1"/>
        <rFont val="Arial"/>
        <family val="2"/>
      </rPr>
      <t>a</t>
    </r>
    <r>
      <rPr>
        <i/>
        <sz val="11"/>
        <color theme="1"/>
        <rFont val="Arial"/>
        <family val="2"/>
      </rPr>
      <t xml:space="preserve"> = P</t>
    </r>
    <r>
      <rPr>
        <i/>
        <vertAlign val="subscript"/>
        <sz val="11"/>
        <color theme="1"/>
        <rFont val="Arial"/>
        <family val="2"/>
      </rPr>
      <t>T</t>
    </r>
    <r>
      <rPr>
        <i/>
        <sz val="11"/>
        <color theme="1"/>
        <rFont val="Arial"/>
        <family val="2"/>
      </rPr>
      <t>/A</t>
    </r>
    <r>
      <rPr>
        <i/>
        <vertAlign val="subscript"/>
        <sz val="11"/>
        <color theme="1"/>
        <rFont val="Arial"/>
        <family val="2"/>
      </rPr>
      <t>bh</t>
    </r>
  </si>
  <si>
    <r>
      <t>f</t>
    </r>
    <r>
      <rPr>
        <i/>
        <vertAlign val="subscript"/>
        <sz val="11"/>
        <color theme="1"/>
        <rFont val="Arial"/>
        <family val="2"/>
      </rPr>
      <t>b</t>
    </r>
    <r>
      <rPr>
        <i/>
        <sz val="11"/>
        <color theme="1"/>
        <rFont val="Arial"/>
        <family val="2"/>
      </rPr>
      <t xml:space="preserve"> = M</t>
    </r>
    <r>
      <rPr>
        <i/>
        <vertAlign val="subscript"/>
        <sz val="11"/>
        <color theme="1"/>
        <rFont val="Arial"/>
        <family val="2"/>
      </rPr>
      <t>bh</t>
    </r>
    <r>
      <rPr>
        <i/>
        <sz val="11"/>
        <color theme="1"/>
        <rFont val="Arial"/>
        <family val="2"/>
      </rPr>
      <t>/S</t>
    </r>
    <r>
      <rPr>
        <i/>
        <vertAlign val="subscript"/>
        <sz val="11"/>
        <color theme="1"/>
        <rFont val="Arial"/>
        <family val="2"/>
      </rPr>
      <t>bh</t>
    </r>
  </si>
  <si>
    <r>
      <t>f</t>
    </r>
    <r>
      <rPr>
        <i/>
        <vertAlign val="subscript"/>
        <sz val="11"/>
        <color theme="1"/>
        <rFont val="Arial"/>
        <family val="2"/>
      </rPr>
      <t>v</t>
    </r>
    <r>
      <rPr>
        <i/>
        <sz val="11"/>
        <color theme="1"/>
        <rFont val="Arial"/>
        <family val="2"/>
      </rPr>
      <t xml:space="preserve"> = 2V</t>
    </r>
    <r>
      <rPr>
        <i/>
        <vertAlign val="subscript"/>
        <sz val="11"/>
        <color theme="1"/>
        <rFont val="Arial"/>
        <family val="2"/>
      </rPr>
      <t>bh</t>
    </r>
    <r>
      <rPr>
        <i/>
        <sz val="11"/>
        <color theme="1"/>
        <rFont val="Arial"/>
        <family val="2"/>
      </rPr>
      <t>/A</t>
    </r>
    <r>
      <rPr>
        <i/>
        <vertAlign val="subscript"/>
        <sz val="11"/>
        <color theme="1"/>
        <rFont val="Arial"/>
        <family val="2"/>
      </rPr>
      <t>bh</t>
    </r>
  </si>
  <si>
    <t>Diameter at base</t>
  </si>
  <si>
    <t>Area at base</t>
  </si>
  <si>
    <t>Elastic section modulus at base</t>
  </si>
  <si>
    <t>Radius of gyration at base</t>
  </si>
  <si>
    <t>Diameter at top</t>
  </si>
  <si>
    <t>Area at top</t>
  </si>
  <si>
    <t>Moment of inertia at top</t>
  </si>
  <si>
    <t>Width-thickness limit</t>
  </si>
  <si>
    <t>Check combined stress at middle 2" port hole:</t>
  </si>
  <si>
    <r>
      <t>d</t>
    </r>
    <r>
      <rPr>
        <i/>
        <vertAlign val="subscript"/>
        <sz val="11"/>
        <color theme="1"/>
        <rFont val="Arial"/>
        <family val="2"/>
      </rPr>
      <t>mh</t>
    </r>
  </si>
  <si>
    <r>
      <t>r</t>
    </r>
    <r>
      <rPr>
        <i/>
        <vertAlign val="subscript"/>
        <sz val="11"/>
        <color theme="1"/>
        <rFont val="Arial"/>
        <family val="2"/>
      </rPr>
      <t>mh</t>
    </r>
    <r>
      <rPr>
        <i/>
        <sz val="11"/>
        <color theme="1"/>
        <rFont val="Arial"/>
        <family val="2"/>
      </rPr>
      <t xml:space="preserve"> = (I</t>
    </r>
    <r>
      <rPr>
        <i/>
        <vertAlign val="subscript"/>
        <sz val="11"/>
        <color theme="1"/>
        <rFont val="Arial"/>
        <family val="2"/>
      </rPr>
      <t>mh</t>
    </r>
    <r>
      <rPr>
        <i/>
        <sz val="11"/>
        <color theme="1"/>
        <rFont val="Arial"/>
        <family val="2"/>
      </rPr>
      <t>/A</t>
    </r>
    <r>
      <rPr>
        <i/>
        <vertAlign val="subscript"/>
        <sz val="11"/>
        <color theme="1"/>
        <rFont val="Arial"/>
        <family val="2"/>
      </rPr>
      <t>mh</t>
    </r>
    <r>
      <rPr>
        <i/>
        <sz val="11"/>
        <color theme="1"/>
        <rFont val="Arial"/>
        <family val="2"/>
      </rPr>
      <t>)</t>
    </r>
    <r>
      <rPr>
        <i/>
        <vertAlign val="superscript"/>
        <sz val="11"/>
        <color theme="1"/>
        <rFont val="Arial"/>
        <family val="2"/>
      </rPr>
      <t>1/2</t>
    </r>
  </si>
  <si>
    <r>
      <t>f</t>
    </r>
    <r>
      <rPr>
        <i/>
        <vertAlign val="subscript"/>
        <sz val="11"/>
        <color theme="1"/>
        <rFont val="Arial"/>
        <family val="2"/>
      </rPr>
      <t>a</t>
    </r>
    <r>
      <rPr>
        <i/>
        <sz val="11"/>
        <color theme="1"/>
        <rFont val="Arial"/>
        <family val="2"/>
      </rPr>
      <t xml:space="preserve"> = P</t>
    </r>
    <r>
      <rPr>
        <i/>
        <vertAlign val="subscript"/>
        <sz val="11"/>
        <color theme="1"/>
        <rFont val="Arial"/>
        <family val="2"/>
      </rPr>
      <t>T</t>
    </r>
    <r>
      <rPr>
        <i/>
        <sz val="11"/>
        <color theme="1"/>
        <rFont val="Arial"/>
        <family val="2"/>
      </rPr>
      <t>/A</t>
    </r>
    <r>
      <rPr>
        <i/>
        <vertAlign val="subscript"/>
        <sz val="11"/>
        <color theme="1"/>
        <rFont val="Arial"/>
        <family val="2"/>
      </rPr>
      <t>mh</t>
    </r>
  </si>
  <si>
    <r>
      <t>f</t>
    </r>
    <r>
      <rPr>
        <i/>
        <vertAlign val="subscript"/>
        <sz val="11"/>
        <color theme="1"/>
        <rFont val="Arial"/>
        <family val="2"/>
      </rPr>
      <t>b</t>
    </r>
    <r>
      <rPr>
        <i/>
        <sz val="11"/>
        <color theme="1"/>
        <rFont val="Arial"/>
        <family val="2"/>
      </rPr>
      <t xml:space="preserve"> = M</t>
    </r>
    <r>
      <rPr>
        <i/>
        <vertAlign val="subscript"/>
        <sz val="11"/>
        <color theme="1"/>
        <rFont val="Arial"/>
        <family val="2"/>
      </rPr>
      <t>mh</t>
    </r>
    <r>
      <rPr>
        <i/>
        <sz val="11"/>
        <color theme="1"/>
        <rFont val="Arial"/>
        <family val="2"/>
      </rPr>
      <t>/S</t>
    </r>
    <r>
      <rPr>
        <i/>
        <vertAlign val="subscript"/>
        <sz val="11"/>
        <color theme="1"/>
        <rFont val="Arial"/>
        <family val="2"/>
      </rPr>
      <t>mh</t>
    </r>
  </si>
  <si>
    <r>
      <t>f</t>
    </r>
    <r>
      <rPr>
        <i/>
        <vertAlign val="subscript"/>
        <sz val="11"/>
        <color theme="1"/>
        <rFont val="Arial"/>
        <family val="2"/>
      </rPr>
      <t>v</t>
    </r>
    <r>
      <rPr>
        <i/>
        <sz val="11"/>
        <color theme="1"/>
        <rFont val="Arial"/>
        <family val="2"/>
      </rPr>
      <t xml:space="preserve"> = 2V</t>
    </r>
    <r>
      <rPr>
        <i/>
        <vertAlign val="subscript"/>
        <sz val="11"/>
        <color theme="1"/>
        <rFont val="Arial"/>
        <family val="2"/>
      </rPr>
      <t>mh</t>
    </r>
    <r>
      <rPr>
        <i/>
        <sz val="11"/>
        <color theme="1"/>
        <rFont val="Arial"/>
        <family val="2"/>
      </rPr>
      <t>/A</t>
    </r>
    <r>
      <rPr>
        <i/>
        <vertAlign val="subscript"/>
        <sz val="11"/>
        <color theme="1"/>
        <rFont val="Arial"/>
        <family val="2"/>
      </rPr>
      <t>mh</t>
    </r>
  </si>
  <si>
    <r>
      <t>S</t>
    </r>
    <r>
      <rPr>
        <i/>
        <vertAlign val="subscript"/>
        <sz val="11"/>
        <color theme="1"/>
        <rFont val="Arial"/>
        <family val="2"/>
      </rPr>
      <t>bh</t>
    </r>
  </si>
  <si>
    <t>bottom section modulus:</t>
  </si>
  <si>
    <t>Diameter at bottom hole</t>
  </si>
  <si>
    <t>Area at base at bottom hole</t>
  </si>
  <si>
    <t>Moment of inertia at bottom hole</t>
  </si>
  <si>
    <t>Elastic section modulus at bottom hole</t>
  </si>
  <si>
    <t>Radius of gyration at bottom hole</t>
  </si>
  <si>
    <t>Applied bending stress</t>
  </si>
  <si>
    <t>Diameter at middle hole</t>
  </si>
  <si>
    <t>Area at base at middle hole</t>
  </si>
  <si>
    <t>Moment of inertia at middle hole</t>
  </si>
  <si>
    <t>Elastic section modulus at middle hole</t>
  </si>
  <si>
    <t>Radius of gyration at middle hole</t>
  </si>
  <si>
    <r>
      <t>S</t>
    </r>
    <r>
      <rPr>
        <i/>
        <vertAlign val="subscript"/>
        <sz val="11"/>
        <color theme="1"/>
        <rFont val="Arial"/>
        <family val="2"/>
      </rPr>
      <t>mh</t>
    </r>
  </si>
  <si>
    <t>Diameter at top hole</t>
  </si>
  <si>
    <t>Area at base at top hole</t>
  </si>
  <si>
    <t>Moment of inertia at top hole</t>
  </si>
  <si>
    <t>Elastic section modulus at top hole</t>
  </si>
  <si>
    <t>Radius of gyration at top hole</t>
  </si>
  <si>
    <r>
      <t>d</t>
    </r>
    <r>
      <rPr>
        <i/>
        <vertAlign val="subscript"/>
        <sz val="11"/>
        <color theme="1"/>
        <rFont val="Arial"/>
        <family val="2"/>
      </rPr>
      <t>th</t>
    </r>
  </si>
  <si>
    <r>
      <t>S</t>
    </r>
    <r>
      <rPr>
        <i/>
        <vertAlign val="subscript"/>
        <sz val="11"/>
        <color theme="1"/>
        <rFont val="Arial"/>
        <family val="2"/>
      </rPr>
      <t>th</t>
    </r>
  </si>
  <si>
    <r>
      <t>r</t>
    </r>
    <r>
      <rPr>
        <i/>
        <vertAlign val="subscript"/>
        <sz val="11"/>
        <color theme="1"/>
        <rFont val="Arial"/>
        <family val="2"/>
      </rPr>
      <t>th</t>
    </r>
    <r>
      <rPr>
        <i/>
        <sz val="11"/>
        <color theme="1"/>
        <rFont val="Arial"/>
        <family val="2"/>
      </rPr>
      <t xml:space="preserve"> = (I</t>
    </r>
    <r>
      <rPr>
        <i/>
        <vertAlign val="subscript"/>
        <sz val="11"/>
        <color theme="1"/>
        <rFont val="Arial"/>
        <family val="2"/>
      </rPr>
      <t>th</t>
    </r>
    <r>
      <rPr>
        <i/>
        <sz val="11"/>
        <color theme="1"/>
        <rFont val="Arial"/>
        <family val="2"/>
      </rPr>
      <t>/A</t>
    </r>
    <r>
      <rPr>
        <i/>
        <vertAlign val="subscript"/>
        <sz val="11"/>
        <color theme="1"/>
        <rFont val="Arial"/>
        <family val="2"/>
      </rPr>
      <t>th</t>
    </r>
    <r>
      <rPr>
        <i/>
        <sz val="11"/>
        <color theme="1"/>
        <rFont val="Arial"/>
        <family val="2"/>
      </rPr>
      <t>)</t>
    </r>
    <r>
      <rPr>
        <i/>
        <vertAlign val="superscript"/>
        <sz val="11"/>
        <color theme="1"/>
        <rFont val="Arial"/>
        <family val="2"/>
      </rPr>
      <t>1/2</t>
    </r>
  </si>
  <si>
    <r>
      <t>f</t>
    </r>
    <r>
      <rPr>
        <i/>
        <vertAlign val="subscript"/>
        <sz val="11"/>
        <color theme="1"/>
        <rFont val="Arial"/>
        <family val="2"/>
      </rPr>
      <t>a</t>
    </r>
    <r>
      <rPr>
        <i/>
        <sz val="11"/>
        <color theme="1"/>
        <rFont val="Arial"/>
        <family val="2"/>
      </rPr>
      <t xml:space="preserve"> = P</t>
    </r>
    <r>
      <rPr>
        <i/>
        <vertAlign val="subscript"/>
        <sz val="11"/>
        <color theme="1"/>
        <rFont val="Arial"/>
        <family val="2"/>
      </rPr>
      <t>T</t>
    </r>
    <r>
      <rPr>
        <i/>
        <sz val="11"/>
        <color theme="1"/>
        <rFont val="Arial"/>
        <family val="2"/>
      </rPr>
      <t>/A</t>
    </r>
    <r>
      <rPr>
        <i/>
        <vertAlign val="subscript"/>
        <sz val="11"/>
        <color theme="1"/>
        <rFont val="Arial"/>
        <family val="2"/>
      </rPr>
      <t>th</t>
    </r>
  </si>
  <si>
    <r>
      <t>f</t>
    </r>
    <r>
      <rPr>
        <i/>
        <vertAlign val="subscript"/>
        <sz val="11"/>
        <color theme="1"/>
        <rFont val="Arial"/>
        <family val="2"/>
      </rPr>
      <t>b</t>
    </r>
    <r>
      <rPr>
        <i/>
        <sz val="11"/>
        <color theme="1"/>
        <rFont val="Arial"/>
        <family val="2"/>
      </rPr>
      <t xml:space="preserve"> = M</t>
    </r>
    <r>
      <rPr>
        <i/>
        <vertAlign val="subscript"/>
        <sz val="11"/>
        <color theme="1"/>
        <rFont val="Arial"/>
        <family val="2"/>
      </rPr>
      <t>th</t>
    </r>
    <r>
      <rPr>
        <i/>
        <sz val="11"/>
        <color theme="1"/>
        <rFont val="Arial"/>
        <family val="2"/>
      </rPr>
      <t>/S</t>
    </r>
    <r>
      <rPr>
        <i/>
        <vertAlign val="subscript"/>
        <sz val="11"/>
        <color theme="1"/>
        <rFont val="Arial"/>
        <family val="2"/>
      </rPr>
      <t>th</t>
    </r>
  </si>
  <si>
    <r>
      <t>f</t>
    </r>
    <r>
      <rPr>
        <i/>
        <vertAlign val="subscript"/>
        <sz val="11"/>
        <color theme="1"/>
        <rFont val="Arial"/>
        <family val="2"/>
      </rPr>
      <t>v</t>
    </r>
    <r>
      <rPr>
        <i/>
        <sz val="11"/>
        <color theme="1"/>
        <rFont val="Arial"/>
        <family val="2"/>
      </rPr>
      <t xml:space="preserve"> = 2V</t>
    </r>
    <r>
      <rPr>
        <i/>
        <vertAlign val="subscript"/>
        <sz val="11"/>
        <color theme="1"/>
        <rFont val="Arial"/>
        <family val="2"/>
      </rPr>
      <t>th</t>
    </r>
    <r>
      <rPr>
        <i/>
        <sz val="11"/>
        <color theme="1"/>
        <rFont val="Arial"/>
        <family val="2"/>
      </rPr>
      <t>/A</t>
    </r>
    <r>
      <rPr>
        <i/>
        <vertAlign val="subscript"/>
        <sz val="11"/>
        <color theme="1"/>
        <rFont val="Arial"/>
        <family val="2"/>
      </rPr>
      <t>th</t>
    </r>
  </si>
  <si>
    <t>Octaflute Pole Cross Sectional Properties</t>
  </si>
  <si>
    <t>Moment of inertia at base</t>
  </si>
  <si>
    <t>Check combined stress at bottom 0.75" port hole:</t>
  </si>
  <si>
    <t>Check combined stress at top 0.75" port hole:</t>
  </si>
  <si>
    <r>
      <t>F</t>
    </r>
    <r>
      <rPr>
        <i/>
        <vertAlign val="subscript"/>
        <sz val="11"/>
        <color theme="1"/>
        <rFont val="Arial"/>
        <family val="2"/>
      </rPr>
      <t>b</t>
    </r>
    <r>
      <rPr>
        <i/>
        <sz val="11"/>
        <color theme="1"/>
        <rFont val="Arial"/>
        <family val="2"/>
      </rPr>
      <t xml:space="preserve"> = </t>
    </r>
    <r>
      <rPr>
        <sz val="11"/>
        <color theme="1"/>
        <rFont val="Arial"/>
        <family val="2"/>
      </rPr>
      <t>(0.64</t>
    </r>
    <r>
      <rPr>
        <i/>
        <sz val="11"/>
        <color theme="1"/>
        <rFont val="Arial"/>
        <family val="2"/>
      </rPr>
      <t>F</t>
    </r>
    <r>
      <rPr>
        <i/>
        <vertAlign val="subscript"/>
        <sz val="11"/>
        <color theme="1"/>
        <rFont val="Arial"/>
        <family val="2"/>
      </rPr>
      <t>y</t>
    </r>
    <r>
      <rPr>
        <sz val="11"/>
        <color theme="1"/>
        <rFont val="Arial"/>
        <family val="2"/>
      </rPr>
      <t>)*1.33</t>
    </r>
  </si>
  <si>
    <t>LTS-6, Section 5.12 with 33% stress increase for wind loading</t>
  </si>
  <si>
    <r>
      <t>F</t>
    </r>
    <r>
      <rPr>
        <i/>
        <vertAlign val="subscript"/>
        <sz val="11"/>
        <color theme="1"/>
        <rFont val="Arial"/>
        <family val="2"/>
      </rPr>
      <t>v</t>
    </r>
    <r>
      <rPr>
        <i/>
        <sz val="11"/>
        <color theme="1"/>
        <rFont val="Arial"/>
        <family val="2"/>
      </rPr>
      <t xml:space="preserve"> = </t>
    </r>
    <r>
      <rPr>
        <sz val="11"/>
        <color theme="1"/>
        <rFont val="Arial"/>
        <family val="2"/>
      </rPr>
      <t>(0.33</t>
    </r>
    <r>
      <rPr>
        <i/>
        <sz val="11"/>
        <color theme="1"/>
        <rFont val="Arial"/>
        <family val="2"/>
      </rPr>
      <t>F</t>
    </r>
    <r>
      <rPr>
        <i/>
        <vertAlign val="subscript"/>
        <sz val="11"/>
        <color theme="1"/>
        <rFont val="Arial"/>
        <family val="2"/>
      </rPr>
      <t>y</t>
    </r>
    <r>
      <rPr>
        <sz val="11"/>
        <color theme="1"/>
        <rFont val="Arial"/>
        <family val="2"/>
      </rPr>
      <t>)*1.33</t>
    </r>
  </si>
  <si>
    <r>
      <t>F</t>
    </r>
    <r>
      <rPr>
        <i/>
        <vertAlign val="subscript"/>
        <sz val="11"/>
        <color theme="1"/>
        <rFont val="Arial"/>
        <family val="2"/>
      </rPr>
      <t>a</t>
    </r>
    <r>
      <rPr>
        <i/>
        <sz val="11"/>
        <color theme="1"/>
        <rFont val="Arial"/>
        <family val="2"/>
      </rPr>
      <t xml:space="preserve"> = </t>
    </r>
    <r>
      <rPr>
        <sz val="11"/>
        <color theme="1"/>
        <rFont val="Arial"/>
        <family val="2"/>
      </rPr>
      <t>(0.6</t>
    </r>
    <r>
      <rPr>
        <i/>
        <sz val="11"/>
        <color theme="1"/>
        <rFont val="Arial"/>
        <family val="2"/>
      </rPr>
      <t>F</t>
    </r>
    <r>
      <rPr>
        <i/>
        <vertAlign val="subscript"/>
        <sz val="11"/>
        <color theme="1"/>
        <rFont val="Arial"/>
        <family val="2"/>
      </rPr>
      <t>y</t>
    </r>
    <r>
      <rPr>
        <sz val="11"/>
        <color theme="1"/>
        <rFont val="Arial"/>
        <family val="2"/>
      </rPr>
      <t>)*1.33</t>
    </r>
  </si>
  <si>
    <t>Allowable compressive stress</t>
  </si>
  <si>
    <t>Project:</t>
  </si>
  <si>
    <t>Example Wind Load Analysis</t>
  </si>
  <si>
    <t>Design Loading on Highway Signs and Light Standards</t>
  </si>
  <si>
    <r>
      <t>K</t>
    </r>
    <r>
      <rPr>
        <i/>
        <vertAlign val="subscript"/>
        <sz val="11"/>
        <color theme="1"/>
        <rFont val="Arial"/>
        <family val="2"/>
      </rPr>
      <t>z</t>
    </r>
    <r>
      <rPr>
        <i/>
        <sz val="11"/>
        <color theme="1"/>
        <rFont val="Arial"/>
        <family val="2"/>
      </rPr>
      <t xml:space="preserve"> = 2.01</t>
    </r>
    <r>
      <rPr>
        <sz val="11"/>
        <color theme="1"/>
        <rFont val="Arial"/>
        <family val="2"/>
      </rPr>
      <t>(</t>
    </r>
    <r>
      <rPr>
        <i/>
        <sz val="11"/>
        <color theme="1"/>
        <rFont val="Arial"/>
        <family val="2"/>
      </rPr>
      <t>z/z</t>
    </r>
    <r>
      <rPr>
        <i/>
        <vertAlign val="subscript"/>
        <sz val="11"/>
        <color theme="1"/>
        <rFont val="Arial"/>
        <family val="2"/>
      </rPr>
      <t>g</t>
    </r>
    <r>
      <rPr>
        <sz val="11"/>
        <color theme="1"/>
        <rFont val="Arial"/>
        <family val="2"/>
      </rPr>
      <t>)</t>
    </r>
    <r>
      <rPr>
        <i/>
        <vertAlign val="superscript"/>
        <sz val="11"/>
        <color theme="1"/>
        <rFont val="Arial"/>
        <family val="2"/>
      </rPr>
      <t>2/α</t>
    </r>
  </si>
  <si>
    <t>Exposure coefficient</t>
  </si>
  <si>
    <t>RC</t>
  </si>
  <si>
    <t>Exposure factor</t>
  </si>
  <si>
    <t>Exposure height</t>
  </si>
  <si>
    <t>LTS-6, Fig. 3.8.3-1</t>
  </si>
  <si>
    <t>LTS-6, Eq. C3.8.4-1</t>
  </si>
  <si>
    <t>LTS-6, C3.8.4</t>
  </si>
  <si>
    <t>LTS-6, Table 3.8.3-1</t>
  </si>
  <si>
    <t>Pole wind area</t>
  </si>
  <si>
    <t>Centroid of pole height</t>
  </si>
  <si>
    <t>Pole diameter at base</t>
  </si>
  <si>
    <t>Pole diameter at top</t>
  </si>
  <si>
    <r>
      <t>d</t>
    </r>
    <r>
      <rPr>
        <i/>
        <vertAlign val="subscript"/>
        <sz val="11"/>
        <color theme="1"/>
        <rFont val="Arial"/>
        <family val="2"/>
      </rPr>
      <t>top</t>
    </r>
  </si>
  <si>
    <t>CSJ Detail E-15</t>
  </si>
  <si>
    <r>
      <t>d</t>
    </r>
    <r>
      <rPr>
        <i/>
        <vertAlign val="subscript"/>
        <sz val="11"/>
        <color theme="1"/>
        <rFont val="Arial"/>
        <family val="2"/>
      </rPr>
      <t>base</t>
    </r>
  </si>
  <si>
    <t>Pole drag coefficient</t>
  </si>
  <si>
    <t>LTS-6, Sec. 3.8.5</t>
  </si>
  <si>
    <t>LTS-6, Eq. C3.8.1</t>
  </si>
  <si>
    <t>LTS-6, Table 3.8.6-1 (Octagonal)</t>
  </si>
  <si>
    <t>Moment arm from base</t>
  </si>
  <si>
    <t>subtract pole area shaded by equip.</t>
  </si>
  <si>
    <r>
      <t>A</t>
    </r>
    <r>
      <rPr>
        <i/>
        <vertAlign val="subscript"/>
        <sz val="11"/>
        <color theme="1"/>
        <rFont val="Arial"/>
        <family val="2"/>
      </rPr>
      <t>pole,tot</t>
    </r>
  </si>
  <si>
    <t>Pole normal wind area</t>
  </si>
  <si>
    <r>
      <t>A</t>
    </r>
    <r>
      <rPr>
        <i/>
        <vertAlign val="subscript"/>
        <sz val="11"/>
        <color theme="1"/>
        <rFont val="Arial"/>
        <family val="2"/>
      </rPr>
      <t>pole,N</t>
    </r>
    <r>
      <rPr>
        <i/>
        <sz val="11"/>
        <color theme="1"/>
        <rFont val="Arial"/>
        <family val="2"/>
      </rPr>
      <t xml:space="preserve"> = A</t>
    </r>
    <r>
      <rPr>
        <i/>
        <vertAlign val="subscript"/>
        <sz val="11"/>
        <color theme="1"/>
        <rFont val="Arial"/>
        <family val="2"/>
      </rPr>
      <t>pole,tot</t>
    </r>
    <r>
      <rPr>
        <i/>
        <sz val="11"/>
        <color theme="1"/>
        <rFont val="Arial"/>
        <family val="2"/>
      </rPr>
      <t xml:space="preserve"> - A</t>
    </r>
    <r>
      <rPr>
        <i/>
        <vertAlign val="subscript"/>
        <sz val="11"/>
        <color theme="1"/>
        <rFont val="Arial"/>
        <family val="2"/>
      </rPr>
      <t>pole,equip</t>
    </r>
  </si>
  <si>
    <t>Normal wind moment at base</t>
  </si>
  <si>
    <t>lb-ft</t>
  </si>
  <si>
    <t>Transverse wind moment at base</t>
  </si>
  <si>
    <t>Normal design wind force on pole</t>
  </si>
  <si>
    <t>Trans. design wind force on pole</t>
  </si>
  <si>
    <t>Wind Force</t>
  </si>
  <si>
    <t>Wind Moment</t>
  </si>
  <si>
    <r>
      <t>arm</t>
    </r>
    <r>
      <rPr>
        <i/>
        <vertAlign val="subscript"/>
        <sz val="11"/>
        <color theme="1"/>
        <rFont val="Arial"/>
        <family val="2"/>
      </rPr>
      <t>w,pole</t>
    </r>
  </si>
  <si>
    <t>Based on AASHTO LTS-6</t>
  </si>
  <si>
    <r>
      <t>P</t>
    </r>
    <r>
      <rPr>
        <i/>
        <vertAlign val="subscript"/>
        <sz val="11"/>
        <color theme="1"/>
        <rFont val="Arial"/>
        <family val="2"/>
      </rPr>
      <t>a</t>
    </r>
  </si>
  <si>
    <r>
      <t>M</t>
    </r>
    <r>
      <rPr>
        <i/>
        <vertAlign val="subscript"/>
        <sz val="11"/>
        <color theme="1"/>
        <rFont val="Arial"/>
        <family val="2"/>
      </rPr>
      <t>base</t>
    </r>
  </si>
  <si>
    <t>Governing ASD flexural demand at base</t>
  </si>
  <si>
    <r>
      <t>V</t>
    </r>
    <r>
      <rPr>
        <i/>
        <vertAlign val="subscript"/>
        <sz val="11"/>
        <color theme="1"/>
        <rFont val="Arial"/>
        <family val="2"/>
      </rPr>
      <t>base</t>
    </r>
  </si>
  <si>
    <r>
      <rPr>
        <sz val="11"/>
        <color theme="1"/>
        <rFont val="Arial"/>
        <family val="2"/>
      </rPr>
      <t xml:space="preserve">Aspect Ratio </t>
    </r>
    <r>
      <rPr>
        <i/>
        <sz val="11"/>
        <color theme="1"/>
        <rFont val="Arial"/>
        <family val="2"/>
      </rPr>
      <t>L/b</t>
    </r>
  </si>
  <si>
    <t>Wind Load Derivation</t>
  </si>
  <si>
    <t>Wind pressure at pole centroid</t>
  </si>
  <si>
    <r>
      <t>q</t>
    </r>
    <r>
      <rPr>
        <i/>
        <vertAlign val="subscript"/>
        <sz val="11"/>
        <color theme="1"/>
        <rFont val="Arial"/>
        <family val="2"/>
      </rPr>
      <t>z</t>
    </r>
    <r>
      <rPr>
        <i/>
        <sz val="11"/>
        <color theme="1"/>
        <rFont val="Arial"/>
        <family val="2"/>
      </rPr>
      <t xml:space="preserve"> = 0.00256K</t>
    </r>
    <r>
      <rPr>
        <i/>
        <vertAlign val="subscript"/>
        <sz val="11"/>
        <color theme="1"/>
        <rFont val="Arial"/>
        <family val="2"/>
      </rPr>
      <t>z</t>
    </r>
    <r>
      <rPr>
        <i/>
        <sz val="11"/>
        <color theme="1"/>
        <rFont val="Arial"/>
        <family val="2"/>
      </rPr>
      <t>GV</t>
    </r>
    <r>
      <rPr>
        <i/>
        <vertAlign val="superscript"/>
        <sz val="11"/>
        <color theme="1"/>
        <rFont val="Arial"/>
        <family val="2"/>
      </rPr>
      <t>2</t>
    </r>
    <r>
      <rPr>
        <i/>
        <sz val="11"/>
        <color theme="1"/>
        <rFont val="Arial"/>
        <family val="2"/>
      </rPr>
      <t>I</t>
    </r>
    <r>
      <rPr>
        <i/>
        <vertAlign val="subscript"/>
        <sz val="11"/>
        <color theme="1"/>
        <rFont val="Arial"/>
        <family val="2"/>
      </rPr>
      <t>r</t>
    </r>
  </si>
  <si>
    <r>
      <t>P</t>
    </r>
    <r>
      <rPr>
        <i/>
        <vertAlign val="subscript"/>
        <sz val="11"/>
        <color theme="1"/>
        <rFont val="Arial"/>
        <family val="2"/>
      </rPr>
      <t>w,N</t>
    </r>
    <r>
      <rPr>
        <i/>
        <sz val="11"/>
        <color theme="1"/>
        <rFont val="Arial"/>
        <family val="2"/>
      </rPr>
      <t xml:space="preserve"> = q</t>
    </r>
    <r>
      <rPr>
        <i/>
        <vertAlign val="subscript"/>
        <sz val="11"/>
        <color theme="1"/>
        <rFont val="Arial"/>
        <family val="2"/>
      </rPr>
      <t>z</t>
    </r>
    <r>
      <rPr>
        <i/>
        <sz val="11"/>
        <color theme="1"/>
        <rFont val="Arial"/>
        <family val="2"/>
      </rPr>
      <t>C</t>
    </r>
    <r>
      <rPr>
        <i/>
        <vertAlign val="subscript"/>
        <sz val="11"/>
        <color theme="1"/>
        <rFont val="Arial"/>
        <family val="2"/>
      </rPr>
      <t>d</t>
    </r>
    <r>
      <rPr>
        <i/>
        <sz val="11"/>
        <color theme="1"/>
        <rFont val="Arial"/>
        <family val="2"/>
      </rPr>
      <t>A</t>
    </r>
    <r>
      <rPr>
        <i/>
        <vertAlign val="subscript"/>
        <sz val="11"/>
        <color theme="1"/>
        <rFont val="Arial"/>
        <family val="2"/>
      </rPr>
      <t>pole,N</t>
    </r>
  </si>
  <si>
    <r>
      <t>P</t>
    </r>
    <r>
      <rPr>
        <i/>
        <vertAlign val="subscript"/>
        <sz val="11"/>
        <color theme="1"/>
        <rFont val="Arial"/>
        <family val="2"/>
      </rPr>
      <t>w,T</t>
    </r>
    <r>
      <rPr>
        <i/>
        <sz val="11"/>
        <color theme="1"/>
        <rFont val="Arial"/>
        <family val="2"/>
      </rPr>
      <t xml:space="preserve"> = q</t>
    </r>
    <r>
      <rPr>
        <i/>
        <vertAlign val="subscript"/>
        <sz val="11"/>
        <color theme="1"/>
        <rFont val="Arial"/>
        <family val="2"/>
      </rPr>
      <t>z</t>
    </r>
    <r>
      <rPr>
        <i/>
        <sz val="11"/>
        <color theme="1"/>
        <rFont val="Arial"/>
        <family val="2"/>
      </rPr>
      <t>C</t>
    </r>
    <r>
      <rPr>
        <i/>
        <vertAlign val="subscript"/>
        <sz val="11"/>
        <color theme="1"/>
        <rFont val="Arial"/>
        <family val="2"/>
      </rPr>
      <t>d</t>
    </r>
    <r>
      <rPr>
        <i/>
        <sz val="11"/>
        <color theme="1"/>
        <rFont val="Arial"/>
        <family val="2"/>
      </rPr>
      <t>A</t>
    </r>
    <r>
      <rPr>
        <i/>
        <vertAlign val="subscript"/>
        <sz val="11"/>
        <color theme="1"/>
        <rFont val="Arial"/>
        <family val="2"/>
      </rPr>
      <t>pole,tot</t>
    </r>
  </si>
  <si>
    <t>III</t>
  </si>
  <si>
    <t>DL + W</t>
  </si>
  <si>
    <t>Group Load</t>
  </si>
  <si>
    <t>Load Combo.</t>
  </si>
  <si>
    <t>Percent of Allowable Stress</t>
  </si>
  <si>
    <t>Group Load Combinations (LTS-6 Table 3.4-1)</t>
  </si>
  <si>
    <r>
      <t xml:space="preserve">DL + Ice + </t>
    </r>
    <r>
      <rPr>
        <sz val="11"/>
        <color theme="1"/>
        <rFont val="Arial"/>
        <family val="2"/>
      </rPr>
      <t>½</t>
    </r>
    <r>
      <rPr>
        <i/>
        <sz val="11"/>
        <color theme="1"/>
        <rFont val="Arial"/>
        <family val="2"/>
      </rPr>
      <t>W</t>
    </r>
  </si>
  <si>
    <t>Governing ASD shear demand at base</t>
  </si>
  <si>
    <t>Pole Soil Restraining condition</t>
  </si>
  <si>
    <t>restrained condition:</t>
  </si>
  <si>
    <t>restrained</t>
  </si>
  <si>
    <t>Compression Demand on pole</t>
  </si>
  <si>
    <t>Shear demand on pole at base</t>
  </si>
  <si>
    <t>Compression demand on pole</t>
  </si>
  <si>
    <r>
      <t>M</t>
    </r>
    <r>
      <rPr>
        <i/>
        <vertAlign val="subscript"/>
        <sz val="11"/>
        <color theme="1"/>
        <rFont val="Arial"/>
        <family val="2"/>
      </rPr>
      <t>w,pole,T,base</t>
    </r>
    <r>
      <rPr>
        <i/>
        <sz val="11"/>
        <color theme="1"/>
        <rFont val="Arial"/>
        <family val="2"/>
      </rPr>
      <t xml:space="preserve"> = P</t>
    </r>
    <r>
      <rPr>
        <i/>
        <vertAlign val="subscript"/>
        <sz val="11"/>
        <color theme="1"/>
        <rFont val="Arial"/>
        <family val="2"/>
      </rPr>
      <t>w,N</t>
    </r>
    <r>
      <rPr>
        <i/>
        <sz val="11"/>
        <color theme="1"/>
        <rFont val="Arial"/>
        <family val="2"/>
      </rPr>
      <t>arm</t>
    </r>
    <r>
      <rPr>
        <i/>
        <vertAlign val="subscript"/>
        <sz val="11"/>
        <color theme="1"/>
        <rFont val="Arial"/>
        <family val="2"/>
      </rPr>
      <t>w,pole</t>
    </r>
  </si>
  <si>
    <r>
      <t>M</t>
    </r>
    <r>
      <rPr>
        <i/>
        <vertAlign val="subscript"/>
        <sz val="11"/>
        <color theme="1"/>
        <rFont val="Arial"/>
        <family val="2"/>
      </rPr>
      <t>w,pole,N,base</t>
    </r>
    <r>
      <rPr>
        <i/>
        <sz val="11"/>
        <color theme="1"/>
        <rFont val="Arial"/>
        <family val="2"/>
      </rPr>
      <t xml:space="preserve"> = P</t>
    </r>
    <r>
      <rPr>
        <i/>
        <vertAlign val="subscript"/>
        <sz val="11"/>
        <color theme="1"/>
        <rFont val="Arial"/>
        <family val="2"/>
      </rPr>
      <t>w,N</t>
    </r>
    <r>
      <rPr>
        <i/>
        <sz val="11"/>
        <color theme="1"/>
        <rFont val="Arial"/>
        <family val="2"/>
      </rPr>
      <t>arm</t>
    </r>
    <r>
      <rPr>
        <i/>
        <vertAlign val="subscript"/>
        <sz val="11"/>
        <color theme="1"/>
        <rFont val="Arial"/>
        <family val="2"/>
      </rPr>
      <t>w,pole</t>
    </r>
  </si>
  <si>
    <t>ft-kip</t>
  </si>
  <si>
    <t>in-kip</t>
  </si>
  <si>
    <t>LTS-6, Group Load Combination II, Load Case 2 governs</t>
  </si>
  <si>
    <r>
      <rPr>
        <i/>
        <sz val="11"/>
        <color theme="1"/>
        <rFont val="Arial"/>
        <family val="2"/>
      </rPr>
      <t>P</t>
    </r>
    <r>
      <rPr>
        <i/>
        <vertAlign val="subscript"/>
        <sz val="11"/>
        <color theme="1"/>
        <rFont val="Arial"/>
        <family val="2"/>
      </rPr>
      <t>a</t>
    </r>
    <r>
      <rPr>
        <sz val="11"/>
        <color theme="1"/>
        <rFont val="Arial"/>
        <family val="2"/>
      </rPr>
      <t xml:space="preserve"> = </t>
    </r>
    <r>
      <rPr>
        <i/>
        <sz val="11"/>
        <color theme="1"/>
        <rFont val="Arial"/>
        <family val="2"/>
      </rPr>
      <t>P</t>
    </r>
    <r>
      <rPr>
        <i/>
        <vertAlign val="subscript"/>
        <sz val="11"/>
        <color theme="1"/>
        <rFont val="Arial"/>
        <family val="2"/>
      </rPr>
      <t>DL</t>
    </r>
    <r>
      <rPr>
        <i/>
        <sz val="11"/>
        <color theme="1"/>
        <rFont val="Arial"/>
        <family val="2"/>
      </rPr>
      <t xml:space="preserve"> </t>
    </r>
    <r>
      <rPr>
        <sz val="11"/>
        <color theme="1"/>
        <rFont val="Arial"/>
        <family val="2"/>
      </rPr>
      <t>+ (</t>
    </r>
    <r>
      <rPr>
        <i/>
        <sz val="11"/>
        <color theme="1"/>
        <rFont val="Arial"/>
        <family val="2"/>
      </rPr>
      <t>P</t>
    </r>
    <r>
      <rPr>
        <i/>
        <vertAlign val="subscript"/>
        <sz val="11"/>
        <color theme="1"/>
        <rFont val="Arial"/>
        <family val="2"/>
      </rPr>
      <t>w,N</t>
    </r>
    <r>
      <rPr>
        <vertAlign val="subscript"/>
        <sz val="11"/>
        <color theme="1"/>
        <rFont val="Arial"/>
        <family val="2"/>
      </rPr>
      <t xml:space="preserve"> </t>
    </r>
    <r>
      <rPr>
        <sz val="11"/>
        <color theme="1"/>
        <rFont val="Arial"/>
        <family val="2"/>
      </rPr>
      <t xml:space="preserve">+ </t>
    </r>
    <r>
      <rPr>
        <i/>
        <sz val="11"/>
        <color theme="1"/>
        <rFont val="Arial"/>
        <family val="2"/>
      </rPr>
      <t>P</t>
    </r>
    <r>
      <rPr>
        <i/>
        <vertAlign val="subscript"/>
        <sz val="11"/>
        <color theme="1"/>
        <rFont val="Arial"/>
        <family val="2"/>
      </rPr>
      <t>w,T</t>
    </r>
    <r>
      <rPr>
        <sz val="11"/>
        <color theme="1"/>
        <rFont val="Arial"/>
        <family val="2"/>
      </rPr>
      <t>)</t>
    </r>
  </si>
  <si>
    <r>
      <rPr>
        <i/>
        <sz val="11"/>
        <color theme="1"/>
        <rFont val="Arial"/>
        <family val="2"/>
      </rPr>
      <t>V</t>
    </r>
    <r>
      <rPr>
        <i/>
        <vertAlign val="subscript"/>
        <sz val="11"/>
        <color theme="1"/>
        <rFont val="Arial"/>
        <family val="2"/>
      </rPr>
      <t>base</t>
    </r>
    <r>
      <rPr>
        <sz val="11"/>
        <color theme="1"/>
        <rFont val="Arial"/>
        <family val="2"/>
      </rPr>
      <t xml:space="preserve"> = </t>
    </r>
    <r>
      <rPr>
        <i/>
        <sz val="11"/>
        <color theme="1"/>
        <rFont val="Arial"/>
        <family val="2"/>
      </rPr>
      <t>V</t>
    </r>
    <r>
      <rPr>
        <i/>
        <vertAlign val="subscript"/>
        <sz val="11"/>
        <color theme="1"/>
        <rFont val="Arial"/>
        <family val="2"/>
      </rPr>
      <t>DL,base</t>
    </r>
    <r>
      <rPr>
        <i/>
        <sz val="11"/>
        <color theme="1"/>
        <rFont val="Arial"/>
        <family val="2"/>
      </rPr>
      <t xml:space="preserve"> </t>
    </r>
    <r>
      <rPr>
        <sz val="11"/>
        <color theme="1"/>
        <rFont val="Arial"/>
        <family val="2"/>
      </rPr>
      <t>+ (</t>
    </r>
    <r>
      <rPr>
        <i/>
        <sz val="11"/>
        <color theme="1"/>
        <rFont val="Arial"/>
        <family val="2"/>
      </rPr>
      <t>V</t>
    </r>
    <r>
      <rPr>
        <i/>
        <vertAlign val="subscript"/>
        <sz val="11"/>
        <color theme="1"/>
        <rFont val="Arial"/>
        <family val="2"/>
      </rPr>
      <t>w,N,base</t>
    </r>
    <r>
      <rPr>
        <vertAlign val="subscript"/>
        <sz val="11"/>
        <color theme="1"/>
        <rFont val="Arial"/>
        <family val="2"/>
      </rPr>
      <t xml:space="preserve"> </t>
    </r>
    <r>
      <rPr>
        <sz val="11"/>
        <color theme="1"/>
        <rFont val="Arial"/>
        <family val="2"/>
      </rPr>
      <t xml:space="preserve">+ </t>
    </r>
    <r>
      <rPr>
        <i/>
        <sz val="11"/>
        <color theme="1"/>
        <rFont val="Arial"/>
        <family val="2"/>
      </rPr>
      <t>V</t>
    </r>
    <r>
      <rPr>
        <i/>
        <vertAlign val="subscript"/>
        <sz val="11"/>
        <color theme="1"/>
        <rFont val="Arial"/>
        <family val="2"/>
      </rPr>
      <t>w,T,base</t>
    </r>
    <r>
      <rPr>
        <sz val="11"/>
        <color theme="1"/>
        <rFont val="Arial"/>
        <family val="2"/>
      </rPr>
      <t>)</t>
    </r>
  </si>
  <si>
    <r>
      <rPr>
        <i/>
        <sz val="11"/>
        <color theme="1"/>
        <rFont val="Arial"/>
        <family val="2"/>
      </rPr>
      <t>M</t>
    </r>
    <r>
      <rPr>
        <i/>
        <vertAlign val="subscript"/>
        <sz val="11"/>
        <color theme="1"/>
        <rFont val="Arial"/>
        <family val="2"/>
      </rPr>
      <t>base</t>
    </r>
    <r>
      <rPr>
        <sz val="11"/>
        <color theme="1"/>
        <rFont val="Arial"/>
        <family val="2"/>
      </rPr>
      <t xml:space="preserve"> = </t>
    </r>
    <r>
      <rPr>
        <i/>
        <sz val="11"/>
        <color theme="1"/>
        <rFont val="Arial"/>
        <family val="2"/>
      </rPr>
      <t>M</t>
    </r>
    <r>
      <rPr>
        <i/>
        <vertAlign val="subscript"/>
        <sz val="11"/>
        <color theme="1"/>
        <rFont val="Arial"/>
        <family val="2"/>
      </rPr>
      <t>DL,base</t>
    </r>
    <r>
      <rPr>
        <i/>
        <sz val="11"/>
        <color theme="1"/>
        <rFont val="Arial"/>
        <family val="2"/>
      </rPr>
      <t xml:space="preserve"> </t>
    </r>
    <r>
      <rPr>
        <sz val="11"/>
        <color theme="1"/>
        <rFont val="Arial"/>
        <family val="2"/>
      </rPr>
      <t>+ (</t>
    </r>
    <r>
      <rPr>
        <i/>
        <sz val="11"/>
        <color theme="1"/>
        <rFont val="Arial"/>
        <family val="2"/>
      </rPr>
      <t>M</t>
    </r>
    <r>
      <rPr>
        <i/>
        <vertAlign val="subscript"/>
        <sz val="11"/>
        <color theme="1"/>
        <rFont val="Arial"/>
        <family val="2"/>
      </rPr>
      <t>w,N,base</t>
    </r>
    <r>
      <rPr>
        <vertAlign val="subscript"/>
        <sz val="11"/>
        <color theme="1"/>
        <rFont val="Arial"/>
        <family val="2"/>
      </rPr>
      <t xml:space="preserve"> </t>
    </r>
    <r>
      <rPr>
        <sz val="11"/>
        <color theme="1"/>
        <rFont val="Arial"/>
        <family val="2"/>
      </rPr>
      <t xml:space="preserve">+ </t>
    </r>
    <r>
      <rPr>
        <i/>
        <sz val="11"/>
        <color theme="1"/>
        <rFont val="Arial"/>
        <family val="2"/>
      </rPr>
      <t>M</t>
    </r>
    <r>
      <rPr>
        <i/>
        <vertAlign val="subscript"/>
        <sz val="11"/>
        <color theme="1"/>
        <rFont val="Arial"/>
        <family val="2"/>
      </rPr>
      <t>w,T,base</t>
    </r>
    <r>
      <rPr>
        <sz val="11"/>
        <color theme="1"/>
        <rFont val="Arial"/>
        <family val="2"/>
      </rPr>
      <t>)</t>
    </r>
  </si>
  <si>
    <t>LTS-6, Group Load Combination II, Load Case 1 governs</t>
  </si>
  <si>
    <t>Loads at</t>
  </si>
  <si>
    <t>LTS-6, Sec. 4.8.1</t>
  </si>
  <si>
    <t>LTS-6, Table 5.5.2-1</t>
  </si>
  <si>
    <t>LTS-6, Eq. 5.12.1-1</t>
  </si>
  <si>
    <t>hollow octagonal section</t>
  </si>
  <si>
    <t>CBC 2016, Table 1806.2</t>
  </si>
  <si>
    <t>CBC 2016 Table 1806.2</t>
  </si>
  <si>
    <t>CBC 2016 Sec. 1807.3.2.2, Eq. 18-3</t>
  </si>
  <si>
    <r>
      <t>LBP</t>
    </r>
    <r>
      <rPr>
        <i/>
        <vertAlign val="subscript"/>
        <sz val="11"/>
        <color theme="1"/>
        <rFont val="Arial"/>
        <family val="2"/>
      </rPr>
      <t>allow</t>
    </r>
  </si>
  <si>
    <t>Available shear strength of A307 3/4" bolt</t>
  </si>
  <si>
    <r>
      <t>F</t>
    </r>
    <r>
      <rPr>
        <i/>
        <vertAlign val="subscript"/>
        <sz val="11"/>
        <color theme="1"/>
        <rFont val="Arial"/>
        <family val="2"/>
      </rPr>
      <t>nv</t>
    </r>
    <r>
      <rPr>
        <i/>
        <sz val="11"/>
        <color theme="1"/>
        <rFont val="Arial"/>
        <family val="2"/>
      </rPr>
      <t>/</t>
    </r>
    <r>
      <rPr>
        <sz val="11"/>
        <color theme="1"/>
        <rFont val="Arial"/>
        <family val="2"/>
      </rPr>
      <t>Ω</t>
    </r>
  </si>
  <si>
    <r>
      <t>r</t>
    </r>
    <r>
      <rPr>
        <i/>
        <vertAlign val="subscript"/>
        <sz val="11"/>
        <color theme="1"/>
        <rFont val="Arial"/>
        <family val="2"/>
      </rPr>
      <t>n</t>
    </r>
    <r>
      <rPr>
        <i/>
        <sz val="11"/>
        <color theme="1"/>
        <rFont val="Arial"/>
        <family val="2"/>
      </rPr>
      <t>/</t>
    </r>
    <r>
      <rPr>
        <sz val="11"/>
        <color theme="1"/>
        <rFont val="Arial"/>
        <family val="2"/>
      </rPr>
      <t>Ω</t>
    </r>
  </si>
  <si>
    <t>AISC 14th Ed., Table 7-1</t>
  </si>
  <si>
    <r>
      <t>F</t>
    </r>
    <r>
      <rPr>
        <i/>
        <vertAlign val="subscript"/>
        <sz val="11"/>
        <color theme="1"/>
        <rFont val="Arial"/>
        <family val="2"/>
      </rPr>
      <t>nt</t>
    </r>
    <r>
      <rPr>
        <i/>
        <sz val="11"/>
        <color theme="1"/>
        <rFont val="Arial"/>
        <family val="2"/>
      </rPr>
      <t>/</t>
    </r>
    <r>
      <rPr>
        <sz val="11"/>
        <color theme="1"/>
        <rFont val="Arial"/>
        <family val="2"/>
      </rPr>
      <t>Ω</t>
    </r>
  </si>
  <si>
    <t>Base</t>
  </si>
  <si>
    <t>ice thickness</t>
  </si>
  <si>
    <t>Gust factor G</t>
  </si>
  <si>
    <t>Basic ice thickness</t>
  </si>
  <si>
    <t>Structure risk category</t>
  </si>
  <si>
    <t>Wind importance factor</t>
  </si>
  <si>
    <t>Velocity conversion factor</t>
  </si>
  <si>
    <t>LTS-6, Fig. 3.7-1</t>
  </si>
  <si>
    <t>Design Loads for Vertical Supports (LTS-6 Sec. 3.9.3)</t>
  </si>
  <si>
    <t>C</t>
  </si>
  <si>
    <t>Possibly use 0.1233 for Galvanized Steel</t>
  </si>
  <si>
    <t>bracket thickness</t>
  </si>
  <si>
    <r>
      <t>t</t>
    </r>
    <r>
      <rPr>
        <i/>
        <vertAlign val="subscript"/>
        <sz val="11"/>
        <color theme="1"/>
        <rFont val="Arial"/>
        <family val="2"/>
      </rPr>
      <t>bracket</t>
    </r>
  </si>
  <si>
    <t>bracket width</t>
  </si>
  <si>
    <t>bracket length</t>
  </si>
  <si>
    <r>
      <t>b</t>
    </r>
    <r>
      <rPr>
        <i/>
        <vertAlign val="subscript"/>
        <sz val="11"/>
        <color theme="1"/>
        <rFont val="Arial"/>
        <family val="2"/>
      </rPr>
      <t>bracket</t>
    </r>
  </si>
  <si>
    <r>
      <t>L</t>
    </r>
    <r>
      <rPr>
        <i/>
        <vertAlign val="subscript"/>
        <sz val="11"/>
        <color theme="1"/>
        <rFont val="Arial"/>
        <family val="2"/>
      </rPr>
      <t>bracket</t>
    </r>
  </si>
  <si>
    <t>bottom of radio height</t>
  </si>
  <si>
    <t>top of disconnect height</t>
  </si>
  <si>
    <t>POLE AT DISCONNECT HOLE</t>
  </si>
  <si>
    <t>POLE AT SMART METER HOLE</t>
  </si>
  <si>
    <t>POLE AT ANTENNA HOLE</t>
  </si>
  <si>
    <t>bottom of sign height</t>
  </si>
  <si>
    <r>
      <t>height</t>
    </r>
    <r>
      <rPr>
        <i/>
        <vertAlign val="subscript"/>
        <sz val="11"/>
        <color theme="1"/>
        <rFont val="Arial"/>
        <family val="2"/>
      </rPr>
      <t>bottom</t>
    </r>
  </si>
  <si>
    <r>
      <t>height</t>
    </r>
    <r>
      <rPr>
        <i/>
        <vertAlign val="subscript"/>
        <sz val="11"/>
        <color theme="1"/>
        <rFont val="Arial"/>
        <family val="2"/>
      </rPr>
      <t>top</t>
    </r>
  </si>
  <si>
    <t>Smart Meter</t>
  </si>
  <si>
    <r>
      <t>A</t>
    </r>
    <r>
      <rPr>
        <i/>
        <vertAlign val="subscript"/>
        <sz val="11"/>
        <color theme="1"/>
        <rFont val="Arial"/>
        <family val="2"/>
      </rPr>
      <t>discon,wn</t>
    </r>
  </si>
  <si>
    <r>
      <t>A</t>
    </r>
    <r>
      <rPr>
        <i/>
        <vertAlign val="subscript"/>
        <sz val="11"/>
        <color theme="1"/>
        <rFont val="Arial"/>
        <family val="2"/>
      </rPr>
      <t>discon,wt</t>
    </r>
  </si>
  <si>
    <r>
      <t>A</t>
    </r>
    <r>
      <rPr>
        <i/>
        <vertAlign val="subscript"/>
        <sz val="11"/>
        <color theme="1"/>
        <rFont val="Arial"/>
        <family val="2"/>
      </rPr>
      <t>sign,wn</t>
    </r>
  </si>
  <si>
    <r>
      <t>A</t>
    </r>
    <r>
      <rPr>
        <i/>
        <vertAlign val="subscript"/>
        <sz val="11"/>
        <color theme="1"/>
        <rFont val="Arial"/>
        <family val="2"/>
      </rPr>
      <t>sign,wt</t>
    </r>
  </si>
  <si>
    <t>bottom of smart meter height</t>
  </si>
  <si>
    <r>
      <t>t</t>
    </r>
    <r>
      <rPr>
        <i/>
        <vertAlign val="subscript"/>
        <sz val="11"/>
        <color theme="1"/>
        <rFont val="Arial"/>
        <family val="2"/>
      </rPr>
      <t>meter</t>
    </r>
  </si>
  <si>
    <r>
      <t>b</t>
    </r>
    <r>
      <rPr>
        <i/>
        <vertAlign val="subscript"/>
        <sz val="11"/>
        <color theme="1"/>
        <rFont val="Arial"/>
        <family val="2"/>
      </rPr>
      <t>meter</t>
    </r>
  </si>
  <si>
    <r>
      <t>L</t>
    </r>
    <r>
      <rPr>
        <i/>
        <vertAlign val="subscript"/>
        <sz val="11"/>
        <color theme="1"/>
        <rFont val="Arial"/>
        <family val="2"/>
      </rPr>
      <t>meter</t>
    </r>
  </si>
  <si>
    <r>
      <t>DL</t>
    </r>
    <r>
      <rPr>
        <i/>
        <vertAlign val="subscript"/>
        <sz val="11"/>
        <color theme="1"/>
        <rFont val="Arial"/>
        <family val="2"/>
      </rPr>
      <t>meter</t>
    </r>
  </si>
  <si>
    <r>
      <t>A</t>
    </r>
    <r>
      <rPr>
        <i/>
        <vertAlign val="subscript"/>
        <sz val="11"/>
        <color theme="1"/>
        <rFont val="Arial"/>
        <family val="2"/>
      </rPr>
      <t>meter,wn</t>
    </r>
  </si>
  <si>
    <r>
      <t>A</t>
    </r>
    <r>
      <rPr>
        <i/>
        <vertAlign val="subscript"/>
        <sz val="11"/>
        <color theme="1"/>
        <rFont val="Arial"/>
        <family val="2"/>
      </rPr>
      <t>meter,wt</t>
    </r>
  </si>
  <si>
    <r>
      <t>x</t>
    </r>
    <r>
      <rPr>
        <i/>
        <vertAlign val="subscript"/>
        <sz val="11"/>
        <color theme="1"/>
        <rFont val="Arial"/>
        <family val="2"/>
      </rPr>
      <t>meter</t>
    </r>
  </si>
  <si>
    <r>
      <t>z</t>
    </r>
    <r>
      <rPr>
        <i/>
        <vertAlign val="subscript"/>
        <sz val="11"/>
        <color theme="1"/>
        <rFont val="Arial"/>
        <family val="2"/>
      </rPr>
      <t>meter</t>
    </r>
  </si>
  <si>
    <t>LTS-6 at disconnect hole</t>
  </si>
  <si>
    <t>LTS-6 at smart meter hole</t>
  </si>
  <si>
    <t>LTS-6 at antenna hole</t>
  </si>
  <si>
    <t>Height</t>
  </si>
  <si>
    <t>Radio/Antenna (1)</t>
  </si>
  <si>
    <t>Radio/Antenna (2)</t>
  </si>
  <si>
    <t>Radio/Antenna (3)</t>
  </si>
  <si>
    <t>angle</t>
  </si>
  <si>
    <t>ϴ</t>
  </si>
  <si>
    <t>degrees</t>
  </si>
  <si>
    <t>note: will need to update/double check when ϴ differs from 120 degrees</t>
  </si>
  <si>
    <t>note: will need to update/double check when ϴ differs from 240 degrees</t>
  </si>
  <si>
    <t>note: will need to update/double check when ϴ differs from 0 degrees</t>
  </si>
  <si>
    <t>Check combined stress at disconnect 0.75" port hole:</t>
  </si>
  <si>
    <t>Check combined stress at smart meter 0.75" port hole:</t>
  </si>
  <si>
    <t>Check combined stress at antenna 1" port hole:</t>
  </si>
  <si>
    <t>Disconnect Port Hole</t>
  </si>
  <si>
    <t>Smart Meter Port Hole</t>
  </si>
  <si>
    <t>Antenna Port Hole</t>
  </si>
  <si>
    <r>
      <t xml:space="preserve">A </t>
    </r>
    <r>
      <rPr>
        <vertAlign val="subscript"/>
        <sz val="11"/>
        <color theme="1"/>
        <rFont val="Arial"/>
        <family val="2"/>
      </rPr>
      <t>discon,pole</t>
    </r>
  </si>
  <si>
    <t>pole area behind disconnect</t>
  </si>
  <si>
    <t>pole area behind smart meter</t>
  </si>
  <si>
    <r>
      <t xml:space="preserve">A </t>
    </r>
    <r>
      <rPr>
        <vertAlign val="subscript"/>
        <sz val="11"/>
        <color theme="1"/>
        <rFont val="Arial"/>
        <family val="2"/>
      </rPr>
      <t>meter,pole</t>
    </r>
  </si>
  <si>
    <t>pole area behind radio/antenna</t>
  </si>
  <si>
    <r>
      <t xml:space="preserve">A </t>
    </r>
    <r>
      <rPr>
        <vertAlign val="subscript"/>
        <sz val="11"/>
        <color theme="1"/>
        <rFont val="Arial"/>
        <family val="2"/>
      </rPr>
      <t>radio,pole</t>
    </r>
  </si>
  <si>
    <t>pole area behind sign</t>
  </si>
  <si>
    <r>
      <t xml:space="preserve">A </t>
    </r>
    <r>
      <rPr>
        <vertAlign val="subscript"/>
        <sz val="11"/>
        <color theme="1"/>
        <rFont val="Arial"/>
        <family val="2"/>
      </rPr>
      <t>sign,pole</t>
    </r>
  </si>
  <si>
    <t>transverse area blocked by radio/antenna</t>
  </si>
  <si>
    <t>Diameter at disconnect hole</t>
  </si>
  <si>
    <t>Area at base at disconnect hole</t>
  </si>
  <si>
    <t>Moment of inertia at disconnect hole</t>
  </si>
  <si>
    <t>Elastic section modulus at disconnect hole</t>
  </si>
  <si>
    <t>Radius of gyration at disconnect hole</t>
  </si>
  <si>
    <t>Friction Mount Support</t>
  </si>
  <si>
    <t>ft-lbs</t>
  </si>
  <si>
    <t>in-lbs</t>
  </si>
  <si>
    <t>Torque (T)</t>
  </si>
  <si>
    <t>Bolt Diameter (D)</t>
  </si>
  <si>
    <t>Bolt Tension (F)</t>
  </si>
  <si>
    <t>lbs</t>
  </si>
  <si>
    <r>
      <t>Friction Coefficient (</t>
    </r>
    <r>
      <rPr>
        <sz val="11"/>
        <color theme="1"/>
        <rFont val="Calibri"/>
        <family val="2"/>
      </rPr>
      <t>μ</t>
    </r>
    <r>
      <rPr>
        <i/>
        <sz val="11"/>
        <color theme="1"/>
        <rFont val="Arial"/>
        <family val="2"/>
      </rPr>
      <t>) (btwn steel &amp; galv-steel)</t>
    </r>
  </si>
  <si>
    <t>Proposed Weight of Antenna/Radios and Mount</t>
  </si>
  <si>
    <t>Torque Coefficient (k) (steel threads)</t>
  </si>
  <si>
    <t>&lt;</t>
  </si>
  <si>
    <t>(per ASTM A307, see attachment)</t>
  </si>
  <si>
    <t>(per SteelHead Mount Calculations)</t>
  </si>
  <si>
    <t>lbs/plate</t>
  </si>
  <si>
    <t>(2 bolts per plate)</t>
  </si>
  <si>
    <t>(2 plates per mount)</t>
  </si>
  <si>
    <t>Per SteelHead Mount, 2 plates =&gt;</t>
  </si>
  <si>
    <t>Note: The 2 bolts per plate help assure the clamp force on each plate, it does not double the clamping force.  Each plate however, does double the amount of weight the mount can support.</t>
  </si>
  <si>
    <t>CA_SJ_SANJOSE_DTSOUTH_036</t>
  </si>
  <si>
    <t>CA_SJ_SANJOSE_AIRPORT_003</t>
  </si>
  <si>
    <t>Verizon propose to add new concrete pavement on surface to better resist lateral load and make the foundation constrained.</t>
  </si>
  <si>
    <t>Sign (bottom)</t>
  </si>
  <si>
    <t>unrestrained</t>
  </si>
  <si>
    <t>Diameter of round post or footing or diagonal dimension of square post or footing, feet (m)</t>
  </si>
  <si>
    <r>
      <t>A</t>
    </r>
    <r>
      <rPr>
        <vertAlign val="subscript"/>
        <sz val="11"/>
        <color theme="1"/>
        <rFont val="Arial"/>
        <family val="2"/>
      </rPr>
      <t>nc</t>
    </r>
  </si>
  <si>
    <r>
      <t>A</t>
    </r>
    <r>
      <rPr>
        <i/>
        <vertAlign val="subscript"/>
        <sz val="11"/>
        <color theme="1"/>
        <rFont val="Arial"/>
        <family val="2"/>
      </rPr>
      <t>nc</t>
    </r>
  </si>
  <si>
    <t>CBC 2016 Sec. 1807.3.2.1, Eq. 18-1</t>
  </si>
  <si>
    <t>Nonconstrained</t>
  </si>
  <si>
    <t>CBC 2016 Sec. 1807.3.2.2, Constrained foundation</t>
  </si>
  <si>
    <t xml:space="preserve">Allowable lateral soil-bearing pressure based on a depth of one-third the depth of embedment </t>
  </si>
  <si>
    <t>Applied lateral force</t>
  </si>
  <si>
    <r>
      <t xml:space="preserve">equal to </t>
    </r>
    <r>
      <rPr>
        <i/>
        <sz val="11"/>
        <color theme="1"/>
        <rFont val="Arial"/>
        <family val="2"/>
      </rPr>
      <t>V</t>
    </r>
    <r>
      <rPr>
        <i/>
        <vertAlign val="subscript"/>
        <sz val="11"/>
        <color theme="1"/>
        <rFont val="Arial"/>
        <family val="2"/>
      </rPr>
      <t>base</t>
    </r>
  </si>
  <si>
    <t>New pole steel yield strength</t>
  </si>
  <si>
    <t>ASTM A595, Grade 55</t>
  </si>
  <si>
    <t xml:space="preserve"> Distance in feet from ground surface to point of application of “P.”</t>
  </si>
  <si>
    <t>Sign (banner)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</si>
</sst>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
    <numFmt numFmtId="165" formatCode="0.0"/>
    <numFmt numFmtId="166" formatCode="###0;###0"/>
    <numFmt numFmtId="167" formatCode="###0.0;###0.0"/>
    <numFmt numFmtId="168" formatCode="###0.00;###0.00"/>
    <numFmt numFmtId="169" formatCode="#,##0.000"/>
    <numFmt numFmtId="170" formatCode="#,##0.00000"/>
    <numFmt numFmtId="171" formatCode="#,##0.0"/>
    <numFmt numFmtId="172" formatCode="0.0000"/>
    <numFmt numFmtId="173" formatCode="#,##0.0000"/>
    <numFmt numFmtId="174" formatCode="0.00000"/>
  </numFmts>
  <fonts count="23" x14ac:knownFonts="1">
    <font>
      <sz val="11"/>
      <color theme="1"/>
      <name val="Calibri"/>
      <family val="2"/>
      <scheme val="minor"/>
    </font>
    <font>
      <sz val="11"/>
      <color theme="1"/>
      <name val="Calibri"/>
      <family val="2"/>
    </font>
    <font>
      <b/>
      <u/>
      <sz val="11"/>
      <color theme="1"/>
      <name val="Arial"/>
      <family val="2"/>
    </font>
    <font>
      <i/>
      <sz val="11"/>
      <color theme="1"/>
      <name val="Arial"/>
      <family val="2"/>
    </font>
    <font>
      <sz val="11"/>
      <color theme="1"/>
      <name val="Arial"/>
      <family val="2"/>
    </font>
    <font>
      <i/>
      <vertAlign val="subscript"/>
      <sz val="11"/>
      <color theme="1"/>
      <name val="Arial"/>
      <family val="2"/>
    </font>
    <font>
      <sz val="11"/>
      <color theme="4" tint="-0.249977111117893"/>
      <name val="Arial"/>
      <family val="2"/>
    </font>
    <font>
      <sz val="11"/>
      <name val="Arial"/>
      <family val="2"/>
    </font>
    <font>
      <vertAlign val="superscript"/>
      <sz val="11"/>
      <color theme="1"/>
      <name val="Arial"/>
      <family val="2"/>
    </font>
    <font>
      <u/>
      <sz val="11"/>
      <name val="Arial"/>
      <family val="2"/>
    </font>
    <font>
      <sz val="10"/>
      <name val="Arial"/>
      <family val="2"/>
    </font>
    <font>
      <vertAlign val="subscript"/>
      <sz val="11"/>
      <color theme="1"/>
      <name val="Arial"/>
      <family val="2"/>
    </font>
    <font>
      <u/>
      <sz val="11"/>
      <color theme="1"/>
      <name val="Arial"/>
      <family val="2"/>
    </font>
    <font>
      <b/>
      <sz val="11"/>
      <color theme="1"/>
      <name val="Arial"/>
      <family val="2"/>
    </font>
    <font>
      <i/>
      <sz val="11"/>
      <color theme="1"/>
      <name val="Calibri"/>
      <family val="2"/>
    </font>
    <font>
      <b/>
      <i/>
      <sz val="11"/>
      <color theme="1"/>
      <name val="Arial"/>
      <family val="2"/>
    </font>
    <font>
      <b/>
      <i/>
      <vertAlign val="subscript"/>
      <sz val="11"/>
      <color theme="1"/>
      <name val="Arial"/>
      <family val="2"/>
    </font>
    <font>
      <i/>
      <vertAlign val="superscript"/>
      <sz val="11"/>
      <color theme="1"/>
      <name val="Arial"/>
      <family val="2"/>
    </font>
    <font>
      <sz val="11"/>
      <color rgb="FF006100"/>
      <name val="Calibri"/>
      <family val="2"/>
      <scheme val="minor"/>
    </font>
    <font>
      <b/>
      <i/>
      <u/>
      <sz val="11"/>
      <color theme="1"/>
      <name val="Arial"/>
      <family val="2"/>
    </font>
    <font>
      <sz val="11"/>
      <color rgb="FF0070C0"/>
      <name val="Arial"/>
      <family val="2"/>
    </font>
    <font>
      <sz val="11"/>
      <color theme="4"/>
      <name val="Arial"/>
      <family val="2"/>
    </font>
    <font>
      <sz val="11"/>
      <color theme="1"/>
      <name val="Cambria Math"/>
      <family val="1"/>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4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8" fillId="2" borderId="0" applyNumberFormat="0" applyBorder="0" applyAlignment="0" applyProtection="0"/>
  </cellStyleXfs>
  <cellXfs count="284">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4" fillId="0" borderId="0" xfId="0" applyFont="1"/>
    <xf numFmtId="0" fontId="6" fillId="0" borderId="0" xfId="0" applyFont="1" applyAlignment="1">
      <alignment horizontal="center"/>
    </xf>
    <xf numFmtId="3" fontId="6" fillId="0" borderId="0" xfId="0" applyNumberFormat="1" applyFont="1" applyAlignment="1">
      <alignment horizontal="center"/>
    </xf>
    <xf numFmtId="2" fontId="7" fillId="0" borderId="0" xfId="0" applyNumberFormat="1" applyFont="1" applyAlignment="1">
      <alignment horizontal="center"/>
    </xf>
    <xf numFmtId="2" fontId="4" fillId="0" borderId="0" xfId="0" applyNumberFormat="1" applyFont="1" applyAlignment="1">
      <alignment horizontal="center"/>
    </xf>
    <xf numFmtId="0" fontId="3" fillId="0" borderId="0" xfId="0" applyFont="1"/>
    <xf numFmtId="165" fontId="4" fillId="0" borderId="0" xfId="0" applyNumberFormat="1" applyFont="1" applyAlignment="1">
      <alignment horizontal="center"/>
    </xf>
    <xf numFmtId="164" fontId="6" fillId="0" borderId="0" xfId="0" applyNumberFormat="1" applyFont="1" applyAlignment="1">
      <alignment horizontal="center"/>
    </xf>
    <xf numFmtId="164" fontId="4" fillId="0" borderId="0" xfId="0" applyNumberFormat="1" applyFont="1" applyAlignment="1">
      <alignment horizontal="center"/>
    </xf>
    <xf numFmtId="0" fontId="4" fillId="0" borderId="2" xfId="0" applyFont="1" applyBorder="1"/>
    <xf numFmtId="0" fontId="3" fillId="0" borderId="3" xfId="0" applyFont="1" applyBorder="1" applyAlignment="1">
      <alignment horizontal="center"/>
    </xf>
    <xf numFmtId="2" fontId="7" fillId="0" borderId="3" xfId="0" applyNumberFormat="1" applyFont="1" applyBorder="1" applyAlignment="1">
      <alignment horizontal="center"/>
    </xf>
    <xf numFmtId="0" fontId="4" fillId="0" borderId="4" xfId="0" applyFont="1" applyBorder="1"/>
    <xf numFmtId="0" fontId="4" fillId="0" borderId="5" xfId="0" applyFont="1" applyBorder="1"/>
    <xf numFmtId="0" fontId="4" fillId="0" borderId="6" xfId="0" applyFont="1" applyBorder="1"/>
    <xf numFmtId="2" fontId="6" fillId="0" borderId="0" xfId="0" applyNumberFormat="1" applyFont="1" applyAlignment="1">
      <alignment horizontal="center"/>
    </xf>
    <xf numFmtId="0" fontId="4" fillId="0" borderId="7" xfId="0" applyFont="1" applyBorder="1"/>
    <xf numFmtId="0" fontId="3" fillId="0" borderId="1" xfId="0" applyFont="1" applyBorder="1" applyAlignment="1">
      <alignment horizontal="center"/>
    </xf>
    <xf numFmtId="2" fontId="4" fillId="0" borderId="1" xfId="0" applyNumberFormat="1" applyFont="1" applyBorder="1" applyAlignment="1">
      <alignment horizontal="center"/>
    </xf>
    <xf numFmtId="0" fontId="4" fillId="0" borderId="8" xfId="0" applyFont="1" applyBorder="1"/>
    <xf numFmtId="0" fontId="9" fillId="0" borderId="0" xfId="0" applyFont="1" applyAlignment="1">
      <alignment horizontal="left" vertical="top"/>
    </xf>
    <xf numFmtId="0" fontId="10" fillId="0" borderId="0" xfId="0" applyFont="1" applyAlignment="1">
      <alignment vertical="top"/>
    </xf>
    <xf numFmtId="166" fontId="7" fillId="0" borderId="0" xfId="0" applyNumberFormat="1" applyFont="1" applyAlignment="1">
      <alignment horizontal="center" vertical="top" wrapText="1"/>
    </xf>
    <xf numFmtId="0" fontId="7" fillId="0" borderId="0" xfId="0" applyFont="1" applyAlignment="1">
      <alignment horizontal="center" vertical="top" wrapText="1"/>
    </xf>
    <xf numFmtId="167" fontId="7" fillId="0" borderId="0" xfId="0" applyNumberFormat="1" applyFont="1" applyAlignment="1">
      <alignment horizontal="center" vertical="top" wrapText="1"/>
    </xf>
    <xf numFmtId="0" fontId="4" fillId="0" borderId="1" xfId="0" applyFont="1" applyBorder="1" applyAlignment="1">
      <alignment horizontal="center"/>
    </xf>
    <xf numFmtId="168" fontId="7" fillId="0" borderId="0" xfId="0" applyNumberFormat="1" applyFont="1" applyAlignment="1">
      <alignment horizontal="center" vertical="top" wrapText="1"/>
    </xf>
    <xf numFmtId="3" fontId="4" fillId="0" borderId="0" xfId="0" applyNumberFormat="1" applyFont="1" applyAlignment="1">
      <alignment horizontal="center"/>
    </xf>
    <xf numFmtId="167" fontId="7" fillId="0" borderId="0" xfId="0" applyNumberFormat="1" applyFont="1" applyAlignment="1">
      <alignment horizontal="center" vertical="center" wrapText="1"/>
    </xf>
    <xf numFmtId="1" fontId="4" fillId="0" borderId="0" xfId="0" applyNumberFormat="1"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165" fontId="4" fillId="0" borderId="0" xfId="0" applyNumberFormat="1" applyFont="1" applyAlignment="1">
      <alignment horizontal="center" vertical="center"/>
    </xf>
    <xf numFmtId="0" fontId="12" fillId="0" borderId="0" xfId="0" applyFont="1" applyAlignment="1">
      <alignment horizontal="left"/>
    </xf>
    <xf numFmtId="165" fontId="3" fillId="0" borderId="0" xfId="0" applyNumberFormat="1" applyFont="1" applyAlignment="1">
      <alignment horizontal="center"/>
    </xf>
    <xf numFmtId="0" fontId="13" fillId="0" borderId="0" xfId="0" applyFont="1"/>
    <xf numFmtId="3" fontId="4" fillId="0" borderId="0" xfId="0" applyNumberFormat="1" applyFont="1"/>
    <xf numFmtId="0" fontId="4" fillId="0" borderId="0" xfId="0" applyFont="1" applyAlignment="1">
      <alignment horizontal="left"/>
    </xf>
    <xf numFmtId="3" fontId="4" fillId="0" borderId="9" xfId="0" applyNumberFormat="1" applyFont="1" applyBorder="1" applyAlignment="1">
      <alignment horizontal="center"/>
    </xf>
    <xf numFmtId="4" fontId="4" fillId="0" borderId="9" xfId="0" applyNumberFormat="1" applyFont="1" applyBorder="1" applyAlignment="1">
      <alignment horizontal="center"/>
    </xf>
    <xf numFmtId="3" fontId="6" fillId="0" borderId="9" xfId="0" applyNumberFormat="1" applyFont="1" applyBorder="1" applyAlignment="1">
      <alignment horizontal="center"/>
    </xf>
    <xf numFmtId="4" fontId="6" fillId="0" borderId="9" xfId="0" applyNumberFormat="1" applyFont="1" applyBorder="1" applyAlignment="1">
      <alignment horizontal="center"/>
    </xf>
    <xf numFmtId="169" fontId="4" fillId="0" borderId="9" xfId="0" applyNumberFormat="1" applyFont="1" applyBorder="1" applyAlignment="1">
      <alignment horizontal="center"/>
    </xf>
    <xf numFmtId="4" fontId="4" fillId="0" borderId="0" xfId="0" applyNumberFormat="1" applyFont="1" applyAlignment="1">
      <alignment horizontal="center"/>
    </xf>
    <xf numFmtId="0" fontId="3" fillId="0" borderId="0" xfId="0" applyFont="1" applyAlignment="1">
      <alignment horizontal="left"/>
    </xf>
    <xf numFmtId="164" fontId="4" fillId="0" borderId="9" xfId="0" applyNumberFormat="1" applyFont="1" applyBorder="1" applyAlignment="1">
      <alignment horizontal="center"/>
    </xf>
    <xf numFmtId="170" fontId="4" fillId="0" borderId="9" xfId="0" applyNumberFormat="1" applyFont="1" applyBorder="1" applyAlignment="1">
      <alignment horizontal="center"/>
    </xf>
    <xf numFmtId="2" fontId="4" fillId="0" borderId="9" xfId="0" applyNumberFormat="1" applyFont="1" applyBorder="1" applyAlignment="1">
      <alignment horizontal="center"/>
    </xf>
    <xf numFmtId="170" fontId="7" fillId="0" borderId="9" xfId="0" applyNumberFormat="1" applyFont="1" applyBorder="1" applyAlignment="1">
      <alignment horizontal="center"/>
    </xf>
    <xf numFmtId="2" fontId="4" fillId="0" borderId="3" xfId="0" applyNumberFormat="1" applyFont="1" applyBorder="1" applyAlignment="1">
      <alignment horizontal="center"/>
    </xf>
    <xf numFmtId="2" fontId="4" fillId="0" borderId="0" xfId="0" applyNumberFormat="1" applyFont="1" applyAlignment="1">
      <alignment horizontal="left"/>
    </xf>
    <xf numFmtId="2" fontId="13" fillId="0" borderId="0" xfId="0" applyNumberFormat="1" applyFont="1" applyAlignment="1">
      <alignment horizontal="center"/>
    </xf>
    <xf numFmtId="4" fontId="3" fillId="0" borderId="0" xfId="0" applyNumberFormat="1" applyFont="1" applyAlignment="1">
      <alignment horizontal="center"/>
    </xf>
    <xf numFmtId="0" fontId="15" fillId="0" borderId="0" xfId="0" applyFont="1" applyAlignment="1">
      <alignment horizontal="center"/>
    </xf>
    <xf numFmtId="3" fontId="13" fillId="0" borderId="9" xfId="0" applyNumberFormat="1" applyFont="1" applyBorder="1" applyAlignment="1">
      <alignment horizontal="center"/>
    </xf>
    <xf numFmtId="3" fontId="4" fillId="0" borderId="10" xfId="0" applyNumberFormat="1" applyFont="1" applyBorder="1" applyAlignment="1">
      <alignment horizontal="center"/>
    </xf>
    <xf numFmtId="3" fontId="4" fillId="0" borderId="11" xfId="0" applyNumberFormat="1" applyFont="1" applyBorder="1" applyAlignment="1">
      <alignment horizontal="center"/>
    </xf>
    <xf numFmtId="3" fontId="4" fillId="0" borderId="12" xfId="0" applyNumberFormat="1" applyFont="1" applyBorder="1" applyAlignment="1">
      <alignment horizontal="center"/>
    </xf>
    <xf numFmtId="2" fontId="4" fillId="0" borderId="0" xfId="0" applyNumberFormat="1" applyFont="1"/>
    <xf numFmtId="0" fontId="5" fillId="0" borderId="0" xfId="0" applyFont="1" applyAlignment="1">
      <alignment horizontal="center"/>
    </xf>
    <xf numFmtId="0" fontId="16" fillId="0" borderId="0" xfId="0" applyFont="1" applyAlignment="1">
      <alignment horizontal="center"/>
    </xf>
    <xf numFmtId="0" fontId="4" fillId="0" borderId="9" xfId="0" applyFont="1" applyBorder="1" applyAlignment="1">
      <alignment horizontal="center"/>
    </xf>
    <xf numFmtId="0" fontId="12" fillId="0" borderId="0" xfId="0" applyFont="1"/>
    <xf numFmtId="0" fontId="4" fillId="0" borderId="9" xfId="0" applyFont="1" applyBorder="1"/>
    <xf numFmtId="0" fontId="3" fillId="0" borderId="13" xfId="0" applyFont="1" applyBorder="1" applyAlignment="1">
      <alignment horizontal="center"/>
    </xf>
    <xf numFmtId="1" fontId="4" fillId="0" borderId="13" xfId="0" applyNumberFormat="1" applyFont="1" applyBorder="1" applyAlignment="1">
      <alignment horizontal="center"/>
    </xf>
    <xf numFmtId="0" fontId="3" fillId="0" borderId="14" xfId="0" applyFont="1" applyBorder="1" applyAlignment="1">
      <alignment horizontal="center"/>
    </xf>
    <xf numFmtId="1" fontId="4" fillId="0" borderId="14" xfId="0" applyNumberFormat="1" applyFont="1" applyBorder="1" applyAlignment="1">
      <alignment horizontal="center"/>
    </xf>
    <xf numFmtId="0" fontId="3" fillId="0" borderId="15" xfId="0" applyFont="1" applyBorder="1" applyAlignment="1">
      <alignment horizontal="center"/>
    </xf>
    <xf numFmtId="0" fontId="4" fillId="0" borderId="14" xfId="0" applyFont="1" applyBorder="1" applyAlignment="1">
      <alignment horizontal="center"/>
    </xf>
    <xf numFmtId="0" fontId="14" fillId="0" borderId="0" xfId="0" applyFont="1" applyAlignment="1">
      <alignment horizontal="center"/>
    </xf>
    <xf numFmtId="171" fontId="6" fillId="0" borderId="9" xfId="0" applyNumberFormat="1" applyFont="1" applyBorder="1" applyAlignment="1">
      <alignment horizontal="center"/>
    </xf>
    <xf numFmtId="172" fontId="4" fillId="0" borderId="0" xfId="0" applyNumberFormat="1" applyFont="1" applyAlignment="1">
      <alignment horizontal="center"/>
    </xf>
    <xf numFmtId="2" fontId="6" fillId="0" borderId="3" xfId="0" applyNumberFormat="1" applyFont="1" applyBorder="1" applyAlignment="1">
      <alignment horizontal="center"/>
    </xf>
    <xf numFmtId="0" fontId="4" fillId="0" borderId="16" xfId="0" applyFont="1" applyBorder="1" applyAlignment="1">
      <alignment horizontal="center"/>
    </xf>
    <xf numFmtId="0" fontId="18" fillId="2" borderId="0" xfId="1"/>
    <xf numFmtId="0" fontId="18" fillId="2" borderId="0" xfId="1" applyAlignment="1">
      <alignment horizontal="center"/>
    </xf>
    <xf numFmtId="0" fontId="4" fillId="0" borderId="0" xfId="0" applyFont="1" applyAlignment="1">
      <alignment vertical="center"/>
    </xf>
    <xf numFmtId="3" fontId="4" fillId="0" borderId="9" xfId="0" applyNumberFormat="1" applyFont="1" applyBorder="1" applyAlignment="1">
      <alignment horizontal="center" vertical="center"/>
    </xf>
    <xf numFmtId="4" fontId="4" fillId="0" borderId="0" xfId="0" applyNumberFormat="1" applyFont="1" applyAlignment="1">
      <alignment horizontal="center" vertical="center"/>
    </xf>
    <xf numFmtId="0" fontId="2" fillId="0" borderId="0" xfId="0" applyFont="1" applyAlignment="1">
      <alignment horizontal="center"/>
    </xf>
    <xf numFmtId="1" fontId="4" fillId="0" borderId="9" xfId="0" applyNumberFormat="1" applyFont="1" applyBorder="1" applyAlignment="1">
      <alignment horizontal="center" vertical="center"/>
    </xf>
    <xf numFmtId="4" fontId="3" fillId="0" borderId="0" xfId="0" applyNumberFormat="1" applyFont="1" applyAlignment="1">
      <alignment horizontal="center" vertical="center"/>
    </xf>
    <xf numFmtId="3" fontId="7" fillId="0" borderId="0" xfId="0" applyNumberFormat="1" applyFont="1" applyAlignment="1">
      <alignment horizontal="center"/>
    </xf>
    <xf numFmtId="0" fontId="7" fillId="0" borderId="0" xfId="0" applyFont="1" applyAlignment="1">
      <alignment horizontal="center"/>
    </xf>
    <xf numFmtId="164" fontId="7" fillId="0" borderId="0" xfId="0" applyNumberFormat="1" applyFont="1" applyAlignment="1">
      <alignment horizontal="center"/>
    </xf>
    <xf numFmtId="0" fontId="4" fillId="0" borderId="23" xfId="0" applyFont="1" applyBorder="1"/>
    <xf numFmtId="0" fontId="4" fillId="0" borderId="13" xfId="0" applyFont="1" applyBorder="1" applyAlignment="1">
      <alignment horizontal="center"/>
    </xf>
    <xf numFmtId="0" fontId="4" fillId="0" borderId="27" xfId="0" applyFont="1" applyBorder="1" applyAlignment="1">
      <alignment horizontal="center"/>
    </xf>
    <xf numFmtId="2" fontId="6" fillId="0" borderId="13" xfId="0" applyNumberFormat="1" applyFont="1" applyBorder="1" applyAlignment="1">
      <alignment horizontal="center"/>
    </xf>
    <xf numFmtId="0" fontId="4" fillId="0" borderId="13" xfId="0" applyFont="1" applyBorder="1" applyAlignment="1">
      <alignment horizontal="center" vertical="center"/>
    </xf>
    <xf numFmtId="2" fontId="4" fillId="0" borderId="13" xfId="0" applyNumberFormat="1" applyFont="1" applyBorder="1" applyAlignment="1">
      <alignment horizontal="center" vertical="center"/>
    </xf>
    <xf numFmtId="0" fontId="4" fillId="0" borderId="26" xfId="0" applyFont="1" applyBorder="1" applyAlignment="1">
      <alignment horizontal="center"/>
    </xf>
    <xf numFmtId="2" fontId="6" fillId="0" borderId="26" xfId="0" applyNumberFormat="1" applyFont="1" applyBorder="1" applyAlignment="1">
      <alignment horizontal="center"/>
    </xf>
    <xf numFmtId="0" fontId="4" fillId="0" borderId="27" xfId="0" applyFont="1" applyBorder="1" applyAlignment="1">
      <alignment horizontal="center" vertical="center"/>
    </xf>
    <xf numFmtId="2" fontId="4" fillId="0" borderId="26" xfId="0" applyNumberFormat="1" applyFont="1" applyBorder="1" applyAlignment="1">
      <alignment horizontal="center"/>
    </xf>
    <xf numFmtId="0" fontId="4" fillId="0" borderId="23" xfId="0" applyFont="1" applyBorder="1" applyAlignment="1">
      <alignment vertical="center"/>
    </xf>
    <xf numFmtId="165" fontId="4" fillId="0" borderId="26" xfId="0" applyNumberFormat="1" applyFont="1" applyBorder="1" applyAlignment="1">
      <alignment horizontal="center"/>
    </xf>
    <xf numFmtId="2" fontId="4" fillId="0" borderId="25" xfId="0" applyNumberFormat="1" applyFont="1" applyBorder="1" applyAlignment="1">
      <alignment horizontal="center"/>
    </xf>
    <xf numFmtId="2" fontId="4" fillId="0" borderId="30" xfId="0" applyNumberFormat="1" applyFont="1" applyBorder="1" applyAlignment="1">
      <alignment horizontal="center"/>
    </xf>
    <xf numFmtId="165" fontId="6" fillId="0" borderId="0" xfId="0" applyNumberFormat="1" applyFont="1" applyAlignment="1">
      <alignment horizontal="center"/>
    </xf>
    <xf numFmtId="2" fontId="7" fillId="0" borderId="26" xfId="0" applyNumberFormat="1" applyFont="1" applyBorder="1" applyAlignment="1">
      <alignment horizontal="center"/>
    </xf>
    <xf numFmtId="2" fontId="4" fillId="0" borderId="13" xfId="0" applyNumberFormat="1" applyFont="1" applyBorder="1" applyAlignment="1">
      <alignment horizontal="center"/>
    </xf>
    <xf numFmtId="165" fontId="4" fillId="0" borderId="13" xfId="0" applyNumberFormat="1" applyFont="1" applyBorder="1" applyAlignment="1">
      <alignment horizontal="center" vertical="center"/>
    </xf>
    <xf numFmtId="165" fontId="4" fillId="0" borderId="13" xfId="0" applyNumberFormat="1" applyFont="1" applyBorder="1" applyAlignment="1">
      <alignment horizontal="center"/>
    </xf>
    <xf numFmtId="2" fontId="7" fillId="0" borderId="13" xfId="0" applyNumberFormat="1" applyFont="1" applyBorder="1" applyAlignment="1">
      <alignment horizontal="center"/>
    </xf>
    <xf numFmtId="2" fontId="6" fillId="0" borderId="13" xfId="0" applyNumberFormat="1" applyFont="1" applyBorder="1" applyAlignment="1">
      <alignment horizontal="center" vertical="center"/>
    </xf>
    <xf numFmtId="2" fontId="7" fillId="0" borderId="24" xfId="0" applyNumberFormat="1" applyFont="1" applyBorder="1" applyAlignment="1">
      <alignment horizontal="center" vertical="center"/>
    </xf>
    <xf numFmtId="0" fontId="7" fillId="0" borderId="13" xfId="0" applyFont="1" applyBorder="1" applyAlignment="1">
      <alignment horizontal="center"/>
    </xf>
    <xf numFmtId="2" fontId="7" fillId="0" borderId="13" xfId="0" applyNumberFormat="1" applyFont="1" applyBorder="1" applyAlignment="1">
      <alignment horizontal="center" vertical="center"/>
    </xf>
    <xf numFmtId="0" fontId="4" fillId="0" borderId="32" xfId="0" applyFont="1" applyBorder="1"/>
    <xf numFmtId="0" fontId="4" fillId="0" borderId="32" xfId="0" applyFont="1" applyBorder="1" applyAlignment="1">
      <alignment horizontal="left" vertical="center"/>
    </xf>
    <xf numFmtId="0" fontId="4" fillId="0" borderId="32" xfId="0" quotePrefix="1" applyFont="1" applyBorder="1"/>
    <xf numFmtId="0" fontId="4" fillId="0" borderId="33" xfId="0" applyFont="1" applyBorder="1"/>
    <xf numFmtId="0" fontId="4" fillId="0" borderId="24" xfId="0" applyFont="1" applyBorder="1" applyAlignment="1">
      <alignment horizontal="center"/>
    </xf>
    <xf numFmtId="0" fontId="4" fillId="0" borderId="24" xfId="0" applyFont="1" applyBorder="1" applyAlignment="1">
      <alignment horizontal="center" vertical="center"/>
    </xf>
    <xf numFmtId="2" fontId="4" fillId="0" borderId="13" xfId="0" quotePrefix="1" applyNumberFormat="1" applyFont="1" applyBorder="1" applyAlignment="1">
      <alignment horizontal="center"/>
    </xf>
    <xf numFmtId="3" fontId="4" fillId="0" borderId="13" xfId="0" applyNumberFormat="1" applyFont="1" applyBorder="1" applyAlignment="1">
      <alignment horizontal="center"/>
    </xf>
    <xf numFmtId="3" fontId="4" fillId="0" borderId="27" xfId="0" applyNumberFormat="1" applyFont="1" applyBorder="1" applyAlignment="1">
      <alignment horizontal="center"/>
    </xf>
    <xf numFmtId="3" fontId="4" fillId="0" borderId="26" xfId="0" applyNumberFormat="1" applyFont="1" applyBorder="1" applyAlignment="1">
      <alignment horizontal="center"/>
    </xf>
    <xf numFmtId="3" fontId="4" fillId="0" borderId="29" xfId="0" applyNumberFormat="1" applyFont="1" applyBorder="1" applyAlignment="1">
      <alignment horizontal="center"/>
    </xf>
    <xf numFmtId="0" fontId="4" fillId="0" borderId="0" xfId="0" applyFont="1" applyAlignment="1">
      <alignment horizontal="right"/>
    </xf>
    <xf numFmtId="0" fontId="4" fillId="0" borderId="25" xfId="0" applyFont="1" applyBorder="1" applyAlignment="1">
      <alignment horizontal="center" vertical="center"/>
    </xf>
    <xf numFmtId="0" fontId="3" fillId="0" borderId="13" xfId="0" applyFont="1" applyBorder="1" applyAlignment="1">
      <alignment horizontal="center" vertical="center"/>
    </xf>
    <xf numFmtId="0" fontId="2" fillId="0" borderId="0" xfId="0" applyFont="1" applyAlignment="1">
      <alignment horizontal="right"/>
    </xf>
    <xf numFmtId="0" fontId="4" fillId="0" borderId="0" xfId="0" applyFont="1" applyAlignment="1">
      <alignment horizontal="right" vertical="center" textRotation="90"/>
    </xf>
    <xf numFmtId="0" fontId="4" fillId="0" borderId="0" xfId="0" applyFont="1" applyAlignment="1">
      <alignment horizontal="right" vertical="center"/>
    </xf>
    <xf numFmtId="2" fontId="7" fillId="0" borderId="9" xfId="0" applyNumberFormat="1" applyFont="1" applyBorder="1" applyAlignment="1">
      <alignment horizontal="center" vertical="center"/>
    </xf>
    <xf numFmtId="0" fontId="4" fillId="0" borderId="0" xfId="0" applyFont="1" applyAlignment="1">
      <alignment horizontal="left" vertical="center"/>
    </xf>
    <xf numFmtId="0" fontId="19" fillId="0" borderId="0" xfId="0" applyFont="1" applyAlignment="1">
      <alignment horizontal="left"/>
    </xf>
    <xf numFmtId="0" fontId="4" fillId="0" borderId="0" xfId="0" quotePrefix="1" applyFont="1" applyAlignment="1">
      <alignment horizontal="center"/>
    </xf>
    <xf numFmtId="2" fontId="6" fillId="0" borderId="1" xfId="0" applyNumberFormat="1" applyFont="1" applyBorder="1" applyAlignment="1">
      <alignment horizontal="center"/>
    </xf>
    <xf numFmtId="0" fontId="13" fillId="0" borderId="31" xfId="0" applyFont="1" applyBorder="1" applyAlignment="1">
      <alignment horizontal="center"/>
    </xf>
    <xf numFmtId="0" fontId="4" fillId="0" borderId="24" xfId="0" applyFont="1" applyBorder="1"/>
    <xf numFmtId="0" fontId="4" fillId="0" borderId="34" xfId="0" applyFont="1" applyBorder="1"/>
    <xf numFmtId="0" fontId="4" fillId="0" borderId="34" xfId="0" applyFont="1" applyBorder="1" applyAlignment="1">
      <alignment horizontal="center"/>
    </xf>
    <xf numFmtId="0" fontId="4" fillId="0" borderId="25" xfId="0" applyFont="1" applyBorder="1" applyAlignment="1">
      <alignment horizontal="center"/>
    </xf>
    <xf numFmtId="165" fontId="4" fillId="0" borderId="34" xfId="0" applyNumberFormat="1" applyFont="1" applyBorder="1" applyAlignment="1">
      <alignment horizontal="center"/>
    </xf>
    <xf numFmtId="165" fontId="4" fillId="0" borderId="25" xfId="0" applyNumberFormat="1" applyFont="1" applyBorder="1" applyAlignment="1">
      <alignment horizontal="center"/>
    </xf>
    <xf numFmtId="0" fontId="4" fillId="0" borderId="3" xfId="0" applyFont="1" applyBorder="1"/>
    <xf numFmtId="2" fontId="4" fillId="0" borderId="4" xfId="0" applyNumberFormat="1" applyFont="1" applyBorder="1" applyAlignment="1">
      <alignment horizontal="center"/>
    </xf>
    <xf numFmtId="0" fontId="4" fillId="0" borderId="0" xfId="0" quotePrefix="1" applyFont="1" applyAlignment="1">
      <alignment horizontal="right"/>
    </xf>
    <xf numFmtId="2" fontId="4" fillId="0" borderId="6" xfId="0" applyNumberFormat="1" applyFont="1" applyBorder="1" applyAlignment="1">
      <alignment horizontal="center"/>
    </xf>
    <xf numFmtId="0" fontId="4" fillId="0" borderId="1" xfId="0" applyFont="1" applyBorder="1"/>
    <xf numFmtId="2" fontId="4" fillId="0" borderId="8" xfId="0" applyNumberFormat="1" applyFont="1" applyBorder="1" applyAlignment="1">
      <alignment horizontal="center"/>
    </xf>
    <xf numFmtId="3" fontId="4" fillId="0" borderId="0" xfId="0" applyNumberFormat="1" applyFont="1" applyAlignment="1">
      <alignment horizontal="center" vertical="center"/>
    </xf>
    <xf numFmtId="0" fontId="4" fillId="0" borderId="0" xfId="0" quotePrefix="1" applyFont="1"/>
    <xf numFmtId="0" fontId="4" fillId="0" borderId="0" xfId="0" quotePrefix="1" applyFont="1" applyAlignment="1">
      <alignment horizontal="left"/>
    </xf>
    <xf numFmtId="4" fontId="6" fillId="0" borderId="0" xfId="0" applyNumberFormat="1" applyFont="1" applyAlignment="1">
      <alignment horizontal="center"/>
    </xf>
    <xf numFmtId="3" fontId="13" fillId="0" borderId="0" xfId="0" applyNumberFormat="1" applyFont="1" applyAlignment="1">
      <alignment horizontal="center" vertical="center"/>
    </xf>
    <xf numFmtId="3" fontId="13" fillId="0" borderId="0" xfId="0" applyNumberFormat="1" applyFont="1" applyAlignment="1">
      <alignment horizontal="center"/>
    </xf>
    <xf numFmtId="0" fontId="13" fillId="0" borderId="0" xfId="0" applyFont="1" applyAlignment="1">
      <alignment horizontal="left"/>
    </xf>
    <xf numFmtId="0" fontId="13" fillId="0" borderId="0" xfId="0" applyFont="1" applyAlignment="1">
      <alignment horizontal="left" vertical="center"/>
    </xf>
    <xf numFmtId="1" fontId="7" fillId="0" borderId="13" xfId="0" applyNumberFormat="1" applyFont="1" applyBorder="1" applyAlignment="1">
      <alignment horizontal="center"/>
    </xf>
    <xf numFmtId="1" fontId="7" fillId="0" borderId="13" xfId="0" applyNumberFormat="1" applyFont="1" applyBorder="1" applyAlignment="1">
      <alignment horizontal="center" vertical="center"/>
    </xf>
    <xf numFmtId="169" fontId="4" fillId="0" borderId="0" xfId="0" applyNumberFormat="1" applyFont="1" applyAlignment="1">
      <alignment horizontal="center"/>
    </xf>
    <xf numFmtId="170" fontId="7" fillId="0" borderId="0" xfId="0" applyNumberFormat="1" applyFont="1" applyAlignment="1">
      <alignment horizontal="center"/>
    </xf>
    <xf numFmtId="171" fontId="6" fillId="0" borderId="0" xfId="0" applyNumberFormat="1" applyFont="1" applyAlignment="1">
      <alignment horizontal="center"/>
    </xf>
    <xf numFmtId="1" fontId="4" fillId="0" borderId="0" xfId="0" applyNumberFormat="1" applyFont="1" applyAlignment="1">
      <alignment horizontal="center" vertical="center"/>
    </xf>
    <xf numFmtId="173" fontId="7" fillId="0" borderId="9" xfId="0" applyNumberFormat="1" applyFont="1" applyBorder="1" applyAlignment="1">
      <alignment horizontal="center"/>
    </xf>
    <xf numFmtId="171" fontId="7" fillId="0" borderId="9" xfId="0" applyNumberFormat="1" applyFont="1" applyBorder="1" applyAlignment="1">
      <alignment horizontal="center"/>
    </xf>
    <xf numFmtId="4" fontId="4" fillId="0" borderId="9" xfId="0" applyNumberFormat="1" applyFont="1" applyBorder="1" applyAlignment="1">
      <alignment horizontal="center" vertical="center"/>
    </xf>
    <xf numFmtId="171" fontId="6" fillId="0" borderId="9" xfId="0" applyNumberFormat="1" applyFont="1" applyBorder="1" applyAlignment="1">
      <alignment horizontal="center" vertical="center"/>
    </xf>
    <xf numFmtId="0" fontId="19" fillId="0" borderId="2" xfId="0" applyFont="1" applyBorder="1" applyAlignment="1">
      <alignment horizontal="left"/>
    </xf>
    <xf numFmtId="0" fontId="19" fillId="0" borderId="3" xfId="0" applyFont="1" applyBorder="1" applyAlignment="1">
      <alignment horizontal="center"/>
    </xf>
    <xf numFmtId="0" fontId="4" fillId="0" borderId="3" xfId="0" applyFont="1" applyBorder="1" applyAlignment="1">
      <alignment horizontal="left"/>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left"/>
    </xf>
    <xf numFmtId="0" fontId="4" fillId="0" borderId="6"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left"/>
    </xf>
    <xf numFmtId="0" fontId="4" fillId="0" borderId="1" xfId="0" applyFont="1" applyBorder="1" applyAlignment="1">
      <alignment horizontal="left"/>
    </xf>
    <xf numFmtId="0" fontId="4" fillId="0" borderId="8" xfId="0" applyFont="1" applyBorder="1" applyAlignment="1">
      <alignment horizontal="center"/>
    </xf>
    <xf numFmtId="4" fontId="6" fillId="0" borderId="0" xfId="0" applyNumberFormat="1" applyFont="1" applyAlignment="1">
      <alignment horizontal="left"/>
    </xf>
    <xf numFmtId="3" fontId="4" fillId="0" borderId="0" xfId="0" applyNumberFormat="1" applyFont="1" applyAlignment="1">
      <alignment horizontal="left"/>
    </xf>
    <xf numFmtId="3" fontId="13" fillId="0" borderId="0" xfId="0" applyNumberFormat="1" applyFont="1" applyAlignment="1">
      <alignment horizontal="left"/>
    </xf>
    <xf numFmtId="3" fontId="13" fillId="0" borderId="0" xfId="0" applyNumberFormat="1" applyFont="1" applyAlignment="1">
      <alignment horizontal="left" vertical="center"/>
    </xf>
    <xf numFmtId="0" fontId="19" fillId="0" borderId="0" xfId="0" applyFont="1" applyAlignment="1">
      <alignment horizontal="center"/>
    </xf>
    <xf numFmtId="0" fontId="4" fillId="0" borderId="0" xfId="0" applyFont="1" applyAlignment="1">
      <alignment vertical="center" wrapText="1"/>
    </xf>
    <xf numFmtId="2" fontId="7" fillId="0" borderId="0" xfId="0" applyNumberFormat="1" applyFont="1" applyAlignment="1">
      <alignment horizontal="center" vertical="center"/>
    </xf>
    <xf numFmtId="2" fontId="7" fillId="0" borderId="0" xfId="0" applyNumberFormat="1" applyFont="1" applyAlignment="1">
      <alignment horizontal="left"/>
    </xf>
    <xf numFmtId="2" fontId="7" fillId="0" borderId="17" xfId="0" applyNumberFormat="1" applyFont="1" applyBorder="1" applyAlignment="1">
      <alignment horizontal="center"/>
    </xf>
    <xf numFmtId="2" fontId="6" fillId="0" borderId="15" xfId="0" applyNumberFormat="1" applyFont="1" applyBorder="1" applyAlignment="1">
      <alignment horizontal="center"/>
    </xf>
    <xf numFmtId="2" fontId="4" fillId="0" borderId="0" xfId="0" applyNumberFormat="1" applyFont="1" applyAlignment="1">
      <alignment horizontal="center" vertical="center"/>
    </xf>
    <xf numFmtId="2" fontId="6" fillId="0" borderId="0" xfId="0" applyNumberFormat="1" applyFont="1" applyAlignment="1">
      <alignment horizontal="center" vertical="center"/>
    </xf>
    <xf numFmtId="0" fontId="4" fillId="0" borderId="5" xfId="0" applyFont="1" applyBorder="1" applyAlignment="1">
      <alignment vertical="center"/>
    </xf>
    <xf numFmtId="3" fontId="7" fillId="0" borderId="9" xfId="0" applyNumberFormat="1" applyFont="1" applyBorder="1" applyAlignment="1">
      <alignment horizontal="center"/>
    </xf>
    <xf numFmtId="165" fontId="4" fillId="0" borderId="9" xfId="0" applyNumberFormat="1" applyFont="1" applyBorder="1" applyAlignment="1">
      <alignment horizontal="center"/>
    </xf>
    <xf numFmtId="1" fontId="4" fillId="0" borderId="9" xfId="0" applyNumberFormat="1" applyFont="1" applyBorder="1" applyAlignment="1">
      <alignment horizontal="center"/>
    </xf>
    <xf numFmtId="4" fontId="7" fillId="0" borderId="9" xfId="0" applyNumberFormat="1" applyFont="1" applyBorder="1" applyAlignment="1">
      <alignment horizontal="center"/>
    </xf>
    <xf numFmtId="4" fontId="4" fillId="0" borderId="0" xfId="0" applyNumberFormat="1" applyFont="1" applyAlignment="1">
      <alignment vertical="center"/>
    </xf>
    <xf numFmtId="0" fontId="3" fillId="0" borderId="6" xfId="0" applyFont="1" applyBorder="1" applyAlignment="1">
      <alignment horizontal="center"/>
    </xf>
    <xf numFmtId="3" fontId="4" fillId="0" borderId="13" xfId="0" applyNumberFormat="1" applyFont="1" applyBorder="1" applyAlignment="1">
      <alignment horizontal="center" vertical="center"/>
    </xf>
    <xf numFmtId="0" fontId="3" fillId="0" borderId="27" xfId="0" applyFont="1" applyBorder="1" applyAlignment="1">
      <alignment horizontal="center" vertical="center"/>
    </xf>
    <xf numFmtId="2" fontId="4" fillId="0" borderId="27" xfId="0" applyNumberFormat="1" applyFont="1" applyBorder="1" applyAlignment="1">
      <alignment horizontal="center" vertical="center"/>
    </xf>
    <xf numFmtId="0" fontId="13" fillId="0" borderId="37" xfId="0" applyFont="1" applyBorder="1" applyAlignment="1">
      <alignment horizontal="center"/>
    </xf>
    <xf numFmtId="3" fontId="4" fillId="0" borderId="27" xfId="0" applyNumberFormat="1" applyFont="1" applyBorder="1" applyAlignment="1">
      <alignment horizontal="center" vertical="center"/>
    </xf>
    <xf numFmtId="2" fontId="4" fillId="0" borderId="26" xfId="0" applyNumberFormat="1" applyFont="1" applyBorder="1" applyAlignment="1">
      <alignment horizontal="center" vertical="center"/>
    </xf>
    <xf numFmtId="3" fontId="4" fillId="0" borderId="26" xfId="0" applyNumberFormat="1" applyFont="1" applyBorder="1" applyAlignment="1">
      <alignment horizontal="center" vertical="center"/>
    </xf>
    <xf numFmtId="3" fontId="4" fillId="0" borderId="29" xfId="0" applyNumberFormat="1" applyFont="1" applyBorder="1" applyAlignment="1">
      <alignment horizontal="center" vertical="center"/>
    </xf>
    <xf numFmtId="0" fontId="13" fillId="0" borderId="38" xfId="0" applyFont="1" applyBorder="1" applyAlignment="1">
      <alignment horizontal="left"/>
    </xf>
    <xf numFmtId="0" fontId="4" fillId="0" borderId="39" xfId="0" applyFont="1" applyBorder="1" applyAlignment="1">
      <alignment horizontal="center"/>
    </xf>
    <xf numFmtId="0" fontId="4" fillId="0" borderId="40" xfId="0" applyFont="1" applyBorder="1" applyAlignment="1">
      <alignment horizontal="center"/>
    </xf>
    <xf numFmtId="0" fontId="4" fillId="0" borderId="35" xfId="0" applyFont="1" applyBorder="1" applyAlignment="1">
      <alignment horizontal="center"/>
    </xf>
    <xf numFmtId="0" fontId="4" fillId="0" borderId="41" xfId="0" applyFont="1" applyBorder="1" applyAlignment="1">
      <alignment horizontal="center"/>
    </xf>
    <xf numFmtId="0" fontId="3" fillId="0" borderId="26" xfId="0" applyFont="1" applyBorder="1" applyAlignment="1">
      <alignment horizontal="center"/>
    </xf>
    <xf numFmtId="0" fontId="13" fillId="0" borderId="38" xfId="0" applyFont="1" applyBorder="1"/>
    <xf numFmtId="0" fontId="4" fillId="0" borderId="39" xfId="0" applyFont="1" applyBorder="1"/>
    <xf numFmtId="0" fontId="4" fillId="0" borderId="40" xfId="0" applyFont="1" applyBorder="1"/>
    <xf numFmtId="0" fontId="4" fillId="0" borderId="35" xfId="0" applyFont="1" applyBorder="1" applyAlignment="1">
      <alignment horizontal="center" vertical="center"/>
    </xf>
    <xf numFmtId="165" fontId="4" fillId="0" borderId="27" xfId="0" applyNumberFormat="1" applyFont="1" applyBorder="1" applyAlignment="1">
      <alignment horizontal="center" vertical="center"/>
    </xf>
    <xf numFmtId="165" fontId="4" fillId="0" borderId="26" xfId="0" applyNumberFormat="1" applyFont="1" applyBorder="1" applyAlignment="1">
      <alignment horizontal="center" vertical="center"/>
    </xf>
    <xf numFmtId="165" fontId="4" fillId="0" borderId="29" xfId="0" applyNumberFormat="1" applyFont="1" applyBorder="1" applyAlignment="1">
      <alignment horizontal="center" vertical="center"/>
    </xf>
    <xf numFmtId="0" fontId="4" fillId="0" borderId="0" xfId="0" applyFont="1" applyAlignment="1">
      <alignment horizontal="center" vertical="center" wrapText="1"/>
    </xf>
    <xf numFmtId="0" fontId="13" fillId="0" borderId="35" xfId="0" applyFont="1" applyBorder="1" applyAlignment="1">
      <alignment horizontal="center"/>
    </xf>
    <xf numFmtId="4" fontId="4" fillId="0" borderId="17" xfId="0" applyNumberFormat="1" applyFont="1" applyBorder="1" applyAlignment="1">
      <alignment horizontal="center" vertical="center"/>
    </xf>
    <xf numFmtId="0" fontId="4" fillId="0" borderId="18" xfId="0" applyFont="1" applyBorder="1" applyAlignment="1">
      <alignment horizontal="center"/>
    </xf>
    <xf numFmtId="0" fontId="4" fillId="0" borderId="28" xfId="0" applyFont="1" applyBorder="1" applyAlignment="1">
      <alignment horizontal="center"/>
    </xf>
    <xf numFmtId="0" fontId="13" fillId="0" borderId="0" xfId="0" applyFont="1" applyAlignment="1">
      <alignment horizontal="center"/>
    </xf>
    <xf numFmtId="0" fontId="4" fillId="0" borderId="36" xfId="0" applyFont="1" applyBorder="1" applyAlignment="1">
      <alignment vertical="center"/>
    </xf>
    <xf numFmtId="3" fontId="7" fillId="0" borderId="9" xfId="0" applyNumberFormat="1" applyFont="1" applyBorder="1" applyAlignment="1">
      <alignment horizontal="center" vertical="center"/>
    </xf>
    <xf numFmtId="2" fontId="7" fillId="0" borderId="1" xfId="0" applyNumberFormat="1" applyFont="1" applyBorder="1" applyAlignment="1">
      <alignment horizontal="center"/>
    </xf>
    <xf numFmtId="0" fontId="7" fillId="0" borderId="1" xfId="0" applyFont="1" applyBorder="1" applyAlignment="1">
      <alignment horizontal="center"/>
    </xf>
    <xf numFmtId="1" fontId="7" fillId="0" borderId="0" xfId="0" applyNumberFormat="1" applyFont="1" applyAlignment="1">
      <alignment horizontal="center"/>
    </xf>
    <xf numFmtId="2" fontId="7" fillId="0" borderId="15" xfId="0" applyNumberFormat="1" applyFont="1" applyBorder="1" applyAlignment="1">
      <alignment horizontal="center"/>
    </xf>
    <xf numFmtId="174" fontId="7" fillId="0" borderId="0" xfId="0" applyNumberFormat="1" applyFont="1" applyAlignment="1">
      <alignment horizontal="center"/>
    </xf>
    <xf numFmtId="2" fontId="20" fillId="0" borderId="13" xfId="0" applyNumberFormat="1" applyFont="1" applyBorder="1" applyAlignment="1">
      <alignment horizontal="center"/>
    </xf>
    <xf numFmtId="3" fontId="7" fillId="0" borderId="0" xfId="0" applyNumberFormat="1" applyFont="1" applyAlignment="1">
      <alignment horizontal="center" vertical="center"/>
    </xf>
    <xf numFmtId="170" fontId="4" fillId="0" borderId="0" xfId="0" applyNumberFormat="1" applyFont="1" applyAlignment="1">
      <alignment horizontal="center"/>
    </xf>
    <xf numFmtId="0" fontId="2" fillId="0" borderId="0" xfId="0" applyFont="1" applyAlignment="1">
      <alignment vertical="center"/>
    </xf>
    <xf numFmtId="4" fontId="3" fillId="0" borderId="0" xfId="0" applyNumberFormat="1" applyFont="1" applyAlignment="1">
      <alignment vertical="center"/>
    </xf>
    <xf numFmtId="12" fontId="4" fillId="0" borderId="9" xfId="0" applyNumberFormat="1" applyFont="1" applyBorder="1" applyAlignment="1">
      <alignment horizontal="center"/>
    </xf>
    <xf numFmtId="3" fontId="4" fillId="0" borderId="5" xfId="0" applyNumberFormat="1" applyFont="1" applyBorder="1" applyAlignment="1">
      <alignment horizontal="center"/>
    </xf>
    <xf numFmtId="3" fontId="4" fillId="0" borderId="16" xfId="0" applyNumberFormat="1" applyFont="1" applyBorder="1" applyAlignment="1">
      <alignment horizontal="center"/>
    </xf>
    <xf numFmtId="3" fontId="4" fillId="0" borderId="5" xfId="0" applyNumberFormat="1" applyFont="1" applyBorder="1" applyAlignment="1">
      <alignment horizontal="center" vertical="center"/>
    </xf>
    <xf numFmtId="2" fontId="21" fillId="0" borderId="0" xfId="0" applyNumberFormat="1" applyFont="1" applyAlignment="1">
      <alignment horizontal="center"/>
    </xf>
    <xf numFmtId="0" fontId="4" fillId="0" borderId="0" xfId="0" applyFont="1" applyAlignment="1">
      <alignment wrapText="1"/>
    </xf>
    <xf numFmtId="0" fontId="22" fillId="0" borderId="0" xfId="0" applyFont="1"/>
    <xf numFmtId="0" fontId="4" fillId="0" borderId="18" xfId="0" applyFont="1" applyBorder="1" applyAlignment="1">
      <alignment horizontal="center"/>
    </xf>
    <xf numFmtId="0" fontId="4" fillId="0" borderId="22" xfId="0" applyFont="1" applyBorder="1" applyAlignment="1">
      <alignment horizontal="center"/>
    </xf>
    <xf numFmtId="0" fontId="4" fillId="0" borderId="28" xfId="0" applyFont="1" applyBorder="1" applyAlignment="1">
      <alignment horizontal="center"/>
    </xf>
    <xf numFmtId="0" fontId="4" fillId="0" borderId="21"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3" fillId="0" borderId="21" xfId="0" applyFont="1" applyBorder="1" applyAlignment="1">
      <alignment horizontal="center"/>
    </xf>
    <xf numFmtId="0" fontId="3" fillId="0" borderId="22" xfId="0" applyFont="1" applyBorder="1" applyAlignment="1">
      <alignment horizontal="center"/>
    </xf>
    <xf numFmtId="0" fontId="3" fillId="0" borderId="18" xfId="0" applyFont="1" applyBorder="1" applyAlignment="1">
      <alignment horizont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Alignment="1">
      <alignment horizontal="center"/>
    </xf>
    <xf numFmtId="0" fontId="4" fillId="0" borderId="5" xfId="0" applyFont="1" applyBorder="1" applyAlignment="1">
      <alignment horizontal="center"/>
    </xf>
    <xf numFmtId="0" fontId="4" fillId="3" borderId="0" xfId="0" applyFont="1" applyFill="1" applyAlignment="1">
      <alignment horizontal="center" vertical="center" wrapText="1"/>
    </xf>
    <xf numFmtId="0" fontId="4" fillId="0" borderId="0" xfId="0" applyFont="1" applyAlignment="1">
      <alignment horizontal="left"/>
    </xf>
    <xf numFmtId="3" fontId="4" fillId="0" borderId="0" xfId="0" applyNumberFormat="1" applyFont="1" applyAlignment="1">
      <alignment horizontal="center"/>
    </xf>
    <xf numFmtId="0" fontId="4" fillId="0" borderId="13" xfId="0" applyFont="1" applyBorder="1" applyAlignment="1">
      <alignment horizontal="center"/>
    </xf>
    <xf numFmtId="0" fontId="3" fillId="0" borderId="13" xfId="0" applyFont="1" applyBorder="1" applyAlignment="1">
      <alignment horizontal="center"/>
    </xf>
    <xf numFmtId="0" fontId="3" fillId="0" borderId="0" xfId="0" applyFont="1" applyAlignment="1">
      <alignment horizontal="center"/>
    </xf>
    <xf numFmtId="0" fontId="3" fillId="0" borderId="6" xfId="0" applyFont="1" applyBorder="1" applyAlignment="1">
      <alignment horizontal="center"/>
    </xf>
    <xf numFmtId="0" fontId="3" fillId="0" borderId="0" xfId="0" applyFont="1" applyAlignment="1">
      <alignment horizontal="center" vertical="center"/>
    </xf>
    <xf numFmtId="0" fontId="3" fillId="0" borderId="6" xfId="0" applyFont="1" applyBorder="1" applyAlignment="1">
      <alignment horizontal="center" vertical="center"/>
    </xf>
    <xf numFmtId="0" fontId="4" fillId="0" borderId="0" xfId="0" applyFont="1" applyAlignment="1">
      <alignment horizontal="left" vertical="center" wrapText="1"/>
    </xf>
    <xf numFmtId="0" fontId="4" fillId="0" borderId="27" xfId="0" applyFont="1" applyBorder="1" applyAlignment="1">
      <alignment horizontal="center"/>
    </xf>
    <xf numFmtId="4" fontId="3" fillId="0" borderId="0" xfId="0" applyNumberFormat="1" applyFont="1" applyAlignment="1">
      <alignment horizontal="center"/>
    </xf>
    <xf numFmtId="4" fontId="3" fillId="0" borderId="6" xfId="0" applyNumberFormat="1" applyFont="1" applyBorder="1" applyAlignment="1">
      <alignment horizontal="center"/>
    </xf>
    <xf numFmtId="3" fontId="4" fillId="0" borderId="6" xfId="0" applyNumberFormat="1" applyFont="1" applyBorder="1" applyAlignment="1">
      <alignment horizontal="center"/>
    </xf>
    <xf numFmtId="1" fontId="4" fillId="0" borderId="13" xfId="0" applyNumberFormat="1" applyFont="1" applyBorder="1" applyAlignment="1">
      <alignment horizontal="center"/>
    </xf>
    <xf numFmtId="1" fontId="4" fillId="0" borderId="27" xfId="0" applyNumberFormat="1" applyFont="1" applyBorder="1" applyAlignment="1">
      <alignment horizontal="center"/>
    </xf>
    <xf numFmtId="1" fontId="4" fillId="0" borderId="26" xfId="0" applyNumberFormat="1" applyFont="1" applyBorder="1" applyAlignment="1">
      <alignment horizontal="center" vertical="center"/>
    </xf>
    <xf numFmtId="1" fontId="4" fillId="0" borderId="29" xfId="0" applyNumberFormat="1" applyFont="1" applyBorder="1" applyAlignment="1">
      <alignment horizontal="center" vertical="center"/>
    </xf>
    <xf numFmtId="0" fontId="4" fillId="0" borderId="0" xfId="0" applyFont="1" applyAlignment="1">
      <alignment horizontal="left" vertical="center"/>
    </xf>
    <xf numFmtId="2" fontId="4" fillId="0" borderId="9" xfId="0" applyNumberFormat="1" applyFont="1" applyBorder="1" applyAlignment="1">
      <alignment horizontal="center" vertical="center"/>
    </xf>
    <xf numFmtId="2" fontId="4" fillId="0" borderId="10" xfId="0" applyNumberFormat="1" applyFont="1" applyBorder="1" applyAlignment="1">
      <alignment horizontal="center" vertical="center"/>
    </xf>
    <xf numFmtId="2" fontId="4" fillId="0" borderId="11" xfId="0" applyNumberFormat="1" applyFont="1" applyBorder="1" applyAlignment="1">
      <alignment horizontal="center" vertical="center"/>
    </xf>
    <xf numFmtId="2" fontId="4" fillId="0" borderId="12" xfId="0" applyNumberFormat="1" applyFont="1" applyBorder="1" applyAlignment="1">
      <alignment horizontal="center" vertical="center"/>
    </xf>
    <xf numFmtId="4" fontId="3" fillId="0" borderId="6" xfId="0" applyNumberFormat="1" applyFont="1" applyBorder="1" applyAlignment="1">
      <alignment horizontal="center" vertical="center"/>
    </xf>
    <xf numFmtId="4" fontId="4" fillId="0" borderId="9" xfId="0" applyNumberFormat="1" applyFont="1" applyBorder="1" applyAlignment="1">
      <alignment horizontal="center" vertical="center"/>
    </xf>
    <xf numFmtId="0" fontId="4" fillId="0" borderId="5" xfId="0" applyFont="1" applyBorder="1" applyAlignment="1">
      <alignment horizontal="left" vertical="center"/>
    </xf>
    <xf numFmtId="0" fontId="3" fillId="0" borderId="0" xfId="0" applyFont="1" applyAlignment="1">
      <alignment horizontal="left" wrapText="1"/>
    </xf>
  </cellXfs>
  <cellStyles count="2">
    <cellStyle name="Good" xfId="1" builtinId="26"/>
    <cellStyle name="Normal" xfId="0" builtinId="0"/>
  </cellStyles>
  <dxfs count="7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
      <font>
        <b/>
        <i/>
        <strike val="0"/>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30"</a:t>
            </a:r>
            <a:r>
              <a:rPr lang="en-US" baseline="0"/>
              <a:t> dia. Pile P-M Diagram</a:t>
            </a:r>
            <a:endParaRPr lang="en-US"/>
          </a:p>
        </c:rich>
      </c:tx>
      <c:layout>
        <c:manualLayout>
          <c:xMode val="edge"/>
          <c:yMode val="edge"/>
          <c:x val="0.229821339356709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Nominal Strength</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Foundation'!$I$117:$I$122</c:f>
            </c:numRef>
          </c:xVal>
          <c:yVal>
            <c:numRef>
              <c:f>'Constrained Foundation'!$J$117:$J$122</c:f>
            </c:numRef>
          </c:yVal>
          <c:smooth val="0"/>
          <c:extLst>
            <c:ext xmlns:c16="http://schemas.microsoft.com/office/drawing/2014/chart" uri="{C3380CC4-5D6E-409C-BE32-E72D297353CC}">
              <c16:uniqueId val="{00000000-D633-4748-9743-986B5887FF09}"/>
            </c:ext>
          </c:extLst>
        </c:ser>
        <c:ser>
          <c:idx val="1"/>
          <c:order val="1"/>
          <c:tx>
            <c:v>Design Strength</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Foundation'!$K$117:$K$122</c:f>
            </c:numRef>
          </c:xVal>
          <c:yVal>
            <c:numRef>
              <c:f>'Constrained Foundation'!$M$117:$M$122</c:f>
            </c:numRef>
          </c:yVal>
          <c:smooth val="0"/>
          <c:extLst>
            <c:ext xmlns:c16="http://schemas.microsoft.com/office/drawing/2014/chart" uri="{C3380CC4-5D6E-409C-BE32-E72D297353CC}">
              <c16:uniqueId val="{00000001-D633-4748-9743-986B5887FF09}"/>
            </c:ext>
          </c:extLst>
        </c:ser>
        <c:ser>
          <c:idx val="2"/>
          <c:order val="2"/>
          <c:tx>
            <c:v>LRFD Demand</c:v>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Foundation'!$C$3</c:f>
              <c:numCache>
                <c:formatCode>#,##0</c:formatCode>
                <c:ptCount val="1"/>
                <c:pt idx="0">
                  <c:v>151514.48767272773</c:v>
                </c:pt>
              </c:numCache>
            </c:numRef>
          </c:xVal>
          <c:yVal>
            <c:numRef>
              <c:f>'Constrained Foundation'!$C$1</c:f>
              <c:numCache>
                <c:formatCode>#,##0</c:formatCode>
                <c:ptCount val="1"/>
                <c:pt idx="0">
                  <c:v>559.98111782914373</c:v>
                </c:pt>
              </c:numCache>
            </c:numRef>
          </c:yVal>
          <c:smooth val="0"/>
          <c:extLst>
            <c:ext xmlns:c16="http://schemas.microsoft.com/office/drawing/2014/chart" uri="{C3380CC4-5D6E-409C-BE32-E72D297353CC}">
              <c16:uniqueId val="{00000002-D633-4748-9743-986B5887FF09}"/>
            </c:ext>
          </c:extLst>
        </c:ser>
        <c:dLbls>
          <c:showLegendKey val="0"/>
          <c:showVal val="0"/>
          <c:showCatName val="0"/>
          <c:showSerName val="0"/>
          <c:showPercent val="0"/>
          <c:showBubbleSize val="0"/>
        </c:dLbls>
        <c:axId val="544899760"/>
        <c:axId val="544900088"/>
      </c:scatterChart>
      <c:valAx>
        <c:axId val="54489976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a:t>
                </a:r>
                <a:r>
                  <a:rPr lang="en-US" baseline="0"/>
                  <a:t> (kip-in)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088"/>
        <c:crosses val="autoZero"/>
        <c:crossBetween val="midCat"/>
      </c:valAx>
      <c:valAx>
        <c:axId val="544900088"/>
        <c:scaling>
          <c:orientation val="minMax"/>
          <c:max val="3000"/>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Axial</a:t>
                </a:r>
                <a:r>
                  <a:rPr lang="en-US" baseline="0"/>
                  <a:t> Load (kip)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9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36"</a:t>
            </a:r>
            <a:r>
              <a:rPr lang="en-US" baseline="0"/>
              <a:t> dia. Pile Interaction Diagram</a:t>
            </a:r>
            <a:endParaRPr lang="en-US"/>
          </a:p>
        </c:rich>
      </c:tx>
      <c:layout>
        <c:manualLayout>
          <c:xMode val="edge"/>
          <c:yMode val="edge"/>
          <c:x val="0.35149436643613458"/>
          <c:y val="1.66748495187946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Nominal Strength</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Foundation'!$B$377:$B$381</c:f>
              <c:numCache>
                <c:formatCode>0</c:formatCode>
                <c:ptCount val="5"/>
                <c:pt idx="0">
                  <c:v>0</c:v>
                </c:pt>
                <c:pt idx="1">
                  <c:v>1882.3038176380269</c:v>
                </c:pt>
                <c:pt idx="2">
                  <c:v>9024.6303765578996</c:v>
                </c:pt>
                <c:pt idx="3">
                  <c:v>4478.6639705675843</c:v>
                </c:pt>
                <c:pt idx="4">
                  <c:v>0</c:v>
                </c:pt>
              </c:numCache>
            </c:numRef>
          </c:xVal>
          <c:yVal>
            <c:numRef>
              <c:f>'Constrained Foundation'!$C$377:$C$381</c:f>
              <c:numCache>
                <c:formatCode>0</c:formatCode>
                <c:ptCount val="5"/>
                <c:pt idx="0">
                  <c:v>2374.7146262163847</c:v>
                </c:pt>
                <c:pt idx="1">
                  <c:v>2066.0017248082545</c:v>
                </c:pt>
                <c:pt idx="2">
                  <c:v>894.60296646364645</c:v>
                </c:pt>
                <c:pt idx="3">
                  <c:v>0.20471518646833431</c:v>
                </c:pt>
                <c:pt idx="4">
                  <c:v>-432.95073757284337</c:v>
                </c:pt>
              </c:numCache>
            </c:numRef>
          </c:yVal>
          <c:smooth val="0"/>
          <c:extLst>
            <c:ext xmlns:c16="http://schemas.microsoft.com/office/drawing/2014/chart" uri="{C3380CC4-5D6E-409C-BE32-E72D297353CC}">
              <c16:uniqueId val="{00000000-E60A-4075-8D42-21C48473AF67}"/>
            </c:ext>
          </c:extLst>
        </c:ser>
        <c:ser>
          <c:idx val="1"/>
          <c:order val="1"/>
          <c:tx>
            <c:v>Design Strength</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Foundation'!$D$377:$D$381</c:f>
              <c:numCache>
                <c:formatCode>0</c:formatCode>
                <c:ptCount val="5"/>
                <c:pt idx="0">
                  <c:v>0</c:v>
                </c:pt>
                <c:pt idx="1">
                  <c:v>1882.3038176380269</c:v>
                </c:pt>
                <c:pt idx="2">
                  <c:v>5866.0097447626349</c:v>
                </c:pt>
                <c:pt idx="3">
                  <c:v>2911.1315808689301</c:v>
                </c:pt>
                <c:pt idx="4">
                  <c:v>0</c:v>
                </c:pt>
              </c:numCache>
            </c:numRef>
          </c:xVal>
          <c:yVal>
            <c:numRef>
              <c:f>'Constrained Foundation'!$F$377:$F$381</c:f>
              <c:numCache>
                <c:formatCode>0</c:formatCode>
                <c:ptCount val="5"/>
                <c:pt idx="0">
                  <c:v>1234.85160563252</c:v>
                </c:pt>
                <c:pt idx="1">
                  <c:v>1234.85160563252</c:v>
                </c:pt>
                <c:pt idx="2">
                  <c:v>581.49192820137023</c:v>
                </c:pt>
                <c:pt idx="3">
                  <c:v>0.13306487120441732</c:v>
                </c:pt>
                <c:pt idx="4">
                  <c:v>-281.4179794223482</c:v>
                </c:pt>
              </c:numCache>
            </c:numRef>
          </c:yVal>
          <c:smooth val="0"/>
          <c:extLst>
            <c:ext xmlns:c16="http://schemas.microsoft.com/office/drawing/2014/chart" uri="{C3380CC4-5D6E-409C-BE32-E72D297353CC}">
              <c16:uniqueId val="{00000001-E60A-4075-8D42-21C48473AF67}"/>
            </c:ext>
          </c:extLst>
        </c:ser>
        <c:ser>
          <c:idx val="2"/>
          <c:order val="2"/>
          <c:tx>
            <c:v>LRFD Demand</c:v>
          </c:tx>
          <c:spPr>
            <a:ln w="19050" cap="rnd">
              <a:solidFill>
                <a:schemeClr val="accent3"/>
              </a:solidFill>
              <a:round/>
            </a:ln>
            <a:effectLst/>
          </c:spPr>
          <c:marker>
            <c:symbol val="circle"/>
            <c:size val="5"/>
            <c:spPr>
              <a:solidFill>
                <a:schemeClr val="accent4">
                  <a:lumMod val="60000"/>
                  <a:lumOff val="40000"/>
                </a:schemeClr>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Foundation'!$C$3</c:f>
              <c:numCache>
                <c:formatCode>#,##0</c:formatCode>
                <c:ptCount val="1"/>
                <c:pt idx="0">
                  <c:v>151514.48767272773</c:v>
                </c:pt>
              </c:numCache>
            </c:numRef>
          </c:xVal>
          <c:yVal>
            <c:numRef>
              <c:f>'Constrained Foundation'!$C$1</c:f>
              <c:numCache>
                <c:formatCode>#,##0</c:formatCode>
                <c:ptCount val="1"/>
                <c:pt idx="0">
                  <c:v>559.98111782914373</c:v>
                </c:pt>
              </c:numCache>
            </c:numRef>
          </c:yVal>
          <c:smooth val="0"/>
          <c:extLst>
            <c:ext xmlns:c16="http://schemas.microsoft.com/office/drawing/2014/chart" uri="{C3380CC4-5D6E-409C-BE32-E72D297353CC}">
              <c16:uniqueId val="{00000002-E60A-4075-8D42-21C48473AF67}"/>
            </c:ext>
          </c:extLst>
        </c:ser>
        <c:dLbls>
          <c:showLegendKey val="0"/>
          <c:showVal val="0"/>
          <c:showCatName val="0"/>
          <c:showSerName val="0"/>
          <c:showPercent val="0"/>
          <c:showBubbleSize val="0"/>
        </c:dLbls>
        <c:axId val="544899760"/>
        <c:axId val="544900088"/>
      </c:scatterChart>
      <c:valAx>
        <c:axId val="54489976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a:t>
                </a:r>
                <a:r>
                  <a:rPr lang="en-US" baseline="0"/>
                  <a:t> (kip-in)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088"/>
        <c:crosses val="autoZero"/>
        <c:crossBetween val="midCat"/>
      </c:valAx>
      <c:valAx>
        <c:axId val="544900088"/>
        <c:scaling>
          <c:orientation val="minMax"/>
          <c:max val="3000"/>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Axial</a:t>
                </a:r>
                <a:r>
                  <a:rPr lang="en-US" baseline="0"/>
                  <a:t> Load (kip)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99760"/>
        <c:crosses val="autoZero"/>
        <c:crossBetween val="midCat"/>
      </c:valAx>
      <c:spPr>
        <a:noFill/>
        <a:ln>
          <a:noFill/>
        </a:ln>
        <a:effectLst/>
      </c:spPr>
    </c:plotArea>
    <c:legend>
      <c:legendPos val="r"/>
      <c:layout>
        <c:manualLayout>
          <c:xMode val="edge"/>
          <c:yMode val="edge"/>
          <c:x val="0.878816545447347"/>
          <c:y val="0.4839164630588616"/>
          <c:w val="0.11171879912526463"/>
          <c:h val="0.116191889190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30"</a:t>
            </a:r>
            <a:r>
              <a:rPr lang="en-US" baseline="0"/>
              <a:t> dia. Pile P-M Diagram</a:t>
            </a:r>
            <a:endParaRPr lang="en-US"/>
          </a:p>
        </c:rich>
      </c:tx>
      <c:layout>
        <c:manualLayout>
          <c:xMode val="edge"/>
          <c:yMode val="edge"/>
          <c:x val="0.229821339356709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Nominal Strength</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Foundation'!$I$117:$I$122</c:f>
            </c:numRef>
          </c:xVal>
          <c:yVal>
            <c:numRef>
              <c:f>'Constrained Foundation'!$J$117:$J$122</c:f>
            </c:numRef>
          </c:yVal>
          <c:smooth val="0"/>
          <c:extLst>
            <c:ext xmlns:c16="http://schemas.microsoft.com/office/drawing/2014/chart" uri="{C3380CC4-5D6E-409C-BE32-E72D297353CC}">
              <c16:uniqueId val="{00000000-A219-42FD-B9B6-65D71FB19855}"/>
            </c:ext>
          </c:extLst>
        </c:ser>
        <c:ser>
          <c:idx val="1"/>
          <c:order val="1"/>
          <c:tx>
            <c:v>Design Strength</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Foundation'!$K$117:$K$122</c:f>
            </c:numRef>
          </c:xVal>
          <c:yVal>
            <c:numRef>
              <c:f>'Constrained Foundation'!$M$117:$M$122</c:f>
            </c:numRef>
          </c:yVal>
          <c:smooth val="0"/>
          <c:extLst>
            <c:ext xmlns:c16="http://schemas.microsoft.com/office/drawing/2014/chart" uri="{C3380CC4-5D6E-409C-BE32-E72D297353CC}">
              <c16:uniqueId val="{00000001-A219-42FD-B9B6-65D71FB19855}"/>
            </c:ext>
          </c:extLst>
        </c:ser>
        <c:ser>
          <c:idx val="2"/>
          <c:order val="2"/>
          <c:tx>
            <c:v>LRFD Demand</c:v>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'Nonconstrained Foundation'!$C$3</c:f>
              <c:numCache>
                <c:formatCode>#,##0</c:formatCode>
                <c:ptCount val="1"/>
                <c:pt idx="0">
                  <c:v>151514.48767272773</c:v>
                </c:pt>
              </c:numCache>
            </c:numRef>
          </c:xVal>
          <c:yVal>
            <c:numRef>
              <c:f>'Nonconstrained Foundation'!$C$1</c:f>
              <c:numCache>
                <c:formatCode>#,##0</c:formatCode>
                <c:ptCount val="1"/>
                <c:pt idx="0">
                  <c:v>559.98111782914373</c:v>
                </c:pt>
              </c:numCache>
            </c:numRef>
          </c:yVal>
          <c:smooth val="0"/>
          <c:extLst>
            <c:ext xmlns:c16="http://schemas.microsoft.com/office/drawing/2014/chart" uri="{C3380CC4-5D6E-409C-BE32-E72D297353CC}">
              <c16:uniqueId val="{00000002-A219-42FD-B9B6-65D71FB19855}"/>
            </c:ext>
          </c:extLst>
        </c:ser>
        <c:dLbls>
          <c:showLegendKey val="0"/>
          <c:showVal val="0"/>
          <c:showCatName val="0"/>
          <c:showSerName val="0"/>
          <c:showPercent val="0"/>
          <c:showBubbleSize val="0"/>
        </c:dLbls>
        <c:axId val="544899760"/>
        <c:axId val="544900088"/>
      </c:scatterChart>
      <c:valAx>
        <c:axId val="54489976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a:t>
                </a:r>
                <a:r>
                  <a:rPr lang="en-US" baseline="0"/>
                  <a:t> (kip-in)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088"/>
        <c:crosses val="autoZero"/>
        <c:crossBetween val="midCat"/>
      </c:valAx>
      <c:valAx>
        <c:axId val="544900088"/>
        <c:scaling>
          <c:orientation val="minMax"/>
          <c:max val="3000"/>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Axial</a:t>
                </a:r>
                <a:r>
                  <a:rPr lang="en-US" baseline="0"/>
                  <a:t> Load (kip)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9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36"</a:t>
            </a:r>
            <a:r>
              <a:rPr lang="en-US" baseline="0"/>
              <a:t> dia. Pile Interaction Diagram</a:t>
            </a:r>
            <a:endParaRPr lang="en-US"/>
          </a:p>
        </c:rich>
      </c:tx>
      <c:layout>
        <c:manualLayout>
          <c:xMode val="edge"/>
          <c:yMode val="edge"/>
          <c:x val="0.35149436643613458"/>
          <c:y val="1.66748495187946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Nominal Strength</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'Nonconstrained Foundation'!$B$381:$B$385</c:f>
              <c:numCache>
                <c:formatCode>0</c:formatCode>
                <c:ptCount val="5"/>
                <c:pt idx="0">
                  <c:v>0</c:v>
                </c:pt>
                <c:pt idx="1">
                  <c:v>1882.3038176380269</c:v>
                </c:pt>
                <c:pt idx="2">
                  <c:v>9024.6303765578996</c:v>
                </c:pt>
                <c:pt idx="3">
                  <c:v>4478.6639705675843</c:v>
                </c:pt>
                <c:pt idx="4">
                  <c:v>0</c:v>
                </c:pt>
              </c:numCache>
            </c:numRef>
          </c:xVal>
          <c:yVal>
            <c:numRef>
              <c:f>'Nonconstrained Foundation'!$C$381:$C$385</c:f>
              <c:numCache>
                <c:formatCode>0</c:formatCode>
                <c:ptCount val="5"/>
                <c:pt idx="0">
                  <c:v>2374.7146262163847</c:v>
                </c:pt>
                <c:pt idx="1">
                  <c:v>2066.0017248082545</c:v>
                </c:pt>
                <c:pt idx="2">
                  <c:v>894.60296646364645</c:v>
                </c:pt>
                <c:pt idx="3">
                  <c:v>0.20471518646833431</c:v>
                </c:pt>
                <c:pt idx="4">
                  <c:v>-432.95073757284337</c:v>
                </c:pt>
              </c:numCache>
            </c:numRef>
          </c:yVal>
          <c:smooth val="0"/>
          <c:extLst>
            <c:ext xmlns:c16="http://schemas.microsoft.com/office/drawing/2014/chart" uri="{C3380CC4-5D6E-409C-BE32-E72D297353CC}">
              <c16:uniqueId val="{00000000-AEE1-4DB1-8431-62B260CEDDB6}"/>
            </c:ext>
          </c:extLst>
        </c:ser>
        <c:ser>
          <c:idx val="1"/>
          <c:order val="1"/>
          <c:tx>
            <c:v>Design Strength</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'Nonconstrained Foundation'!$D$381:$D$385</c:f>
              <c:numCache>
                <c:formatCode>0</c:formatCode>
                <c:ptCount val="5"/>
                <c:pt idx="0">
                  <c:v>0</c:v>
                </c:pt>
                <c:pt idx="1">
                  <c:v>1882.3038176380269</c:v>
                </c:pt>
                <c:pt idx="2">
                  <c:v>5866.0097447626349</c:v>
                </c:pt>
                <c:pt idx="3">
                  <c:v>2911.1315808689301</c:v>
                </c:pt>
                <c:pt idx="4">
                  <c:v>0</c:v>
                </c:pt>
              </c:numCache>
            </c:numRef>
          </c:xVal>
          <c:yVal>
            <c:numRef>
              <c:f>'Nonconstrained Foundation'!$F$381:$F$385</c:f>
              <c:numCache>
                <c:formatCode>0</c:formatCode>
                <c:ptCount val="5"/>
                <c:pt idx="0">
                  <c:v>1234.85160563252</c:v>
                </c:pt>
                <c:pt idx="1">
                  <c:v>1234.85160563252</c:v>
                </c:pt>
                <c:pt idx="2">
                  <c:v>581.49192820137023</c:v>
                </c:pt>
                <c:pt idx="3">
                  <c:v>0.13306487120441732</c:v>
                </c:pt>
                <c:pt idx="4">
                  <c:v>-281.4179794223482</c:v>
                </c:pt>
              </c:numCache>
            </c:numRef>
          </c:yVal>
          <c:smooth val="0"/>
          <c:extLst>
            <c:ext xmlns:c16="http://schemas.microsoft.com/office/drawing/2014/chart" uri="{C3380CC4-5D6E-409C-BE32-E72D297353CC}">
              <c16:uniqueId val="{00000001-AEE1-4DB1-8431-62B260CEDDB6}"/>
            </c:ext>
          </c:extLst>
        </c:ser>
        <c:ser>
          <c:idx val="2"/>
          <c:order val="2"/>
          <c:tx>
            <c:v>LRFD Demand</c:v>
          </c:tx>
          <c:spPr>
            <a:ln w="19050" cap="rnd">
              <a:solidFill>
                <a:schemeClr val="accent3"/>
              </a:solidFill>
              <a:round/>
            </a:ln>
            <a:effectLst/>
          </c:spPr>
          <c:marker>
            <c:symbol val="circle"/>
            <c:size val="5"/>
            <c:spPr>
              <a:solidFill>
                <a:schemeClr val="accent4">
                  <a:lumMod val="60000"/>
                  <a:lumOff val="40000"/>
                </a:schemeClr>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'Nonconstrained Foundation'!$C$3</c:f>
              <c:numCache>
                <c:formatCode>#,##0</c:formatCode>
                <c:ptCount val="1"/>
                <c:pt idx="0">
                  <c:v>151514.48767272773</c:v>
                </c:pt>
              </c:numCache>
            </c:numRef>
          </c:xVal>
          <c:yVal>
            <c:numRef>
              <c:f>'Nonconstrained Foundation'!$C$1</c:f>
              <c:numCache>
                <c:formatCode>#,##0</c:formatCode>
                <c:ptCount val="1"/>
                <c:pt idx="0">
                  <c:v>559.98111782914373</c:v>
                </c:pt>
              </c:numCache>
            </c:numRef>
          </c:yVal>
          <c:smooth val="0"/>
          <c:extLst>
            <c:ext xmlns:c16="http://schemas.microsoft.com/office/drawing/2014/chart" uri="{C3380CC4-5D6E-409C-BE32-E72D297353CC}">
              <c16:uniqueId val="{00000002-AEE1-4DB1-8431-62B260CEDDB6}"/>
            </c:ext>
          </c:extLst>
        </c:ser>
        <c:dLbls>
          <c:showLegendKey val="0"/>
          <c:showVal val="0"/>
          <c:showCatName val="0"/>
          <c:showSerName val="0"/>
          <c:showPercent val="0"/>
          <c:showBubbleSize val="0"/>
        </c:dLbls>
        <c:axId val="544899760"/>
        <c:axId val="544900088"/>
      </c:scatterChart>
      <c:valAx>
        <c:axId val="54489976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a:t>
                </a:r>
                <a:r>
                  <a:rPr lang="en-US" baseline="0"/>
                  <a:t> (kip-in)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088"/>
        <c:crosses val="autoZero"/>
        <c:crossBetween val="midCat"/>
      </c:valAx>
      <c:valAx>
        <c:axId val="544900088"/>
        <c:scaling>
          <c:orientation val="minMax"/>
          <c:max val="3000"/>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Axial</a:t>
                </a:r>
                <a:r>
                  <a:rPr lang="en-US" baseline="0"/>
                  <a:t> Load (kip)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99760"/>
        <c:crosses val="autoZero"/>
        <c:crossBetween val="midCat"/>
      </c:valAx>
      <c:spPr>
        <a:noFill/>
        <a:ln>
          <a:noFill/>
        </a:ln>
        <a:effectLst/>
      </c:spPr>
    </c:plotArea>
    <c:legend>
      <c:legendPos val="r"/>
      <c:layout>
        <c:manualLayout>
          <c:xMode val="edge"/>
          <c:yMode val="edge"/>
          <c:x val="0.878816545447347"/>
          <c:y val="0.4839164630588616"/>
          <c:w val="0.11171879912526463"/>
          <c:h val="0.116191889190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30"</a:t>
            </a:r>
            <a:r>
              <a:rPr lang="en-US" baseline="0"/>
              <a:t> dia. Pile P-M Diagram</a:t>
            </a:r>
            <a:endParaRPr lang="en-US"/>
          </a:p>
        </c:rich>
      </c:tx>
      <c:layout>
        <c:manualLayout>
          <c:xMode val="edge"/>
          <c:yMode val="edge"/>
          <c:x val="0.2298213393567090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Nominal Strength</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Foundation'!$I$117:$I$122</c:f>
            </c:numRef>
          </c:xVal>
          <c:yVal>
            <c:numRef>
              <c:f>'Constrained Foundation'!$J$117:$J$122</c:f>
            </c:numRef>
          </c:yVal>
          <c:smooth val="0"/>
          <c:extLst>
            <c:ext xmlns:c16="http://schemas.microsoft.com/office/drawing/2014/chart" uri="{C3380CC4-5D6E-409C-BE32-E72D297353CC}">
              <c16:uniqueId val="{00000000-D1C9-4590-A57C-B159C2206C59}"/>
            </c:ext>
          </c:extLst>
        </c:ser>
        <c:ser>
          <c:idx val="1"/>
          <c:order val="1"/>
          <c:tx>
            <c:v>Design Strength</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'Constrained Foundation'!$K$117:$K$122</c:f>
            </c:numRef>
          </c:xVal>
          <c:yVal>
            <c:numRef>
              <c:f>'Constrained Foundation'!$M$117:$M$122</c:f>
            </c:numRef>
          </c:yVal>
          <c:smooth val="0"/>
          <c:extLst>
            <c:ext xmlns:c16="http://schemas.microsoft.com/office/drawing/2014/chart" uri="{C3380CC4-5D6E-409C-BE32-E72D297353CC}">
              <c16:uniqueId val="{00000001-D1C9-4590-A57C-B159C2206C59}"/>
            </c:ext>
          </c:extLst>
        </c:ser>
        <c:ser>
          <c:idx val="2"/>
          <c:order val="2"/>
          <c:tx>
            <c:v>LRFD Demand</c:v>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'Friction Mount Support'!$C$3</c:f>
              <c:numCache>
                <c:formatCode>#,##0</c:formatCode>
                <c:ptCount val="1"/>
              </c:numCache>
            </c:numRef>
          </c:xVal>
          <c:yVal>
            <c:numRef>
              <c:f>'Friction Mount Support'!$C$1</c:f>
              <c:numCache>
                <c:formatCode>#,##0</c:formatCode>
                <c:ptCount val="1"/>
              </c:numCache>
            </c:numRef>
          </c:yVal>
          <c:smooth val="0"/>
          <c:extLst>
            <c:ext xmlns:c16="http://schemas.microsoft.com/office/drawing/2014/chart" uri="{C3380CC4-5D6E-409C-BE32-E72D297353CC}">
              <c16:uniqueId val="{00000002-D1C9-4590-A57C-B159C2206C59}"/>
            </c:ext>
          </c:extLst>
        </c:ser>
        <c:dLbls>
          <c:showLegendKey val="0"/>
          <c:showVal val="0"/>
          <c:showCatName val="0"/>
          <c:showSerName val="0"/>
          <c:showPercent val="0"/>
          <c:showBubbleSize val="0"/>
        </c:dLbls>
        <c:axId val="544899760"/>
        <c:axId val="544900088"/>
      </c:scatterChart>
      <c:valAx>
        <c:axId val="544899760"/>
        <c:scaling>
          <c:orientation val="minMax"/>
          <c:max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Moment</a:t>
                </a:r>
                <a:r>
                  <a:rPr lang="en-US" baseline="0"/>
                  <a:t> (kip-in)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00088"/>
        <c:crosses val="autoZero"/>
        <c:crossBetween val="midCat"/>
      </c:valAx>
      <c:valAx>
        <c:axId val="544900088"/>
        <c:scaling>
          <c:orientation val="minMax"/>
          <c:max val="3000"/>
          <c:min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Axial</a:t>
                </a:r>
                <a:r>
                  <a:rPr lang="en-US" baseline="0"/>
                  <a:t> Load (kip)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9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cid:image001.png@01D26A7E.96EDB4F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0</xdr:row>
      <xdr:rowOff>0</xdr:rowOff>
    </xdr:from>
    <xdr:to>
      <xdr:col>6</xdr:col>
      <xdr:colOff>609296</xdr:colOff>
      <xdr:row>3</xdr:row>
      <xdr:rowOff>54610</xdr:rowOff>
    </xdr:to>
    <xdr:pic>
      <xdr:nvPicPr>
        <xdr:cNvPr id="4" name="Picture 3" descr="id:image001.png@01D265C2.FA1DE650">
          <a:extLst>
            <a:ext uri="{FF2B5EF4-FFF2-40B4-BE49-F238E27FC236}">
              <a16:creationId xmlns:a16="http://schemas.microsoft.com/office/drawing/2014/main" id="{0D34430B-55D2-4DDB-B2C4-E9FBE069DD49}"/>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4200525" y="0"/>
          <a:ext cx="2180921" cy="5975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180975</xdr:colOff>
      <xdr:row>42</xdr:row>
      <xdr:rowOff>66675</xdr:rowOff>
    </xdr:from>
    <xdr:ext cx="2219326" cy="7620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146ABDF-0290-4185-BBCC-290CD4EA372F}"/>
                </a:ext>
              </a:extLst>
            </xdr:cNvPr>
            <xdr:cNvSpPr txBox="1"/>
          </xdr:nvSpPr>
          <xdr:spPr>
            <a:xfrm>
              <a:off x="3200400" y="10477500"/>
              <a:ext cx="2219326"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r>
                      <a:rPr lang="en-US" sz="1100" b="0" i="1">
                        <a:latin typeface="Cambria Math" panose="02040503050406030204" pitchFamily="18" charset="0"/>
                      </a:rPr>
                      <m:t>=1−</m:t>
                    </m:r>
                    <m:d>
                      <m:dPr>
                        <m:begChr m:val="["/>
                        <m:endChr m:val="]"/>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ad>
                              <m:radPr>
                                <m:ctrlPr>
                                  <a:rPr lang="en-US" sz="1100" b="0" i="1">
                                    <a:latin typeface="Cambria Math" panose="02040503050406030204" pitchFamily="18" charset="0"/>
                                  </a:rPr>
                                </m:ctrlPr>
                              </m:radPr>
                              <m:deg>
                                <m:r>
                                  <a:rPr lang="en-US" sz="1100" b="0" i="1">
                                    <a:latin typeface="Cambria Math" panose="02040503050406030204" pitchFamily="18" charset="0"/>
                                  </a:rPr>
                                  <m:t>3</m:t>
                                </m:r>
                              </m:deg>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𝑇</m:t>
                                        </m:r>
                                      </m:sub>
                                    </m:sSub>
                                  </m:den>
                                </m:f>
                              </m:e>
                            </m:rad>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𝑇</m:t>
                                </m:r>
                              </m:sub>
                            </m:sSub>
                            <m:r>
                              <a:rPr lang="en-US" sz="1100" b="0" i="1">
                                <a:latin typeface="Cambria Math" panose="02040503050406030204" pitchFamily="18" charset="0"/>
                              </a:rPr>
                              <m:t>+0.38</m:t>
                            </m:r>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𝑃</m:t>
                                </m:r>
                              </m:sub>
                            </m:sSub>
                          </m:num>
                          <m:den>
                            <m:f>
                              <m:fPr>
                                <m:ctrlPr>
                                  <a:rPr lang="en-US" sz="1100" b="0" i="1">
                                    <a:latin typeface="Cambria Math" panose="02040503050406030204" pitchFamily="18" charset="0"/>
                                  </a:rPr>
                                </m:ctrlPr>
                              </m:fPr>
                              <m:num>
                                <m:r>
                                  <a:rPr lang="en-US" sz="1100" b="0" i="1">
                                    <a:latin typeface="Cambria Math" panose="02040503050406030204" pitchFamily="18" charset="0"/>
                                  </a:rPr>
                                  <m:t>2.46</m:t>
                                </m:r>
                                <m:r>
                                  <a:rPr lang="en-US" sz="1100" b="0" i="1">
                                    <a:latin typeface="Cambria Math" panose="02040503050406030204" pitchFamily="18" charset="0"/>
                                  </a:rPr>
                                  <m:t>𝐸</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𝐵</m:t>
                                    </m:r>
                                  </m:sub>
                                </m:sSub>
                              </m:num>
                              <m:den>
                                <m:sSup>
                                  <m:sSupPr>
                                    <m:ctrlPr>
                                      <a:rPr lang="en-US" sz="1100" b="0" i="1">
                                        <a:latin typeface="Cambria Math" panose="02040503050406030204" pitchFamily="18" charset="0"/>
                                      </a:rPr>
                                    </m:ctrlPr>
                                  </m:sSupPr>
                                  <m:e>
                                    <m:r>
                                      <a:rPr lang="en-US" sz="1100" b="0" i="1">
                                        <a:latin typeface="Cambria Math" panose="02040503050406030204" pitchFamily="18" charset="0"/>
                                      </a:rPr>
                                      <m:t>𝐿</m:t>
                                    </m:r>
                                  </m:e>
                                  <m:sup>
                                    <m:r>
                                      <a:rPr lang="en-US" sz="1100" b="0" i="1">
                                        <a:latin typeface="Cambria Math" panose="02040503050406030204" pitchFamily="18" charset="0"/>
                                      </a:rPr>
                                      <m:t>2</m:t>
                                    </m:r>
                                  </m:sup>
                                </m:sSup>
                              </m:den>
                            </m:f>
                          </m:den>
                        </m:f>
                      </m:e>
                    </m:d>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7" name="TextBox 6">
              <a:extLst>
                <a:ext uri="{FF2B5EF4-FFF2-40B4-BE49-F238E27FC236}">
                  <a16:creationId xmlns:a16="http://schemas.microsoft.com/office/drawing/2014/main" id="{8146ABDF-0290-4185-BBCC-290CD4EA372F}"/>
                </a:ext>
              </a:extLst>
            </xdr:cNvPr>
            <xdr:cNvSpPr txBox="1"/>
          </xdr:nvSpPr>
          <xdr:spPr>
            <a:xfrm>
              <a:off x="3200400" y="10477500"/>
              <a:ext cx="2219326"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𝐶_𝐴=1−[(∛(𝐼_𝐵/𝐼_𝑇 ) 𝑃_𝑇+0.38𝐷_𝑃)/((2.46𝐸𝐼_𝐵)/𝐿^2 )]</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65</xdr:row>
      <xdr:rowOff>33337</xdr:rowOff>
    </xdr:from>
    <xdr:ext cx="1981200" cy="43217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CC291B4-9C1E-410A-B51F-115FC39AEC3C}"/>
                </a:ext>
              </a:extLst>
            </xdr:cNvPr>
            <xdr:cNvSpPr txBox="1"/>
          </xdr:nvSpPr>
          <xdr:spPr>
            <a:xfrm>
              <a:off x="3432810" y="1444275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9" name="TextBox 8">
              <a:extLst>
                <a:ext uri="{FF2B5EF4-FFF2-40B4-BE49-F238E27FC236}">
                  <a16:creationId xmlns:a16="http://schemas.microsoft.com/office/drawing/2014/main" id="{DCC291B4-9C1E-410A-B51F-115FC39AEC3C}"/>
                </a:ext>
              </a:extLst>
            </xdr:cNvPr>
            <xdr:cNvSpPr txBox="1"/>
          </xdr:nvSpPr>
          <xdr:spPr>
            <a:xfrm>
              <a:off x="3432810" y="1444275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82</xdr:row>
      <xdr:rowOff>61912</xdr:rowOff>
    </xdr:from>
    <xdr:ext cx="1981200" cy="43217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51DDA27-4091-460A-94C3-B5B216B72F84}"/>
                </a:ext>
              </a:extLst>
            </xdr:cNvPr>
            <xdr:cNvSpPr txBox="1"/>
          </xdr:nvSpPr>
          <xdr:spPr>
            <a:xfrm>
              <a:off x="3343275" y="1991201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6" name="TextBox 5">
              <a:extLst>
                <a:ext uri="{FF2B5EF4-FFF2-40B4-BE49-F238E27FC236}">
                  <a16:creationId xmlns:a16="http://schemas.microsoft.com/office/drawing/2014/main" id="{751DDA27-4091-460A-94C3-B5B216B72F84}"/>
                </a:ext>
              </a:extLst>
            </xdr:cNvPr>
            <xdr:cNvSpPr txBox="1"/>
          </xdr:nvSpPr>
          <xdr:spPr>
            <a:xfrm>
              <a:off x="3343275" y="1991201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100</xdr:row>
      <xdr:rowOff>61912</xdr:rowOff>
    </xdr:from>
    <xdr:ext cx="1981200" cy="43217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B7663CA1-177D-4241-89A1-F1FFCADB1F7E}"/>
                </a:ext>
              </a:extLst>
            </xdr:cNvPr>
            <xdr:cNvSpPr txBox="1"/>
          </xdr:nvSpPr>
          <xdr:spPr>
            <a:xfrm>
              <a:off x="3343275" y="211216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B7663CA1-177D-4241-89A1-F1FFCADB1F7E}"/>
                </a:ext>
              </a:extLst>
            </xdr:cNvPr>
            <xdr:cNvSpPr txBox="1"/>
          </xdr:nvSpPr>
          <xdr:spPr>
            <a:xfrm>
              <a:off x="3343275" y="211216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118</xdr:row>
      <xdr:rowOff>61912</xdr:rowOff>
    </xdr:from>
    <xdr:ext cx="1981200" cy="43217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FE8D011-F1D0-40E6-8ABC-06209C3C5F43}"/>
                </a:ext>
              </a:extLst>
            </xdr:cNvPr>
            <xdr:cNvSpPr txBox="1"/>
          </xdr:nvSpPr>
          <xdr:spPr>
            <a:xfrm>
              <a:off x="3343275" y="2036921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4FE8D011-F1D0-40E6-8ABC-06209C3C5F43}"/>
                </a:ext>
              </a:extLst>
            </xdr:cNvPr>
            <xdr:cNvSpPr txBox="1"/>
          </xdr:nvSpPr>
          <xdr:spPr>
            <a:xfrm>
              <a:off x="3343275" y="2036921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twoCellAnchor editAs="oneCell">
    <xdr:from>
      <xdr:col>0</xdr:col>
      <xdr:colOff>933450</xdr:colOff>
      <xdr:row>4</xdr:row>
      <xdr:rowOff>85726</xdr:rowOff>
    </xdr:from>
    <xdr:to>
      <xdr:col>4</xdr:col>
      <xdr:colOff>38100</xdr:colOff>
      <xdr:row>16</xdr:row>
      <xdr:rowOff>173416</xdr:rowOff>
    </xdr:to>
    <xdr:pic>
      <xdr:nvPicPr>
        <xdr:cNvPr id="2" name="Picture 1">
          <a:extLst>
            <a:ext uri="{FF2B5EF4-FFF2-40B4-BE49-F238E27FC236}">
              <a16:creationId xmlns:a16="http://schemas.microsoft.com/office/drawing/2014/main" id="{F6FB5648-CDF7-490C-9AA3-5D3377ABDCB5}"/>
            </a:ext>
          </a:extLst>
        </xdr:cNvPr>
        <xdr:cNvPicPr>
          <a:picLocks noChangeAspect="1"/>
        </xdr:cNvPicPr>
      </xdr:nvPicPr>
      <xdr:blipFill>
        <a:blip xmlns:r="http://schemas.openxmlformats.org/officeDocument/2006/relationships" r:embed="rId1"/>
        <a:stretch>
          <a:fillRect/>
        </a:stretch>
      </xdr:blipFill>
      <xdr:spPr>
        <a:xfrm>
          <a:off x="933450" y="933451"/>
          <a:ext cx="6505575" cy="26594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133</xdr:row>
      <xdr:rowOff>0</xdr:rowOff>
    </xdr:from>
    <xdr:to>
      <xdr:col>8</xdr:col>
      <xdr:colOff>647699</xdr:colOff>
      <xdr:row>185</xdr:row>
      <xdr:rowOff>142875</xdr:rowOff>
    </xdr:to>
    <xdr:graphicFrame macro="">
      <xdr:nvGraphicFramePr>
        <xdr:cNvPr id="15" name="Chart 14">
          <a:extLst>
            <a:ext uri="{FF2B5EF4-FFF2-40B4-BE49-F238E27FC236}">
              <a16:creationId xmlns:a16="http://schemas.microsoft.com/office/drawing/2014/main" id="{06DE1EE1-4270-42FD-B79F-D89CB83A1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382</xdr:row>
      <xdr:rowOff>1</xdr:rowOff>
    </xdr:from>
    <xdr:to>
      <xdr:col>6</xdr:col>
      <xdr:colOff>438150</xdr:colOff>
      <xdr:row>428</xdr:row>
      <xdr:rowOff>171451</xdr:rowOff>
    </xdr:to>
    <xdr:graphicFrame macro="">
      <xdr:nvGraphicFramePr>
        <xdr:cNvPr id="16" name="Chart 15">
          <a:extLst>
            <a:ext uri="{FF2B5EF4-FFF2-40B4-BE49-F238E27FC236}">
              <a16:creationId xmlns:a16="http://schemas.microsoft.com/office/drawing/2014/main" id="{FA10EDE1-FA44-4E53-BE9A-AB0732E21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1962150</xdr:colOff>
      <xdr:row>189</xdr:row>
      <xdr:rowOff>57150</xdr:rowOff>
    </xdr:from>
    <xdr:to>
      <xdr:col>2</xdr:col>
      <xdr:colOff>320040</xdr:colOff>
      <xdr:row>206</xdr:row>
      <xdr:rowOff>59299</xdr:rowOff>
    </xdr:to>
    <xdr:pic>
      <xdr:nvPicPr>
        <xdr:cNvPr id="7" name="Picture 6">
          <a:extLst>
            <a:ext uri="{FF2B5EF4-FFF2-40B4-BE49-F238E27FC236}">
              <a16:creationId xmlns:a16="http://schemas.microsoft.com/office/drawing/2014/main" id="{1B0AD704-70F5-4324-B710-8024EC856C45}"/>
            </a:ext>
          </a:extLst>
        </xdr:cNvPr>
        <xdr:cNvPicPr>
          <a:picLocks noChangeAspect="1"/>
        </xdr:cNvPicPr>
      </xdr:nvPicPr>
      <xdr:blipFill>
        <a:blip xmlns:r="http://schemas.openxmlformats.org/officeDocument/2006/relationships" r:embed="rId3"/>
        <a:stretch>
          <a:fillRect/>
        </a:stretch>
      </xdr:blipFill>
      <xdr:spPr>
        <a:xfrm>
          <a:off x="1962150" y="9886950"/>
          <a:ext cx="4391025" cy="3074914"/>
        </a:xfrm>
        <a:prstGeom prst="rect">
          <a:avLst/>
        </a:prstGeom>
      </xdr:spPr>
    </xdr:pic>
    <xdr:clientData/>
  </xdr:twoCellAnchor>
  <xdr:twoCellAnchor editAs="oneCell">
    <xdr:from>
      <xdr:col>0</xdr:col>
      <xdr:colOff>952500</xdr:colOff>
      <xdr:row>242</xdr:row>
      <xdr:rowOff>0</xdr:rowOff>
    </xdr:from>
    <xdr:to>
      <xdr:col>2</xdr:col>
      <xdr:colOff>284463</xdr:colOff>
      <xdr:row>256</xdr:row>
      <xdr:rowOff>0</xdr:rowOff>
    </xdr:to>
    <xdr:pic>
      <xdr:nvPicPr>
        <xdr:cNvPr id="17" name="Picture 16">
          <a:extLst>
            <a:ext uri="{FF2B5EF4-FFF2-40B4-BE49-F238E27FC236}">
              <a16:creationId xmlns:a16="http://schemas.microsoft.com/office/drawing/2014/main" id="{EBA8263F-01FC-4352-B0F4-AAB2CCA73972}"/>
            </a:ext>
          </a:extLst>
        </xdr:cNvPr>
        <xdr:cNvPicPr>
          <a:picLocks noChangeAspect="1"/>
        </xdr:cNvPicPr>
      </xdr:nvPicPr>
      <xdr:blipFill>
        <a:blip xmlns:r="http://schemas.openxmlformats.org/officeDocument/2006/relationships" r:embed="rId4"/>
        <a:stretch>
          <a:fillRect/>
        </a:stretch>
      </xdr:blipFill>
      <xdr:spPr>
        <a:xfrm>
          <a:off x="952500" y="23888700"/>
          <a:ext cx="5365098" cy="2533650"/>
        </a:xfrm>
        <a:prstGeom prst="rect">
          <a:avLst/>
        </a:prstGeom>
      </xdr:spPr>
    </xdr:pic>
    <xdr:clientData/>
  </xdr:twoCellAnchor>
  <xdr:twoCellAnchor editAs="oneCell">
    <xdr:from>
      <xdr:col>0</xdr:col>
      <xdr:colOff>657225</xdr:colOff>
      <xdr:row>309</xdr:row>
      <xdr:rowOff>0</xdr:rowOff>
    </xdr:from>
    <xdr:to>
      <xdr:col>1</xdr:col>
      <xdr:colOff>2526030</xdr:colOff>
      <xdr:row>322</xdr:row>
      <xdr:rowOff>171597</xdr:rowOff>
    </xdr:to>
    <xdr:pic>
      <xdr:nvPicPr>
        <xdr:cNvPr id="18" name="Picture 17">
          <a:extLst>
            <a:ext uri="{FF2B5EF4-FFF2-40B4-BE49-F238E27FC236}">
              <a16:creationId xmlns:a16="http://schemas.microsoft.com/office/drawing/2014/main" id="{F9D4682D-3B71-4E61-A248-BB2F7565C027}"/>
            </a:ext>
          </a:extLst>
        </xdr:cNvPr>
        <xdr:cNvPicPr>
          <a:picLocks noChangeAspect="1"/>
        </xdr:cNvPicPr>
      </xdr:nvPicPr>
      <xdr:blipFill>
        <a:blip xmlns:r="http://schemas.openxmlformats.org/officeDocument/2006/relationships" r:embed="rId5"/>
        <a:stretch>
          <a:fillRect/>
        </a:stretch>
      </xdr:blipFill>
      <xdr:spPr>
        <a:xfrm>
          <a:off x="657225" y="34671000"/>
          <a:ext cx="5314950" cy="25280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138</xdr:row>
      <xdr:rowOff>0</xdr:rowOff>
    </xdr:from>
    <xdr:to>
      <xdr:col>8</xdr:col>
      <xdr:colOff>647699</xdr:colOff>
      <xdr:row>190</xdr:row>
      <xdr:rowOff>142875</xdr:rowOff>
    </xdr:to>
    <xdr:graphicFrame macro="">
      <xdr:nvGraphicFramePr>
        <xdr:cNvPr id="2" name="Chart 1">
          <a:extLst>
            <a:ext uri="{FF2B5EF4-FFF2-40B4-BE49-F238E27FC236}">
              <a16:creationId xmlns:a16="http://schemas.microsoft.com/office/drawing/2014/main" id="{698BF3D4-A910-462D-A78C-5028A1D8C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386</xdr:row>
      <xdr:rowOff>1</xdr:rowOff>
    </xdr:from>
    <xdr:to>
      <xdr:col>6</xdr:col>
      <xdr:colOff>438150</xdr:colOff>
      <xdr:row>432</xdr:row>
      <xdr:rowOff>171451</xdr:rowOff>
    </xdr:to>
    <xdr:graphicFrame macro="">
      <xdr:nvGraphicFramePr>
        <xdr:cNvPr id="3" name="Chart 2">
          <a:extLst>
            <a:ext uri="{FF2B5EF4-FFF2-40B4-BE49-F238E27FC236}">
              <a16:creationId xmlns:a16="http://schemas.microsoft.com/office/drawing/2014/main" id="{8A5BFA38-2631-48E1-ABCE-53218B072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1962150</xdr:colOff>
      <xdr:row>193</xdr:row>
      <xdr:rowOff>57150</xdr:rowOff>
    </xdr:from>
    <xdr:to>
      <xdr:col>2</xdr:col>
      <xdr:colOff>323850</xdr:colOff>
      <xdr:row>210</xdr:row>
      <xdr:rowOff>55489</xdr:rowOff>
    </xdr:to>
    <xdr:pic>
      <xdr:nvPicPr>
        <xdr:cNvPr id="4" name="Picture 3">
          <a:extLst>
            <a:ext uri="{FF2B5EF4-FFF2-40B4-BE49-F238E27FC236}">
              <a16:creationId xmlns:a16="http://schemas.microsoft.com/office/drawing/2014/main" id="{B77D4DEA-2C75-4995-B63B-932DC253EE55}"/>
            </a:ext>
          </a:extLst>
        </xdr:cNvPr>
        <xdr:cNvPicPr>
          <a:picLocks noChangeAspect="1"/>
        </xdr:cNvPicPr>
      </xdr:nvPicPr>
      <xdr:blipFill>
        <a:blip xmlns:r="http://schemas.openxmlformats.org/officeDocument/2006/relationships" r:embed="rId3"/>
        <a:stretch>
          <a:fillRect/>
        </a:stretch>
      </xdr:blipFill>
      <xdr:spPr>
        <a:xfrm>
          <a:off x="1962150" y="5848350"/>
          <a:ext cx="4552950" cy="3111109"/>
        </a:xfrm>
        <a:prstGeom prst="rect">
          <a:avLst/>
        </a:prstGeom>
      </xdr:spPr>
    </xdr:pic>
    <xdr:clientData/>
  </xdr:twoCellAnchor>
  <xdr:twoCellAnchor editAs="oneCell">
    <xdr:from>
      <xdr:col>0</xdr:col>
      <xdr:colOff>952500</xdr:colOff>
      <xdr:row>246</xdr:row>
      <xdr:rowOff>0</xdr:rowOff>
    </xdr:from>
    <xdr:to>
      <xdr:col>2</xdr:col>
      <xdr:colOff>288273</xdr:colOff>
      <xdr:row>260</xdr:row>
      <xdr:rowOff>0</xdr:rowOff>
    </xdr:to>
    <xdr:pic>
      <xdr:nvPicPr>
        <xdr:cNvPr id="5" name="Picture 4">
          <a:extLst>
            <a:ext uri="{FF2B5EF4-FFF2-40B4-BE49-F238E27FC236}">
              <a16:creationId xmlns:a16="http://schemas.microsoft.com/office/drawing/2014/main" id="{7C5ED65D-6BAE-4BBE-BF90-D784A9CC5812}"/>
            </a:ext>
          </a:extLst>
        </xdr:cNvPr>
        <xdr:cNvPicPr>
          <a:picLocks noChangeAspect="1"/>
        </xdr:cNvPicPr>
      </xdr:nvPicPr>
      <xdr:blipFill>
        <a:blip xmlns:r="http://schemas.openxmlformats.org/officeDocument/2006/relationships" r:embed="rId4"/>
        <a:stretch>
          <a:fillRect/>
        </a:stretch>
      </xdr:blipFill>
      <xdr:spPr>
        <a:xfrm>
          <a:off x="952500" y="15910560"/>
          <a:ext cx="5527023" cy="2560320"/>
        </a:xfrm>
        <a:prstGeom prst="rect">
          <a:avLst/>
        </a:prstGeom>
      </xdr:spPr>
    </xdr:pic>
    <xdr:clientData/>
  </xdr:twoCellAnchor>
  <xdr:twoCellAnchor editAs="oneCell">
    <xdr:from>
      <xdr:col>0</xdr:col>
      <xdr:colOff>657225</xdr:colOff>
      <xdr:row>313</xdr:row>
      <xdr:rowOff>0</xdr:rowOff>
    </xdr:from>
    <xdr:to>
      <xdr:col>1</xdr:col>
      <xdr:colOff>2529840</xdr:colOff>
      <xdr:row>326</xdr:row>
      <xdr:rowOff>167787</xdr:rowOff>
    </xdr:to>
    <xdr:pic>
      <xdr:nvPicPr>
        <xdr:cNvPr id="6" name="Picture 5">
          <a:extLst>
            <a:ext uri="{FF2B5EF4-FFF2-40B4-BE49-F238E27FC236}">
              <a16:creationId xmlns:a16="http://schemas.microsoft.com/office/drawing/2014/main" id="{23247CAD-3E74-4177-A31D-13BF480C7C8A}"/>
            </a:ext>
          </a:extLst>
        </xdr:cNvPr>
        <xdr:cNvPicPr>
          <a:picLocks noChangeAspect="1"/>
        </xdr:cNvPicPr>
      </xdr:nvPicPr>
      <xdr:blipFill>
        <a:blip xmlns:r="http://schemas.openxmlformats.org/officeDocument/2006/relationships" r:embed="rId5"/>
        <a:stretch>
          <a:fillRect/>
        </a:stretch>
      </xdr:blipFill>
      <xdr:spPr>
        <a:xfrm>
          <a:off x="657225" y="28841700"/>
          <a:ext cx="5412105" cy="2549037"/>
        </a:xfrm>
        <a:prstGeom prst="rect">
          <a:avLst/>
        </a:prstGeom>
      </xdr:spPr>
    </xdr:pic>
    <xdr:clientData/>
  </xdr:twoCellAnchor>
  <xdr:oneCellAnchor>
    <xdr:from>
      <xdr:col>1</xdr:col>
      <xdr:colOff>818483</xdr:colOff>
      <xdr:row>26</xdr:row>
      <xdr:rowOff>69373</xdr:rowOff>
    </xdr:from>
    <xdr:ext cx="1520857" cy="3456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219E935-7DA4-4683-92E0-512DF7ED7DEC}"/>
                </a:ext>
              </a:extLst>
            </xdr:cNvPr>
            <xdr:cNvSpPr txBox="1"/>
          </xdr:nvSpPr>
          <xdr:spPr>
            <a:xfrm>
              <a:off x="4361783" y="3262153"/>
              <a:ext cx="15208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𝑛𝑐</m:t>
                        </m:r>
                      </m:sub>
                    </m:sSub>
                    <m:r>
                      <a:rPr lang="en-US" sz="1100" i="1">
                        <a:latin typeface="Cambria Math" panose="02040503050406030204" pitchFamily="18" charset="0"/>
                      </a:rPr>
                      <m:t>=</m:t>
                    </m:r>
                    <m:f>
                      <m:fPr>
                        <m:ctrlPr>
                          <a:rPr lang="en-US" sz="1100" b="0" i="1">
                            <a:latin typeface="Cambria Math" panose="02040503050406030204" pitchFamily="18" charset="0"/>
                          </a:rPr>
                        </m:ctrlPr>
                      </m:fPr>
                      <m:num>
                        <m:r>
                          <a:rPr lang="en-US" sz="1100" b="0" i="1">
                            <a:solidFill>
                              <a:schemeClr val="tx1"/>
                            </a:solidFill>
                            <a:effectLst/>
                            <a:latin typeface="Cambria Math" panose="02040503050406030204" pitchFamily="18" charset="0"/>
                            <a:ea typeface="+mn-ea"/>
                            <a:cs typeface="+mn-cs"/>
                          </a:rPr>
                          <m:t>2.34</m:t>
                        </m:r>
                        <m:r>
                          <a:rPr lang="en-US" sz="1100" b="0" i="1">
                            <a:solidFill>
                              <a:schemeClr val="tx1"/>
                            </a:solidFill>
                            <a:effectLst/>
                            <a:latin typeface="Cambria Math" panose="02040503050406030204" pitchFamily="18" charset="0"/>
                            <a:ea typeface="+mn-ea"/>
                            <a:cs typeface="+mn-cs"/>
                          </a:rPr>
                          <m:t>𝑃</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r>
                          <a:rPr lang="en-US" sz="1100" b="0" i="1">
                            <a:latin typeface="Cambria Math" panose="02040503050406030204" pitchFamily="18" charset="0"/>
                          </a:rPr>
                          <m:t>𝑏</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F219E935-7DA4-4683-92E0-512DF7ED7DEC}"/>
                </a:ext>
              </a:extLst>
            </xdr:cNvPr>
            <xdr:cNvSpPr txBox="1"/>
          </xdr:nvSpPr>
          <xdr:spPr>
            <a:xfrm>
              <a:off x="4361783" y="3262153"/>
              <a:ext cx="15208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𝐴_𝑛𝑐</a:t>
              </a:r>
              <a:r>
                <a:rPr lang="en-US" sz="1100" i="0">
                  <a:latin typeface="Cambria Math" panose="02040503050406030204" pitchFamily="18" charset="0"/>
                </a:rPr>
                <a:t>=</a:t>
              </a:r>
              <a:r>
                <a:rPr lang="en-US" sz="1100" b="0" i="0">
                  <a:solidFill>
                    <a:schemeClr val="tx1"/>
                  </a:solidFill>
                  <a:effectLst/>
                  <a:latin typeface="+mn-lt"/>
                  <a:ea typeface="+mn-ea"/>
                  <a:cs typeface="+mn-cs"/>
                </a:rPr>
                <a:t>2.34𝑃</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𝑆_1 𝑏)</a:t>
              </a:r>
              <a:endParaRPr lang="en-US" sz="1100"/>
            </a:p>
          </xdr:txBody>
        </xdr:sp>
      </mc:Fallback>
    </mc:AlternateContent>
    <xdr:clientData/>
  </xdr:oneCellAnchor>
  <xdr:oneCellAnchor>
    <xdr:from>
      <xdr:col>1</xdr:col>
      <xdr:colOff>335280</xdr:colOff>
      <xdr:row>29</xdr:row>
      <xdr:rowOff>64770</xdr:rowOff>
    </xdr:from>
    <xdr:ext cx="2132700" cy="3803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673FEB5-34FF-4D10-AD49-B4F34DE78223}"/>
                </a:ext>
              </a:extLst>
            </xdr:cNvPr>
            <xdr:cNvSpPr txBox="1"/>
          </xdr:nvSpPr>
          <xdr:spPr>
            <a:xfrm>
              <a:off x="3878580" y="4347210"/>
              <a:ext cx="21327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𝑑</m:t>
                        </m:r>
                      </m:e>
                      <m:sub>
                        <m:r>
                          <a:rPr lang="en-US" sz="1100" b="0" i="1">
                            <a:latin typeface="Cambria Math" panose="02040503050406030204" pitchFamily="18" charset="0"/>
                          </a:rPr>
                          <m:t>𝑟𝑒𝑞</m:t>
                        </m:r>
                      </m:sub>
                    </m:sSub>
                    <m:r>
                      <a:rPr lang="en-US"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𝑛𝑐</m:t>
                        </m:r>
                      </m:sub>
                    </m:sSub>
                    <m:r>
                      <a:rPr lang="en-US" sz="1100" b="0" i="1">
                        <a:latin typeface="Cambria Math" panose="02040503050406030204" pitchFamily="18" charset="0"/>
                      </a:rPr>
                      <m:t>{1+</m:t>
                    </m:r>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[1+</m:t>
                        </m:r>
                        <m:d>
                          <m:dPr>
                            <m:ctrlPr>
                              <a:rPr lang="en-US" sz="1100" b="0" i="1">
                                <a:solidFill>
                                  <a:schemeClr val="tx1"/>
                                </a:solidFill>
                                <a:effectLst/>
                                <a:latin typeface="Cambria Math" panose="02040503050406030204" pitchFamily="18" charset="0"/>
                                <a:ea typeface="+mn-ea"/>
                                <a:cs typeface="+mn-cs"/>
                              </a:rPr>
                            </m:ctrlPr>
                          </m:dPr>
                          <m:e>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4.36</m:t>
                                </m:r>
                                <m:r>
                                  <a:rPr lang="en-US" sz="1100" b="0" i="1">
                                    <a:solidFill>
                                      <a:schemeClr val="tx1"/>
                                    </a:solidFill>
                                    <a:effectLst/>
                                    <a:latin typeface="Cambria Math" panose="02040503050406030204" pitchFamily="18" charset="0"/>
                                    <a:ea typeface="+mn-ea"/>
                                    <a:cs typeface="+mn-cs"/>
                                  </a:rPr>
                                  <m:t>h</m:t>
                                </m:r>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𝐴</m:t>
                                    </m:r>
                                  </m:e>
                                  <m:sub>
                                    <m:r>
                                      <a:rPr lang="en-US" sz="1100" b="0" i="1">
                                        <a:solidFill>
                                          <a:schemeClr val="tx1"/>
                                        </a:solidFill>
                                        <a:effectLst/>
                                        <a:latin typeface="Cambria Math" panose="02040503050406030204" pitchFamily="18" charset="0"/>
                                        <a:ea typeface="+mn-ea"/>
                                        <a:cs typeface="+mn-cs"/>
                                      </a:rPr>
                                      <m:t>𝑛𝑐</m:t>
                                    </m:r>
                                  </m:sub>
                                </m:sSub>
                              </m:den>
                            </m:f>
                          </m:e>
                        </m:d>
                        <m:r>
                          <a:rPr lang="en-US" sz="1100" b="0" i="1">
                            <a:solidFill>
                              <a:schemeClr val="tx1"/>
                            </a:solidFill>
                            <a:effectLst/>
                            <a:latin typeface="Cambria Math" panose="02040503050406030204" pitchFamily="18" charset="0"/>
                            <a:ea typeface="+mn-ea"/>
                            <a:cs typeface="+mn-cs"/>
                          </a:rPr>
                          <m:t>]</m:t>
                        </m:r>
                      </m:e>
                      <m:sup>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2</m:t>
                            </m:r>
                          </m:den>
                        </m:f>
                      </m:sup>
                    </m:sSup>
                  </m:oMath>
                </m:oMathPara>
              </a14:m>
              <a:endParaRPr lang="en-US" sz="1100"/>
            </a:p>
          </xdr:txBody>
        </xdr:sp>
      </mc:Choice>
      <mc:Fallback xmlns="">
        <xdr:sp macro="" textlink="">
          <xdr:nvSpPr>
            <xdr:cNvPr id="8" name="TextBox 7">
              <a:extLst>
                <a:ext uri="{FF2B5EF4-FFF2-40B4-BE49-F238E27FC236}">
                  <a16:creationId xmlns:a16="http://schemas.microsoft.com/office/drawing/2014/main" id="{4673FEB5-34FF-4D10-AD49-B4F34DE78223}"/>
                </a:ext>
              </a:extLst>
            </xdr:cNvPr>
            <xdr:cNvSpPr txBox="1"/>
          </xdr:nvSpPr>
          <xdr:spPr>
            <a:xfrm>
              <a:off x="3878580" y="4347210"/>
              <a:ext cx="21327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𝑑_𝑟𝑒𝑞=0.5𝐴_𝑛𝑐 {1+〖</a:t>
              </a:r>
              <a:r>
                <a:rPr lang="en-US" sz="1100" b="0" i="0">
                  <a:solidFill>
                    <a:schemeClr val="tx1"/>
                  </a:solidFill>
                  <a:effectLst/>
                  <a:latin typeface="+mn-lt"/>
                  <a:ea typeface="+mn-ea"/>
                  <a:cs typeface="+mn-cs"/>
                </a:rPr>
                <a:t>[1+(4.36ℎ/𝐴_𝑛𝑐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1/2)</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0</xdr:rowOff>
    </xdr:from>
    <xdr:to>
      <xdr:col>8</xdr:col>
      <xdr:colOff>647699</xdr:colOff>
      <xdr:row>184</xdr:row>
      <xdr:rowOff>142875</xdr:rowOff>
    </xdr:to>
    <xdr:graphicFrame macro="">
      <xdr:nvGraphicFramePr>
        <xdr:cNvPr id="2" name="Chart 1">
          <a:extLst>
            <a:ext uri="{FF2B5EF4-FFF2-40B4-BE49-F238E27FC236}">
              <a16:creationId xmlns:a16="http://schemas.microsoft.com/office/drawing/2014/main" id="{CD491FA2-3DCC-48F4-9D48-E833D1081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723900</xdr:colOff>
      <xdr:row>24</xdr:row>
      <xdr:rowOff>4762</xdr:rowOff>
    </xdr:from>
    <xdr:ext cx="1785104"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13285243-63B4-4798-8696-40A21AFDA7CD}"/>
                </a:ext>
              </a:extLst>
            </xdr:cNvPr>
            <xdr:cNvSpPr txBox="1"/>
          </xdr:nvSpPr>
          <xdr:spPr>
            <a:xfrm>
              <a:off x="2381250" y="2747962"/>
              <a:ext cx="17851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𝐹</m:t>
                  </m:r>
                  <m:r>
                    <a:rPr lang="en-US" sz="1100" b="0" i="1">
                      <a:latin typeface="Cambria Math" panose="02040503050406030204" pitchFamily="18" charset="0"/>
                    </a:rPr>
                    <m:t> (</m:t>
                  </m:r>
                  <m:r>
                    <a:rPr lang="en-US" sz="1100" b="0" i="1">
                      <a:latin typeface="Cambria Math" panose="02040503050406030204" pitchFamily="18" charset="0"/>
                    </a:rPr>
                    <m:t>𝐹𝑟𝑖𝑐𝑡𝑖𝑜𝑛𝑎𝑙</m:t>
                  </m:r>
                  <m:r>
                    <a:rPr lang="en-US" sz="1100" b="0" i="1">
                      <a:latin typeface="Cambria Math" panose="02040503050406030204" pitchFamily="18" charset="0"/>
                    </a:rPr>
                    <m:t> </m:t>
                  </m:r>
                  <m:r>
                    <a:rPr lang="en-US" sz="1100" b="0" i="1">
                      <a:latin typeface="Cambria Math" panose="02040503050406030204" pitchFamily="18" charset="0"/>
                    </a:rPr>
                    <m:t>𝐹𝑜𝑟𝑐𝑒</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𝑁</m:t>
                  </m:r>
                </m:oMath>
              </a14:m>
              <a:r>
                <a:rPr lang="en-US" sz="1100"/>
                <a:t> =</a:t>
              </a:r>
            </a:p>
          </xdr:txBody>
        </xdr:sp>
      </mc:Choice>
      <mc:Fallback xmlns="">
        <xdr:sp macro="" textlink="">
          <xdr:nvSpPr>
            <xdr:cNvPr id="8" name="TextBox 7">
              <a:extLst>
                <a:ext uri="{FF2B5EF4-FFF2-40B4-BE49-F238E27FC236}">
                  <a16:creationId xmlns:a16="http://schemas.microsoft.com/office/drawing/2014/main" id="{13285243-63B4-4798-8696-40A21AFDA7CD}"/>
                </a:ext>
              </a:extLst>
            </xdr:cNvPr>
            <xdr:cNvSpPr txBox="1"/>
          </xdr:nvSpPr>
          <xdr:spPr>
            <a:xfrm>
              <a:off x="2381250" y="2747962"/>
              <a:ext cx="17851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𝐹 (𝐹𝑟𝑖𝑐𝑡𝑖𝑜𝑛𝑎𝑙 𝐹𝑜𝑟𝑐𝑒)= </a:t>
              </a:r>
              <a:r>
                <a:rPr lang="en-US" sz="1100" b="0" i="0">
                  <a:latin typeface="Cambria Math" panose="02040503050406030204" pitchFamily="18" charset="0"/>
                  <a:ea typeface="Cambria Math" panose="02040503050406030204" pitchFamily="18" charset="0"/>
                </a:rPr>
                <a:t>𝜇𝑁</a:t>
              </a:r>
              <a:r>
                <a:rPr lang="en-US" sz="1100"/>
                <a:t> =</a:t>
              </a:r>
            </a:p>
          </xdr:txBody>
        </xdr:sp>
      </mc:Fallback>
    </mc:AlternateContent>
    <xdr:clientData/>
  </xdr:oneCellAnchor>
  <xdr:oneCellAnchor>
    <xdr:from>
      <xdr:col>1</xdr:col>
      <xdr:colOff>752475</xdr:colOff>
      <xdr:row>32</xdr:row>
      <xdr:rowOff>171450</xdr:rowOff>
    </xdr:from>
    <xdr:ext cx="859979" cy="20002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D321094-F4C6-4A9C-8776-516F984D7109}"/>
                </a:ext>
              </a:extLst>
            </xdr:cNvPr>
            <xdr:cNvSpPr txBox="1"/>
          </xdr:nvSpPr>
          <xdr:spPr>
            <a:xfrm>
              <a:off x="2409825" y="3848100"/>
              <a:ext cx="859979"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en-US" sz="1100" b="0" i="1">
                      <a:latin typeface="Cambria Math" panose="02040503050406030204" pitchFamily="18" charset="0"/>
                    </a:rPr>
                    <m:t>𝐹</m:t>
                  </m:r>
                  <m:r>
                    <a:rPr lang="en-US" sz="1100" b="0" i="1" baseline="-25000">
                      <a:latin typeface="Cambria Math" panose="02040503050406030204" pitchFamily="18" charset="0"/>
                    </a:rPr>
                    <m:t>𝑓𝑟𝑖𝑐𝑡𝑖𝑜𝑛</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𝜇</m:t>
                  </m:r>
                  <m:r>
                    <a:rPr lang="en-US" sz="1100" b="0" i="1">
                      <a:latin typeface="Cambria Math" panose="02040503050406030204" pitchFamily="18" charset="0"/>
                      <a:ea typeface="Cambria Math" panose="02040503050406030204" pitchFamily="18" charset="0"/>
                    </a:rPr>
                    <m:t>𝑁</m:t>
                  </m:r>
                </m:oMath>
              </a14:m>
              <a:r>
                <a:rPr lang="en-US" sz="1100"/>
                <a:t> </a:t>
              </a:r>
            </a:p>
          </xdr:txBody>
        </xdr:sp>
      </mc:Choice>
      <mc:Fallback xmlns="">
        <xdr:sp macro="" textlink="">
          <xdr:nvSpPr>
            <xdr:cNvPr id="5" name="TextBox 4">
              <a:extLst>
                <a:ext uri="{FF2B5EF4-FFF2-40B4-BE49-F238E27FC236}">
                  <a16:creationId xmlns:a16="http://schemas.microsoft.com/office/drawing/2014/main" id="{BD321094-F4C6-4A9C-8776-516F984D7109}"/>
                </a:ext>
              </a:extLst>
            </xdr:cNvPr>
            <xdr:cNvSpPr txBox="1"/>
          </xdr:nvSpPr>
          <xdr:spPr>
            <a:xfrm>
              <a:off x="2409825" y="3848100"/>
              <a:ext cx="859979"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i="0">
                  <a:latin typeface="Cambria Math" panose="02040503050406030204" pitchFamily="18" charset="0"/>
                </a:rPr>
                <a:t>𝐹</a:t>
              </a:r>
              <a:r>
                <a:rPr lang="en-US" sz="1100" b="0" i="0" baseline="-25000">
                  <a:latin typeface="Cambria Math" panose="02040503050406030204" pitchFamily="18" charset="0"/>
                </a:rPr>
                <a:t>𝑓𝑟𝑖𝑐𝑡𝑖𝑜𝑛</a:t>
              </a:r>
              <a:r>
                <a:rPr lang="en-US" sz="1100" b="0" i="0">
                  <a:latin typeface="Cambria Math" panose="02040503050406030204" pitchFamily="18" charset="0"/>
                </a:rPr>
                <a:t>= </a:t>
              </a:r>
              <a:r>
                <a:rPr lang="en-US" sz="1100" b="0" i="0">
                  <a:latin typeface="Cambria Math" panose="02040503050406030204" pitchFamily="18" charset="0"/>
                  <a:ea typeface="Cambria Math" panose="02040503050406030204" pitchFamily="18" charset="0"/>
                </a:rPr>
                <a:t>𝜇𝑁</a:t>
              </a:r>
              <a:r>
                <a:rPr lang="en-US" sz="1100"/>
                <a:t> </a:t>
              </a:r>
            </a:p>
          </xdr:txBody>
        </xdr:sp>
      </mc:Fallback>
    </mc:AlternateContent>
    <xdr:clientData/>
  </xdr:oneCellAnchor>
  <xdr:oneCellAnchor>
    <xdr:from>
      <xdr:col>1</xdr:col>
      <xdr:colOff>1095375</xdr:colOff>
      <xdr:row>186</xdr:row>
      <xdr:rowOff>142875</xdr:rowOff>
    </xdr:from>
    <xdr:ext cx="2663550"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603BF6D-8156-4360-9387-C2F481241A90}"/>
                </a:ext>
              </a:extLst>
            </xdr:cNvPr>
            <xdr:cNvSpPr txBox="1"/>
          </xdr:nvSpPr>
          <xdr:spPr>
            <a:xfrm>
              <a:off x="2752725" y="4362450"/>
              <a:ext cx="26635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𝐹𝑜𝑟𝑐𝑒</m:t>
                    </m:r>
                    <m:r>
                      <a:rPr lang="en-US" sz="1100" b="0" i="1">
                        <a:latin typeface="Cambria Math" panose="02040503050406030204" pitchFamily="18" charset="0"/>
                      </a:rPr>
                      <m:t> </m:t>
                    </m:r>
                    <m:r>
                      <a:rPr lang="en-US" sz="1100" b="0" i="1">
                        <a:latin typeface="Cambria Math" panose="02040503050406030204" pitchFamily="18" charset="0"/>
                      </a:rPr>
                      <m:t>𝑓𝑟𝑜𝑚</m:t>
                    </m:r>
                    <m:r>
                      <a:rPr lang="en-US" sz="1100" b="0" i="1">
                        <a:latin typeface="Cambria Math" panose="02040503050406030204" pitchFamily="18" charset="0"/>
                      </a:rPr>
                      <m:t> </m:t>
                    </m:r>
                    <m:r>
                      <a:rPr lang="en-US" sz="1100" b="0" i="1">
                        <a:latin typeface="Cambria Math" panose="02040503050406030204" pitchFamily="18" charset="0"/>
                      </a:rPr>
                      <m:t>𝑡𝑜𝑟𝑞𝑢𝑒</m:t>
                    </m:r>
                    <m:r>
                      <a:rPr lang="en-US" sz="1100" b="0" i="1">
                        <a:latin typeface="Cambria Math" panose="02040503050406030204" pitchFamily="18" charset="0"/>
                      </a:rPr>
                      <m:t>=1,925 </m:t>
                    </m:r>
                    <m:r>
                      <a:rPr lang="en-US" sz="1100" b="0" i="1">
                        <a:latin typeface="Cambria Math" panose="02040503050406030204" pitchFamily="18" charset="0"/>
                      </a:rPr>
                      <m:t>𝑙𝑏𝑠</m:t>
                    </m:r>
                    <m:r>
                      <a:rPr lang="en-US" sz="1100" b="0" i="1">
                        <a:latin typeface="Cambria Math" panose="02040503050406030204" pitchFamily="18" charset="0"/>
                      </a:rPr>
                      <m:t>/</m:t>
                    </m:r>
                    <m:r>
                      <a:rPr lang="en-US" sz="1100" b="0" i="1">
                        <a:latin typeface="Cambria Math" panose="02040503050406030204" pitchFamily="18" charset="0"/>
                      </a:rPr>
                      <m:t>𝑝𝑙𝑎𝑡𝑒</m:t>
                    </m:r>
                  </m:oMath>
                </m:oMathPara>
              </a14:m>
              <a:endParaRPr lang="en-US" sz="1100"/>
            </a:p>
          </xdr:txBody>
        </xdr:sp>
      </mc:Choice>
      <mc:Fallback xmlns="">
        <xdr:sp macro="" textlink="">
          <xdr:nvSpPr>
            <xdr:cNvPr id="6" name="TextBox 5">
              <a:extLst>
                <a:ext uri="{FF2B5EF4-FFF2-40B4-BE49-F238E27FC236}">
                  <a16:creationId xmlns:a16="http://schemas.microsoft.com/office/drawing/2014/main" id="{3603BF6D-8156-4360-9387-C2F481241A90}"/>
                </a:ext>
              </a:extLst>
            </xdr:cNvPr>
            <xdr:cNvSpPr txBox="1"/>
          </xdr:nvSpPr>
          <xdr:spPr>
            <a:xfrm>
              <a:off x="2752725" y="4362450"/>
              <a:ext cx="26635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𝑁=𝐹𝑜𝑟𝑐𝑒 𝑓𝑟𝑜𝑚 𝑡𝑜𝑟𝑞𝑢𝑒=1,925 𝑙𝑏𝑠/𝑝𝑙𝑎𝑡𝑒</a:t>
              </a:r>
              <a:endParaRPr lang="en-US" sz="1100"/>
            </a:p>
          </xdr:txBody>
        </xdr:sp>
      </mc:Fallback>
    </mc:AlternateContent>
    <xdr:clientData/>
  </xdr:oneCellAnchor>
  <xdr:oneCellAnchor>
    <xdr:from>
      <xdr:col>1</xdr:col>
      <xdr:colOff>1971675</xdr:colOff>
      <xdr:row>189</xdr:row>
      <xdr:rowOff>0</xdr:rowOff>
    </xdr:from>
    <xdr:ext cx="3157018" cy="34445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F0E8C7-669B-494C-BAE7-B2650B950F30}"/>
                </a:ext>
              </a:extLst>
            </xdr:cNvPr>
            <xdr:cNvSpPr txBox="1"/>
          </xdr:nvSpPr>
          <xdr:spPr>
            <a:xfrm>
              <a:off x="3629025" y="4772025"/>
              <a:ext cx="3157018"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2 </m:t>
                  </m:r>
                  <m:r>
                    <a:rPr lang="en-US" sz="1100" b="0" i="1">
                      <a:latin typeface="Cambria Math" panose="02040503050406030204" pitchFamily="18" charset="0"/>
                    </a:rPr>
                    <m:t>𝑝𝑙𝑎𝑡𝑒𝑠</m:t>
                  </m:r>
                  <m:r>
                    <a:rPr lang="en-US" sz="1100" b="0" i="1">
                      <a:latin typeface="Cambria Math" panose="02040503050406030204" pitchFamily="18" charset="0"/>
                    </a:rPr>
                    <m:t>⇒ </m:t>
                  </m:r>
                  <m:r>
                    <a:rPr lang="en-US" sz="1100" b="0" i="1">
                      <a:solidFill>
                        <a:schemeClr val="tx1"/>
                      </a:solidFill>
                      <a:effectLst/>
                      <a:latin typeface="Cambria Math" panose="02040503050406030204" pitchFamily="18" charset="0"/>
                      <a:ea typeface="+mn-ea"/>
                      <a:cs typeface="+mn-cs"/>
                    </a:rPr>
                    <m:t>𝐹</m:t>
                  </m:r>
                  <m:r>
                    <a:rPr lang="en-US" sz="1100" b="0" i="1" baseline="-25000">
                      <a:solidFill>
                        <a:schemeClr val="tx1"/>
                      </a:solidFill>
                      <a:effectLst/>
                      <a:latin typeface="Cambria Math" panose="02040503050406030204" pitchFamily="18" charset="0"/>
                      <a:ea typeface="+mn-ea"/>
                      <a:cs typeface="+mn-cs"/>
                    </a:rPr>
                    <m:t>𝑓𝑟𝑖𝑐𝑡𝑖𝑜𝑛</m:t>
                  </m:r>
                </m:oMath>
              </a14:m>
              <a:r>
                <a:rPr lang="en-US" sz="1100"/>
                <a:t> = 616 lbs &gt; W </a:t>
              </a:r>
              <a14:m>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150 </m:t>
                  </m:r>
                  <m:r>
                    <a:rPr lang="en-US" sz="1100" b="0" i="1">
                      <a:latin typeface="Cambria Math" panose="02040503050406030204" pitchFamily="18" charset="0"/>
                      <a:ea typeface="Cambria Math" panose="02040503050406030204" pitchFamily="18" charset="0"/>
                    </a:rPr>
                    <m:t>𝑙𝑏𝑠</m:t>
                  </m:r>
                </m:oMath>
              </a14:m>
              <a:endParaRPr lang="en-US" sz="1100" b="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𝑀𝑜𝑢𝑛𝑡</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𝑆𝑢𝑝𝑝𝑜𝑟𝑡</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𝑖𝑠</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𝐴𝑑𝑒𝑞𝑢𝑎𝑡𝑒</m:t>
                    </m:r>
                  </m:oMath>
                </m:oMathPara>
              </a14:m>
              <a:endParaRPr lang="en-US" sz="1100"/>
            </a:p>
          </xdr:txBody>
        </xdr:sp>
      </mc:Choice>
      <mc:Fallback xmlns="">
        <xdr:sp macro="" textlink="">
          <xdr:nvSpPr>
            <xdr:cNvPr id="9" name="TextBox 8">
              <a:extLst>
                <a:ext uri="{FF2B5EF4-FFF2-40B4-BE49-F238E27FC236}">
                  <a16:creationId xmlns:a16="http://schemas.microsoft.com/office/drawing/2014/main" id="{A7F0E8C7-669B-494C-BAE7-B2650B950F30}"/>
                </a:ext>
              </a:extLst>
            </xdr:cNvPr>
            <xdr:cNvSpPr txBox="1"/>
          </xdr:nvSpPr>
          <xdr:spPr>
            <a:xfrm>
              <a:off x="3629025" y="4772025"/>
              <a:ext cx="3157018"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𝑇𝑜𝑡𝑎𝑙 𝑜𝑓 2 𝑝𝑙𝑎𝑡𝑒𝑠⇒ </a:t>
              </a:r>
              <a:r>
                <a:rPr lang="en-US" sz="1100" b="0" i="0">
                  <a:solidFill>
                    <a:schemeClr val="tx1"/>
                  </a:solidFill>
                  <a:effectLst/>
                  <a:latin typeface="+mn-lt"/>
                  <a:ea typeface="+mn-ea"/>
                  <a:cs typeface="+mn-cs"/>
                </a:rPr>
                <a:t>𝐹</a:t>
              </a:r>
              <a:r>
                <a:rPr lang="en-US" sz="1100" b="0" i="0" baseline="-25000">
                  <a:solidFill>
                    <a:schemeClr val="tx1"/>
                  </a:solidFill>
                  <a:effectLst/>
                  <a:latin typeface="+mn-lt"/>
                  <a:ea typeface="+mn-ea"/>
                  <a:cs typeface="+mn-cs"/>
                </a:rPr>
                <a:t>𝑓𝑟𝑖𝑐𝑡𝑖𝑜𝑛</a:t>
              </a:r>
              <a:r>
                <a:rPr lang="en-US" sz="1100"/>
                <a:t> = 616 lbs &gt; W </a:t>
              </a:r>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 𝑙𝑏𝑠</a:t>
              </a:r>
              <a:endParaRPr lang="en-US" sz="1100" b="0">
                <a:ea typeface="Cambria Math" panose="02040503050406030204" pitchFamily="18" charset="0"/>
              </a:endParaRPr>
            </a:p>
            <a:p>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𝑀𝑜𝑢𝑛𝑡 𝑆𝑢𝑝𝑝𝑜𝑟𝑡 𝑖𝑠 𝐴𝑑𝑒𝑞𝑢𝑎𝑡𝑒</a:t>
              </a:r>
              <a:endParaRPr lang="en-US" sz="1100"/>
            </a:p>
          </xdr:txBody>
        </xdr:sp>
      </mc:Fallback>
    </mc:AlternateContent>
    <xdr:clientData/>
  </xdr:oneCellAnchor>
  <xdr:oneCellAnchor>
    <xdr:from>
      <xdr:col>1</xdr:col>
      <xdr:colOff>790575</xdr:colOff>
      <xdr:row>191</xdr:row>
      <xdr:rowOff>33337</xdr:rowOff>
    </xdr:from>
    <xdr:ext cx="825354"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DD78EA0-3EF9-4199-B013-04BF580B1E2B}"/>
                </a:ext>
              </a:extLst>
            </xdr:cNvPr>
            <xdr:cNvSpPr txBox="1"/>
          </xdr:nvSpPr>
          <xdr:spPr>
            <a:xfrm>
              <a:off x="2447925" y="5167312"/>
              <a:ext cx="82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US" sz="1100">
                        <a:solidFill>
                          <a:schemeClr val="tx1"/>
                        </a:solidFill>
                        <a:effectLst/>
                        <a:latin typeface="+mn-lt"/>
                        <a:ea typeface="+mn-ea"/>
                        <a:cs typeface="+mn-cs"/>
                      </a:rPr>
                      <m:t>W</m:t>
                    </m:r>
                    <m:r>
                      <m:rPr>
                        <m:nor/>
                      </m:rPr>
                      <a:rPr lang="en-US" sz="1100">
                        <a:solidFill>
                          <a:schemeClr val="tx1"/>
                        </a:solidFill>
                        <a:effectLst/>
                        <a:latin typeface="+mn-lt"/>
                        <a:ea typeface="+mn-ea"/>
                        <a:cs typeface="+mn-cs"/>
                      </a:rPr>
                      <m:t> </m:t>
                    </m:r>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150 </m:t>
                    </m:r>
                    <m:r>
                      <a:rPr lang="en-US" sz="1100" b="0" i="1">
                        <a:solidFill>
                          <a:schemeClr val="tx1"/>
                        </a:solidFill>
                        <a:effectLst/>
                        <a:latin typeface="Cambria Math" panose="02040503050406030204" pitchFamily="18" charset="0"/>
                        <a:ea typeface="+mn-ea"/>
                        <a:cs typeface="+mn-cs"/>
                      </a:rPr>
                      <m:t>𝑙𝑏𝑠</m:t>
                    </m:r>
                  </m:oMath>
                </m:oMathPara>
              </a14:m>
              <a:endParaRPr lang="en-US" sz="1100"/>
            </a:p>
          </xdr:txBody>
        </xdr:sp>
      </mc:Choice>
      <mc:Fallback xmlns="">
        <xdr:sp macro="" textlink="">
          <xdr:nvSpPr>
            <xdr:cNvPr id="3" name="TextBox 2">
              <a:extLst>
                <a:ext uri="{FF2B5EF4-FFF2-40B4-BE49-F238E27FC236}">
                  <a16:creationId xmlns:a16="http://schemas.microsoft.com/office/drawing/2014/main" id="{DDD78EA0-3EF9-4199-B013-04BF580B1E2B}"/>
                </a:ext>
              </a:extLst>
            </xdr:cNvPr>
            <xdr:cNvSpPr txBox="1"/>
          </xdr:nvSpPr>
          <xdr:spPr>
            <a:xfrm>
              <a:off x="2447925" y="5167312"/>
              <a:ext cx="82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"W </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150 𝑙𝑏𝑠</a:t>
              </a:r>
              <a:endParaRPr lang="en-US" sz="1100"/>
            </a:p>
          </xdr:txBody>
        </xdr:sp>
      </mc:Fallback>
    </mc:AlternateContent>
    <xdr:clientData/>
  </xdr:oneCellAnchor>
  <xdr:twoCellAnchor>
    <xdr:from>
      <xdr:col>1</xdr:col>
      <xdr:colOff>342900</xdr:colOff>
      <xdr:row>34</xdr:row>
      <xdr:rowOff>0</xdr:rowOff>
    </xdr:from>
    <xdr:to>
      <xdr:col>1</xdr:col>
      <xdr:colOff>342900</xdr:colOff>
      <xdr:row>192</xdr:row>
      <xdr:rowOff>9525</xdr:rowOff>
    </xdr:to>
    <xdr:cxnSp macro="">
      <xdr:nvCxnSpPr>
        <xdr:cNvPr id="10" name="Straight Connector 9">
          <a:extLst>
            <a:ext uri="{FF2B5EF4-FFF2-40B4-BE49-F238E27FC236}">
              <a16:creationId xmlns:a16="http://schemas.microsoft.com/office/drawing/2014/main" id="{39396A3D-8E77-4B6C-90D7-46A736190273}"/>
            </a:ext>
          </a:extLst>
        </xdr:cNvPr>
        <xdr:cNvCxnSpPr/>
      </xdr:nvCxnSpPr>
      <xdr:spPr>
        <a:xfrm>
          <a:off x="2000250" y="4038600"/>
          <a:ext cx="0" cy="128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361950</xdr:colOff>
      <xdr:row>186</xdr:row>
      <xdr:rowOff>38100</xdr:rowOff>
    </xdr:from>
    <xdr:to>
      <xdr:col>1</xdr:col>
      <xdr:colOff>866775</xdr:colOff>
      <xdr:row>190</xdr:row>
      <xdr:rowOff>28575</xdr:rowOff>
    </xdr:to>
    <xdr:sp macro="" textlink="">
      <xdr:nvSpPr>
        <xdr:cNvPr id="11" name="Rectangle 10">
          <a:extLst>
            <a:ext uri="{FF2B5EF4-FFF2-40B4-BE49-F238E27FC236}">
              <a16:creationId xmlns:a16="http://schemas.microsoft.com/office/drawing/2014/main" id="{B93CC7AA-C210-43CF-99C3-1307CAD2F3A5}"/>
            </a:ext>
          </a:extLst>
        </xdr:cNvPr>
        <xdr:cNvSpPr/>
      </xdr:nvSpPr>
      <xdr:spPr>
        <a:xfrm>
          <a:off x="2019300" y="4257675"/>
          <a:ext cx="504825" cy="7239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600075</xdr:colOff>
      <xdr:row>33</xdr:row>
      <xdr:rowOff>47625</xdr:rowOff>
    </xdr:from>
    <xdr:to>
      <xdr:col>1</xdr:col>
      <xdr:colOff>600076</xdr:colOff>
      <xdr:row>188</xdr:row>
      <xdr:rowOff>57151</xdr:rowOff>
    </xdr:to>
    <xdr:cxnSp macro="">
      <xdr:nvCxnSpPr>
        <xdr:cNvPr id="14" name="Straight Arrow Connector 13">
          <a:extLst>
            <a:ext uri="{FF2B5EF4-FFF2-40B4-BE49-F238E27FC236}">
              <a16:creationId xmlns:a16="http://schemas.microsoft.com/office/drawing/2014/main" id="{85FF8258-4CC1-4FE5-91B8-860292633E6E}"/>
            </a:ext>
          </a:extLst>
        </xdr:cNvPr>
        <xdr:cNvCxnSpPr/>
      </xdr:nvCxnSpPr>
      <xdr:spPr>
        <a:xfrm flipH="1" flipV="1">
          <a:off x="2257425" y="3905250"/>
          <a:ext cx="1" cy="7429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600075</xdr:colOff>
      <xdr:row>187</xdr:row>
      <xdr:rowOff>142875</xdr:rowOff>
    </xdr:from>
    <xdr:to>
      <xdr:col>1</xdr:col>
      <xdr:colOff>600075</xdr:colOff>
      <xdr:row>192</xdr:row>
      <xdr:rowOff>9525</xdr:rowOff>
    </xdr:to>
    <xdr:cxnSp macro="">
      <xdr:nvCxnSpPr>
        <xdr:cNvPr id="16" name="Straight Arrow Connector 15">
          <a:extLst>
            <a:ext uri="{FF2B5EF4-FFF2-40B4-BE49-F238E27FC236}">
              <a16:creationId xmlns:a16="http://schemas.microsoft.com/office/drawing/2014/main" id="{A209ED71-19CF-440B-9950-84BBCDCA3E0D}"/>
            </a:ext>
          </a:extLst>
        </xdr:cNvPr>
        <xdr:cNvCxnSpPr/>
      </xdr:nvCxnSpPr>
      <xdr:spPr>
        <a:xfrm>
          <a:off x="2257425" y="4543425"/>
          <a:ext cx="0" cy="781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600075</xdr:colOff>
      <xdr:row>188</xdr:row>
      <xdr:rowOff>9525</xdr:rowOff>
    </xdr:from>
    <xdr:to>
      <xdr:col>1</xdr:col>
      <xdr:colOff>1314450</xdr:colOff>
      <xdr:row>188</xdr:row>
      <xdr:rowOff>19050</xdr:rowOff>
    </xdr:to>
    <xdr:cxnSp macro="">
      <xdr:nvCxnSpPr>
        <xdr:cNvPr id="18" name="Straight Arrow Connector 17">
          <a:extLst>
            <a:ext uri="{FF2B5EF4-FFF2-40B4-BE49-F238E27FC236}">
              <a16:creationId xmlns:a16="http://schemas.microsoft.com/office/drawing/2014/main" id="{855515D0-03D3-46F4-9651-8117016F99D0}"/>
            </a:ext>
          </a:extLst>
        </xdr:cNvPr>
        <xdr:cNvCxnSpPr/>
      </xdr:nvCxnSpPr>
      <xdr:spPr>
        <a:xfrm>
          <a:off x="2257425" y="4600575"/>
          <a:ext cx="714375"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180975</xdr:colOff>
      <xdr:row>42</xdr:row>
      <xdr:rowOff>66675</xdr:rowOff>
    </xdr:from>
    <xdr:ext cx="2219326" cy="7620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2484E19-C0A5-4E3B-B910-4A871413CC8E}"/>
                </a:ext>
              </a:extLst>
            </xdr:cNvPr>
            <xdr:cNvSpPr txBox="1"/>
          </xdr:nvSpPr>
          <xdr:spPr>
            <a:xfrm>
              <a:off x="3200400" y="9315450"/>
              <a:ext cx="2219326"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r>
                      <a:rPr lang="en-US" sz="1100" b="0" i="1">
                        <a:latin typeface="Cambria Math" panose="02040503050406030204" pitchFamily="18" charset="0"/>
                      </a:rPr>
                      <m:t>=1−</m:t>
                    </m:r>
                    <m:d>
                      <m:dPr>
                        <m:begChr m:val="["/>
                        <m:endChr m:val="]"/>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ad>
                              <m:radPr>
                                <m:ctrlPr>
                                  <a:rPr lang="en-US" sz="1100" b="0" i="1">
                                    <a:latin typeface="Cambria Math" panose="02040503050406030204" pitchFamily="18" charset="0"/>
                                  </a:rPr>
                                </m:ctrlPr>
                              </m:radPr>
                              <m:deg>
                                <m:r>
                                  <a:rPr lang="en-US" sz="1100" b="0" i="1">
                                    <a:latin typeface="Cambria Math" panose="02040503050406030204" pitchFamily="18" charset="0"/>
                                  </a:rPr>
                                  <m:t>3</m:t>
                                </m:r>
                              </m:deg>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𝑇</m:t>
                                        </m:r>
                                      </m:sub>
                                    </m:sSub>
                                  </m:den>
                                </m:f>
                              </m:e>
                            </m:rad>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𝑇</m:t>
                                </m:r>
                              </m:sub>
                            </m:sSub>
                            <m:r>
                              <a:rPr lang="en-US" sz="1100" b="0" i="1">
                                <a:latin typeface="Cambria Math" panose="02040503050406030204" pitchFamily="18" charset="0"/>
                              </a:rPr>
                              <m:t>+0.38</m:t>
                            </m:r>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𝑃</m:t>
                                </m:r>
                              </m:sub>
                            </m:sSub>
                          </m:num>
                          <m:den>
                            <m:f>
                              <m:fPr>
                                <m:ctrlPr>
                                  <a:rPr lang="en-US" sz="1100" b="0" i="1">
                                    <a:latin typeface="Cambria Math" panose="02040503050406030204" pitchFamily="18" charset="0"/>
                                  </a:rPr>
                                </m:ctrlPr>
                              </m:fPr>
                              <m:num>
                                <m:r>
                                  <a:rPr lang="en-US" sz="1100" b="0" i="1">
                                    <a:latin typeface="Cambria Math" panose="02040503050406030204" pitchFamily="18" charset="0"/>
                                  </a:rPr>
                                  <m:t>2.46</m:t>
                                </m:r>
                                <m:r>
                                  <a:rPr lang="en-US" sz="1100" b="0" i="1">
                                    <a:latin typeface="Cambria Math" panose="02040503050406030204" pitchFamily="18" charset="0"/>
                                  </a:rPr>
                                  <m:t>𝐸</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𝐵</m:t>
                                    </m:r>
                                  </m:sub>
                                </m:sSub>
                              </m:num>
                              <m:den>
                                <m:sSup>
                                  <m:sSupPr>
                                    <m:ctrlPr>
                                      <a:rPr lang="en-US" sz="1100" b="0" i="1">
                                        <a:latin typeface="Cambria Math" panose="02040503050406030204" pitchFamily="18" charset="0"/>
                                      </a:rPr>
                                    </m:ctrlPr>
                                  </m:sSupPr>
                                  <m:e>
                                    <m:r>
                                      <a:rPr lang="en-US" sz="1100" b="0" i="1">
                                        <a:latin typeface="Cambria Math" panose="02040503050406030204" pitchFamily="18" charset="0"/>
                                      </a:rPr>
                                      <m:t>𝐿</m:t>
                                    </m:r>
                                  </m:e>
                                  <m:sup>
                                    <m:r>
                                      <a:rPr lang="en-US" sz="1100" b="0" i="1">
                                        <a:latin typeface="Cambria Math" panose="02040503050406030204" pitchFamily="18" charset="0"/>
                                      </a:rPr>
                                      <m:t>2</m:t>
                                    </m:r>
                                  </m:sup>
                                </m:sSup>
                              </m:den>
                            </m:f>
                          </m:den>
                        </m:f>
                      </m:e>
                    </m:d>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2" name="TextBox 1">
              <a:extLst>
                <a:ext uri="{FF2B5EF4-FFF2-40B4-BE49-F238E27FC236}">
                  <a16:creationId xmlns:a16="http://schemas.microsoft.com/office/drawing/2014/main" id="{72484E19-C0A5-4E3B-B910-4A871413CC8E}"/>
                </a:ext>
              </a:extLst>
            </xdr:cNvPr>
            <xdr:cNvSpPr txBox="1"/>
          </xdr:nvSpPr>
          <xdr:spPr>
            <a:xfrm>
              <a:off x="3200400" y="9315450"/>
              <a:ext cx="2219326"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𝐶_𝐴=1−[(∛(𝐼_𝐵/𝐼_𝑇 ) 𝑃_𝑇+0.38𝐷_𝑃)/((2.46𝐸𝐼_𝐵)/𝐿^2 )]</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64</xdr:row>
      <xdr:rowOff>71437</xdr:rowOff>
    </xdr:from>
    <xdr:ext cx="1981200" cy="4321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125214D-2171-4C74-BA25-081245DB12BC}"/>
                </a:ext>
              </a:extLst>
            </xdr:cNvPr>
            <xdr:cNvSpPr txBox="1"/>
          </xdr:nvSpPr>
          <xdr:spPr>
            <a:xfrm>
              <a:off x="3343275" y="154066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3" name="TextBox 2">
              <a:extLst>
                <a:ext uri="{FF2B5EF4-FFF2-40B4-BE49-F238E27FC236}">
                  <a16:creationId xmlns:a16="http://schemas.microsoft.com/office/drawing/2014/main" id="{8125214D-2171-4C74-BA25-081245DB12BC}"/>
                </a:ext>
              </a:extLst>
            </xdr:cNvPr>
            <xdr:cNvSpPr txBox="1"/>
          </xdr:nvSpPr>
          <xdr:spPr>
            <a:xfrm>
              <a:off x="3343275" y="154066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82</xdr:row>
      <xdr:rowOff>61912</xdr:rowOff>
    </xdr:from>
    <xdr:ext cx="1981200" cy="43217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BB6E1DDE-2C9F-40AE-9E1F-FCA5D3136784}"/>
                </a:ext>
              </a:extLst>
            </xdr:cNvPr>
            <xdr:cNvSpPr txBox="1"/>
          </xdr:nvSpPr>
          <xdr:spPr>
            <a:xfrm>
              <a:off x="3343275" y="205501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4" name="TextBox 3">
              <a:extLst>
                <a:ext uri="{FF2B5EF4-FFF2-40B4-BE49-F238E27FC236}">
                  <a16:creationId xmlns:a16="http://schemas.microsoft.com/office/drawing/2014/main" id="{BB6E1DDE-2C9F-40AE-9E1F-FCA5D3136784}"/>
                </a:ext>
              </a:extLst>
            </xdr:cNvPr>
            <xdr:cNvSpPr txBox="1"/>
          </xdr:nvSpPr>
          <xdr:spPr>
            <a:xfrm>
              <a:off x="3343275" y="2055018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100</xdr:row>
      <xdr:rowOff>61912</xdr:rowOff>
    </xdr:from>
    <xdr:ext cx="1981200" cy="43217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9513AA1-CEF6-4540-991B-5E883AD175B1}"/>
                </a:ext>
              </a:extLst>
            </xdr:cNvPr>
            <xdr:cNvSpPr txBox="1"/>
          </xdr:nvSpPr>
          <xdr:spPr>
            <a:xfrm>
              <a:off x="3343275" y="2576036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5" name="TextBox 4">
              <a:extLst>
                <a:ext uri="{FF2B5EF4-FFF2-40B4-BE49-F238E27FC236}">
                  <a16:creationId xmlns:a16="http://schemas.microsoft.com/office/drawing/2014/main" id="{F9513AA1-CEF6-4540-991B-5E883AD175B1}"/>
                </a:ext>
              </a:extLst>
            </xdr:cNvPr>
            <xdr:cNvSpPr txBox="1"/>
          </xdr:nvSpPr>
          <xdr:spPr>
            <a:xfrm>
              <a:off x="3343275" y="25760362"/>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oneCellAnchor>
    <xdr:from>
      <xdr:col>1</xdr:col>
      <xdr:colOff>323850</xdr:colOff>
      <xdr:row>118</xdr:row>
      <xdr:rowOff>61912</xdr:rowOff>
    </xdr:from>
    <xdr:ext cx="1981200" cy="43217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A18D989-4DD9-4449-9C98-A03F74F91F73}"/>
                </a:ext>
              </a:extLst>
            </xdr:cNvPr>
            <xdr:cNvSpPr txBox="1"/>
          </xdr:nvSpPr>
          <xdr:spPr>
            <a:xfrm>
              <a:off x="3343275" y="3085623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𝑎</m:t>
                            </m:r>
                          </m:sub>
                        </m:sSub>
                      </m:num>
                      <m:den>
                        <m:r>
                          <a:rPr lang="en-US" sz="1100" b="0" i="1">
                            <a:latin typeface="Cambria Math" panose="02040503050406030204" pitchFamily="18" charset="0"/>
                          </a:rPr>
                          <m:t>0.6</m:t>
                        </m:r>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𝑦</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𝑏</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𝐴</m:t>
                            </m:r>
                          </m:sub>
                        </m:sSub>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𝑏</m:t>
                            </m:r>
                          </m:sub>
                        </m:sSub>
                      </m:den>
                    </m:f>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𝑣</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𝐹</m:t>
                                    </m:r>
                                  </m:e>
                                  <m:sub>
                                    <m:r>
                                      <a:rPr lang="en-US" sz="1100" b="0" i="1">
                                        <a:latin typeface="Cambria Math" panose="02040503050406030204" pitchFamily="18" charset="0"/>
                                      </a:rPr>
                                      <m:t>𝑣</m:t>
                                    </m:r>
                                  </m:sub>
                                </m:sSub>
                              </m:den>
                            </m:f>
                          </m:e>
                        </m:d>
                      </m:e>
                      <m:sup>
                        <m:r>
                          <a:rPr lang="en-US" sz="1100" b="0" i="1">
                            <a:latin typeface="Cambria Math" panose="02040503050406030204" pitchFamily="18" charset="0"/>
                          </a:rPr>
                          <m:t>2</m:t>
                        </m:r>
                      </m:sup>
                    </m:sSup>
                    <m:r>
                      <a:rPr lang="en-US" sz="1100" b="0" i="1">
                        <a:latin typeface="Cambria Math" panose="02040503050406030204" pitchFamily="18" charset="0"/>
                        <a:ea typeface="Cambria Math" panose="02040503050406030204" pitchFamily="18" charset="0"/>
                      </a:rPr>
                      <m:t>≤1.0</m:t>
                    </m:r>
                  </m:oMath>
                </m:oMathPara>
              </a14:m>
              <a:endParaRPr lang="en-US" sz="1100"/>
            </a:p>
          </xdr:txBody>
        </xdr:sp>
      </mc:Choice>
      <mc:Fallback xmlns="">
        <xdr:sp macro="" textlink="">
          <xdr:nvSpPr>
            <xdr:cNvPr id="6" name="TextBox 5">
              <a:extLst>
                <a:ext uri="{FF2B5EF4-FFF2-40B4-BE49-F238E27FC236}">
                  <a16:creationId xmlns:a16="http://schemas.microsoft.com/office/drawing/2014/main" id="{6A18D989-4DD9-4449-9C98-A03F74F91F73}"/>
                </a:ext>
              </a:extLst>
            </xdr:cNvPr>
            <xdr:cNvSpPr txBox="1"/>
          </xdr:nvSpPr>
          <xdr:spPr>
            <a:xfrm>
              <a:off x="3343275" y="30856237"/>
              <a:ext cx="1981200" cy="432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𝑓_𝑎/(0.6𝐹_𝑦 )+𝑓_𝑏/(𝐶_𝐴 𝐹_𝑏 )+(𝑓_𝑣/𝐹_𝑣 )^2</a:t>
              </a:r>
              <a:r>
                <a:rPr lang="en-US" sz="1100" b="0" i="0">
                  <a:latin typeface="Cambria Math" panose="02040503050406030204" pitchFamily="18" charset="0"/>
                  <a:ea typeface="Cambria Math" panose="02040503050406030204" pitchFamily="18" charset="0"/>
                </a:rPr>
                <a:t>≤1.0</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E240-9A78-46C1-BAA2-F24306866477}">
  <sheetPr>
    <pageSetUpPr fitToPage="1"/>
  </sheetPr>
  <dimension ref="A1:AE372"/>
  <sheetViews>
    <sheetView tabSelected="1" topLeftCell="A211" zoomScaleNormal="100" workbookViewId="0">
      <pane xSplit="1" topLeftCell="B1" activePane="topRight" state="frozen"/>
      <selection activeCell="A109" sqref="A109"/>
      <selection pane="topRight" activeCell="G217" sqref="G217"/>
    </sheetView>
  </sheetViews>
  <sheetFormatPr defaultColWidth="9.140625" defaultRowHeight="14.25" x14ac:dyDescent="0.2"/>
  <cols>
    <col min="1" max="1" width="36.140625" style="4" customWidth="1"/>
    <col min="2" max="2" width="17.7109375" style="2" bestFit="1" customWidth="1"/>
    <col min="3" max="3" width="10.28515625" style="3" customWidth="1"/>
    <col min="4" max="4" width="16" style="4" customWidth="1"/>
    <col min="5" max="5" width="14.42578125" style="4" customWidth="1"/>
    <col min="6" max="6" width="13" style="3" customWidth="1"/>
    <col min="7" max="7" width="12.7109375" style="3" customWidth="1"/>
    <col min="8" max="8" width="12.5703125" style="3" customWidth="1"/>
    <col min="9" max="9" width="9.85546875" style="4" customWidth="1"/>
    <col min="10" max="10" width="9.140625" style="2"/>
    <col min="11" max="11" width="10.7109375" style="3" bestFit="1" customWidth="1"/>
    <col min="12" max="12" width="9.85546875" style="4" customWidth="1"/>
    <col min="13" max="13" width="10.140625" style="4" customWidth="1"/>
    <col min="14" max="14" width="13.28515625" style="4" customWidth="1"/>
    <col min="15" max="15" width="10.42578125" style="4" customWidth="1"/>
    <col min="16" max="16" width="14" style="3" customWidth="1"/>
    <col min="17" max="17" width="16" style="4" bestFit="1" customWidth="1"/>
    <col min="18" max="18" width="11.28515625" style="4" customWidth="1"/>
    <col min="19" max="19" width="11.28515625" style="125" bestFit="1" customWidth="1"/>
    <col min="20" max="20" width="12.28515625" style="4" customWidth="1"/>
    <col min="21" max="21" width="13.42578125" style="4" customWidth="1"/>
    <col min="22" max="22" width="13.85546875" style="4" customWidth="1"/>
    <col min="23" max="23" width="12" style="4" customWidth="1"/>
    <col min="24" max="24" width="16.42578125" style="4" customWidth="1"/>
    <col min="25" max="25" width="16.28515625" style="4" customWidth="1"/>
    <col min="26" max="26" width="16.85546875" style="4" customWidth="1"/>
    <col min="27" max="27" width="18.7109375" style="4" customWidth="1"/>
    <col min="28" max="28" width="15.85546875" style="4" customWidth="1"/>
    <col min="29" max="29" width="18.42578125" style="4" customWidth="1"/>
    <col min="30" max="30" width="17" style="4" customWidth="1"/>
    <col min="31" max="31" width="18.7109375" style="4" customWidth="1"/>
    <col min="32" max="16384" width="9.140625" style="4"/>
  </cols>
  <sheetData>
    <row r="1" spans="1:26" ht="18.75" x14ac:dyDescent="0.35">
      <c r="A1" s="1" t="s">
        <v>28</v>
      </c>
      <c r="F1" s="255" t="s">
        <v>769</v>
      </c>
      <c r="G1" s="255"/>
      <c r="H1" s="4"/>
      <c r="J1" s="4"/>
      <c r="K1" s="128" t="s">
        <v>598</v>
      </c>
      <c r="L1" s="2"/>
      <c r="M1" s="3"/>
      <c r="P1" s="4"/>
      <c r="Q1" s="128" t="s">
        <v>35</v>
      </c>
      <c r="S1" s="4"/>
      <c r="V1" s="3" t="s">
        <v>102</v>
      </c>
      <c r="W1" s="5">
        <v>200</v>
      </c>
      <c r="X1" s="4" t="s">
        <v>5</v>
      </c>
      <c r="Z1" s="4" t="s">
        <v>41</v>
      </c>
    </row>
    <row r="2" spans="1:26" ht="18.75" x14ac:dyDescent="0.35">
      <c r="A2" s="4" t="s">
        <v>18</v>
      </c>
      <c r="B2" s="2" t="s">
        <v>4</v>
      </c>
      <c r="C2" s="5">
        <v>30</v>
      </c>
      <c r="D2" s="4" t="s">
        <v>0</v>
      </c>
      <c r="F2" s="3" t="s">
        <v>89</v>
      </c>
      <c r="G2" s="3" t="s">
        <v>90</v>
      </c>
      <c r="H2" s="4"/>
      <c r="J2" s="4"/>
      <c r="K2" s="4"/>
      <c r="L2" s="2" t="s">
        <v>14</v>
      </c>
      <c r="M2" s="3">
        <f>IF(S14="B",7,IF(S14="C",9.5,"ERROR"))</f>
        <v>9.5</v>
      </c>
      <c r="P2" s="4"/>
      <c r="Q2" s="125" t="s">
        <v>37</v>
      </c>
      <c r="R2" s="2" t="s">
        <v>103</v>
      </c>
      <c r="S2" s="3">
        <v>490</v>
      </c>
      <c r="T2" s="4" t="s">
        <v>25</v>
      </c>
      <c r="V2" s="3"/>
      <c r="W2" s="3">
        <f>W1*W16</f>
        <v>1400</v>
      </c>
      <c r="X2" s="4" t="s">
        <v>680</v>
      </c>
    </row>
    <row r="3" spans="1:26" ht="18.75" x14ac:dyDescent="0.35">
      <c r="C3" s="3">
        <f>C2*12</f>
        <v>360</v>
      </c>
      <c r="D3" s="4" t="s">
        <v>21</v>
      </c>
      <c r="F3" s="3" t="s">
        <v>120</v>
      </c>
      <c r="G3" s="3" t="s">
        <v>21</v>
      </c>
      <c r="H3" s="4"/>
      <c r="J3" s="4"/>
      <c r="K3" s="4"/>
      <c r="L3" s="2" t="s">
        <v>104</v>
      </c>
      <c r="M3" s="3">
        <f>IF(S14="B",1200,IF(S14="C",900,"ERROR"))</f>
        <v>900</v>
      </c>
      <c r="N3" s="4" t="s">
        <v>0</v>
      </c>
      <c r="P3" s="4"/>
      <c r="Q3" s="125" t="s">
        <v>182</v>
      </c>
      <c r="R3" s="2" t="s">
        <v>183</v>
      </c>
      <c r="S3" s="40">
        <f>29000000</f>
        <v>29000000</v>
      </c>
      <c r="T3" s="4" t="s">
        <v>23</v>
      </c>
      <c r="W3" s="3">
        <f>W1*W20</f>
        <v>1000</v>
      </c>
      <c r="X3" s="4" t="s">
        <v>682</v>
      </c>
    </row>
    <row r="4" spans="1:26" ht="18.75" x14ac:dyDescent="0.35">
      <c r="A4" s="4" t="s">
        <v>19</v>
      </c>
      <c r="B4" s="2" t="s">
        <v>15</v>
      </c>
      <c r="C4" s="5">
        <v>3</v>
      </c>
      <c r="D4" s="4" t="s">
        <v>0</v>
      </c>
      <c r="F4" s="7">
        <f>0.5*C3*(C11-C13)/2</f>
        <v>378</v>
      </c>
      <c r="G4" s="88">
        <f>C3/3</f>
        <v>120</v>
      </c>
      <c r="H4" s="4"/>
      <c r="J4" s="4"/>
      <c r="K4" s="125" t="s">
        <v>11</v>
      </c>
      <c r="L4" s="2" t="s">
        <v>9</v>
      </c>
      <c r="M4" s="3">
        <v>1.1399999999999999</v>
      </c>
      <c r="N4" s="4" t="s">
        <v>22</v>
      </c>
      <c r="P4" s="4"/>
      <c r="Q4" s="125" t="s">
        <v>38</v>
      </c>
      <c r="R4" s="2" t="s">
        <v>105</v>
      </c>
      <c r="S4" s="6">
        <v>55000</v>
      </c>
      <c r="T4" s="4" t="s">
        <v>23</v>
      </c>
      <c r="V4" s="2" t="s">
        <v>1</v>
      </c>
      <c r="W4" s="5">
        <v>2</v>
      </c>
      <c r="X4" s="4" t="s">
        <v>0</v>
      </c>
      <c r="Z4" s="4" t="s">
        <v>681</v>
      </c>
    </row>
    <row r="5" spans="1:26" ht="18.75" x14ac:dyDescent="0.35">
      <c r="C5" s="3">
        <f>C4*12</f>
        <v>36</v>
      </c>
      <c r="D5" s="4" t="s">
        <v>21</v>
      </c>
      <c r="F5" s="7">
        <f>0.5*C3*(C11-C13)/2</f>
        <v>378</v>
      </c>
      <c r="G5" s="88">
        <f>C3/3</f>
        <v>120</v>
      </c>
      <c r="H5" s="4"/>
      <c r="J5" s="4"/>
      <c r="K5" s="125" t="s">
        <v>10</v>
      </c>
      <c r="L5" s="2" t="s">
        <v>8</v>
      </c>
      <c r="M5" s="5">
        <v>85</v>
      </c>
      <c r="N5" s="4" t="s">
        <v>13</v>
      </c>
      <c r="P5" s="4"/>
      <c r="Q5" s="125" t="s">
        <v>39</v>
      </c>
      <c r="R5" s="2" t="s">
        <v>106</v>
      </c>
      <c r="S5" s="6">
        <v>55000</v>
      </c>
      <c r="T5" s="4" t="s">
        <v>23</v>
      </c>
      <c r="V5" s="125" t="s">
        <v>930</v>
      </c>
      <c r="W5" s="5" t="s">
        <v>1052</v>
      </c>
    </row>
    <row r="6" spans="1:26" ht="18.75" x14ac:dyDescent="0.35">
      <c r="A6" s="4" t="s">
        <v>16</v>
      </c>
      <c r="B6" s="2" t="s">
        <v>20</v>
      </c>
      <c r="C6" s="5">
        <v>8</v>
      </c>
      <c r="D6" s="4" t="s">
        <v>0</v>
      </c>
      <c r="F6" s="226">
        <f>C3*C13</f>
        <v>1368</v>
      </c>
      <c r="G6" s="227">
        <f>C3/2</f>
        <v>180</v>
      </c>
      <c r="H6" s="4"/>
      <c r="J6" s="4"/>
      <c r="K6" s="125" t="s">
        <v>604</v>
      </c>
      <c r="L6" s="2" t="s">
        <v>110</v>
      </c>
      <c r="M6" s="8">
        <v>1</v>
      </c>
      <c r="P6" s="4"/>
      <c r="Q6" s="125" t="s">
        <v>40</v>
      </c>
      <c r="R6" s="2" t="s">
        <v>108</v>
      </c>
      <c r="S6" s="6">
        <v>55000</v>
      </c>
      <c r="T6" s="4" t="s">
        <v>23</v>
      </c>
    </row>
    <row r="7" spans="1:26" ht="18.75" x14ac:dyDescent="0.35">
      <c r="C7" s="3">
        <f>C6*12</f>
        <v>96</v>
      </c>
      <c r="D7" s="4" t="s">
        <v>21</v>
      </c>
      <c r="F7" s="8">
        <f>SUM(F4:F6)</f>
        <v>2124</v>
      </c>
      <c r="G7" s="8">
        <f>(F4*G4+F5*G5+F6*G6)/(F7)</f>
        <v>158.64406779661016</v>
      </c>
      <c r="H7" s="4"/>
      <c r="J7" s="4"/>
      <c r="K7" s="125" t="s">
        <v>603</v>
      </c>
      <c r="L7" s="2" t="s">
        <v>113</v>
      </c>
      <c r="M7" s="8">
        <v>1</v>
      </c>
      <c r="N7" s="3"/>
      <c r="P7" s="4"/>
      <c r="Q7" s="125"/>
      <c r="R7" s="9"/>
      <c r="S7" s="4"/>
      <c r="V7" s="4" t="s">
        <v>558</v>
      </c>
    </row>
    <row r="8" spans="1:26" ht="18.75" x14ac:dyDescent="0.35">
      <c r="A8" s="4" t="s">
        <v>17</v>
      </c>
      <c r="B8" s="2" t="s">
        <v>3</v>
      </c>
      <c r="C8" s="7">
        <f>C9/12</f>
        <v>30</v>
      </c>
      <c r="D8" s="4" t="s">
        <v>0</v>
      </c>
      <c r="G8" s="4"/>
      <c r="H8" s="4"/>
      <c r="J8" s="4"/>
      <c r="K8" s="125"/>
      <c r="M8" s="4" t="s">
        <v>88</v>
      </c>
      <c r="P8" s="4"/>
      <c r="Q8" s="125" t="s">
        <v>597</v>
      </c>
      <c r="R8" s="2" t="s">
        <v>109</v>
      </c>
      <c r="S8" s="6">
        <v>3625</v>
      </c>
      <c r="T8" s="4" t="s">
        <v>23</v>
      </c>
      <c r="V8" s="2" t="s">
        <v>3</v>
      </c>
      <c r="W8" s="87">
        <f>MAX(F325:G325)</f>
        <v>778.14639561303034</v>
      </c>
      <c r="X8" s="4" t="s">
        <v>7</v>
      </c>
    </row>
    <row r="9" spans="1:26" ht="18.75" x14ac:dyDescent="0.35">
      <c r="C9" s="5">
        <f>30*12</f>
        <v>360</v>
      </c>
      <c r="D9" s="4" t="s">
        <v>21</v>
      </c>
      <c r="E9" s="255" t="s">
        <v>977</v>
      </c>
      <c r="F9" s="255"/>
      <c r="G9" s="255"/>
      <c r="H9" s="255"/>
      <c r="I9" s="3"/>
      <c r="J9" s="4"/>
      <c r="K9" s="125"/>
      <c r="L9" s="2"/>
      <c r="M9" s="12"/>
      <c r="P9" s="4"/>
      <c r="Q9" s="125" t="s">
        <v>261</v>
      </c>
      <c r="R9" s="2" t="s">
        <v>111</v>
      </c>
      <c r="S9" s="6">
        <v>150</v>
      </c>
      <c r="T9" s="4" t="s">
        <v>25</v>
      </c>
      <c r="V9" s="2" t="s">
        <v>2</v>
      </c>
      <c r="W9" s="7">
        <f>$Q$312</f>
        <v>15.828899553921485</v>
      </c>
      <c r="X9" s="4" t="s">
        <v>0</v>
      </c>
    </row>
    <row r="10" spans="1:26" ht="18.75" x14ac:dyDescent="0.35">
      <c r="A10" s="4" t="s">
        <v>30</v>
      </c>
      <c r="C10" s="11">
        <f>2/3</f>
        <v>0.66666666666666663</v>
      </c>
      <c r="D10" s="4" t="s">
        <v>0</v>
      </c>
      <c r="F10" s="3" t="s">
        <v>89</v>
      </c>
      <c r="G10" s="3" t="s">
        <v>90</v>
      </c>
      <c r="H10" s="4" t="s">
        <v>1000</v>
      </c>
      <c r="J10" s="4"/>
      <c r="K10" s="125" t="s">
        <v>619</v>
      </c>
      <c r="L10" s="2" t="s">
        <v>62</v>
      </c>
      <c r="M10" s="7">
        <f>$Q$312</f>
        <v>15.828899553921485</v>
      </c>
      <c r="N10" s="4" t="s">
        <v>0</v>
      </c>
      <c r="P10" s="4"/>
      <c r="Q10" s="125" t="s">
        <v>596</v>
      </c>
      <c r="R10" s="2" t="s">
        <v>114</v>
      </c>
      <c r="S10" s="6">
        <v>60000</v>
      </c>
      <c r="T10" s="4" t="s">
        <v>23</v>
      </c>
      <c r="V10" s="2" t="s">
        <v>631</v>
      </c>
      <c r="W10" s="31">
        <f>W8*W9</f>
        <v>12317.201134404708</v>
      </c>
      <c r="X10" s="4" t="s">
        <v>622</v>
      </c>
    </row>
    <row r="11" spans="1:26" ht="18.75" x14ac:dyDescent="0.35">
      <c r="C11" s="3">
        <f>C10*12</f>
        <v>8</v>
      </c>
      <c r="D11" s="4" t="s">
        <v>21</v>
      </c>
      <c r="F11" s="3" t="s">
        <v>120</v>
      </c>
      <c r="G11" s="3" t="s">
        <v>21</v>
      </c>
      <c r="H11" s="8">
        <f>C142-C149-1.5/12</f>
        <v>8.9741666666666671</v>
      </c>
      <c r="I11" s="4" t="s">
        <v>0</v>
      </c>
      <c r="J11" s="4"/>
      <c r="K11" s="4"/>
      <c r="M11" s="2"/>
      <c r="N11" s="8"/>
      <c r="P11" s="4"/>
      <c r="Q11" s="125" t="s">
        <v>293</v>
      </c>
      <c r="R11" s="2" t="s">
        <v>294</v>
      </c>
      <c r="S11" s="6">
        <v>169</v>
      </c>
      <c r="T11" s="4" t="s">
        <v>25</v>
      </c>
      <c r="V11" s="2" t="s">
        <v>629</v>
      </c>
      <c r="W11" s="31">
        <f>MAX(F326:G326)</f>
        <v>12626.207306060645</v>
      </c>
      <c r="X11" s="4" t="s">
        <v>622</v>
      </c>
    </row>
    <row r="12" spans="1:26" ht="18.75" x14ac:dyDescent="0.35">
      <c r="A12" s="4" t="s">
        <v>29</v>
      </c>
      <c r="B12" s="2" t="s">
        <v>116</v>
      </c>
      <c r="C12" s="12">
        <f>C13/12</f>
        <v>0.31666666666666665</v>
      </c>
      <c r="D12" s="4" t="s">
        <v>0</v>
      </c>
      <c r="F12" s="7">
        <f>0.5*(C11-(C11-C13)/C3*H12-C13)/2*(C3-H12)</f>
        <v>185.67598029166663</v>
      </c>
      <c r="G12" s="88">
        <f>H12+(C3-H12)/3</f>
        <v>191.79333333333335</v>
      </c>
      <c r="H12" s="3">
        <f>H11*12</f>
        <v>107.69</v>
      </c>
      <c r="I12" s="4" t="s">
        <v>21</v>
      </c>
      <c r="J12" s="4"/>
      <c r="K12" s="125" t="s">
        <v>959</v>
      </c>
      <c r="M12" s="5">
        <v>0</v>
      </c>
      <c r="N12" s="54" t="s">
        <v>21</v>
      </c>
      <c r="P12" s="4"/>
      <c r="Q12" s="125"/>
      <c r="S12" s="4"/>
    </row>
    <row r="13" spans="1:26" ht="18.75" x14ac:dyDescent="0.35">
      <c r="C13" s="5">
        <v>3.8</v>
      </c>
      <c r="D13" s="4" t="s">
        <v>21</v>
      </c>
      <c r="F13" s="7">
        <f>0.5*(C11-(C11-C13)/C3*H12-C13)/2*(C3-H12)</f>
        <v>185.67598029166663</v>
      </c>
      <c r="G13" s="88">
        <f>H12+(C3-H12)/3</f>
        <v>191.79333333333335</v>
      </c>
      <c r="H13" s="4"/>
      <c r="J13" s="4"/>
      <c r="K13" s="4"/>
      <c r="N13" s="3"/>
      <c r="P13" s="4"/>
      <c r="Q13" s="128" t="s">
        <v>259</v>
      </c>
      <c r="R13" s="2"/>
      <c r="S13" s="3"/>
      <c r="V13" s="2" t="s">
        <v>112</v>
      </c>
      <c r="W13" s="10">
        <f>W2/3</f>
        <v>466.66666666666669</v>
      </c>
      <c r="X13" s="4" t="s">
        <v>6</v>
      </c>
    </row>
    <row r="14" spans="1:26" ht="18.75" x14ac:dyDescent="0.35">
      <c r="A14" s="4" t="s">
        <v>24</v>
      </c>
      <c r="B14" s="2" t="s">
        <v>118</v>
      </c>
      <c r="C14" s="5">
        <v>0.1196</v>
      </c>
      <c r="D14" s="4" t="s">
        <v>21</v>
      </c>
      <c r="E14" s="257" t="s">
        <v>968</v>
      </c>
      <c r="F14" s="226">
        <f>C13*(C9-H12)</f>
        <v>958.77800000000002</v>
      </c>
      <c r="G14" s="227">
        <f>H12+(C9-H12)/2</f>
        <v>233.845</v>
      </c>
      <c r="H14" s="4"/>
      <c r="J14" s="4"/>
      <c r="K14" s="4"/>
      <c r="L14" s="3"/>
      <c r="M14" s="2"/>
      <c r="N14" s="3"/>
      <c r="P14" s="4"/>
      <c r="Q14" s="125" t="s">
        <v>271</v>
      </c>
      <c r="R14" s="2"/>
      <c r="S14" s="5" t="s">
        <v>967</v>
      </c>
      <c r="V14" s="2" t="s">
        <v>1055</v>
      </c>
      <c r="W14" s="8">
        <f>2.34*W8/(W13*W4)</f>
        <v>1.9509241775726687</v>
      </c>
      <c r="X14" s="4" t="s">
        <v>0</v>
      </c>
    </row>
    <row r="15" spans="1:26" ht="18.75" x14ac:dyDescent="0.35">
      <c r="A15" s="4" t="s">
        <v>26</v>
      </c>
      <c r="B15" s="2" t="s">
        <v>119</v>
      </c>
      <c r="C15" s="12">
        <f>PI()/4*(C11^2-(C11-2*C14)^2)</f>
        <v>2.960938006982945</v>
      </c>
      <c r="D15" s="4" t="s">
        <v>120</v>
      </c>
      <c r="E15" s="257"/>
      <c r="F15" s="8">
        <f>SUM(F12:F14)</f>
        <v>1330.1299605833333</v>
      </c>
      <c r="G15" s="8">
        <f>(F12*G12+F13*G13+F14*G14)/(F15)</f>
        <v>222.10481721694694</v>
      </c>
      <c r="H15" s="4"/>
      <c r="J15" s="4"/>
      <c r="N15" s="3"/>
      <c r="P15" s="4"/>
      <c r="Q15" s="125"/>
      <c r="R15" s="2"/>
      <c r="S15" s="8"/>
      <c r="V15" s="2"/>
      <c r="W15" s="3"/>
    </row>
    <row r="16" spans="1:26" ht="18.75" x14ac:dyDescent="0.35">
      <c r="C16" s="12">
        <f>C15/144</f>
        <v>2.0562069492937117E-2</v>
      </c>
      <c r="D16" s="4" t="s">
        <v>121</v>
      </c>
      <c r="E16" s="257"/>
      <c r="I16" s="3"/>
      <c r="J16" s="3"/>
      <c r="N16" s="3"/>
      <c r="P16" s="4"/>
      <c r="Q16" s="125"/>
      <c r="R16" s="2" t="s">
        <v>104</v>
      </c>
      <c r="S16" s="3">
        <f>IF(S14="B",1200,IF(S14="C",900,"ERROR"))</f>
        <v>900</v>
      </c>
      <c r="T16" s="4" t="s">
        <v>0</v>
      </c>
      <c r="U16" s="3"/>
      <c r="V16" s="2" t="s">
        <v>115</v>
      </c>
      <c r="W16" s="19">
        <v>7</v>
      </c>
      <c r="X16" s="4" t="s">
        <v>0</v>
      </c>
    </row>
    <row r="17" spans="1:24" ht="18.75" x14ac:dyDescent="0.35">
      <c r="A17" s="13" t="s">
        <v>768</v>
      </c>
      <c r="B17" s="14" t="s">
        <v>122</v>
      </c>
      <c r="C17" s="15">
        <f>F7</f>
        <v>2124</v>
      </c>
      <c r="D17" s="16" t="s">
        <v>120</v>
      </c>
      <c r="E17" s="256" t="s">
        <v>978</v>
      </c>
      <c r="F17" s="255"/>
      <c r="G17" s="255"/>
      <c r="H17" s="255"/>
      <c r="I17" s="3"/>
      <c r="J17" s="3"/>
      <c r="N17" s="3"/>
      <c r="P17" s="4"/>
      <c r="Q17" s="125"/>
      <c r="R17" s="2" t="s">
        <v>14</v>
      </c>
      <c r="S17" s="3">
        <f>IF(S14="B",7,IF(S14="C",9.5,"ERROR"))</f>
        <v>9.5</v>
      </c>
      <c r="T17" s="4" t="s">
        <v>22</v>
      </c>
      <c r="U17" s="3"/>
      <c r="V17" s="2" t="s">
        <v>117</v>
      </c>
      <c r="W17" s="8">
        <f>0.5*W14*(1+(1+(4.36*W9/W14))^(1/2))</f>
        <v>6.8586412962169874</v>
      </c>
      <c r="X17" s="4" t="s">
        <v>0</v>
      </c>
    </row>
    <row r="18" spans="1:24" ht="18.75" x14ac:dyDescent="0.35">
      <c r="A18" s="17"/>
      <c r="C18" s="8">
        <f>C17/144</f>
        <v>14.75</v>
      </c>
      <c r="D18" s="18" t="s">
        <v>121</v>
      </c>
      <c r="F18" s="3" t="s">
        <v>89</v>
      </c>
      <c r="G18" s="3" t="s">
        <v>90</v>
      </c>
      <c r="H18" s="4" t="s">
        <v>1000</v>
      </c>
      <c r="J18" s="3"/>
      <c r="N18" s="3"/>
      <c r="P18" s="4"/>
      <c r="Q18" s="125"/>
      <c r="R18" s="2" t="s">
        <v>272</v>
      </c>
      <c r="S18" s="3">
        <f>IF(S14="B",0.7,IF(S14="C",0.85,"ERROR"))</f>
        <v>0.85</v>
      </c>
      <c r="T18" s="4" t="s">
        <v>22</v>
      </c>
      <c r="U18" s="3"/>
      <c r="V18" s="3"/>
      <c r="W18" s="19"/>
    </row>
    <row r="19" spans="1:24" ht="18.75" x14ac:dyDescent="0.35">
      <c r="A19" s="17" t="s">
        <v>36</v>
      </c>
      <c r="B19" s="2" t="s">
        <v>123</v>
      </c>
      <c r="C19" s="5">
        <f>0</f>
        <v>0</v>
      </c>
      <c r="D19" s="18" t="s">
        <v>0</v>
      </c>
      <c r="F19" s="3" t="s">
        <v>120</v>
      </c>
      <c r="G19" s="3" t="s">
        <v>21</v>
      </c>
      <c r="H19" s="8">
        <f>C99+2/12</f>
        <v>10.166666666666666</v>
      </c>
      <c r="I19" s="4" t="s">
        <v>0</v>
      </c>
      <c r="J19" s="3"/>
      <c r="N19" s="3"/>
      <c r="P19" s="4"/>
      <c r="Q19" s="125"/>
      <c r="R19" s="2" t="s">
        <v>273</v>
      </c>
      <c r="S19" s="8">
        <f>IF(S14="B",0.9,IF(S14="C",1,"ERROR"))</f>
        <v>1</v>
      </c>
      <c r="T19" s="4" t="s">
        <v>22</v>
      </c>
      <c r="U19" s="3"/>
      <c r="V19" s="4" t="s">
        <v>560</v>
      </c>
    </row>
    <row r="20" spans="1:24" ht="18.75" x14ac:dyDescent="0.35">
      <c r="A20" s="17"/>
      <c r="C20" s="3">
        <f>C19*12</f>
        <v>0</v>
      </c>
      <c r="D20" s="18" t="s">
        <v>21</v>
      </c>
      <c r="F20" s="7">
        <f>0.5*(C11-(C11-C13)/C3*H20-C13)/2*(C3-H20)</f>
        <v>165.21166666666664</v>
      </c>
      <c r="G20" s="7">
        <f>H20+(C3-H20)/3</f>
        <v>201.33333333333331</v>
      </c>
      <c r="H20" s="3">
        <f>H19*12</f>
        <v>122</v>
      </c>
      <c r="I20" s="4" t="s">
        <v>21</v>
      </c>
      <c r="J20" s="3"/>
      <c r="N20" s="3"/>
      <c r="P20" s="4"/>
      <c r="Q20" s="125"/>
      <c r="R20" s="2"/>
      <c r="S20" s="8"/>
      <c r="U20" s="3"/>
      <c r="V20" s="2" t="s">
        <v>630</v>
      </c>
      <c r="W20" s="19">
        <v>5</v>
      </c>
      <c r="X20" s="4" t="s">
        <v>0</v>
      </c>
    </row>
    <row r="21" spans="1:24" ht="18.75" x14ac:dyDescent="0.35">
      <c r="A21" s="17" t="s">
        <v>807</v>
      </c>
      <c r="B21" s="2" t="s">
        <v>124</v>
      </c>
      <c r="C21" s="7">
        <f>C22/12</f>
        <v>13.220338983050846</v>
      </c>
      <c r="D21" s="18" t="s">
        <v>0</v>
      </c>
      <c r="F21" s="7">
        <f>0.5*(C11-(C11-C13)/C3*H20-C13)/2*(C3-H20)</f>
        <v>165.21166666666664</v>
      </c>
      <c r="G21" s="7">
        <f>H20+(C3-H20)/3</f>
        <v>201.33333333333331</v>
      </c>
      <c r="I21" s="3"/>
      <c r="J21" s="3"/>
      <c r="N21" s="3"/>
      <c r="P21" s="4"/>
      <c r="Q21" s="125" t="s">
        <v>267</v>
      </c>
      <c r="R21" s="2" t="s">
        <v>269</v>
      </c>
      <c r="S21" s="19">
        <v>1</v>
      </c>
      <c r="T21" s="4" t="s">
        <v>22</v>
      </c>
      <c r="U21" s="3"/>
      <c r="V21" s="2" t="s">
        <v>559</v>
      </c>
      <c r="W21" s="3">
        <f>W3</f>
        <v>1000</v>
      </c>
      <c r="X21" s="4" t="s">
        <v>6</v>
      </c>
    </row>
    <row r="22" spans="1:24" ht="18.75" x14ac:dyDescent="0.35">
      <c r="A22" s="17"/>
      <c r="C22" s="7">
        <f>$G$7</f>
        <v>158.64406779661016</v>
      </c>
      <c r="D22" s="18" t="s">
        <v>21</v>
      </c>
      <c r="F22" s="226">
        <f>C13*(C9-H20)</f>
        <v>904.4</v>
      </c>
      <c r="G22" s="227">
        <f>H20+(C9-H20)/2</f>
        <v>241</v>
      </c>
      <c r="I22" s="3"/>
      <c r="J22" s="3"/>
      <c r="N22" s="3"/>
      <c r="P22" s="4"/>
      <c r="Q22" s="125" t="s">
        <v>268</v>
      </c>
      <c r="R22" s="2" t="s">
        <v>270</v>
      </c>
      <c r="S22" s="5">
        <v>0.95</v>
      </c>
      <c r="T22" s="4" t="s">
        <v>22</v>
      </c>
      <c r="U22" s="3"/>
      <c r="V22" s="2" t="s">
        <v>63</v>
      </c>
      <c r="W22" s="8">
        <f>SQRT(4.25*MAX(W10,W11)/(W21*pile_diameter))</f>
        <v>5.1798349901689793</v>
      </c>
      <c r="X22" s="4" t="s">
        <v>0</v>
      </c>
    </row>
    <row r="23" spans="1:24" ht="18.75" x14ac:dyDescent="0.35">
      <c r="A23" s="17" t="s">
        <v>770</v>
      </c>
      <c r="B23" s="2" t="s">
        <v>804</v>
      </c>
      <c r="C23" s="7">
        <f>F15</f>
        <v>1330.1299605833333</v>
      </c>
      <c r="D23" s="18" t="s">
        <v>120</v>
      </c>
      <c r="F23" s="8">
        <f>SUM(F20:F22)</f>
        <v>1234.8233333333333</v>
      </c>
      <c r="G23" s="8">
        <f>(F20*G20+F21*G21+F22*G22)/(F23)</f>
        <v>230.38569439982868</v>
      </c>
      <c r="I23" s="3"/>
      <c r="J23" s="3"/>
      <c r="N23" s="3"/>
      <c r="P23" s="4"/>
      <c r="Q23" s="125" t="s">
        <v>10</v>
      </c>
      <c r="R23" s="2" t="s">
        <v>8</v>
      </c>
      <c r="S23" s="5">
        <v>85</v>
      </c>
      <c r="T23" s="4" t="s">
        <v>13</v>
      </c>
      <c r="U23" s="3"/>
    </row>
    <row r="24" spans="1:24" ht="16.5" x14ac:dyDescent="0.2">
      <c r="A24" s="17"/>
      <c r="C24" s="8">
        <f>C23/144</f>
        <v>9.2370136151620361</v>
      </c>
      <c r="D24" s="18" t="s">
        <v>121</v>
      </c>
      <c r="I24" s="3"/>
      <c r="J24" s="3"/>
      <c r="N24" s="3"/>
      <c r="P24" s="4"/>
      <c r="Q24" s="125"/>
      <c r="R24" s="2"/>
      <c r="S24" s="3"/>
      <c r="U24" s="3"/>
    </row>
    <row r="25" spans="1:24" ht="18.75" x14ac:dyDescent="0.35">
      <c r="A25" s="17" t="s">
        <v>808</v>
      </c>
      <c r="B25" s="2" t="s">
        <v>809</v>
      </c>
      <c r="C25" s="7">
        <f>C26/12</f>
        <v>18.508734768078913</v>
      </c>
      <c r="D25" s="18" t="s">
        <v>0</v>
      </c>
      <c r="E25" s="256" t="s">
        <v>979</v>
      </c>
      <c r="F25" s="255"/>
      <c r="G25" s="255"/>
      <c r="H25" s="255"/>
      <c r="I25" s="3"/>
      <c r="J25" s="3"/>
      <c r="N25" s="3"/>
      <c r="P25" s="4"/>
      <c r="Q25" s="125" t="s">
        <v>276</v>
      </c>
      <c r="R25" s="2"/>
      <c r="S25" s="5" t="s">
        <v>277</v>
      </c>
      <c r="U25" s="3"/>
    </row>
    <row r="26" spans="1:24" x14ac:dyDescent="0.2">
      <c r="A26" s="17"/>
      <c r="C26" s="7">
        <f>G15</f>
        <v>222.10481721694694</v>
      </c>
      <c r="D26" s="18" t="s">
        <v>21</v>
      </c>
      <c r="F26" s="3" t="s">
        <v>89</v>
      </c>
      <c r="G26" s="3" t="s">
        <v>90</v>
      </c>
      <c r="H26" s="4" t="s">
        <v>1000</v>
      </c>
      <c r="J26" s="3"/>
      <c r="N26" s="3"/>
      <c r="P26" s="4"/>
      <c r="Q26" s="125" t="s">
        <v>12</v>
      </c>
      <c r="R26" s="2" t="s">
        <v>260</v>
      </c>
      <c r="S26" s="8">
        <v>1</v>
      </c>
      <c r="T26" s="4" t="s">
        <v>22</v>
      </c>
      <c r="U26" s="3"/>
    </row>
    <row r="27" spans="1:24" ht="18.75" x14ac:dyDescent="0.35">
      <c r="A27" s="17" t="s">
        <v>771</v>
      </c>
      <c r="B27" s="2" t="s">
        <v>805</v>
      </c>
      <c r="C27" s="7">
        <f>F23</f>
        <v>1234.8233333333333</v>
      </c>
      <c r="D27" s="18" t="s">
        <v>120</v>
      </c>
      <c r="F27" s="3" t="s">
        <v>120</v>
      </c>
      <c r="G27" s="3" t="s">
        <v>21</v>
      </c>
      <c r="H27" s="8">
        <f>C117+4/12</f>
        <v>24.833333333333332</v>
      </c>
      <c r="I27" s="4" t="s">
        <v>0</v>
      </c>
      <c r="J27" s="3"/>
      <c r="N27" s="3"/>
      <c r="P27" s="4"/>
      <c r="Q27" s="125" t="s">
        <v>274</v>
      </c>
      <c r="R27" s="2" t="s">
        <v>275</v>
      </c>
      <c r="S27" s="19">
        <v>1.1000000000000001</v>
      </c>
      <c r="T27" s="4" t="s">
        <v>22</v>
      </c>
      <c r="U27" s="3"/>
    </row>
    <row r="28" spans="1:24" ht="16.5" x14ac:dyDescent="0.2">
      <c r="A28" s="17"/>
      <c r="C28" s="8">
        <f>C27/144</f>
        <v>8.5751620370370372</v>
      </c>
      <c r="D28" s="18" t="s">
        <v>121</v>
      </c>
      <c r="F28" s="7">
        <f>0.5*(C11-(C11-C13)/C3*H28-C13)/2*(C3-H28)</f>
        <v>11.211666666666671</v>
      </c>
      <c r="G28" s="7">
        <f>H28+(C3-H28)/3</f>
        <v>318.66666666666669</v>
      </c>
      <c r="H28" s="3">
        <f>H27*12</f>
        <v>298</v>
      </c>
      <c r="I28" s="4" t="s">
        <v>21</v>
      </c>
      <c r="J28" s="5"/>
      <c r="N28" s="3"/>
      <c r="P28" s="4"/>
      <c r="Q28" s="3"/>
      <c r="S28" s="4"/>
      <c r="T28" s="125"/>
      <c r="U28" s="3"/>
    </row>
    <row r="29" spans="1:24" ht="18.75" x14ac:dyDescent="0.35">
      <c r="A29" s="17" t="s">
        <v>811</v>
      </c>
      <c r="B29" s="2" t="s">
        <v>810</v>
      </c>
      <c r="C29" s="7">
        <f>C30/12</f>
        <v>19.198807866652391</v>
      </c>
      <c r="D29" s="18" t="s">
        <v>0</v>
      </c>
      <c r="F29" s="7">
        <f>0.5*(C11-(C11-C13)/C3*H28-C13)/2*(C3-H28)</f>
        <v>11.211666666666671</v>
      </c>
      <c r="G29" s="7">
        <f>H28+(C3-H28)/3</f>
        <v>318.66666666666669</v>
      </c>
      <c r="H29" s="5"/>
      <c r="I29" s="5"/>
      <c r="J29" s="5"/>
      <c r="N29" s="3"/>
      <c r="P29" s="4"/>
      <c r="S29" s="4"/>
      <c r="U29" s="3"/>
      <c r="V29" s="3"/>
      <c r="W29" s="3"/>
    </row>
    <row r="30" spans="1:24" x14ac:dyDescent="0.2">
      <c r="A30" s="17"/>
      <c r="C30" s="7">
        <f>G23</f>
        <v>230.38569439982868</v>
      </c>
      <c r="D30" s="18" t="s">
        <v>21</v>
      </c>
      <c r="F30" s="226">
        <f>C13*(C9-H28)</f>
        <v>235.6</v>
      </c>
      <c r="G30" s="227">
        <f>H28+(C9-H28)/2</f>
        <v>329</v>
      </c>
      <c r="H30" s="5"/>
      <c r="I30" s="5"/>
      <c r="J30" s="5"/>
      <c r="N30" s="3"/>
      <c r="P30" s="4"/>
      <c r="Q30" s="125"/>
      <c r="R30" s="2"/>
      <c r="S30" s="5"/>
      <c r="U30" s="3"/>
      <c r="V30" s="3"/>
      <c r="W30" s="3"/>
    </row>
    <row r="31" spans="1:24" ht="18.75" x14ac:dyDescent="0.35">
      <c r="A31" s="17" t="s">
        <v>772</v>
      </c>
      <c r="B31" s="2" t="s">
        <v>806</v>
      </c>
      <c r="C31" s="7">
        <f>F31</f>
        <v>258.02333333333331</v>
      </c>
      <c r="D31" s="18" t="s">
        <v>120</v>
      </c>
      <c r="F31" s="8">
        <f>SUM(F28:F30)</f>
        <v>258.02333333333331</v>
      </c>
      <c r="G31" s="8">
        <f>(F28*G28+F29*G29+F30*G30)/(F31)</f>
        <v>328.10198905353093</v>
      </c>
      <c r="H31" s="5"/>
      <c r="I31" s="5"/>
      <c r="J31" s="5"/>
      <c r="N31" s="3"/>
      <c r="P31" s="4"/>
      <c r="Q31" s="125"/>
      <c r="R31" s="2"/>
      <c r="S31" s="5"/>
      <c r="U31" s="3"/>
      <c r="V31" s="3"/>
      <c r="W31" s="3"/>
    </row>
    <row r="32" spans="1:24" ht="16.5" x14ac:dyDescent="0.2">
      <c r="A32" s="17"/>
      <c r="C32" s="8">
        <f>C31/144</f>
        <v>1.7918287037037035</v>
      </c>
      <c r="D32" s="18" t="s">
        <v>121</v>
      </c>
      <c r="F32" s="19"/>
      <c r="G32" s="19"/>
      <c r="H32" s="5"/>
      <c r="I32" s="5"/>
      <c r="J32" s="5"/>
      <c r="N32" s="3"/>
      <c r="P32" s="4"/>
      <c r="Q32" s="125"/>
      <c r="R32" s="2"/>
      <c r="S32" s="5"/>
      <c r="U32" s="3"/>
      <c r="V32" s="3"/>
      <c r="W32" s="3"/>
    </row>
    <row r="33" spans="1:23" ht="18.75" x14ac:dyDescent="0.35">
      <c r="A33" s="17" t="s">
        <v>818</v>
      </c>
      <c r="B33" s="2" t="s">
        <v>812</v>
      </c>
      <c r="C33" s="7">
        <f>C34/12</f>
        <v>27.341832421127577</v>
      </c>
      <c r="D33" s="18" t="s">
        <v>0</v>
      </c>
      <c r="F33" s="19"/>
      <c r="G33" s="19"/>
      <c r="H33" s="5"/>
      <c r="I33" s="5"/>
      <c r="J33" s="3"/>
      <c r="K33" s="4"/>
      <c r="M33" s="3"/>
      <c r="P33" s="125"/>
      <c r="Q33" s="2"/>
      <c r="R33" s="5"/>
      <c r="S33" s="4"/>
      <c r="T33" s="3"/>
      <c r="U33" s="3"/>
      <c r="V33" s="3"/>
    </row>
    <row r="34" spans="1:23" x14ac:dyDescent="0.2">
      <c r="A34" s="17"/>
      <c r="C34" s="7">
        <f>G31</f>
        <v>328.10198905353093</v>
      </c>
      <c r="D34" s="18" t="s">
        <v>21</v>
      </c>
      <c r="F34" s="19"/>
      <c r="G34" s="19"/>
      <c r="H34" s="5"/>
      <c r="I34" s="5"/>
      <c r="J34" s="3"/>
      <c r="K34" s="4"/>
      <c r="M34" s="3"/>
      <c r="P34" s="125"/>
      <c r="Q34" s="2"/>
      <c r="R34" s="5"/>
      <c r="S34" s="4"/>
      <c r="T34" s="3"/>
      <c r="U34" s="3"/>
      <c r="V34" s="3"/>
    </row>
    <row r="35" spans="1:23" ht="18.75" x14ac:dyDescent="0.35">
      <c r="A35" s="20" t="s">
        <v>262</v>
      </c>
      <c r="B35" s="21" t="s">
        <v>125</v>
      </c>
      <c r="C35" s="22">
        <f>C16*C2*S2</f>
        <v>302.26242154617563</v>
      </c>
      <c r="D35" s="23" t="s">
        <v>7</v>
      </c>
      <c r="F35" s="19"/>
      <c r="G35" s="19"/>
      <c r="H35" s="5"/>
      <c r="I35" s="5"/>
      <c r="J35" s="3"/>
      <c r="K35" s="4"/>
      <c r="M35" s="3"/>
      <c r="P35" s="125"/>
      <c r="Q35" s="2"/>
      <c r="R35" s="5"/>
      <c r="S35" s="4"/>
      <c r="T35" s="3"/>
      <c r="U35" s="3"/>
      <c r="V35" s="3"/>
    </row>
    <row r="36" spans="1:23" x14ac:dyDescent="0.2">
      <c r="F36" s="4"/>
      <c r="G36" s="4"/>
      <c r="H36" s="5"/>
      <c r="I36" s="5"/>
      <c r="J36" s="3"/>
      <c r="K36" s="4"/>
      <c r="M36" s="3"/>
      <c r="P36" s="4"/>
      <c r="S36" s="4"/>
      <c r="T36" s="3"/>
      <c r="U36" s="3"/>
      <c r="V36" s="3"/>
    </row>
    <row r="37" spans="1:23" ht="15" x14ac:dyDescent="0.25">
      <c r="A37" s="1" t="s">
        <v>279</v>
      </c>
      <c r="F37" s="4"/>
      <c r="G37" s="4"/>
      <c r="H37" s="8"/>
      <c r="I37" s="8"/>
      <c r="J37" s="3"/>
      <c r="K37" s="4"/>
      <c r="M37" s="3"/>
      <c r="P37" s="4"/>
      <c r="S37" s="4"/>
      <c r="T37" s="3"/>
      <c r="U37" s="3"/>
      <c r="V37" s="3"/>
    </row>
    <row r="38" spans="1:23" ht="18.75" x14ac:dyDescent="0.35">
      <c r="A38" s="4" t="s">
        <v>53</v>
      </c>
      <c r="B38" s="2" t="s">
        <v>129</v>
      </c>
      <c r="C38" s="8">
        <f>C39/12</f>
        <v>8.7550000000000008</v>
      </c>
      <c r="D38" s="4" t="s">
        <v>0</v>
      </c>
      <c r="I38" s="3"/>
      <c r="J38" s="3"/>
      <c r="K38" s="4"/>
      <c r="M38" s="3"/>
      <c r="P38" s="4"/>
      <c r="S38" s="4"/>
      <c r="T38" s="3"/>
      <c r="U38" s="3"/>
      <c r="V38" s="3"/>
    </row>
    <row r="39" spans="1:23" x14ac:dyDescent="0.2">
      <c r="C39" s="19">
        <v>105.06</v>
      </c>
      <c r="D39" s="4" t="s">
        <v>21</v>
      </c>
      <c r="I39" s="3"/>
      <c r="J39" s="3"/>
      <c r="K39" s="4"/>
      <c r="M39" s="3"/>
      <c r="T39" s="3"/>
      <c r="U39" s="3"/>
      <c r="V39" s="3"/>
    </row>
    <row r="40" spans="1:23" x14ac:dyDescent="0.2">
      <c r="A40" s="4" t="s">
        <v>54</v>
      </c>
      <c r="B40" s="2" t="s">
        <v>55</v>
      </c>
      <c r="C40" s="8">
        <f>ATAN(C4/C6)</f>
        <v>0.35877067027057225</v>
      </c>
      <c r="D40" s="4" t="s">
        <v>57</v>
      </c>
      <c r="I40" s="3"/>
      <c r="J40" s="3"/>
      <c r="K40" s="4"/>
      <c r="M40" s="3"/>
      <c r="P40" s="125"/>
      <c r="Q40" s="2"/>
      <c r="R40" s="3"/>
      <c r="S40" s="4"/>
      <c r="T40" s="3"/>
      <c r="U40" s="3"/>
      <c r="V40" s="3"/>
    </row>
    <row r="41" spans="1:23" x14ac:dyDescent="0.2">
      <c r="C41" s="8">
        <f>DEGREES(ATAN(C4/C6))</f>
        <v>20.556045219583467</v>
      </c>
      <c r="D41" s="4" t="s">
        <v>56</v>
      </c>
      <c r="I41" s="3"/>
      <c r="J41" s="3"/>
      <c r="K41" s="4"/>
      <c r="M41" s="3"/>
      <c r="P41" s="125"/>
      <c r="Q41" s="2"/>
      <c r="R41" s="8"/>
      <c r="S41" s="4"/>
      <c r="T41" s="3"/>
    </row>
    <row r="42" spans="1:23" ht="18.75" x14ac:dyDescent="0.35">
      <c r="A42" s="4" t="s">
        <v>31</v>
      </c>
      <c r="B42" s="2" t="s">
        <v>130</v>
      </c>
      <c r="C42" s="12">
        <f>C43/12</f>
        <v>0.19791666666666666</v>
      </c>
      <c r="D42" s="4" t="s">
        <v>0</v>
      </c>
      <c r="I42" s="3"/>
      <c r="J42" s="3"/>
      <c r="K42" s="4"/>
      <c r="M42" s="3"/>
      <c r="P42" s="125"/>
      <c r="Q42" s="2"/>
      <c r="R42" s="3"/>
      <c r="S42" s="4"/>
      <c r="T42" s="3"/>
    </row>
    <row r="43" spans="1:23" x14ac:dyDescent="0.2">
      <c r="C43" s="5">
        <v>2.375</v>
      </c>
      <c r="D43" s="4" t="s">
        <v>21</v>
      </c>
      <c r="I43" s="3"/>
      <c r="J43" s="3"/>
      <c r="K43" s="4"/>
      <c r="M43" s="3"/>
      <c r="P43" s="125"/>
      <c r="Q43" s="2"/>
      <c r="R43" s="3"/>
      <c r="S43" s="4"/>
      <c r="T43" s="3"/>
    </row>
    <row r="44" spans="1:23" ht="18.75" x14ac:dyDescent="0.35">
      <c r="A44" s="4" t="s">
        <v>32</v>
      </c>
      <c r="B44" s="2" t="s">
        <v>131</v>
      </c>
      <c r="C44" s="5">
        <v>0.1875</v>
      </c>
      <c r="D44" s="4" t="s">
        <v>21</v>
      </c>
      <c r="F44" s="4"/>
      <c r="G44" s="4"/>
      <c r="J44" s="3"/>
      <c r="K44" s="4"/>
      <c r="M44" s="3"/>
      <c r="P44" s="125"/>
      <c r="Q44" s="2"/>
      <c r="R44" s="3"/>
      <c r="S44" s="4"/>
      <c r="T44" s="3"/>
    </row>
    <row r="45" spans="1:23" ht="18.75" x14ac:dyDescent="0.35">
      <c r="A45" s="4" t="s">
        <v>33</v>
      </c>
      <c r="B45" s="2" t="s">
        <v>132</v>
      </c>
      <c r="C45" s="12">
        <f>PI()/4*(C43^2-(C43-2*C44)^2)</f>
        <v>1.2885438618239387</v>
      </c>
      <c r="D45" s="4" t="s">
        <v>120</v>
      </c>
      <c r="E45" s="3"/>
      <c r="F45" s="8"/>
      <c r="G45" s="41"/>
      <c r="H45" s="41"/>
      <c r="I45" s="41"/>
      <c r="J45" s="8"/>
      <c r="K45" s="41"/>
      <c r="M45" s="3"/>
      <c r="T45" s="2"/>
    </row>
    <row r="46" spans="1:23" ht="16.5" x14ac:dyDescent="0.2">
      <c r="C46" s="12">
        <f>C45/144</f>
        <v>8.9482212626662404E-3</v>
      </c>
      <c r="D46" s="4" t="s">
        <v>121</v>
      </c>
      <c r="E46" s="2"/>
      <c r="F46" s="8"/>
      <c r="G46" s="41"/>
      <c r="H46" s="41"/>
      <c r="I46" s="41"/>
      <c r="J46" s="7"/>
      <c r="K46" s="41"/>
      <c r="M46" s="3"/>
      <c r="T46" s="2"/>
      <c r="W46" s="3"/>
    </row>
    <row r="47" spans="1:23" ht="18.75" x14ac:dyDescent="0.35">
      <c r="A47" s="13" t="s">
        <v>579</v>
      </c>
      <c r="B47" s="14" t="s">
        <v>133</v>
      </c>
      <c r="C47" s="77">
        <v>279.29160000000002</v>
      </c>
      <c r="D47" s="16" t="s">
        <v>120</v>
      </c>
      <c r="E47" s="2"/>
      <c r="F47" s="8"/>
      <c r="G47" s="41"/>
      <c r="I47" s="3"/>
      <c r="J47" s="8"/>
      <c r="K47" s="41"/>
      <c r="M47" s="3"/>
      <c r="T47" s="2"/>
      <c r="W47" s="3"/>
    </row>
    <row r="48" spans="1:23" ht="16.5" x14ac:dyDescent="0.2">
      <c r="A48" s="17"/>
      <c r="C48" s="8">
        <f>C47/144</f>
        <v>1.9395250000000002</v>
      </c>
      <c r="D48" s="18" t="s">
        <v>121</v>
      </c>
      <c r="E48" s="2"/>
      <c r="F48" s="19"/>
      <c r="G48" s="41"/>
      <c r="H48" s="76"/>
      <c r="I48" s="76"/>
      <c r="J48" s="8"/>
      <c r="K48" s="41"/>
      <c r="T48" s="2"/>
      <c r="W48" s="3"/>
    </row>
    <row r="49" spans="1:20" ht="18.75" x14ac:dyDescent="0.35">
      <c r="A49" s="17" t="s">
        <v>580</v>
      </c>
      <c r="B49" s="2" t="s">
        <v>133</v>
      </c>
      <c r="C49" s="8">
        <f>C39*C43</f>
        <v>249.51750000000001</v>
      </c>
      <c r="D49" s="18" t="s">
        <v>120</v>
      </c>
      <c r="E49" s="2"/>
      <c r="F49" s="55"/>
      <c r="G49" s="4"/>
      <c r="J49" s="55"/>
      <c r="K49" s="4"/>
      <c r="T49" s="2"/>
    </row>
    <row r="50" spans="1:20" ht="17.25" x14ac:dyDescent="0.25">
      <c r="A50" s="17"/>
      <c r="C50" s="8">
        <f>C49/144</f>
        <v>1.7327604166666668</v>
      </c>
      <c r="D50" s="18" t="s">
        <v>121</v>
      </c>
      <c r="F50" s="55"/>
      <c r="G50" s="4"/>
      <c r="J50" s="55"/>
      <c r="K50" s="4"/>
      <c r="T50" s="2"/>
    </row>
    <row r="51" spans="1:20" ht="18.75" x14ac:dyDescent="0.35">
      <c r="A51" s="17" t="s">
        <v>47</v>
      </c>
      <c r="B51" s="2" t="s">
        <v>134</v>
      </c>
      <c r="C51" s="7">
        <f>C52/12</f>
        <v>4</v>
      </c>
      <c r="D51" s="18" t="s">
        <v>0</v>
      </c>
      <c r="T51" s="2"/>
    </row>
    <row r="52" spans="1:20" x14ac:dyDescent="0.2">
      <c r="A52" s="17"/>
      <c r="C52" s="5">
        <v>48</v>
      </c>
      <c r="D52" s="18" t="s">
        <v>21</v>
      </c>
      <c r="T52" s="2"/>
    </row>
    <row r="53" spans="1:20" ht="18.75" x14ac:dyDescent="0.35">
      <c r="A53" s="17" t="s">
        <v>48</v>
      </c>
      <c r="B53" s="2" t="s">
        <v>135</v>
      </c>
      <c r="C53" s="88">
        <f>C54/12</f>
        <v>30.959999999999997</v>
      </c>
      <c r="D53" s="18" t="s">
        <v>0</v>
      </c>
      <c r="T53" s="2"/>
    </row>
    <row r="54" spans="1:20" x14ac:dyDescent="0.2">
      <c r="A54" s="17"/>
      <c r="C54" s="19">
        <v>371.52</v>
      </c>
      <c r="D54" s="18" t="s">
        <v>21</v>
      </c>
      <c r="T54" s="2"/>
    </row>
    <row r="55" spans="1:20" ht="18.75" x14ac:dyDescent="0.35">
      <c r="A55" s="17" t="s">
        <v>760</v>
      </c>
      <c r="B55" s="2" t="s">
        <v>763</v>
      </c>
      <c r="C55" s="7">
        <f>C56/12</f>
        <v>14.308333333333332</v>
      </c>
      <c r="D55" s="18" t="s">
        <v>0</v>
      </c>
      <c r="T55" s="2"/>
    </row>
    <row r="56" spans="1:20" x14ac:dyDescent="0.2">
      <c r="A56" s="17"/>
      <c r="C56" s="19">
        <v>171.7</v>
      </c>
      <c r="D56" s="18" t="s">
        <v>21</v>
      </c>
      <c r="T56" s="2"/>
    </row>
    <row r="57" spans="1:20" ht="18.75" x14ac:dyDescent="0.35">
      <c r="A57" s="17" t="s">
        <v>761</v>
      </c>
      <c r="B57" s="2" t="s">
        <v>762</v>
      </c>
      <c r="C57" s="7">
        <f>C58/12</f>
        <v>10.68</v>
      </c>
      <c r="D57" s="18" t="s">
        <v>0</v>
      </c>
      <c r="T57" s="2"/>
    </row>
    <row r="58" spans="1:20" x14ac:dyDescent="0.2">
      <c r="A58" s="17"/>
      <c r="C58" s="19">
        <v>128.16</v>
      </c>
      <c r="D58" s="18" t="s">
        <v>21</v>
      </c>
      <c r="T58" s="2"/>
    </row>
    <row r="59" spans="1:20" ht="18.75" x14ac:dyDescent="0.35">
      <c r="A59" s="17" t="s">
        <v>813</v>
      </c>
      <c r="B59" s="2" t="s">
        <v>814</v>
      </c>
      <c r="C59" s="7">
        <f>C60/12</f>
        <v>8.5150000000000006</v>
      </c>
      <c r="D59" s="18" t="s">
        <v>0</v>
      </c>
      <c r="T59" s="2"/>
    </row>
    <row r="60" spans="1:20" x14ac:dyDescent="0.2">
      <c r="A60" s="17"/>
      <c r="C60" s="19">
        <v>102.18</v>
      </c>
      <c r="D60" s="18" t="s">
        <v>21</v>
      </c>
      <c r="T60" s="2"/>
    </row>
    <row r="61" spans="1:20" ht="18.75" x14ac:dyDescent="0.35">
      <c r="A61" s="17" t="s">
        <v>819</v>
      </c>
      <c r="B61" s="2" t="s">
        <v>815</v>
      </c>
      <c r="C61" s="7">
        <f>C62/12</f>
        <v>8.0758333333333336</v>
      </c>
      <c r="D61" s="18" t="s">
        <v>0</v>
      </c>
      <c r="T61" s="2"/>
    </row>
    <row r="62" spans="1:20" x14ac:dyDescent="0.2">
      <c r="A62" s="17"/>
      <c r="C62" s="19">
        <v>96.91</v>
      </c>
      <c r="D62" s="18" t="s">
        <v>21</v>
      </c>
      <c r="T62" s="2"/>
    </row>
    <row r="63" spans="1:20" ht="18.75" x14ac:dyDescent="0.35">
      <c r="A63" s="20" t="s">
        <v>34</v>
      </c>
      <c r="B63" s="21" t="s">
        <v>136</v>
      </c>
      <c r="C63" s="22">
        <f>C38*C46*SteelDensity*1.1</f>
        <v>42.226163986352546</v>
      </c>
      <c r="D63" s="23" t="s">
        <v>7</v>
      </c>
      <c r="T63" s="2"/>
    </row>
    <row r="64" spans="1:20" x14ac:dyDescent="0.2">
      <c r="T64" s="2"/>
    </row>
    <row r="65" spans="1:24" ht="15" x14ac:dyDescent="0.25">
      <c r="A65" s="1" t="s">
        <v>278</v>
      </c>
      <c r="C65" s="8"/>
    </row>
    <row r="66" spans="1:24" ht="18.75" x14ac:dyDescent="0.35">
      <c r="A66" s="4" t="s">
        <v>282</v>
      </c>
      <c r="B66" s="2" t="s">
        <v>280</v>
      </c>
      <c r="C66" s="8">
        <f>C67/12</f>
        <v>2.7583333333333333</v>
      </c>
      <c r="D66" s="4" t="s">
        <v>0</v>
      </c>
    </row>
    <row r="67" spans="1:24" x14ac:dyDescent="0.2">
      <c r="C67" s="19">
        <v>33.1</v>
      </c>
      <c r="D67" s="4" t="s">
        <v>21</v>
      </c>
    </row>
    <row r="68" spans="1:24" ht="18.75" x14ac:dyDescent="0.35">
      <c r="A68" s="4" t="s">
        <v>283</v>
      </c>
      <c r="B68" s="2" t="s">
        <v>281</v>
      </c>
      <c r="C68" s="8">
        <f>C69/12</f>
        <v>0.8833333333333333</v>
      </c>
      <c r="D68" s="4" t="s">
        <v>0</v>
      </c>
    </row>
    <row r="69" spans="1:24" x14ac:dyDescent="0.2">
      <c r="C69" s="19">
        <v>10.6</v>
      </c>
      <c r="D69" s="4" t="s">
        <v>21</v>
      </c>
    </row>
    <row r="70" spans="1:24" ht="18.75" x14ac:dyDescent="0.35">
      <c r="A70" s="4" t="s">
        <v>284</v>
      </c>
      <c r="B70" s="2" t="s">
        <v>285</v>
      </c>
      <c r="C70" s="8">
        <f>C71/12</f>
        <v>0.39166666666666666</v>
      </c>
      <c r="D70" s="4" t="s">
        <v>0</v>
      </c>
    </row>
    <row r="71" spans="1:24" x14ac:dyDescent="0.2">
      <c r="C71" s="19">
        <v>4.7</v>
      </c>
      <c r="D71" s="4" t="s">
        <v>21</v>
      </c>
    </row>
    <row r="72" spans="1:24" ht="18.75" x14ac:dyDescent="0.35">
      <c r="A72" s="13" t="s">
        <v>288</v>
      </c>
      <c r="B72" s="14" t="s">
        <v>289</v>
      </c>
      <c r="C72" s="53">
        <f>C66*C70</f>
        <v>1.0803472222222221</v>
      </c>
      <c r="D72" s="16" t="s">
        <v>121</v>
      </c>
      <c r="F72" s="4"/>
      <c r="G72" s="4"/>
      <c r="J72" s="4"/>
      <c r="K72" s="4"/>
    </row>
    <row r="73" spans="1:24" ht="16.5" x14ac:dyDescent="0.2">
      <c r="A73" s="17"/>
      <c r="C73" s="8">
        <f>C67*C71</f>
        <v>155.57000000000002</v>
      </c>
      <c r="D73" s="18" t="s">
        <v>120</v>
      </c>
      <c r="E73" s="3"/>
      <c r="F73" s="8"/>
      <c r="G73" s="41"/>
      <c r="J73" s="8"/>
      <c r="K73" s="41"/>
      <c r="P73" s="2"/>
      <c r="Q73" s="3"/>
    </row>
    <row r="74" spans="1:24" ht="18.75" x14ac:dyDescent="0.35">
      <c r="A74" s="17" t="s">
        <v>290</v>
      </c>
      <c r="B74" s="2" t="s">
        <v>291</v>
      </c>
      <c r="C74" s="8">
        <f>C75/12</f>
        <v>9.3791666666666664</v>
      </c>
      <c r="D74" s="18" t="s">
        <v>0</v>
      </c>
      <c r="E74" s="2"/>
      <c r="F74" s="19"/>
      <c r="G74" s="41"/>
      <c r="J74" s="19"/>
      <c r="K74" s="41"/>
      <c r="P74" s="2"/>
      <c r="Q74" s="3"/>
      <c r="T74" s="24"/>
      <c r="X74" s="3"/>
    </row>
    <row r="75" spans="1:24" x14ac:dyDescent="0.2">
      <c r="A75" s="17"/>
      <c r="C75" s="19">
        <v>112.55</v>
      </c>
      <c r="D75" s="18" t="s">
        <v>21</v>
      </c>
      <c r="E75" s="2"/>
      <c r="F75" s="8"/>
      <c r="G75" s="4"/>
      <c r="J75" s="8"/>
      <c r="K75" s="4"/>
      <c r="P75" s="2"/>
      <c r="Q75" s="3"/>
      <c r="S75" s="129"/>
      <c r="U75" s="25"/>
      <c r="X75" s="3"/>
    </row>
    <row r="76" spans="1:24" ht="18.75" x14ac:dyDescent="0.35">
      <c r="A76" s="17" t="s">
        <v>500</v>
      </c>
      <c r="B76" s="2" t="s">
        <v>292</v>
      </c>
      <c r="C76" s="8">
        <f>C77/12</f>
        <v>31.583333333333332</v>
      </c>
      <c r="D76" s="18" t="s">
        <v>0</v>
      </c>
      <c r="E76" s="2"/>
      <c r="F76" s="8"/>
      <c r="G76" s="4"/>
      <c r="J76" s="8"/>
      <c r="K76" s="4"/>
      <c r="P76" s="2"/>
      <c r="Q76" s="3"/>
      <c r="S76" s="129"/>
      <c r="T76" s="26"/>
      <c r="X76" s="3"/>
    </row>
    <row r="77" spans="1:24" ht="15" x14ac:dyDescent="0.25">
      <c r="A77" s="17"/>
      <c r="C77" s="19">
        <v>379</v>
      </c>
      <c r="D77" s="18" t="s">
        <v>21</v>
      </c>
      <c r="E77" s="2"/>
      <c r="F77" s="55"/>
      <c r="G77" s="4"/>
      <c r="J77" s="55"/>
      <c r="K77" s="4"/>
      <c r="P77" s="2"/>
      <c r="Q77" s="3"/>
      <c r="S77" s="129"/>
      <c r="T77" s="26"/>
      <c r="U77" s="26"/>
      <c r="V77" s="27"/>
      <c r="X77" s="3"/>
    </row>
    <row r="78" spans="1:24" ht="18.75" x14ac:dyDescent="0.35">
      <c r="A78" s="20" t="s">
        <v>286</v>
      </c>
      <c r="B78" s="21" t="s">
        <v>287</v>
      </c>
      <c r="C78" s="135">
        <f>27.5*1.1</f>
        <v>30.250000000000004</v>
      </c>
      <c r="D78" s="23" t="s">
        <v>7</v>
      </c>
      <c r="F78" s="55"/>
      <c r="G78" s="4"/>
      <c r="J78" s="55"/>
      <c r="K78" s="4"/>
      <c r="P78" s="2"/>
      <c r="Q78" s="3"/>
      <c r="S78" s="129"/>
      <c r="T78" s="26"/>
      <c r="U78" s="28"/>
      <c r="V78" s="27"/>
      <c r="X78" s="3"/>
    </row>
    <row r="79" spans="1:24" x14ac:dyDescent="0.2">
      <c r="J79" s="4"/>
      <c r="K79" s="4"/>
      <c r="P79" s="2"/>
      <c r="Q79" s="3"/>
      <c r="S79" s="129"/>
      <c r="T79" s="27"/>
      <c r="U79" s="28"/>
      <c r="V79" s="27"/>
      <c r="X79" s="3"/>
    </row>
    <row r="80" spans="1:24" ht="15" x14ac:dyDescent="0.25">
      <c r="A80" s="1" t="s">
        <v>1065</v>
      </c>
      <c r="F80" s="255"/>
      <c r="G80" s="255"/>
      <c r="J80" s="4"/>
      <c r="K80" s="4"/>
      <c r="P80" s="2"/>
      <c r="Q80" s="3"/>
      <c r="S80" s="129"/>
      <c r="T80" s="26"/>
      <c r="U80" s="28"/>
      <c r="V80" s="27"/>
      <c r="X80" s="3"/>
    </row>
    <row r="81" spans="1:24" ht="18.75" x14ac:dyDescent="0.35">
      <c r="A81" s="4" t="s">
        <v>980</v>
      </c>
      <c r="B81" s="2" t="s">
        <v>981</v>
      </c>
      <c r="C81" s="19">
        <f>16+1/12</f>
        <v>16.083333333333332</v>
      </c>
      <c r="D81" s="4" t="s">
        <v>0</v>
      </c>
      <c r="P81" s="2"/>
      <c r="Q81" s="3"/>
      <c r="S81" s="129"/>
      <c r="T81" s="26"/>
      <c r="U81" s="30"/>
      <c r="V81" s="27"/>
      <c r="X81" s="3"/>
    </row>
    <row r="82" spans="1:24" x14ac:dyDescent="0.2">
      <c r="C82" s="8">
        <f>C81*12</f>
        <v>193</v>
      </c>
      <c r="D82" s="4" t="s">
        <v>21</v>
      </c>
      <c r="P82" s="2"/>
      <c r="Q82" s="3"/>
      <c r="S82" s="129"/>
      <c r="T82" s="26"/>
      <c r="U82" s="30"/>
      <c r="V82" s="27"/>
      <c r="X82" s="3"/>
    </row>
    <row r="83" spans="1:24" ht="18.75" x14ac:dyDescent="0.35">
      <c r="A83" s="4" t="s">
        <v>295</v>
      </c>
      <c r="B83" s="2" t="s">
        <v>564</v>
      </c>
      <c r="C83" s="19">
        <v>0.01</v>
      </c>
      <c r="D83" s="4" t="s">
        <v>21</v>
      </c>
      <c r="F83" s="5"/>
      <c r="G83" s="5"/>
      <c r="P83" s="2"/>
      <c r="Q83" s="3"/>
      <c r="S83" s="129"/>
      <c r="T83" s="26"/>
      <c r="U83" s="30"/>
      <c r="V83" s="27"/>
      <c r="X83" s="3"/>
    </row>
    <row r="84" spans="1:24" x14ac:dyDescent="0.2">
      <c r="B84" s="4"/>
      <c r="C84" s="8">
        <f>C83/12</f>
        <v>8.3333333333333339E-4</v>
      </c>
      <c r="D84" s="4" t="s">
        <v>0</v>
      </c>
      <c r="F84" s="19"/>
      <c r="G84" s="19"/>
      <c r="P84" s="2"/>
      <c r="Q84" s="3"/>
      <c r="S84" s="129"/>
      <c r="T84" s="26"/>
      <c r="U84" s="30"/>
      <c r="V84" s="27"/>
      <c r="X84" s="3"/>
    </row>
    <row r="85" spans="1:24" ht="18.75" x14ac:dyDescent="0.35">
      <c r="A85" s="4" t="s">
        <v>296</v>
      </c>
      <c r="B85" s="2" t="s">
        <v>565</v>
      </c>
      <c r="C85" s="19">
        <f>37.5*0.2</f>
        <v>7.5</v>
      </c>
      <c r="D85" s="4" t="s">
        <v>21</v>
      </c>
      <c r="F85" s="19"/>
      <c r="G85" s="19"/>
      <c r="P85" s="2"/>
      <c r="Q85" s="3"/>
      <c r="S85" s="129"/>
      <c r="T85" s="27"/>
      <c r="U85" s="26"/>
      <c r="V85" s="27"/>
      <c r="X85" s="3"/>
    </row>
    <row r="86" spans="1:24" x14ac:dyDescent="0.2">
      <c r="B86" s="4"/>
      <c r="C86" s="8">
        <f>C85/12</f>
        <v>0.625</v>
      </c>
      <c r="D86" s="4" t="s">
        <v>0</v>
      </c>
      <c r="F86" s="8"/>
      <c r="G86" s="8"/>
      <c r="S86" s="129"/>
      <c r="T86" s="27"/>
      <c r="U86" s="32"/>
      <c r="V86" s="27"/>
      <c r="X86" s="3"/>
    </row>
    <row r="87" spans="1:24" ht="18.75" x14ac:dyDescent="0.35">
      <c r="A87" s="4" t="s">
        <v>297</v>
      </c>
      <c r="B87" s="2" t="s">
        <v>566</v>
      </c>
      <c r="C87" s="19">
        <f>7*12</f>
        <v>84</v>
      </c>
      <c r="D87" s="4" t="s">
        <v>21</v>
      </c>
      <c r="F87" s="4"/>
      <c r="G87" s="4"/>
      <c r="Q87" s="3"/>
      <c r="S87" s="129"/>
      <c r="T87" s="27"/>
      <c r="U87" s="28"/>
      <c r="V87" s="27"/>
      <c r="X87" s="3"/>
    </row>
    <row r="88" spans="1:24" x14ac:dyDescent="0.2">
      <c r="B88" s="4"/>
      <c r="C88" s="8">
        <f>C87/12</f>
        <v>7</v>
      </c>
      <c r="D88" s="4" t="s">
        <v>0</v>
      </c>
      <c r="E88" s="3"/>
      <c r="F88" s="19"/>
      <c r="G88" s="41"/>
      <c r="Q88" s="3"/>
      <c r="S88" s="129"/>
      <c r="T88" s="26"/>
      <c r="U88" s="28"/>
      <c r="V88" s="27"/>
      <c r="X88" s="3"/>
    </row>
    <row r="89" spans="1:24" ht="18.75" x14ac:dyDescent="0.35">
      <c r="A89" s="4" t="s">
        <v>298</v>
      </c>
      <c r="B89" s="2" t="s">
        <v>568</v>
      </c>
      <c r="C89" s="8">
        <f>C84*C86*C88*$S$11</f>
        <v>0.61614583333333339</v>
      </c>
      <c r="D89" s="4" t="s">
        <v>7</v>
      </c>
      <c r="E89" s="3"/>
      <c r="F89" s="19"/>
      <c r="G89" s="41"/>
      <c r="Q89" s="3"/>
      <c r="S89" s="129"/>
      <c r="T89" s="26"/>
      <c r="U89" s="28"/>
      <c r="V89" s="27"/>
      <c r="X89" s="3"/>
    </row>
    <row r="90" spans="1:24" ht="18.75" x14ac:dyDescent="0.35">
      <c r="A90" s="4" t="s">
        <v>613</v>
      </c>
      <c r="B90" s="2" t="s">
        <v>986</v>
      </c>
      <c r="C90" s="7">
        <f>C85*C87/144</f>
        <v>4.375</v>
      </c>
      <c r="D90" s="4" t="s">
        <v>121</v>
      </c>
      <c r="E90" s="3"/>
      <c r="F90" s="19"/>
      <c r="G90" s="41"/>
      <c r="Q90" s="3"/>
      <c r="S90" s="129"/>
      <c r="T90" s="26"/>
      <c r="U90" s="28"/>
      <c r="V90" s="27"/>
      <c r="X90" s="3"/>
    </row>
    <row r="91" spans="1:24" ht="18.75" x14ac:dyDescent="0.35">
      <c r="A91" s="4" t="s">
        <v>616</v>
      </c>
      <c r="B91" s="2" t="s">
        <v>987</v>
      </c>
      <c r="C91" s="7">
        <f>C83*C87/144</f>
        <v>5.8333333333333327E-3</v>
      </c>
      <c r="D91" s="4" t="s">
        <v>121</v>
      </c>
      <c r="E91" s="3"/>
      <c r="F91" s="19"/>
      <c r="G91" s="41"/>
      <c r="Q91" s="3"/>
      <c r="S91" s="129"/>
      <c r="T91" s="26"/>
      <c r="U91" s="28"/>
      <c r="V91" s="27"/>
      <c r="X91" s="3"/>
    </row>
    <row r="92" spans="1:24" ht="18.75" x14ac:dyDescent="0.35">
      <c r="A92" s="4" t="s">
        <v>605</v>
      </c>
      <c r="B92" s="2" t="s">
        <v>606</v>
      </c>
      <c r="C92" s="7">
        <f>($C$11-C94*($C$11-$C$13)/$C$9)/2+C85/2</f>
        <v>6.3791666666666664</v>
      </c>
      <c r="D92" s="4" t="s">
        <v>21</v>
      </c>
      <c r="E92" s="3"/>
      <c r="F92" s="19"/>
      <c r="G92" s="41"/>
      <c r="Q92" s="3"/>
      <c r="S92" s="129"/>
      <c r="T92" s="26"/>
      <c r="U92" s="28"/>
      <c r="V92" s="27"/>
      <c r="X92" s="3"/>
    </row>
    <row r="93" spans="1:24" x14ac:dyDescent="0.2">
      <c r="C93" s="7">
        <f>C92/12</f>
        <v>0.53159722222222217</v>
      </c>
      <c r="D93" s="4" t="s">
        <v>0</v>
      </c>
      <c r="E93" s="3"/>
      <c r="F93" s="19"/>
      <c r="G93" s="41"/>
      <c r="Q93" s="3"/>
      <c r="S93" s="129"/>
      <c r="T93" s="26"/>
      <c r="U93" s="28"/>
      <c r="V93" s="27"/>
      <c r="X93" s="3"/>
    </row>
    <row r="94" spans="1:24" ht="18.75" x14ac:dyDescent="0.35">
      <c r="A94" s="4" t="s">
        <v>509</v>
      </c>
      <c r="B94" s="2" t="s">
        <v>567</v>
      </c>
      <c r="C94" s="7">
        <f>C82+C87/2</f>
        <v>235</v>
      </c>
      <c r="D94" s="4" t="s">
        <v>21</v>
      </c>
      <c r="E94" s="3"/>
      <c r="F94" s="19"/>
      <c r="G94" s="41"/>
      <c r="Q94" s="3"/>
      <c r="S94" s="129"/>
      <c r="T94" s="26"/>
      <c r="U94" s="28"/>
      <c r="V94" s="27"/>
      <c r="X94" s="3"/>
    </row>
    <row r="95" spans="1:24" x14ac:dyDescent="0.2">
      <c r="B95" s="4"/>
      <c r="C95" s="7">
        <f>C94/12</f>
        <v>19.583333333333332</v>
      </c>
      <c r="D95" s="4" t="s">
        <v>0</v>
      </c>
      <c r="E95" s="3"/>
      <c r="F95" s="19"/>
      <c r="G95" s="41"/>
      <c r="Q95" s="3"/>
      <c r="S95" s="129"/>
      <c r="T95" s="26"/>
      <c r="U95" s="28"/>
      <c r="V95" s="27"/>
      <c r="X95" s="3"/>
    </row>
    <row r="96" spans="1:24" ht="18.75" x14ac:dyDescent="0.35">
      <c r="A96" s="4" t="s">
        <v>1022</v>
      </c>
      <c r="B96" s="3" t="s">
        <v>1023</v>
      </c>
      <c r="C96" s="7">
        <f>5*84/144</f>
        <v>2.9166666666666665</v>
      </c>
      <c r="D96" s="4" t="s">
        <v>121</v>
      </c>
      <c r="E96" s="2"/>
      <c r="F96" s="8"/>
      <c r="G96" s="41"/>
      <c r="N96" s="3"/>
      <c r="O96" s="3"/>
      <c r="Q96" s="3"/>
      <c r="S96" s="129"/>
      <c r="T96" s="26"/>
      <c r="U96" s="28"/>
      <c r="V96" s="27"/>
      <c r="X96" s="3"/>
    </row>
    <row r="97" spans="1:24" x14ac:dyDescent="0.2">
      <c r="E97" s="2"/>
      <c r="F97" s="8"/>
      <c r="G97" s="41"/>
      <c r="N97" s="3"/>
      <c r="O97" s="3"/>
      <c r="Q97" s="3"/>
      <c r="S97" s="129"/>
      <c r="T97" s="26"/>
      <c r="U97" s="30"/>
      <c r="V97" s="27"/>
      <c r="X97" s="3"/>
    </row>
    <row r="98" spans="1:24" ht="15" x14ac:dyDescent="0.25">
      <c r="A98" s="1" t="s">
        <v>983</v>
      </c>
      <c r="E98" s="2"/>
      <c r="G98" s="1"/>
      <c r="H98" s="2"/>
      <c r="I98" s="3"/>
      <c r="J98" s="4"/>
      <c r="N98" s="3"/>
      <c r="O98" s="3"/>
      <c r="Q98" s="3"/>
      <c r="S98" s="129"/>
      <c r="T98" s="26"/>
      <c r="U98" s="30"/>
      <c r="V98" s="27"/>
      <c r="X98" s="3"/>
    </row>
    <row r="99" spans="1:24" ht="18.75" x14ac:dyDescent="0.35">
      <c r="A99" s="4" t="s">
        <v>988</v>
      </c>
      <c r="B99" s="2" t="s">
        <v>981</v>
      </c>
      <c r="C99" s="19">
        <v>10</v>
      </c>
      <c r="D99" s="4" t="s">
        <v>0</v>
      </c>
      <c r="E99" s="2"/>
      <c r="G99" s="4"/>
      <c r="H99" s="2"/>
      <c r="I99" s="19"/>
      <c r="J99" s="4"/>
      <c r="N99" s="3"/>
      <c r="O99" s="3"/>
      <c r="Q99" s="3"/>
      <c r="S99" s="129"/>
      <c r="T99" s="26"/>
      <c r="U99" s="30"/>
      <c r="V99" s="27"/>
      <c r="X99" s="3"/>
    </row>
    <row r="100" spans="1:24" ht="15" x14ac:dyDescent="0.25">
      <c r="A100" s="1"/>
      <c r="C100" s="8">
        <f>C99*12</f>
        <v>120</v>
      </c>
      <c r="D100" s="4" t="s">
        <v>21</v>
      </c>
      <c r="E100" s="2"/>
      <c r="G100" s="1"/>
      <c r="H100" s="2"/>
      <c r="I100" s="8"/>
      <c r="J100" s="4"/>
      <c r="N100" s="3"/>
      <c r="O100" s="3"/>
      <c r="Q100" s="3"/>
      <c r="S100" s="129"/>
      <c r="T100" s="26"/>
      <c r="U100" s="30"/>
      <c r="V100" s="27"/>
      <c r="X100" s="3"/>
    </row>
    <row r="101" spans="1:24" ht="18.75" x14ac:dyDescent="0.35">
      <c r="A101" s="4" t="s">
        <v>295</v>
      </c>
      <c r="B101" s="2" t="s">
        <v>989</v>
      </c>
      <c r="C101" s="19">
        <v>4.5</v>
      </c>
      <c r="D101" s="4" t="s">
        <v>21</v>
      </c>
      <c r="E101" s="2"/>
      <c r="G101" s="4"/>
      <c r="H101" s="2"/>
      <c r="I101" s="19"/>
      <c r="J101" s="4"/>
      <c r="N101" s="3"/>
      <c r="O101" s="3"/>
      <c r="Q101" s="3"/>
      <c r="S101" s="129"/>
      <c r="T101" s="26"/>
      <c r="U101" s="30"/>
      <c r="V101" s="27"/>
      <c r="X101" s="3"/>
    </row>
    <row r="102" spans="1:24" x14ac:dyDescent="0.2">
      <c r="B102" s="4"/>
      <c r="C102" s="8">
        <f>C101/12</f>
        <v>0.375</v>
      </c>
      <c r="D102" s="4" t="s">
        <v>0</v>
      </c>
      <c r="E102" s="2"/>
      <c r="G102" s="4"/>
      <c r="H102" s="4"/>
      <c r="I102" s="8"/>
      <c r="J102" s="4"/>
      <c r="N102" s="3"/>
      <c r="O102" s="3"/>
      <c r="Q102" s="3"/>
      <c r="S102" s="129"/>
      <c r="T102" s="26"/>
      <c r="U102" s="30"/>
      <c r="V102" s="27"/>
      <c r="X102" s="3"/>
    </row>
    <row r="103" spans="1:24" ht="18.75" x14ac:dyDescent="0.35">
      <c r="A103" s="4" t="s">
        <v>296</v>
      </c>
      <c r="B103" s="2" t="s">
        <v>990</v>
      </c>
      <c r="C103" s="19">
        <v>4.5</v>
      </c>
      <c r="D103" s="4" t="s">
        <v>21</v>
      </c>
      <c r="E103" s="2"/>
      <c r="G103" s="4"/>
      <c r="H103" s="2"/>
      <c r="I103" s="19"/>
      <c r="J103" s="4"/>
      <c r="N103" s="3"/>
      <c r="O103" s="3"/>
      <c r="Q103" s="3"/>
      <c r="S103" s="129"/>
      <c r="T103" s="26"/>
      <c r="U103" s="30"/>
      <c r="V103" s="27"/>
      <c r="X103" s="3"/>
    </row>
    <row r="104" spans="1:24" x14ac:dyDescent="0.2">
      <c r="B104" s="4"/>
      <c r="C104" s="8">
        <f>C103/12</f>
        <v>0.375</v>
      </c>
      <c r="D104" s="4" t="s">
        <v>0</v>
      </c>
      <c r="E104" s="2"/>
      <c r="G104" s="4"/>
      <c r="H104" s="4"/>
      <c r="I104" s="8"/>
      <c r="J104" s="4"/>
      <c r="N104" s="3"/>
      <c r="O104" s="3"/>
      <c r="Q104" s="3"/>
      <c r="S104" s="129"/>
      <c r="T104" s="26"/>
      <c r="U104" s="30"/>
      <c r="V104" s="27"/>
      <c r="X104" s="3"/>
    </row>
    <row r="105" spans="1:24" ht="18.75" x14ac:dyDescent="0.35">
      <c r="A105" s="4" t="s">
        <v>297</v>
      </c>
      <c r="B105" s="2" t="s">
        <v>991</v>
      </c>
      <c r="C105" s="19">
        <v>3</v>
      </c>
      <c r="D105" s="4" t="s">
        <v>21</v>
      </c>
      <c r="E105" s="2"/>
      <c r="G105" s="4"/>
      <c r="H105" s="2"/>
      <c r="I105" s="19"/>
      <c r="J105" s="4"/>
      <c r="K105" s="41"/>
      <c r="N105" s="3"/>
      <c r="O105" s="3"/>
      <c r="Q105" s="3"/>
      <c r="S105" s="129"/>
      <c r="T105" s="26"/>
      <c r="U105" s="30"/>
      <c r="V105" s="27"/>
      <c r="X105" s="3"/>
    </row>
    <row r="106" spans="1:24" x14ac:dyDescent="0.2">
      <c r="B106" s="4"/>
      <c r="C106" s="8">
        <f>C105/12</f>
        <v>0.25</v>
      </c>
      <c r="D106" s="4" t="s">
        <v>0</v>
      </c>
      <c r="E106" s="2"/>
      <c r="G106" s="4"/>
      <c r="H106" s="4"/>
      <c r="I106" s="8"/>
      <c r="J106" s="4"/>
      <c r="K106" s="41"/>
      <c r="N106" s="3"/>
      <c r="O106" s="3"/>
      <c r="Q106" s="3"/>
      <c r="S106" s="129"/>
      <c r="T106" s="26"/>
      <c r="U106" s="30"/>
      <c r="V106" s="27"/>
      <c r="X106" s="3"/>
    </row>
    <row r="107" spans="1:24" ht="18.75" x14ac:dyDescent="0.35">
      <c r="A107" s="4" t="s">
        <v>298</v>
      </c>
      <c r="B107" s="2" t="s">
        <v>992</v>
      </c>
      <c r="C107" s="19">
        <v>5</v>
      </c>
      <c r="D107" s="4" t="s">
        <v>7</v>
      </c>
      <c r="E107" s="2"/>
      <c r="G107" s="4"/>
      <c r="H107" s="2"/>
      <c r="I107" s="8"/>
      <c r="J107" s="4"/>
      <c r="K107" s="41"/>
      <c r="N107" s="3"/>
      <c r="O107" s="3"/>
      <c r="Q107" s="3"/>
      <c r="S107" s="129"/>
      <c r="T107" s="26"/>
      <c r="U107" s="30"/>
      <c r="V107" s="27"/>
      <c r="X107" s="3"/>
    </row>
    <row r="108" spans="1:24" ht="18.75" x14ac:dyDescent="0.35">
      <c r="A108" s="4" t="s">
        <v>613</v>
      </c>
      <c r="B108" s="2" t="s">
        <v>993</v>
      </c>
      <c r="C108" s="7">
        <f>C103*C105/144</f>
        <v>9.375E-2</v>
      </c>
      <c r="D108" s="4" t="s">
        <v>121</v>
      </c>
      <c r="E108" s="2"/>
      <c r="G108" s="4"/>
      <c r="H108" s="2"/>
      <c r="I108" s="7"/>
      <c r="J108" s="4"/>
      <c r="K108" s="41"/>
      <c r="N108" s="3"/>
      <c r="O108" s="3"/>
      <c r="Q108" s="3"/>
      <c r="S108" s="129"/>
      <c r="T108" s="26"/>
      <c r="U108" s="30"/>
      <c r="V108" s="27"/>
      <c r="X108" s="3"/>
    </row>
    <row r="109" spans="1:24" ht="18.75" x14ac:dyDescent="0.35">
      <c r="A109" s="4" t="s">
        <v>616</v>
      </c>
      <c r="B109" s="2" t="s">
        <v>994</v>
      </c>
      <c r="C109" s="7">
        <f>C101*C105/144</f>
        <v>9.375E-2</v>
      </c>
      <c r="D109" s="4" t="s">
        <v>121</v>
      </c>
      <c r="E109" s="2"/>
      <c r="G109" s="4"/>
      <c r="H109" s="2"/>
      <c r="I109" s="7"/>
      <c r="J109" s="4"/>
      <c r="K109" s="41"/>
      <c r="N109" s="3"/>
      <c r="O109" s="3"/>
      <c r="Q109" s="3"/>
      <c r="S109" s="129"/>
      <c r="T109" s="26"/>
      <c r="U109" s="30"/>
      <c r="V109" s="27"/>
      <c r="X109" s="3"/>
    </row>
    <row r="110" spans="1:24" ht="18.75" x14ac:dyDescent="0.35">
      <c r="A110" s="4" t="s">
        <v>608</v>
      </c>
      <c r="B110" s="2" t="s">
        <v>995</v>
      </c>
      <c r="C110" s="7">
        <f>(C11-C112*(C11-C13)/C9)/2+C101/2</f>
        <v>5.5412499999999998</v>
      </c>
      <c r="D110" s="4" t="s">
        <v>21</v>
      </c>
      <c r="E110" s="2"/>
      <c r="F110" s="19"/>
      <c r="G110" s="4"/>
      <c r="H110" s="2"/>
      <c r="I110" s="7"/>
      <c r="J110" s="4"/>
      <c r="K110" s="41"/>
      <c r="L110" s="3"/>
      <c r="M110" s="3"/>
      <c r="N110" s="12"/>
      <c r="O110" s="12"/>
      <c r="Q110" s="3"/>
      <c r="S110" s="129"/>
      <c r="T110" s="26"/>
      <c r="U110" s="30"/>
      <c r="V110" s="27"/>
      <c r="X110" s="3"/>
    </row>
    <row r="111" spans="1:24" x14ac:dyDescent="0.2">
      <c r="C111" s="7">
        <f>C110/12</f>
        <v>0.4617708333333333</v>
      </c>
      <c r="D111" s="4" t="s">
        <v>0</v>
      </c>
      <c r="E111" s="2"/>
      <c r="F111" s="7"/>
      <c r="G111" s="4"/>
      <c r="H111" s="2"/>
      <c r="I111" s="7"/>
      <c r="J111" s="4"/>
      <c r="K111" s="41"/>
      <c r="L111" s="12"/>
      <c r="M111" s="12"/>
      <c r="Q111" s="3"/>
      <c r="S111" s="129"/>
      <c r="T111" s="26"/>
      <c r="U111" s="30"/>
      <c r="V111" s="27"/>
      <c r="X111" s="3"/>
    </row>
    <row r="112" spans="1:24" ht="18.75" x14ac:dyDescent="0.35">
      <c r="A112" s="4" t="s">
        <v>607</v>
      </c>
      <c r="B112" s="2" t="s">
        <v>996</v>
      </c>
      <c r="C112" s="7">
        <f>C100+C105/2</f>
        <v>121.5</v>
      </c>
      <c r="D112" s="4" t="s">
        <v>21</v>
      </c>
      <c r="E112" s="2"/>
      <c r="F112" s="8"/>
      <c r="G112" s="4"/>
      <c r="H112" s="2"/>
      <c r="I112" s="7"/>
      <c r="J112" s="4"/>
      <c r="K112" s="4"/>
      <c r="Q112" s="3"/>
      <c r="S112" s="129"/>
      <c r="T112" s="26"/>
      <c r="U112" s="30"/>
      <c r="V112" s="27"/>
      <c r="X112" s="3"/>
    </row>
    <row r="113" spans="1:24" x14ac:dyDescent="0.2">
      <c r="B113" s="4"/>
      <c r="C113" s="7">
        <f>C112/12</f>
        <v>10.125</v>
      </c>
      <c r="D113" s="4" t="s">
        <v>0</v>
      </c>
      <c r="E113" s="2"/>
      <c r="F113" s="8"/>
      <c r="G113" s="4"/>
      <c r="H113" s="4"/>
      <c r="I113" s="7"/>
      <c r="J113" s="4"/>
      <c r="K113" s="4"/>
      <c r="Q113" s="3"/>
      <c r="T113" s="26"/>
      <c r="U113" s="30"/>
      <c r="V113" s="27"/>
      <c r="X113" s="3"/>
    </row>
    <row r="114" spans="1:24" ht="18.75" x14ac:dyDescent="0.35">
      <c r="A114" s="4" t="s">
        <v>1018</v>
      </c>
      <c r="B114" s="3" t="s">
        <v>1019</v>
      </c>
      <c r="C114" s="230">
        <f>(0.5*(($C$11-($C$11-$C$13)/$C$9*(C100))-($C$11-($C$11-$C$13)/$C$9*(C100+C105)))*C105+C105*($C$11-($C$11-$C$13)/$C$9*(C100+C105)))/144</f>
        <v>0.13713541666666668</v>
      </c>
      <c r="D114" s="4" t="s">
        <v>121</v>
      </c>
      <c r="E114" s="2"/>
      <c r="F114" s="8"/>
      <c r="G114" s="4"/>
      <c r="I114" s="7"/>
      <c r="J114" s="4"/>
      <c r="K114" s="4"/>
      <c r="Q114" s="3"/>
      <c r="T114" s="26"/>
      <c r="U114" s="30"/>
      <c r="V114" s="27"/>
      <c r="X114" s="3"/>
    </row>
    <row r="115" spans="1:24" x14ac:dyDescent="0.2">
      <c r="B115" s="4"/>
      <c r="C115" s="7"/>
      <c r="E115" s="2"/>
      <c r="F115" s="8"/>
      <c r="G115" s="4"/>
      <c r="J115" s="8"/>
      <c r="K115" s="4"/>
      <c r="Q115" s="3"/>
      <c r="T115" s="26"/>
      <c r="U115" s="30"/>
      <c r="V115" s="27"/>
      <c r="X115" s="3"/>
    </row>
    <row r="116" spans="1:24" ht="15" x14ac:dyDescent="0.25">
      <c r="A116" s="1" t="s">
        <v>1001</v>
      </c>
      <c r="C116" s="8"/>
      <c r="F116" s="55"/>
      <c r="G116" s="4"/>
      <c r="H116" s="4"/>
      <c r="J116" s="55"/>
      <c r="K116" s="4"/>
      <c r="P116" s="8"/>
      <c r="Q116" s="8"/>
      <c r="X116" s="3"/>
    </row>
    <row r="117" spans="1:24" ht="18.75" x14ac:dyDescent="0.35">
      <c r="A117" s="4" t="s">
        <v>975</v>
      </c>
      <c r="B117" s="2" t="s">
        <v>981</v>
      </c>
      <c r="C117" s="19">
        <v>24.5</v>
      </c>
      <c r="D117" s="4" t="s">
        <v>0</v>
      </c>
      <c r="F117" s="55"/>
      <c r="G117" s="4"/>
      <c r="H117" s="4"/>
      <c r="J117" s="55"/>
      <c r="K117" s="4"/>
      <c r="P117" s="8"/>
      <c r="Q117" s="8"/>
      <c r="X117" s="3"/>
    </row>
    <row r="118" spans="1:24" ht="15" x14ac:dyDescent="0.25">
      <c r="A118" s="1"/>
      <c r="C118" s="8">
        <f>C117*12</f>
        <v>294</v>
      </c>
      <c r="D118" s="4" t="s">
        <v>21</v>
      </c>
      <c r="F118" s="55"/>
      <c r="G118" s="4"/>
      <c r="H118" s="4"/>
      <c r="J118" s="55"/>
      <c r="K118" s="4"/>
      <c r="P118" s="8"/>
      <c r="Q118" s="8"/>
      <c r="X118" s="3"/>
    </row>
    <row r="119" spans="1:24" ht="18.75" x14ac:dyDescent="0.35">
      <c r="A119" s="4" t="s">
        <v>969</v>
      </c>
      <c r="B119" s="2" t="s">
        <v>970</v>
      </c>
      <c r="C119" s="19">
        <v>4</v>
      </c>
      <c r="D119" s="4" t="s">
        <v>21</v>
      </c>
      <c r="F119" s="55"/>
      <c r="G119" s="4"/>
      <c r="H119" s="4"/>
      <c r="J119" s="55"/>
      <c r="K119" s="4"/>
      <c r="P119" s="8"/>
      <c r="Q119" s="8"/>
      <c r="X119" s="3"/>
    </row>
    <row r="120" spans="1:24" ht="15" x14ac:dyDescent="0.25">
      <c r="A120" s="1"/>
      <c r="C120" s="8">
        <f>C119/12</f>
        <v>0.33333333333333331</v>
      </c>
      <c r="D120" s="4" t="s">
        <v>0</v>
      </c>
      <c r="F120" s="55"/>
      <c r="G120" s="4"/>
      <c r="H120" s="4"/>
      <c r="J120" s="55"/>
      <c r="K120" s="4"/>
      <c r="P120" s="8"/>
      <c r="Q120" s="8"/>
      <c r="X120" s="3"/>
    </row>
    <row r="121" spans="1:24" ht="18.75" x14ac:dyDescent="0.35">
      <c r="A121" s="4" t="s">
        <v>971</v>
      </c>
      <c r="B121" s="2" t="s">
        <v>973</v>
      </c>
      <c r="C121" s="19">
        <v>6.1</v>
      </c>
      <c r="D121" s="4" t="s">
        <v>21</v>
      </c>
      <c r="F121" s="55"/>
      <c r="G121" s="4"/>
      <c r="H121" s="4"/>
      <c r="J121" s="55"/>
      <c r="K121" s="4"/>
      <c r="P121" s="8"/>
      <c r="Q121" s="8"/>
      <c r="X121" s="3"/>
    </row>
    <row r="122" spans="1:24" ht="15" x14ac:dyDescent="0.25">
      <c r="A122" s="1"/>
      <c r="C122" s="8">
        <f>C121/12</f>
        <v>0.5083333333333333</v>
      </c>
      <c r="D122" s="4" t="s">
        <v>0</v>
      </c>
      <c r="F122" s="55"/>
      <c r="G122" s="4"/>
      <c r="H122" s="4"/>
      <c r="J122" s="55"/>
      <c r="K122" s="4"/>
      <c r="P122" s="8"/>
      <c r="Q122" s="8"/>
      <c r="X122" s="3"/>
    </row>
    <row r="123" spans="1:24" ht="18.75" x14ac:dyDescent="0.35">
      <c r="A123" s="4" t="s">
        <v>972</v>
      </c>
      <c r="B123" s="2" t="s">
        <v>974</v>
      </c>
      <c r="C123" s="19">
        <v>5.3</v>
      </c>
      <c r="D123" s="4" t="s">
        <v>21</v>
      </c>
      <c r="F123" s="55"/>
      <c r="G123" s="4"/>
      <c r="H123" s="4"/>
      <c r="J123" s="55"/>
      <c r="K123" s="4"/>
      <c r="P123" s="8"/>
      <c r="Q123" s="8"/>
      <c r="X123" s="3"/>
    </row>
    <row r="124" spans="1:24" ht="15" x14ac:dyDescent="0.25">
      <c r="A124" s="1"/>
      <c r="C124" s="8">
        <f>C123/12</f>
        <v>0.44166666666666665</v>
      </c>
      <c r="D124" s="4" t="s">
        <v>0</v>
      </c>
      <c r="F124" s="55"/>
      <c r="G124" s="4"/>
      <c r="H124" s="4"/>
      <c r="J124" s="55"/>
      <c r="K124" s="4"/>
      <c r="P124" s="8"/>
      <c r="Q124" s="8"/>
      <c r="X124" s="3"/>
    </row>
    <row r="125" spans="1:24" ht="18.75" x14ac:dyDescent="0.35">
      <c r="A125" s="4" t="s">
        <v>295</v>
      </c>
      <c r="B125" s="2" t="s">
        <v>574</v>
      </c>
      <c r="C125" s="19">
        <v>5</v>
      </c>
      <c r="D125" s="4" t="s">
        <v>21</v>
      </c>
      <c r="F125" s="55"/>
      <c r="G125" s="4"/>
      <c r="H125" s="4"/>
      <c r="J125" s="55"/>
      <c r="K125" s="4"/>
      <c r="P125" s="8"/>
      <c r="Q125" s="8"/>
      <c r="X125" s="3"/>
    </row>
    <row r="126" spans="1:24" ht="15" x14ac:dyDescent="0.25">
      <c r="B126" s="4"/>
      <c r="C126" s="8">
        <f>C125/12</f>
        <v>0.41666666666666669</v>
      </c>
      <c r="D126" s="4" t="s">
        <v>0</v>
      </c>
      <c r="F126" s="55"/>
      <c r="G126" s="4"/>
      <c r="H126" s="4"/>
      <c r="J126" s="55"/>
      <c r="K126" s="4"/>
      <c r="P126" s="8"/>
      <c r="Q126" s="8"/>
      <c r="X126" s="3"/>
    </row>
    <row r="127" spans="1:24" ht="18.75" x14ac:dyDescent="0.35">
      <c r="A127" s="4" t="s">
        <v>296</v>
      </c>
      <c r="B127" s="2" t="s">
        <v>575</v>
      </c>
      <c r="C127" s="19">
        <v>8</v>
      </c>
      <c r="D127" s="4" t="s">
        <v>21</v>
      </c>
      <c r="F127" s="55"/>
      <c r="G127" s="4"/>
      <c r="H127" s="4"/>
      <c r="J127" s="55"/>
      <c r="K127" s="4"/>
      <c r="P127" s="8"/>
      <c r="Q127" s="8"/>
      <c r="X127" s="3"/>
    </row>
    <row r="128" spans="1:24" ht="15" x14ac:dyDescent="0.25">
      <c r="B128" s="4"/>
      <c r="C128" s="8">
        <f>C127/12</f>
        <v>0.66666666666666663</v>
      </c>
      <c r="D128" s="4" t="s">
        <v>0</v>
      </c>
      <c r="F128" s="55"/>
      <c r="G128" s="4"/>
      <c r="H128" s="4"/>
      <c r="J128" s="55"/>
      <c r="K128" s="4"/>
      <c r="P128" s="8"/>
      <c r="Q128" s="8"/>
      <c r="X128" s="3"/>
    </row>
    <row r="129" spans="1:24" ht="18.75" x14ac:dyDescent="0.35">
      <c r="A129" s="4" t="s">
        <v>297</v>
      </c>
      <c r="B129" s="2" t="s">
        <v>576</v>
      </c>
      <c r="C129" s="19">
        <v>21</v>
      </c>
      <c r="D129" s="4" t="s">
        <v>21</v>
      </c>
      <c r="F129" s="55"/>
      <c r="G129" s="4"/>
      <c r="H129" s="4"/>
      <c r="J129" s="55"/>
      <c r="K129" s="4"/>
      <c r="X129" s="3"/>
    </row>
    <row r="130" spans="1:24" x14ac:dyDescent="0.2">
      <c r="B130" s="4"/>
      <c r="C130" s="8">
        <f>C129/12</f>
        <v>1.75</v>
      </c>
      <c r="D130" s="4" t="s">
        <v>0</v>
      </c>
      <c r="F130" s="8"/>
      <c r="G130" s="8"/>
    </row>
    <row r="131" spans="1:24" ht="18.75" x14ac:dyDescent="0.35">
      <c r="A131" s="4" t="s">
        <v>298</v>
      </c>
      <c r="B131" s="2" t="s">
        <v>577</v>
      </c>
      <c r="C131" s="19">
        <v>50</v>
      </c>
      <c r="D131" s="4" t="s">
        <v>7</v>
      </c>
      <c r="F131" s="4"/>
      <c r="G131" s="4"/>
      <c r="H131" s="4"/>
      <c r="J131" s="4"/>
      <c r="K131" s="4"/>
    </row>
    <row r="132" spans="1:24" ht="18.75" x14ac:dyDescent="0.35">
      <c r="A132" s="4" t="s">
        <v>613</v>
      </c>
      <c r="B132" s="2" t="s">
        <v>615</v>
      </c>
      <c r="C132" s="7">
        <f>C127*C129/144</f>
        <v>1.1666666666666667</v>
      </c>
      <c r="D132" s="4" t="s">
        <v>121</v>
      </c>
      <c r="E132" s="4" t="s">
        <v>1009</v>
      </c>
      <c r="F132" s="4"/>
      <c r="G132" s="4"/>
      <c r="H132" s="4"/>
      <c r="J132" s="4"/>
      <c r="K132" s="4"/>
    </row>
    <row r="133" spans="1:24" ht="18.75" x14ac:dyDescent="0.35">
      <c r="A133" s="4" t="s">
        <v>616</v>
      </c>
      <c r="B133" s="2" t="s">
        <v>614</v>
      </c>
      <c r="C133" s="7">
        <f>C125*C129/144</f>
        <v>0.72916666666666663</v>
      </c>
      <c r="D133" s="4" t="s">
        <v>121</v>
      </c>
      <c r="E133" s="4" t="s">
        <v>1009</v>
      </c>
      <c r="F133" s="4"/>
      <c r="G133" s="4"/>
      <c r="H133" s="4"/>
      <c r="J133" s="4"/>
      <c r="K133" s="4"/>
    </row>
    <row r="134" spans="1:24" ht="18.75" x14ac:dyDescent="0.35">
      <c r="A134" s="4" t="s">
        <v>611</v>
      </c>
      <c r="B134" s="2" t="s">
        <v>612</v>
      </c>
      <c r="C134" s="7">
        <f>($C$11-C136*($C$11-$C$13)/$C$9)/2+$C$119+C125/2</f>
        <v>8.723749999999999</v>
      </c>
      <c r="D134" s="4" t="s">
        <v>21</v>
      </c>
      <c r="F134" s="4"/>
      <c r="G134" s="4"/>
      <c r="H134" s="4"/>
      <c r="J134" s="4"/>
      <c r="K134" s="4"/>
    </row>
    <row r="135" spans="1:24" x14ac:dyDescent="0.2">
      <c r="C135" s="7">
        <f>C134/12</f>
        <v>0.72697916666666662</v>
      </c>
      <c r="D135" s="4" t="s">
        <v>0</v>
      </c>
      <c r="E135" s="3"/>
      <c r="F135" s="4"/>
      <c r="G135" s="4"/>
      <c r="H135" s="4"/>
      <c r="J135" s="8"/>
      <c r="K135" s="54"/>
    </row>
    <row r="136" spans="1:24" ht="18.75" x14ac:dyDescent="0.35">
      <c r="A136" s="4" t="s">
        <v>610</v>
      </c>
      <c r="B136" s="2" t="s">
        <v>578</v>
      </c>
      <c r="C136" s="7">
        <f>C118+C129/2</f>
        <v>304.5</v>
      </c>
      <c r="D136" s="4" t="s">
        <v>21</v>
      </c>
      <c r="E136" s="3"/>
      <c r="F136" s="4"/>
      <c r="G136" s="4"/>
      <c r="H136" s="4"/>
      <c r="J136" s="8"/>
      <c r="K136" s="54"/>
    </row>
    <row r="137" spans="1:24" x14ac:dyDescent="0.2">
      <c r="B137" s="4"/>
      <c r="C137" s="7">
        <f>C136/12</f>
        <v>25.375</v>
      </c>
      <c r="D137" s="4" t="s">
        <v>0</v>
      </c>
      <c r="E137" s="2"/>
      <c r="F137" s="4"/>
      <c r="G137" s="4"/>
      <c r="H137" s="4"/>
      <c r="J137" s="19"/>
      <c r="K137" s="54"/>
    </row>
    <row r="138" spans="1:24" x14ac:dyDescent="0.2">
      <c r="A138" s="4" t="s">
        <v>1004</v>
      </c>
      <c r="B138" s="2" t="s">
        <v>1005</v>
      </c>
      <c r="C138" s="228">
        <v>0</v>
      </c>
      <c r="D138" s="4" t="s">
        <v>1006</v>
      </c>
      <c r="E138" s="2"/>
      <c r="F138" s="4"/>
      <c r="G138" s="4"/>
      <c r="H138" s="4"/>
      <c r="J138" s="19"/>
      <c r="K138" s="54"/>
    </row>
    <row r="139" spans="1:24" ht="18.75" x14ac:dyDescent="0.35">
      <c r="A139" s="4" t="s">
        <v>1020</v>
      </c>
      <c r="B139" s="3" t="s">
        <v>1021</v>
      </c>
      <c r="C139" s="230">
        <f>(0.5*(($C$11-($C$11-$C$13)/$C$9*(C118))-($C$11-($C$11-$C$13)/$C$9*(C118+C129)))*C129+C129*($C$11-($C$11-$C$13)/$C$9*(C118+C129)))/144</f>
        <v>0.64859374999999997</v>
      </c>
      <c r="D139" s="4" t="s">
        <v>121</v>
      </c>
      <c r="E139" s="2"/>
      <c r="F139" s="4"/>
      <c r="G139" s="4"/>
      <c r="H139" s="4"/>
      <c r="J139" s="19"/>
      <c r="K139" s="54"/>
    </row>
    <row r="140" spans="1:24" x14ac:dyDescent="0.2">
      <c r="B140" s="4"/>
      <c r="C140" s="4"/>
      <c r="E140" s="2"/>
      <c r="F140" s="4"/>
      <c r="G140" s="4"/>
      <c r="H140" s="4"/>
      <c r="J140" s="8"/>
      <c r="K140" s="4"/>
      <c r="O140" s="3"/>
      <c r="P140" s="41"/>
    </row>
    <row r="141" spans="1:24" ht="15" x14ac:dyDescent="0.25">
      <c r="A141" s="1" t="s">
        <v>561</v>
      </c>
      <c r="E141" s="2"/>
      <c r="F141" s="4"/>
      <c r="G141" s="4"/>
      <c r="H141" s="4"/>
      <c r="J141" s="8"/>
      <c r="K141" s="4"/>
      <c r="O141" s="3"/>
      <c r="P141" s="41"/>
    </row>
    <row r="142" spans="1:24" ht="18.75" x14ac:dyDescent="0.35">
      <c r="A142" s="4" t="s">
        <v>976</v>
      </c>
      <c r="B142" s="2" t="s">
        <v>982</v>
      </c>
      <c r="C142" s="19">
        <v>10</v>
      </c>
      <c r="D142" s="4" t="s">
        <v>0</v>
      </c>
      <c r="E142" s="2"/>
      <c r="F142" s="4"/>
      <c r="G142" s="4"/>
      <c r="H142" s="4"/>
      <c r="J142" s="8"/>
      <c r="K142" s="4"/>
      <c r="O142" s="3"/>
      <c r="P142" s="41"/>
    </row>
    <row r="143" spans="1:24" ht="15" x14ac:dyDescent="0.25">
      <c r="A143" s="1"/>
      <c r="C143" s="8">
        <f>C142*12</f>
        <v>120</v>
      </c>
      <c r="D143" s="4" t="s">
        <v>21</v>
      </c>
      <c r="E143" s="2"/>
      <c r="F143" s="4"/>
      <c r="G143" s="4"/>
      <c r="H143" s="4"/>
      <c r="J143" s="8"/>
      <c r="K143" s="4"/>
      <c r="O143" s="3"/>
      <c r="P143" s="41"/>
    </row>
    <row r="144" spans="1:24" ht="18.75" x14ac:dyDescent="0.35">
      <c r="A144" s="4" t="s">
        <v>295</v>
      </c>
      <c r="B144" s="2" t="s">
        <v>569</v>
      </c>
      <c r="C144" s="19">
        <v>3.75</v>
      </c>
      <c r="D144" s="4" t="s">
        <v>21</v>
      </c>
      <c r="E144" s="2"/>
      <c r="F144" s="4"/>
      <c r="G144" s="4"/>
      <c r="H144" s="4"/>
      <c r="J144" s="55"/>
      <c r="K144" s="4"/>
      <c r="O144" s="3"/>
      <c r="P144" s="41"/>
    </row>
    <row r="145" spans="1:11" ht="15" x14ac:dyDescent="0.25">
      <c r="B145" s="4"/>
      <c r="C145" s="8">
        <f>C144/12</f>
        <v>0.3125</v>
      </c>
      <c r="D145" s="4" t="s">
        <v>0</v>
      </c>
      <c r="F145" s="4"/>
      <c r="G145" s="4"/>
      <c r="H145" s="4"/>
      <c r="J145" s="55"/>
      <c r="K145" s="4"/>
    </row>
    <row r="146" spans="1:11" ht="18.75" x14ac:dyDescent="0.35">
      <c r="A146" s="4" t="s">
        <v>296</v>
      </c>
      <c r="B146" s="2" t="s">
        <v>570</v>
      </c>
      <c r="C146" s="19">
        <v>6.38</v>
      </c>
      <c r="D146" s="4" t="s">
        <v>21</v>
      </c>
      <c r="F146" s="4"/>
      <c r="G146" s="4"/>
      <c r="H146" s="4"/>
    </row>
    <row r="147" spans="1:11" x14ac:dyDescent="0.2">
      <c r="B147" s="4"/>
      <c r="C147" s="8">
        <f>C146/12</f>
        <v>0.53166666666666662</v>
      </c>
      <c r="D147" s="4" t="s">
        <v>0</v>
      </c>
      <c r="F147" s="4"/>
      <c r="G147" s="4"/>
      <c r="H147" s="4"/>
    </row>
    <row r="148" spans="1:11" ht="18.75" x14ac:dyDescent="0.35">
      <c r="A148" s="4" t="s">
        <v>297</v>
      </c>
      <c r="B148" s="2" t="s">
        <v>571</v>
      </c>
      <c r="C148" s="19">
        <v>10.81</v>
      </c>
      <c r="D148" s="4" t="s">
        <v>21</v>
      </c>
      <c r="F148" s="4"/>
      <c r="G148" s="4"/>
      <c r="H148" s="4"/>
    </row>
    <row r="149" spans="1:11" x14ac:dyDescent="0.2">
      <c r="B149" s="4"/>
      <c r="C149" s="8">
        <f>C148/12</f>
        <v>0.90083333333333337</v>
      </c>
      <c r="D149" s="4" t="s">
        <v>0</v>
      </c>
      <c r="F149" s="8"/>
      <c r="G149" s="8"/>
    </row>
    <row r="150" spans="1:11" ht="18.75" x14ac:dyDescent="0.35">
      <c r="A150" s="4" t="s">
        <v>298</v>
      </c>
      <c r="B150" s="2" t="s">
        <v>572</v>
      </c>
      <c r="C150" s="19">
        <v>6</v>
      </c>
      <c r="D150" s="4" t="s">
        <v>7</v>
      </c>
      <c r="F150" s="4"/>
      <c r="G150" s="4"/>
      <c r="J150" s="4"/>
      <c r="K150" s="4"/>
    </row>
    <row r="151" spans="1:11" ht="18.75" x14ac:dyDescent="0.35">
      <c r="A151" s="4" t="s">
        <v>613</v>
      </c>
      <c r="B151" s="2" t="s">
        <v>984</v>
      </c>
      <c r="C151" s="7">
        <f>C146*C148/144</f>
        <v>0.47894305555555555</v>
      </c>
      <c r="D151" s="4" t="s">
        <v>121</v>
      </c>
      <c r="F151" s="4"/>
      <c r="G151" s="4"/>
      <c r="J151" s="4"/>
      <c r="K151" s="4"/>
    </row>
    <row r="152" spans="1:11" ht="18.75" x14ac:dyDescent="0.35">
      <c r="A152" s="4" t="s">
        <v>616</v>
      </c>
      <c r="B152" s="2" t="s">
        <v>985</v>
      </c>
      <c r="C152" s="7">
        <f>C144*C148/144</f>
        <v>0.28151041666666665</v>
      </c>
      <c r="D152" s="4" t="s">
        <v>121</v>
      </c>
      <c r="F152" s="4"/>
      <c r="G152" s="4"/>
      <c r="J152" s="4"/>
      <c r="K152" s="4"/>
    </row>
    <row r="153" spans="1:11" ht="18.75" x14ac:dyDescent="0.35">
      <c r="A153" s="4" t="s">
        <v>608</v>
      </c>
      <c r="B153" s="2" t="s">
        <v>609</v>
      </c>
      <c r="C153" s="7">
        <f>(C11-C155*(C11-C13)/C9)/2+C144/2</f>
        <v>5.2065291666666669</v>
      </c>
      <c r="D153" s="4" t="s">
        <v>21</v>
      </c>
      <c r="F153" s="4"/>
      <c r="G153" s="4"/>
      <c r="J153" s="4"/>
      <c r="K153" s="4"/>
    </row>
    <row r="154" spans="1:11" x14ac:dyDescent="0.2">
      <c r="C154" s="7">
        <f>C153/12</f>
        <v>0.43387743055555555</v>
      </c>
      <c r="D154" s="4" t="s">
        <v>0</v>
      </c>
      <c r="E154" s="3"/>
      <c r="F154" s="8"/>
      <c r="G154" s="54"/>
      <c r="J154" s="8"/>
      <c r="K154" s="54"/>
    </row>
    <row r="155" spans="1:11" ht="18.75" x14ac:dyDescent="0.35">
      <c r="A155" s="4" t="s">
        <v>607</v>
      </c>
      <c r="B155" s="2" t="s">
        <v>573</v>
      </c>
      <c r="C155" s="7">
        <f>C143-C148/2</f>
        <v>114.595</v>
      </c>
      <c r="D155" s="4" t="s">
        <v>21</v>
      </c>
      <c r="E155" s="3"/>
      <c r="F155" s="8"/>
      <c r="G155" s="54"/>
      <c r="J155" s="8"/>
      <c r="K155" s="54"/>
    </row>
    <row r="156" spans="1:11" x14ac:dyDescent="0.2">
      <c r="B156" s="4"/>
      <c r="C156" s="7">
        <f>C155/12</f>
        <v>9.5495833333333326</v>
      </c>
      <c r="D156" s="4" t="s">
        <v>0</v>
      </c>
      <c r="E156" s="2"/>
      <c r="F156" s="19"/>
      <c r="G156" s="54"/>
      <c r="J156" s="19"/>
      <c r="K156" s="54"/>
    </row>
    <row r="157" spans="1:11" ht="18.75" x14ac:dyDescent="0.35">
      <c r="A157" s="4" t="s">
        <v>1017</v>
      </c>
      <c r="B157" s="3" t="s">
        <v>1016</v>
      </c>
      <c r="C157" s="7">
        <f>(0.5*(($C$11-($C$11-$C$13)/$C$9*(C143-C148))-($C$11-($C$11-$C$13)/$C$9*C143))*C148+C148*($C$11-($C$11-$C$13)/$C$9*C143))/144</f>
        <v>0.50019208738425935</v>
      </c>
      <c r="D157" s="4" t="s">
        <v>121</v>
      </c>
      <c r="E157" s="2"/>
      <c r="F157" s="19"/>
      <c r="G157" s="54"/>
      <c r="J157" s="19"/>
      <c r="K157" s="54"/>
    </row>
    <row r="158" spans="1:11" x14ac:dyDescent="0.2">
      <c r="B158" s="4"/>
      <c r="C158" s="7"/>
      <c r="E158" s="2"/>
      <c r="F158" s="19"/>
      <c r="G158" s="54"/>
      <c r="J158" s="19"/>
      <c r="K158" s="54"/>
    </row>
    <row r="159" spans="1:11" ht="15" x14ac:dyDescent="0.25">
      <c r="A159" s="1" t="s">
        <v>1002</v>
      </c>
      <c r="E159" s="2"/>
      <c r="F159" s="19"/>
      <c r="G159" s="54"/>
      <c r="J159" s="19"/>
      <c r="K159" s="54"/>
    </row>
    <row r="160" spans="1:11" ht="18.75" x14ac:dyDescent="0.35">
      <c r="A160" s="4" t="s">
        <v>975</v>
      </c>
      <c r="B160" s="2" t="s">
        <v>981</v>
      </c>
      <c r="C160" s="7">
        <f>C117</f>
        <v>24.5</v>
      </c>
      <c r="D160" s="4" t="s">
        <v>0</v>
      </c>
      <c r="F160" s="2"/>
      <c r="G160" s="19"/>
      <c r="H160" s="4"/>
      <c r="J160" s="19"/>
      <c r="K160" s="54"/>
    </row>
    <row r="161" spans="1:11" ht="15" x14ac:dyDescent="0.25">
      <c r="A161" s="1"/>
      <c r="C161" s="8">
        <f>C160*12</f>
        <v>294</v>
      </c>
      <c r="D161" s="4" t="s">
        <v>21</v>
      </c>
      <c r="E161" s="1"/>
      <c r="F161" s="2"/>
      <c r="G161" s="8"/>
      <c r="H161" s="4"/>
      <c r="J161" s="19"/>
      <c r="K161" s="54"/>
    </row>
    <row r="162" spans="1:11" ht="18.75" x14ac:dyDescent="0.35">
      <c r="A162" s="4" t="s">
        <v>295</v>
      </c>
      <c r="B162" s="2" t="s">
        <v>574</v>
      </c>
      <c r="C162" s="19">
        <v>5</v>
      </c>
      <c r="D162" s="4" t="s">
        <v>21</v>
      </c>
      <c r="F162" s="2"/>
      <c r="G162" s="19"/>
      <c r="H162" s="4"/>
      <c r="J162" s="19"/>
      <c r="K162" s="54"/>
    </row>
    <row r="163" spans="1:11" ht="15" x14ac:dyDescent="0.25">
      <c r="B163" s="4"/>
      <c r="C163" s="8">
        <f>C162/12</f>
        <v>0.41666666666666669</v>
      </c>
      <c r="D163" s="4" t="s">
        <v>0</v>
      </c>
      <c r="E163" s="1"/>
      <c r="F163" s="2"/>
      <c r="G163" s="8"/>
      <c r="H163" s="4"/>
      <c r="J163" s="19"/>
      <c r="K163" s="54"/>
    </row>
    <row r="164" spans="1:11" ht="18.75" x14ac:dyDescent="0.35">
      <c r="A164" s="4" t="s">
        <v>296</v>
      </c>
      <c r="B164" s="2" t="s">
        <v>575</v>
      </c>
      <c r="C164" s="19">
        <v>8</v>
      </c>
      <c r="D164" s="4" t="s">
        <v>21</v>
      </c>
      <c r="F164" s="2"/>
      <c r="G164" s="19"/>
      <c r="H164" s="4"/>
      <c r="J164" s="19"/>
      <c r="K164" s="54"/>
    </row>
    <row r="165" spans="1:11" ht="15" x14ac:dyDescent="0.25">
      <c r="B165" s="4"/>
      <c r="C165" s="8">
        <f>C164/12</f>
        <v>0.66666666666666663</v>
      </c>
      <c r="D165" s="4" t="s">
        <v>0</v>
      </c>
      <c r="E165" s="1"/>
      <c r="F165" s="2"/>
      <c r="G165" s="8"/>
      <c r="H165" s="4"/>
      <c r="J165" s="19"/>
      <c r="K165" s="54"/>
    </row>
    <row r="166" spans="1:11" ht="18.75" x14ac:dyDescent="0.35">
      <c r="A166" s="4" t="s">
        <v>297</v>
      </c>
      <c r="B166" s="2" t="s">
        <v>576</v>
      </c>
      <c r="C166" s="19">
        <v>21</v>
      </c>
      <c r="D166" s="4" t="s">
        <v>21</v>
      </c>
      <c r="F166" s="2"/>
      <c r="G166" s="19"/>
      <c r="H166" s="4"/>
      <c r="J166" s="19"/>
      <c r="K166" s="54"/>
    </row>
    <row r="167" spans="1:11" ht="15" x14ac:dyDescent="0.25">
      <c r="B167" s="4"/>
      <c r="C167" s="8">
        <f>C166/12</f>
        <v>1.75</v>
      </c>
      <c r="D167" s="4" t="s">
        <v>0</v>
      </c>
      <c r="E167" s="1"/>
      <c r="F167" s="2"/>
      <c r="G167" s="8"/>
      <c r="H167" s="4"/>
      <c r="J167" s="19"/>
      <c r="K167" s="54"/>
    </row>
    <row r="168" spans="1:11" ht="18.75" x14ac:dyDescent="0.35">
      <c r="A168" s="4" t="s">
        <v>298</v>
      </c>
      <c r="B168" s="2" t="s">
        <v>577</v>
      </c>
      <c r="C168" s="19">
        <f>$C$131</f>
        <v>50</v>
      </c>
      <c r="D168" s="4" t="s">
        <v>7</v>
      </c>
      <c r="F168" s="2"/>
      <c r="G168" s="19"/>
      <c r="H168" s="4"/>
      <c r="J168" s="19"/>
      <c r="K168" s="54"/>
    </row>
    <row r="169" spans="1:11" ht="18.75" x14ac:dyDescent="0.35">
      <c r="A169" s="4" t="s">
        <v>613</v>
      </c>
      <c r="B169" s="2" t="s">
        <v>615</v>
      </c>
      <c r="C169" s="7">
        <f>IF(C175&lt;180,(C164*SIN(RADIANS(C175-90))+C162*SIN(RADIANS(C175)))*C166/144, (C164*SIN(RADIANS(C175-210))+C162*SIN(RADIANS(C175-120)))*C166/144)</f>
        <v>1.2148101902594866</v>
      </c>
      <c r="D169" s="4" t="s">
        <v>121</v>
      </c>
      <c r="E169" s="4" t="s">
        <v>1007</v>
      </c>
      <c r="F169" s="4"/>
      <c r="G169" s="8"/>
      <c r="H169" s="4"/>
      <c r="J169" s="19"/>
      <c r="K169" s="54"/>
    </row>
    <row r="170" spans="1:11" ht="18.75" x14ac:dyDescent="0.35">
      <c r="A170" s="4" t="s">
        <v>616</v>
      </c>
      <c r="B170" s="2" t="s">
        <v>614</v>
      </c>
      <c r="C170" s="7">
        <f>IF(C175&lt;180,(C164*SIN(RADIANS(C175))+C162*SIN(RADIANS(C175-90)))*C166/144, (C164*SIN(RADIANS(C175-120))+C162*SIN(RADIANS(C175-210)))*C166/144)</f>
        <v>1.3749463044151784</v>
      </c>
      <c r="D170" s="4" t="s">
        <v>121</v>
      </c>
      <c r="E170" s="4" t="s">
        <v>1007</v>
      </c>
      <c r="F170" s="2"/>
      <c r="G170" s="19"/>
      <c r="H170" s="4"/>
      <c r="J170" s="19"/>
      <c r="K170" s="54"/>
    </row>
    <row r="171" spans="1:11" ht="18.75" x14ac:dyDescent="0.35">
      <c r="A171" s="4" t="s">
        <v>611</v>
      </c>
      <c r="B171" s="2" t="s">
        <v>612</v>
      </c>
      <c r="C171" s="7">
        <f>($C$11-C173*($C$11-$C$13)/$C$9)/2+$C$119+C162/2</f>
        <v>8.723749999999999</v>
      </c>
      <c r="D171" s="4" t="s">
        <v>21</v>
      </c>
      <c r="F171" s="4"/>
      <c r="G171" s="8"/>
      <c r="H171" s="4"/>
      <c r="J171" s="19"/>
      <c r="K171" s="54"/>
    </row>
    <row r="172" spans="1:11" x14ac:dyDescent="0.2">
      <c r="C172" s="7">
        <f>C171/12</f>
        <v>0.72697916666666662</v>
      </c>
      <c r="D172" s="4" t="s">
        <v>0</v>
      </c>
      <c r="F172" s="2"/>
      <c r="G172" s="19"/>
      <c r="H172" s="4"/>
      <c r="J172" s="19"/>
      <c r="K172" s="54"/>
    </row>
    <row r="173" spans="1:11" ht="18.75" x14ac:dyDescent="0.35">
      <c r="A173" s="4" t="s">
        <v>610</v>
      </c>
      <c r="B173" s="2" t="s">
        <v>578</v>
      </c>
      <c r="C173" s="7">
        <f>C161+C166/2</f>
        <v>304.5</v>
      </c>
      <c r="D173" s="4" t="s">
        <v>21</v>
      </c>
      <c r="F173" s="4"/>
      <c r="G173" s="8"/>
      <c r="H173" s="4"/>
      <c r="J173" s="19"/>
      <c r="K173" s="54"/>
    </row>
    <row r="174" spans="1:11" x14ac:dyDescent="0.2">
      <c r="B174" s="4"/>
      <c r="C174" s="7">
        <f>C173/12</f>
        <v>25.375</v>
      </c>
      <c r="D174" s="4" t="s">
        <v>0</v>
      </c>
      <c r="F174" s="2"/>
      <c r="G174" s="19"/>
      <c r="H174" s="4"/>
      <c r="J174" s="19"/>
      <c r="K174" s="54"/>
    </row>
    <row r="175" spans="1:11" x14ac:dyDescent="0.2">
      <c r="A175" s="4" t="s">
        <v>1004</v>
      </c>
      <c r="B175" s="2" t="s">
        <v>1005</v>
      </c>
      <c r="C175" s="228">
        <v>120</v>
      </c>
      <c r="D175" s="4" t="s">
        <v>1006</v>
      </c>
      <c r="F175" s="2"/>
      <c r="G175" s="19"/>
      <c r="H175" s="4"/>
      <c r="J175" s="19"/>
      <c r="K175" s="54"/>
    </row>
    <row r="176" spans="1:11" ht="18.75" x14ac:dyDescent="0.35">
      <c r="A176" s="4" t="s">
        <v>1020</v>
      </c>
      <c r="B176" s="3" t="s">
        <v>1021</v>
      </c>
      <c r="C176" s="230">
        <f>(0.5*(($C$11-($C$11-$C$13)/$C$9*(C161))-($C$11-($C$11-$C$13)/$C$9*(C161+C166)))*C166+C166*($C$11-($C$11-$C$13)/$C$9*(C161+C166)))/144</f>
        <v>0.64859374999999997</v>
      </c>
      <c r="D176" s="4" t="s">
        <v>121</v>
      </c>
      <c r="F176" s="2"/>
      <c r="G176" s="19"/>
      <c r="H176" s="4"/>
      <c r="J176" s="19"/>
      <c r="K176" s="54"/>
    </row>
    <row r="177" spans="1:11" ht="18.75" x14ac:dyDescent="0.35">
      <c r="A177" s="4" t="s">
        <v>1024</v>
      </c>
      <c r="B177" s="3" t="s">
        <v>1021</v>
      </c>
      <c r="C177" s="230">
        <f>C176*0.5-(((($C$11-($C$11-$C$13)/$C$3*(C161+C166/2))/2+$C$119)*COS(RADIANS($C$175-60))-(C164/2*COS(RADIANS(C175-90))))*C166)/144</f>
        <v>0.37566325637425579</v>
      </c>
      <c r="D177" s="4" t="s">
        <v>121</v>
      </c>
      <c r="E177" s="4" t="s">
        <v>1007</v>
      </c>
      <c r="F177" s="4"/>
      <c r="G177" s="8"/>
      <c r="H177" s="4"/>
      <c r="J177" s="19"/>
      <c r="K177" s="54"/>
    </row>
    <row r="178" spans="1:11" x14ac:dyDescent="0.2">
      <c r="B178" s="4"/>
      <c r="C178" s="7"/>
      <c r="F178" s="2"/>
      <c r="G178" s="7"/>
      <c r="H178" s="4"/>
      <c r="J178" s="19"/>
      <c r="K178" s="54"/>
    </row>
    <row r="179" spans="1:11" ht="15" x14ac:dyDescent="0.25">
      <c r="A179" s="1" t="s">
        <v>1003</v>
      </c>
      <c r="F179" s="2"/>
      <c r="G179" s="7"/>
      <c r="H179" s="4"/>
      <c r="J179" s="19"/>
      <c r="K179" s="54"/>
    </row>
    <row r="180" spans="1:11" ht="18.75" x14ac:dyDescent="0.35">
      <c r="A180" s="4" t="s">
        <v>975</v>
      </c>
      <c r="B180" s="2" t="s">
        <v>981</v>
      </c>
      <c r="C180" s="7">
        <f>C117</f>
        <v>24.5</v>
      </c>
      <c r="D180" s="4" t="s">
        <v>0</v>
      </c>
      <c r="F180" s="2"/>
      <c r="G180" s="7"/>
      <c r="H180" s="4"/>
      <c r="J180" s="19"/>
      <c r="K180" s="54"/>
    </row>
    <row r="181" spans="1:11" ht="15" x14ac:dyDescent="0.25">
      <c r="A181" s="1"/>
      <c r="C181" s="8">
        <f>C180*12</f>
        <v>294</v>
      </c>
      <c r="D181" s="4" t="s">
        <v>21</v>
      </c>
      <c r="F181" s="2"/>
      <c r="G181" s="7"/>
      <c r="H181" s="4"/>
      <c r="J181" s="19"/>
      <c r="K181" s="54"/>
    </row>
    <row r="182" spans="1:11" ht="18.75" x14ac:dyDescent="0.35">
      <c r="A182" s="4" t="s">
        <v>295</v>
      </c>
      <c r="B182" s="2" t="s">
        <v>574</v>
      </c>
      <c r="C182" s="19">
        <v>5</v>
      </c>
      <c r="D182" s="4" t="s">
        <v>21</v>
      </c>
      <c r="F182" s="2"/>
      <c r="G182" s="7"/>
      <c r="H182" s="4"/>
      <c r="J182" s="19"/>
      <c r="K182" s="54"/>
    </row>
    <row r="183" spans="1:11" x14ac:dyDescent="0.2">
      <c r="B183" s="4"/>
      <c r="C183" s="8">
        <f>C182/12</f>
        <v>0.41666666666666669</v>
      </c>
      <c r="D183" s="4" t="s">
        <v>0</v>
      </c>
      <c r="F183" s="4"/>
      <c r="G183" s="7"/>
      <c r="H183" s="4"/>
      <c r="J183" s="19"/>
      <c r="K183" s="54"/>
    </row>
    <row r="184" spans="1:11" ht="18.75" x14ac:dyDescent="0.35">
      <c r="A184" s="4" t="s">
        <v>296</v>
      </c>
      <c r="B184" s="2" t="s">
        <v>575</v>
      </c>
      <c r="C184" s="19">
        <v>8</v>
      </c>
      <c r="D184" s="4" t="s">
        <v>21</v>
      </c>
      <c r="E184" s="2"/>
      <c r="F184" s="19"/>
      <c r="G184" s="54"/>
      <c r="J184" s="19"/>
      <c r="K184" s="54"/>
    </row>
    <row r="185" spans="1:11" x14ac:dyDescent="0.2">
      <c r="B185" s="4"/>
      <c r="C185" s="8">
        <f>C184/12</f>
        <v>0.66666666666666663</v>
      </c>
      <c r="D185" s="4" t="s">
        <v>0</v>
      </c>
      <c r="E185" s="2"/>
      <c r="F185" s="19"/>
      <c r="G185" s="54"/>
      <c r="J185" s="19"/>
      <c r="K185" s="54"/>
    </row>
    <row r="186" spans="1:11" ht="18.75" x14ac:dyDescent="0.35">
      <c r="A186" s="4" t="s">
        <v>297</v>
      </c>
      <c r="B186" s="2" t="s">
        <v>576</v>
      </c>
      <c r="C186" s="19">
        <v>21</v>
      </c>
      <c r="D186" s="4" t="s">
        <v>21</v>
      </c>
      <c r="E186" s="2"/>
      <c r="F186" s="19"/>
      <c r="G186" s="54"/>
      <c r="J186" s="19"/>
      <c r="K186" s="54"/>
    </row>
    <row r="187" spans="1:11" x14ac:dyDescent="0.2">
      <c r="B187" s="4"/>
      <c r="C187" s="8">
        <f>C186/12</f>
        <v>1.75</v>
      </c>
      <c r="D187" s="4" t="s">
        <v>0</v>
      </c>
      <c r="E187" s="2"/>
      <c r="F187" s="19"/>
      <c r="G187" s="54"/>
      <c r="J187" s="19"/>
      <c r="K187" s="54"/>
    </row>
    <row r="188" spans="1:11" ht="18.75" x14ac:dyDescent="0.35">
      <c r="A188" s="4" t="s">
        <v>298</v>
      </c>
      <c r="B188" s="2" t="s">
        <v>577</v>
      </c>
      <c r="C188" s="19">
        <f>$C$131</f>
        <v>50</v>
      </c>
      <c r="D188" s="4" t="s">
        <v>7</v>
      </c>
      <c r="E188" s="2"/>
      <c r="F188" s="19"/>
      <c r="G188" s="54"/>
      <c r="J188" s="19"/>
      <c r="K188" s="54"/>
    </row>
    <row r="189" spans="1:11" ht="18.75" x14ac:dyDescent="0.35">
      <c r="A189" s="4" t="s">
        <v>613</v>
      </c>
      <c r="B189" s="2" t="s">
        <v>615</v>
      </c>
      <c r="C189" s="7">
        <f>IF(C195&lt;180,(C184*SIN(RADIANS(C195-90))+C182*SIN(RADIANS(C195)))*C186/144, (C184*SIN(RADIANS(C195-210))+C182*SIN(RADIANS(C195-120)))*C186/144)</f>
        <v>1.2148101902594866</v>
      </c>
      <c r="D189" s="4" t="s">
        <v>121</v>
      </c>
      <c r="E189" s="4" t="s">
        <v>1008</v>
      </c>
      <c r="F189" s="19"/>
      <c r="G189" s="54"/>
      <c r="J189" s="19"/>
      <c r="K189" s="54"/>
    </row>
    <row r="190" spans="1:11" ht="18.75" x14ac:dyDescent="0.35">
      <c r="A190" s="4" t="s">
        <v>616</v>
      </c>
      <c r="B190" s="2" t="s">
        <v>614</v>
      </c>
      <c r="C190" s="7">
        <f>IF(C195&lt;180,(C184*SIN(RADIANS(C195))+C182*SIN(RADIANS(C195-90)))*C186/144, (C184*SIN(RADIANS(C195-120))+C182*SIN(RADIANS(C195-210)))*C186/144)</f>
        <v>1.3749463044151784</v>
      </c>
      <c r="D190" s="4" t="s">
        <v>121</v>
      </c>
      <c r="E190" s="4" t="s">
        <v>1008</v>
      </c>
      <c r="F190" s="19"/>
      <c r="G190" s="54"/>
      <c r="J190" s="19"/>
      <c r="K190" s="54"/>
    </row>
    <row r="191" spans="1:11" ht="18.75" x14ac:dyDescent="0.35">
      <c r="A191" s="4" t="s">
        <v>611</v>
      </c>
      <c r="B191" s="2" t="s">
        <v>612</v>
      </c>
      <c r="C191" s="7">
        <f>($C$11-C193*($C$11-$C$13)/$C$9)/2+$C$119+C182/2</f>
        <v>8.723749999999999</v>
      </c>
      <c r="D191" s="4" t="s">
        <v>21</v>
      </c>
      <c r="E191" s="2"/>
      <c r="F191" s="19"/>
      <c r="G191" s="54"/>
      <c r="J191" s="19"/>
      <c r="K191" s="54"/>
    </row>
    <row r="192" spans="1:11" x14ac:dyDescent="0.2">
      <c r="C192" s="7">
        <f>C191/12</f>
        <v>0.72697916666666662</v>
      </c>
      <c r="D192" s="4" t="s">
        <v>0</v>
      </c>
      <c r="E192" s="2"/>
      <c r="F192" s="19"/>
      <c r="G192" s="54"/>
      <c r="J192" s="19"/>
      <c r="K192" s="54"/>
    </row>
    <row r="193" spans="1:16" ht="18.75" x14ac:dyDescent="0.35">
      <c r="A193" s="4" t="s">
        <v>610</v>
      </c>
      <c r="B193" s="2" t="s">
        <v>578</v>
      </c>
      <c r="C193" s="7">
        <f>C181+C186/2</f>
        <v>304.5</v>
      </c>
      <c r="D193" s="4" t="s">
        <v>21</v>
      </c>
      <c r="E193" s="2"/>
      <c r="F193" s="19"/>
      <c r="G193" s="54"/>
      <c r="J193" s="19"/>
      <c r="K193" s="54"/>
    </row>
    <row r="194" spans="1:16" x14ac:dyDescent="0.2">
      <c r="B194" s="4"/>
      <c r="C194" s="7">
        <f>C193/12</f>
        <v>25.375</v>
      </c>
      <c r="D194" s="4" t="s">
        <v>0</v>
      </c>
      <c r="E194" s="2"/>
      <c r="F194" s="19"/>
      <c r="G194" s="54"/>
      <c r="J194" s="19"/>
      <c r="K194" s="54"/>
    </row>
    <row r="195" spans="1:16" x14ac:dyDescent="0.2">
      <c r="A195" s="4" t="s">
        <v>1004</v>
      </c>
      <c r="B195" s="2" t="s">
        <v>1005</v>
      </c>
      <c r="C195" s="228">
        <v>240</v>
      </c>
      <c r="D195" s="4" t="s">
        <v>1006</v>
      </c>
      <c r="E195" s="2"/>
      <c r="F195" s="19"/>
      <c r="G195" s="54"/>
      <c r="J195" s="19"/>
      <c r="K195" s="54"/>
    </row>
    <row r="196" spans="1:16" x14ac:dyDescent="0.2">
      <c r="B196" s="4"/>
      <c r="C196" s="4"/>
      <c r="E196" s="2"/>
      <c r="F196" s="8"/>
      <c r="G196" s="4"/>
      <c r="J196" s="8"/>
      <c r="K196" s="4"/>
    </row>
    <row r="197" spans="1:16" ht="15" x14ac:dyDescent="0.25">
      <c r="A197" s="1" t="s">
        <v>1051</v>
      </c>
      <c r="E197" s="2"/>
      <c r="F197" s="8"/>
      <c r="G197" s="4"/>
      <c r="J197" s="8"/>
      <c r="K197" s="4"/>
    </row>
    <row r="198" spans="1:16" ht="18.75" x14ac:dyDescent="0.35">
      <c r="A198" s="4" t="s">
        <v>980</v>
      </c>
      <c r="B198" s="2" t="s">
        <v>981</v>
      </c>
      <c r="C198" s="19">
        <v>7</v>
      </c>
      <c r="D198" s="4" t="s">
        <v>0</v>
      </c>
      <c r="E198" s="2"/>
      <c r="F198" s="4"/>
      <c r="G198" s="2"/>
      <c r="H198" s="19"/>
      <c r="J198" s="8"/>
      <c r="K198" s="4"/>
    </row>
    <row r="199" spans="1:16" ht="15" x14ac:dyDescent="0.25">
      <c r="A199" s="1"/>
      <c r="C199" s="8">
        <f>C198*12</f>
        <v>84</v>
      </c>
      <c r="D199" s="4" t="s">
        <v>21</v>
      </c>
      <c r="E199" s="2"/>
      <c r="F199" s="1"/>
      <c r="G199" s="2"/>
      <c r="H199" s="8"/>
      <c r="J199" s="8"/>
      <c r="K199" s="4"/>
    </row>
    <row r="200" spans="1:16" ht="18.75" x14ac:dyDescent="0.35">
      <c r="A200" s="4" t="s">
        <v>295</v>
      </c>
      <c r="B200" s="2" t="s">
        <v>564</v>
      </c>
      <c r="C200" s="19">
        <v>0.08</v>
      </c>
      <c r="D200" s="4" t="s">
        <v>21</v>
      </c>
      <c r="E200" s="2"/>
      <c r="F200" s="4"/>
      <c r="G200" s="2"/>
      <c r="H200" s="19"/>
      <c r="J200" s="55"/>
      <c r="K200" s="4"/>
    </row>
    <row r="201" spans="1:16" ht="15" x14ac:dyDescent="0.25">
      <c r="B201" s="4"/>
      <c r="C201" s="8">
        <f>C200/12</f>
        <v>6.6666666666666671E-3</v>
      </c>
      <c r="D201" s="4" t="s">
        <v>0</v>
      </c>
      <c r="F201" s="4"/>
      <c r="G201" s="4"/>
      <c r="H201" s="8"/>
      <c r="J201" s="55"/>
      <c r="K201" s="4"/>
    </row>
    <row r="202" spans="1:16" ht="18.75" x14ac:dyDescent="0.35">
      <c r="A202" s="4" t="s">
        <v>296</v>
      </c>
      <c r="B202" s="2" t="s">
        <v>565</v>
      </c>
      <c r="C202" s="19">
        <v>27</v>
      </c>
      <c r="D202" s="4" t="s">
        <v>21</v>
      </c>
      <c r="F202" s="4"/>
      <c r="G202" s="2"/>
      <c r="H202" s="19"/>
      <c r="K202" s="4"/>
    </row>
    <row r="203" spans="1:16" x14ac:dyDescent="0.2">
      <c r="B203" s="4"/>
      <c r="C203" s="8">
        <f>C202/12</f>
        <v>2.25</v>
      </c>
      <c r="D203" s="4" t="s">
        <v>0</v>
      </c>
      <c r="F203" s="4"/>
      <c r="G203" s="4"/>
      <c r="H203" s="8"/>
      <c r="K203" s="4"/>
    </row>
    <row r="204" spans="1:16" ht="18.75" x14ac:dyDescent="0.35">
      <c r="A204" s="4" t="s">
        <v>297</v>
      </c>
      <c r="B204" s="2" t="s">
        <v>566</v>
      </c>
      <c r="C204" s="19">
        <v>59</v>
      </c>
      <c r="D204" s="4" t="s">
        <v>21</v>
      </c>
      <c r="F204" s="4"/>
      <c r="G204" s="2"/>
      <c r="H204" s="19"/>
      <c r="K204" s="4"/>
    </row>
    <row r="205" spans="1:16" x14ac:dyDescent="0.2">
      <c r="B205" s="4"/>
      <c r="C205" s="8">
        <f>C204/12</f>
        <v>4.916666666666667</v>
      </c>
      <c r="D205" s="4" t="s">
        <v>0</v>
      </c>
      <c r="F205" s="4"/>
      <c r="G205" s="4"/>
      <c r="H205" s="8"/>
      <c r="K205" s="4"/>
    </row>
    <row r="206" spans="1:16" ht="18.75" x14ac:dyDescent="0.35">
      <c r="A206" s="4" t="s">
        <v>298</v>
      </c>
      <c r="B206" s="2" t="s">
        <v>568</v>
      </c>
      <c r="C206" s="8">
        <f>C201*C203*C205*$S$11</f>
        <v>12.463750000000001</v>
      </c>
      <c r="D206" s="4" t="s">
        <v>7</v>
      </c>
      <c r="F206" s="4"/>
      <c r="G206" s="2"/>
      <c r="H206" s="8"/>
      <c r="J206" s="4"/>
      <c r="K206" s="4"/>
      <c r="P206" s="4"/>
    </row>
    <row r="207" spans="1:16" ht="18.75" x14ac:dyDescent="0.35">
      <c r="A207" s="4" t="s">
        <v>613</v>
      </c>
      <c r="B207" s="2" t="s">
        <v>986</v>
      </c>
      <c r="C207" s="7">
        <f>C202*C204/144</f>
        <v>11.0625</v>
      </c>
      <c r="D207" s="4" t="s">
        <v>121</v>
      </c>
      <c r="F207" s="4"/>
      <c r="G207" s="2"/>
      <c r="H207" s="7"/>
      <c r="J207" s="4"/>
      <c r="K207" s="4"/>
      <c r="P207" s="4"/>
    </row>
    <row r="208" spans="1:16" ht="18.75" x14ac:dyDescent="0.35">
      <c r="A208" s="4" t="s">
        <v>616</v>
      </c>
      <c r="B208" s="2" t="s">
        <v>987</v>
      </c>
      <c r="C208" s="7">
        <f>C200*C204/144</f>
        <v>3.2777777777777774E-2</v>
      </c>
      <c r="D208" s="4" t="s">
        <v>121</v>
      </c>
      <c r="F208" s="4"/>
      <c r="G208" s="2"/>
      <c r="H208" s="7"/>
      <c r="J208" s="4"/>
      <c r="K208" s="4"/>
      <c r="P208" s="4"/>
    </row>
    <row r="209" spans="1:16" ht="18.75" x14ac:dyDescent="0.35">
      <c r="A209" s="4" t="s">
        <v>605</v>
      </c>
      <c r="B209" s="2" t="s">
        <v>606</v>
      </c>
      <c r="C209" s="7">
        <f>($C$11-C211*($C$11-$C$13)/$C$9)/2+C202/2</f>
        <v>16.837916666666665</v>
      </c>
      <c r="D209" s="4" t="s">
        <v>21</v>
      </c>
      <c r="F209" s="4"/>
      <c r="G209" s="2"/>
      <c r="H209" s="7"/>
      <c r="J209" s="4"/>
      <c r="K209" s="4"/>
      <c r="P209" s="4"/>
    </row>
    <row r="210" spans="1:16" x14ac:dyDescent="0.2">
      <c r="C210" s="7">
        <f>C209/12</f>
        <v>1.4031597222222221</v>
      </c>
      <c r="D210" s="4" t="s">
        <v>0</v>
      </c>
      <c r="E210" s="3"/>
      <c r="F210" s="4"/>
      <c r="G210" s="2"/>
      <c r="H210" s="7"/>
      <c r="J210" s="4"/>
      <c r="K210" s="4"/>
      <c r="P210" s="4"/>
    </row>
    <row r="211" spans="1:16" ht="18.75" x14ac:dyDescent="0.35">
      <c r="A211" s="4" t="s">
        <v>509</v>
      </c>
      <c r="B211" s="2" t="s">
        <v>567</v>
      </c>
      <c r="C211" s="7">
        <f>C199+C204/2</f>
        <v>113.5</v>
      </c>
      <c r="D211" s="4" t="s">
        <v>21</v>
      </c>
      <c r="E211" s="3"/>
      <c r="F211" s="4"/>
      <c r="G211" s="2"/>
      <c r="H211" s="7"/>
      <c r="J211" s="4"/>
      <c r="K211" s="4"/>
      <c r="P211" s="4"/>
    </row>
    <row r="212" spans="1:16" x14ac:dyDescent="0.2">
      <c r="B212" s="4"/>
      <c r="C212" s="7">
        <f>C211/12</f>
        <v>9.4583333333333339</v>
      </c>
      <c r="D212" s="4" t="s">
        <v>0</v>
      </c>
      <c r="E212" s="2"/>
      <c r="F212" s="4"/>
      <c r="G212" s="4"/>
      <c r="H212" s="7"/>
      <c r="J212" s="4"/>
      <c r="K212" s="4"/>
      <c r="P212" s="4"/>
    </row>
    <row r="213" spans="1:16" ht="18.75" x14ac:dyDescent="0.35">
      <c r="A213" s="4" t="s">
        <v>1022</v>
      </c>
      <c r="B213" s="3" t="s">
        <v>1023</v>
      </c>
      <c r="C213" s="240">
        <f>8*30/144</f>
        <v>1.6666666666666667</v>
      </c>
      <c r="D213" s="4" t="s">
        <v>121</v>
      </c>
      <c r="E213" s="2"/>
      <c r="F213" s="4"/>
      <c r="H213" s="7"/>
      <c r="J213" s="4"/>
      <c r="K213" s="4"/>
      <c r="P213" s="4"/>
    </row>
    <row r="214" spans="1:16" x14ac:dyDescent="0.2">
      <c r="B214" s="4"/>
      <c r="C214" s="4"/>
      <c r="E214" s="2"/>
      <c r="F214" s="4"/>
      <c r="G214" s="4"/>
      <c r="H214" s="4"/>
      <c r="J214" s="4"/>
      <c r="K214" s="4"/>
      <c r="P214" s="4"/>
    </row>
    <row r="215" spans="1:16" ht="15" x14ac:dyDescent="0.25">
      <c r="A215" s="1" t="s">
        <v>27</v>
      </c>
      <c r="E215" s="2"/>
      <c r="F215" s="4"/>
      <c r="G215" s="4"/>
      <c r="H215" s="4"/>
      <c r="J215" s="4"/>
      <c r="K215" s="4"/>
      <c r="P215" s="4"/>
    </row>
    <row r="216" spans="1:16" ht="18.75" x14ac:dyDescent="0.35">
      <c r="A216" s="4" t="s">
        <v>263</v>
      </c>
      <c r="B216" s="2" t="s">
        <v>126</v>
      </c>
      <c r="C216" s="89">
        <f>C217/12</f>
        <v>0.95833333333333337</v>
      </c>
      <c r="D216" s="4" t="s">
        <v>0</v>
      </c>
      <c r="E216" s="2"/>
      <c r="F216" s="4"/>
      <c r="G216" s="4"/>
      <c r="H216" s="4"/>
      <c r="J216" s="4"/>
      <c r="K216" s="4"/>
      <c r="P216" s="4"/>
    </row>
    <row r="217" spans="1:16" x14ac:dyDescent="0.2">
      <c r="C217" s="5">
        <v>11.5</v>
      </c>
      <c r="D217" s="4" t="s">
        <v>21</v>
      </c>
      <c r="F217" s="4"/>
      <c r="G217" s="4"/>
      <c r="H217" s="4"/>
      <c r="J217" s="4"/>
      <c r="K217" s="4"/>
      <c r="P217" s="4"/>
    </row>
    <row r="218" spans="1:16" ht="18.75" x14ac:dyDescent="0.35">
      <c r="A218" s="4" t="s">
        <v>264</v>
      </c>
      <c r="B218" s="2" t="s">
        <v>127</v>
      </c>
      <c r="C218" s="12">
        <f>C219/12</f>
        <v>8.3333333333333329E-2</v>
      </c>
      <c r="D218" s="4" t="s">
        <v>0</v>
      </c>
      <c r="F218" s="8"/>
      <c r="G218" s="8"/>
      <c r="J218" s="4"/>
      <c r="K218" s="4"/>
      <c r="P218" s="4"/>
    </row>
    <row r="219" spans="1:16" x14ac:dyDescent="0.2">
      <c r="C219" s="104">
        <v>1</v>
      </c>
      <c r="D219" s="4" t="s">
        <v>21</v>
      </c>
      <c r="F219" s="8"/>
      <c r="G219" s="8"/>
      <c r="J219" s="4"/>
      <c r="K219" s="4"/>
      <c r="P219" s="4"/>
    </row>
    <row r="220" spans="1:16" ht="18.75" x14ac:dyDescent="0.35">
      <c r="A220" s="4" t="s">
        <v>265</v>
      </c>
      <c r="B220" s="2" t="s">
        <v>128</v>
      </c>
      <c r="C220" s="12">
        <f>C216^2*C218*S2</f>
        <v>37.501446759259267</v>
      </c>
      <c r="D220" s="4" t="s">
        <v>7</v>
      </c>
      <c r="F220" s="8"/>
      <c r="G220" s="8"/>
      <c r="J220" s="4"/>
      <c r="K220" s="4"/>
      <c r="P220" s="4"/>
    </row>
    <row r="221" spans="1:16" x14ac:dyDescent="0.2">
      <c r="F221" s="8"/>
      <c r="G221" s="8"/>
      <c r="J221" s="4"/>
      <c r="K221" s="4"/>
      <c r="P221" s="4"/>
    </row>
    <row r="222" spans="1:16" ht="15" x14ac:dyDescent="0.25">
      <c r="A222" s="1" t="s">
        <v>42</v>
      </c>
    </row>
    <row r="223" spans="1:16" ht="18.75" x14ac:dyDescent="0.35">
      <c r="A223" s="4" t="s">
        <v>43</v>
      </c>
      <c r="B223" s="2" t="s">
        <v>137</v>
      </c>
      <c r="C223" s="7">
        <f>W4</f>
        <v>2</v>
      </c>
      <c r="D223" s="4" t="s">
        <v>0</v>
      </c>
    </row>
    <row r="224" spans="1:16" ht="18.75" x14ac:dyDescent="0.35">
      <c r="A224" s="4" t="s">
        <v>46</v>
      </c>
      <c r="B224" s="2" t="s">
        <v>138</v>
      </c>
      <c r="C224" s="7">
        <f>W16</f>
        <v>7</v>
      </c>
      <c r="D224" s="4" t="s">
        <v>0</v>
      </c>
      <c r="P224" s="4"/>
    </row>
    <row r="225" spans="1:31" ht="18.75" x14ac:dyDescent="0.35">
      <c r="A225" s="4" t="s">
        <v>44</v>
      </c>
      <c r="B225" s="2" t="s">
        <v>139</v>
      </c>
      <c r="C225" s="8">
        <f>PI()/4*W4^2</f>
        <v>3.1415926535897931</v>
      </c>
      <c r="D225" s="4" t="s">
        <v>121</v>
      </c>
      <c r="P225" s="4"/>
    </row>
    <row r="226" spans="1:31" ht="18.75" x14ac:dyDescent="0.35">
      <c r="A226" s="4" t="s">
        <v>45</v>
      </c>
      <c r="B226" s="2" t="s">
        <v>140</v>
      </c>
      <c r="C226" s="31">
        <f>C225*W16*S9</f>
        <v>3298.6722862692827</v>
      </c>
      <c r="D226" s="4" t="s">
        <v>7</v>
      </c>
      <c r="P226" s="4"/>
      <c r="AA226" s="187">
        <v>0</v>
      </c>
      <c r="AB226" s="4" t="s">
        <v>21</v>
      </c>
    </row>
    <row r="227" spans="1:31" ht="15" thickBot="1" x14ac:dyDescent="0.25">
      <c r="P227" s="4"/>
      <c r="Z227" s="125" t="s">
        <v>803</v>
      </c>
      <c r="AA227" s="186">
        <f>AA226/12</f>
        <v>0</v>
      </c>
      <c r="AB227" s="185" t="s">
        <v>0</v>
      </c>
      <c r="AC227" s="19"/>
      <c r="AD227" s="125"/>
      <c r="AE227" s="19"/>
    </row>
    <row r="228" spans="1:31" ht="18.75" x14ac:dyDescent="0.35">
      <c r="A228" s="136" t="s">
        <v>801</v>
      </c>
      <c r="B228" s="221" t="s">
        <v>601</v>
      </c>
      <c r="C228" s="221" t="s">
        <v>582</v>
      </c>
      <c r="D228" s="221" t="s">
        <v>583</v>
      </c>
      <c r="E228" s="246" t="s">
        <v>624</v>
      </c>
      <c r="F228" s="244"/>
      <c r="G228" s="246" t="s">
        <v>623</v>
      </c>
      <c r="H228" s="244"/>
      <c r="I228" s="247" t="s">
        <v>618</v>
      </c>
      <c r="J228" s="248"/>
      <c r="K228" s="246" t="s">
        <v>584</v>
      </c>
      <c r="L228" s="244"/>
      <c r="M228" s="221" t="s">
        <v>585</v>
      </c>
      <c r="N228" s="221" t="s">
        <v>594</v>
      </c>
      <c r="O228" s="221" t="s">
        <v>599</v>
      </c>
      <c r="P228" s="249" t="s">
        <v>705</v>
      </c>
      <c r="Q228" s="250"/>
      <c r="R228" s="251" t="s">
        <v>628</v>
      </c>
      <c r="S228" s="251"/>
      <c r="T228" s="243" t="s">
        <v>595</v>
      </c>
      <c r="U228" s="243"/>
      <c r="V228" s="246" t="s">
        <v>617</v>
      </c>
      <c r="W228" s="244"/>
      <c r="X228" s="243" t="s">
        <v>766</v>
      </c>
      <c r="Y228" s="243"/>
      <c r="Z228" s="244" t="s">
        <v>759</v>
      </c>
      <c r="AA228" s="245"/>
    </row>
    <row r="229" spans="1:31" x14ac:dyDescent="0.2">
      <c r="A229" s="90"/>
      <c r="B229" s="91" t="s">
        <v>49</v>
      </c>
      <c r="C229" s="91" t="s">
        <v>586</v>
      </c>
      <c r="D229" s="91" t="s">
        <v>817</v>
      </c>
      <c r="E229" s="91" t="s">
        <v>588</v>
      </c>
      <c r="F229" s="91" t="s">
        <v>589</v>
      </c>
      <c r="G229" s="91" t="s">
        <v>588</v>
      </c>
      <c r="H229" s="91" t="s">
        <v>589</v>
      </c>
      <c r="I229" s="91" t="s">
        <v>588</v>
      </c>
      <c r="J229" s="91" t="s">
        <v>589</v>
      </c>
      <c r="K229" s="91" t="s">
        <v>588</v>
      </c>
      <c r="L229" s="91" t="s">
        <v>589</v>
      </c>
      <c r="M229" s="91"/>
      <c r="N229" s="91" t="s">
        <v>602</v>
      </c>
      <c r="O229" s="91" t="s">
        <v>600</v>
      </c>
      <c r="P229" s="91" t="s">
        <v>588</v>
      </c>
      <c r="Q229" s="91" t="s">
        <v>589</v>
      </c>
      <c r="R229" s="91" t="s">
        <v>588</v>
      </c>
      <c r="S229" s="91" t="s">
        <v>589</v>
      </c>
      <c r="T229" s="91" t="s">
        <v>588</v>
      </c>
      <c r="U229" s="91" t="s">
        <v>589</v>
      </c>
      <c r="V229" s="91" t="s">
        <v>588</v>
      </c>
      <c r="W229" s="91" t="s">
        <v>589</v>
      </c>
      <c r="X229" s="91" t="s">
        <v>588</v>
      </c>
      <c r="Y229" s="118" t="s">
        <v>589</v>
      </c>
      <c r="Z229" s="91" t="s">
        <v>588</v>
      </c>
      <c r="AA229" s="92" t="s">
        <v>589</v>
      </c>
      <c r="AB229" s="3"/>
      <c r="AC229" s="3"/>
      <c r="AD229" s="3"/>
      <c r="AE229" s="3"/>
    </row>
    <row r="230" spans="1:31" ht="18.75" x14ac:dyDescent="0.2">
      <c r="A230" s="100"/>
      <c r="B230" s="94" t="s">
        <v>7</v>
      </c>
      <c r="C230" s="94" t="s">
        <v>590</v>
      </c>
      <c r="D230" s="94" t="s">
        <v>0</v>
      </c>
      <c r="E230" s="94" t="s">
        <v>0</v>
      </c>
      <c r="F230" s="94" t="s">
        <v>0</v>
      </c>
      <c r="G230" s="94" t="s">
        <v>622</v>
      </c>
      <c r="H230" s="94" t="s">
        <v>622</v>
      </c>
      <c r="I230" s="126" t="s">
        <v>121</v>
      </c>
      <c r="J230" s="94" t="s">
        <v>121</v>
      </c>
      <c r="K230" s="94" t="s">
        <v>0</v>
      </c>
      <c r="L230" s="94" t="s">
        <v>0</v>
      </c>
      <c r="M230" s="94"/>
      <c r="N230" s="127" t="s">
        <v>107</v>
      </c>
      <c r="O230" s="94" t="s">
        <v>6</v>
      </c>
      <c r="P230" s="94"/>
      <c r="Q230" s="94"/>
      <c r="R230" s="94"/>
      <c r="S230" s="94"/>
      <c r="T230" s="127" t="s">
        <v>632</v>
      </c>
      <c r="U230" s="127" t="s">
        <v>632</v>
      </c>
      <c r="V230" s="94" t="s">
        <v>121</v>
      </c>
      <c r="W230" s="94" t="s">
        <v>121</v>
      </c>
      <c r="X230" s="94" t="s">
        <v>7</v>
      </c>
      <c r="Y230" s="119" t="s">
        <v>7</v>
      </c>
      <c r="Z230" s="94" t="s">
        <v>622</v>
      </c>
      <c r="AA230" s="98" t="s">
        <v>622</v>
      </c>
      <c r="AB230" s="35"/>
      <c r="AC230" s="35"/>
      <c r="AD230" s="35"/>
      <c r="AE230" s="35"/>
    </row>
    <row r="231" spans="1:31" x14ac:dyDescent="0.2">
      <c r="A231" s="115" t="str">
        <f>$A$1</f>
        <v>Pole</v>
      </c>
      <c r="B231" s="95">
        <f>C35</f>
        <v>302.26242154617563</v>
      </c>
      <c r="C231" s="94" t="s">
        <v>183</v>
      </c>
      <c r="D231" s="113">
        <f>$C$21</f>
        <v>13.220338983050846</v>
      </c>
      <c r="E231" s="113">
        <f>C19</f>
        <v>0</v>
      </c>
      <c r="F231" s="113">
        <f>C19</f>
        <v>0</v>
      </c>
      <c r="G231" s="109">
        <f t="shared" ref="G231:H233" si="0">$B231*E231</f>
        <v>0</v>
      </c>
      <c r="H231" s="109">
        <f t="shared" si="0"/>
        <v>0</v>
      </c>
      <c r="I231" s="111">
        <f>$C$18-IF($C$157&gt;$C$151,$C$151,$C$157)-IF($C$114&gt;$C$108,$C$108,$C$114)-IF($C$139&gt;$C$132,$C$132,$C$139)-IF($C$213&gt;$C$207,$C$207,$C$213)</f>
        <v>11.862046527777778</v>
      </c>
      <c r="J231" s="113">
        <f>$C$18-IF($C$176&gt;$C$177,$C$177,$C$176)</f>
        <v>14.374336743625744</v>
      </c>
      <c r="K231" s="113">
        <f>C10</f>
        <v>0.66666666666666663</v>
      </c>
      <c r="L231" s="113">
        <f>C10</f>
        <v>0.66666666666666663</v>
      </c>
      <c r="M231" s="94" t="s">
        <v>592</v>
      </c>
      <c r="N231" s="106">
        <f t="shared" ref="N231:N240" si="1">2.01*(MAX(D231,5/0.3048)/$M$3)^(2/$M$2)</f>
        <v>0.86502821791759066</v>
      </c>
      <c r="O231" s="95">
        <f t="shared" ref="O231:O240" si="2">0.00256*N231*$M$4*$M$5^2*$M$6</f>
        <v>18.23950058720828</v>
      </c>
      <c r="P231" s="106">
        <f>C2/C10</f>
        <v>45</v>
      </c>
      <c r="Q231" s="106">
        <f>C2/C10</f>
        <v>45</v>
      </c>
      <c r="R231" s="107">
        <f t="shared" ref="R231:R240" si="3">$M$7*$M$5*K231</f>
        <v>56.666666666666664</v>
      </c>
      <c r="S231" s="107">
        <f t="shared" ref="S231:S240" si="4">$M$7*$M$5*L231</f>
        <v>56.666666666666664</v>
      </c>
      <c r="T231" s="110">
        <v>1.2</v>
      </c>
      <c r="U231" s="110">
        <v>1.2</v>
      </c>
      <c r="V231" s="106">
        <f t="shared" ref="V231:W240" si="5">I231*T231</f>
        <v>14.234455833333334</v>
      </c>
      <c r="W231" s="106">
        <f t="shared" si="5"/>
        <v>17.24920409235089</v>
      </c>
      <c r="X231" s="102">
        <f t="shared" ref="X231:Y233" si="6">V231*$O231</f>
        <v>259.62936553067368</v>
      </c>
      <c r="Y231" s="102">
        <f t="shared" si="6"/>
        <v>314.61686817130953</v>
      </c>
      <c r="Z231" s="121">
        <f>X231*$D231</f>
        <v>3432.3882222699231</v>
      </c>
      <c r="AA231" s="122">
        <f>Y231*$D231</f>
        <v>4159.3416470105321</v>
      </c>
      <c r="AB231" s="8"/>
      <c r="AC231" s="8"/>
      <c r="AD231" s="31"/>
      <c r="AE231" s="31"/>
    </row>
    <row r="232" spans="1:31" x14ac:dyDescent="0.2">
      <c r="A232" s="114" t="str">
        <f>$A$65</f>
        <v>Luminaire</v>
      </c>
      <c r="B232" s="106">
        <f>C78</f>
        <v>30.250000000000004</v>
      </c>
      <c r="C232" s="91" t="s">
        <v>183</v>
      </c>
      <c r="D232" s="109">
        <f>$C$76</f>
        <v>31.583333333333332</v>
      </c>
      <c r="E232" s="109">
        <f>C19</f>
        <v>0</v>
      </c>
      <c r="F232" s="109">
        <f>C74</f>
        <v>9.3791666666666664</v>
      </c>
      <c r="G232" s="109">
        <f t="shared" si="0"/>
        <v>0</v>
      </c>
      <c r="H232" s="109">
        <f t="shared" si="0"/>
        <v>283.71979166666671</v>
      </c>
      <c r="I232" s="109">
        <f>C72</f>
        <v>1.0803472222222221</v>
      </c>
      <c r="J232" s="109">
        <f>C68*C70</f>
        <v>0.34597222222222218</v>
      </c>
      <c r="K232" s="109">
        <f>C68</f>
        <v>0.8833333333333333</v>
      </c>
      <c r="L232" s="109">
        <f>C66</f>
        <v>2.7583333333333333</v>
      </c>
      <c r="M232" s="91" t="s">
        <v>591</v>
      </c>
      <c r="N232" s="106">
        <f t="shared" si="1"/>
        <v>0.99294599120745508</v>
      </c>
      <c r="O232" s="106">
        <f t="shared" si="2"/>
        <v>20.936703120845323</v>
      </c>
      <c r="P232" s="106">
        <f>C66/C70</f>
        <v>7.042553191489362</v>
      </c>
      <c r="Q232" s="106">
        <f>C68/C70</f>
        <v>2.2553191489361701</v>
      </c>
      <c r="R232" s="108">
        <f t="shared" si="3"/>
        <v>75.083333333333329</v>
      </c>
      <c r="S232" s="108">
        <f t="shared" si="4"/>
        <v>234.45833333333334</v>
      </c>
      <c r="T232" s="93">
        <v>1.2</v>
      </c>
      <c r="U232" s="93">
        <v>1.2</v>
      </c>
      <c r="V232" s="106">
        <f t="shared" si="5"/>
        <v>1.2964166666666666</v>
      </c>
      <c r="W232" s="106">
        <f t="shared" si="5"/>
        <v>0.41516666666666663</v>
      </c>
      <c r="X232" s="102">
        <f t="shared" si="6"/>
        <v>27.142690870915889</v>
      </c>
      <c r="Y232" s="102">
        <f t="shared" si="6"/>
        <v>8.6922212456709484</v>
      </c>
      <c r="Z232" s="121">
        <f>X232*$D232</f>
        <v>857.25665333976008</v>
      </c>
      <c r="AA232" s="122">
        <f>Y232*$D232</f>
        <v>274.52932100910743</v>
      </c>
      <c r="AB232" s="8"/>
      <c r="AC232" s="8"/>
      <c r="AD232" s="31"/>
      <c r="AE232" s="31"/>
    </row>
    <row r="233" spans="1:31" x14ac:dyDescent="0.2">
      <c r="A233" s="114" t="str">
        <f>$A$37</f>
        <v>Mast Arm</v>
      </c>
      <c r="B233" s="106">
        <f>C63</f>
        <v>42.226163986352546</v>
      </c>
      <c r="C233" s="91" t="s">
        <v>183</v>
      </c>
      <c r="D233" s="112">
        <f>$C$53</f>
        <v>30.959999999999997</v>
      </c>
      <c r="E233" s="109">
        <f>C19</f>
        <v>0</v>
      </c>
      <c r="F233" s="109">
        <f>C51</f>
        <v>4</v>
      </c>
      <c r="G233" s="109">
        <f t="shared" si="0"/>
        <v>0</v>
      </c>
      <c r="H233" s="109">
        <f t="shared" si="0"/>
        <v>168.90465594541018</v>
      </c>
      <c r="I233" s="109">
        <f>C48</f>
        <v>1.9395250000000002</v>
      </c>
      <c r="J233" s="109">
        <f>C50</f>
        <v>1.7327604166666668</v>
      </c>
      <c r="K233" s="109">
        <f>C42</f>
        <v>0.19791666666666666</v>
      </c>
      <c r="L233" s="109">
        <f>C42</f>
        <v>0.19791666666666666</v>
      </c>
      <c r="M233" s="91" t="s">
        <v>593</v>
      </c>
      <c r="N233" s="106">
        <f t="shared" si="1"/>
        <v>0.98878779694233587</v>
      </c>
      <c r="O233" s="106">
        <f t="shared" si="2"/>
        <v>20.849025765159805</v>
      </c>
      <c r="P233" s="106">
        <f>C38/C42</f>
        <v>44.235789473684214</v>
      </c>
      <c r="Q233" s="106">
        <f>C42/C42</f>
        <v>1</v>
      </c>
      <c r="R233" s="108">
        <f t="shared" si="3"/>
        <v>16.822916666666664</v>
      </c>
      <c r="S233" s="108">
        <f t="shared" si="4"/>
        <v>16.822916666666664</v>
      </c>
      <c r="T233" s="93">
        <v>1.1000000000000001</v>
      </c>
      <c r="U233" s="93">
        <v>1.1000000000000001</v>
      </c>
      <c r="V233" s="106">
        <f t="shared" ref="V233:W236" si="7">I233*T233</f>
        <v>2.1334775000000001</v>
      </c>
      <c r="W233" s="106">
        <f t="shared" si="7"/>
        <v>1.9060364583333336</v>
      </c>
      <c r="X233" s="102">
        <f>V233*$O233</f>
        <v>44.480927366888729</v>
      </c>
      <c r="Y233" s="102">
        <f t="shared" si="6"/>
        <v>39.739003229125615</v>
      </c>
      <c r="Z233" s="121">
        <f t="shared" ref="Z233:Z240" si="8">X233*$D233</f>
        <v>1377.1295112788748</v>
      </c>
      <c r="AA233" s="122">
        <f>Y233*$C$55</f>
        <v>568.59890453673893</v>
      </c>
      <c r="AB233" s="8"/>
      <c r="AC233" s="8"/>
      <c r="AD233" s="31"/>
      <c r="AE233" s="31"/>
    </row>
    <row r="234" spans="1:31" x14ac:dyDescent="0.2">
      <c r="A234" s="116" t="str">
        <f>$A$159</f>
        <v>Radio/Antenna (2)</v>
      </c>
      <c r="B234" s="120">
        <f>$C$168</f>
        <v>50</v>
      </c>
      <c r="C234" s="91" t="s">
        <v>3</v>
      </c>
      <c r="D234" s="109">
        <f>$C$174</f>
        <v>25.375</v>
      </c>
      <c r="E234" s="109">
        <v>0</v>
      </c>
      <c r="F234" s="109">
        <f>$C$172</f>
        <v>0.72697916666666662</v>
      </c>
      <c r="G234" s="109">
        <f>B234*E234</f>
        <v>0</v>
      </c>
      <c r="H234" s="109">
        <f>B234*F234</f>
        <v>36.348958333333329</v>
      </c>
      <c r="I234" s="109">
        <f>IF(D234=0,0,$C$169)</f>
        <v>1.2148101902594866</v>
      </c>
      <c r="J234" s="109">
        <f>IF(D234=0,0,$C$170)</f>
        <v>1.3749463044151784</v>
      </c>
      <c r="K234" s="109">
        <f>$C$165</f>
        <v>0.66666666666666663</v>
      </c>
      <c r="L234" s="109">
        <f>$C$163</f>
        <v>0.41666666666666669</v>
      </c>
      <c r="M234" s="91" t="s">
        <v>591</v>
      </c>
      <c r="N234" s="106">
        <f t="shared" si="1"/>
        <v>0.94823219728985098</v>
      </c>
      <c r="O234" s="106">
        <f t="shared" si="2"/>
        <v>19.993893102023318</v>
      </c>
      <c r="P234" s="106">
        <f>$C$167/$C$163</f>
        <v>4.2</v>
      </c>
      <c r="Q234" s="106">
        <f>$C$165/$C$167</f>
        <v>0.38095238095238093</v>
      </c>
      <c r="R234" s="108">
        <f t="shared" si="3"/>
        <v>56.666666666666664</v>
      </c>
      <c r="S234" s="108">
        <f t="shared" si="4"/>
        <v>35.416666666666671</v>
      </c>
      <c r="T234" s="93">
        <v>1.2</v>
      </c>
      <c r="U234" s="93">
        <v>1.2</v>
      </c>
      <c r="V234" s="106">
        <f t="shared" si="7"/>
        <v>1.4577722283113839</v>
      </c>
      <c r="W234" s="106">
        <f t="shared" si="7"/>
        <v>1.6499355652982139</v>
      </c>
      <c r="X234" s="102">
        <f>V234*$O234</f>
        <v>29.14654209995614</v>
      </c>
      <c r="Y234" s="102">
        <f>W234*$O234</f>
        <v>32.988635317798902</v>
      </c>
      <c r="Z234" s="121">
        <f t="shared" si="8"/>
        <v>739.59350578638703</v>
      </c>
      <c r="AA234" s="122">
        <f t="shared" ref="AA234:AA240" si="9">Y234*$D234</f>
        <v>837.08662118914719</v>
      </c>
      <c r="AB234" s="8"/>
      <c r="AC234" s="8"/>
      <c r="AD234" s="31"/>
      <c r="AE234" s="31"/>
    </row>
    <row r="235" spans="1:31" x14ac:dyDescent="0.2">
      <c r="A235" s="116" t="str">
        <f>$A$179</f>
        <v>Radio/Antenna (3)</v>
      </c>
      <c r="B235" s="120">
        <f>$C$188</f>
        <v>50</v>
      </c>
      <c r="C235" s="91" t="s">
        <v>3</v>
      </c>
      <c r="D235" s="8">
        <f>$C$194</f>
        <v>25.375</v>
      </c>
      <c r="E235" s="109">
        <v>0</v>
      </c>
      <c r="F235" s="109">
        <f>C192</f>
        <v>0.72697916666666662</v>
      </c>
      <c r="G235" s="109">
        <f>B235*E235</f>
        <v>0</v>
      </c>
      <c r="H235" s="109">
        <f>B235*F235</f>
        <v>36.348958333333329</v>
      </c>
      <c r="I235" s="109">
        <f>IF(D235=0,0,$C$189)</f>
        <v>1.2148101902594866</v>
      </c>
      <c r="J235" s="109">
        <f>IF(D235=0,0,$C$190)</f>
        <v>1.3749463044151784</v>
      </c>
      <c r="K235" s="109">
        <f>$C$185</f>
        <v>0.66666666666666663</v>
      </c>
      <c r="L235" s="109">
        <f>$C$183</f>
        <v>0.41666666666666669</v>
      </c>
      <c r="M235" s="91" t="s">
        <v>591</v>
      </c>
      <c r="N235" s="106">
        <f t="shared" si="1"/>
        <v>0.94823219728985098</v>
      </c>
      <c r="O235" s="106">
        <f t="shared" si="2"/>
        <v>19.993893102023318</v>
      </c>
      <c r="P235" s="106">
        <f>$C$185/$C$187</f>
        <v>0.38095238095238093</v>
      </c>
      <c r="Q235" s="106">
        <f>$C$187/$C$183</f>
        <v>4.2</v>
      </c>
      <c r="R235" s="108">
        <f t="shared" si="3"/>
        <v>56.666666666666664</v>
      </c>
      <c r="S235" s="108">
        <f t="shared" si="4"/>
        <v>35.416666666666671</v>
      </c>
      <c r="T235" s="93">
        <v>1.2</v>
      </c>
      <c r="U235" s="93">
        <v>1.2</v>
      </c>
      <c r="V235" s="106">
        <f t="shared" si="7"/>
        <v>1.4577722283113839</v>
      </c>
      <c r="W235" s="106">
        <f t="shared" si="7"/>
        <v>1.6499355652982139</v>
      </c>
      <c r="X235" s="102">
        <f>V235*$O235</f>
        <v>29.14654209995614</v>
      </c>
      <c r="Y235" s="102">
        <f>W235*$O235</f>
        <v>32.988635317798902</v>
      </c>
      <c r="Z235" s="121">
        <f t="shared" si="8"/>
        <v>739.59350578638703</v>
      </c>
      <c r="AA235" s="122">
        <f t="shared" si="9"/>
        <v>837.08662118914719</v>
      </c>
      <c r="AB235" s="8"/>
      <c r="AC235" s="8"/>
      <c r="AD235" s="31"/>
      <c r="AE235" s="31"/>
    </row>
    <row r="236" spans="1:31" x14ac:dyDescent="0.2">
      <c r="A236" s="116" t="str">
        <f>$A$197</f>
        <v>Sign (bottom)</v>
      </c>
      <c r="B236" s="120">
        <f>C206</f>
        <v>12.463750000000001</v>
      </c>
      <c r="C236" s="91" t="s">
        <v>183</v>
      </c>
      <c r="D236" s="109">
        <f>$C$212</f>
        <v>9.4583333333333339</v>
      </c>
      <c r="E236" s="109">
        <f>C210</f>
        <v>1.4031597222222221</v>
      </c>
      <c r="F236" s="109">
        <v>0</v>
      </c>
      <c r="G236" s="109">
        <f t="shared" ref="G236:H240" si="10">$B236*E236</f>
        <v>17.488631987847221</v>
      </c>
      <c r="H236" s="109">
        <f t="shared" si="10"/>
        <v>0</v>
      </c>
      <c r="I236" s="109">
        <f>IF(D236=0,0,$C$203*$C$205)</f>
        <v>11.0625</v>
      </c>
      <c r="J236" s="109">
        <f>IF(D236=0,0,$C$201*$C$205)</f>
        <v>3.2777777777777781E-2</v>
      </c>
      <c r="K236" s="109">
        <f>C201</f>
        <v>6.6666666666666671E-3</v>
      </c>
      <c r="L236" s="109">
        <f>C203</f>
        <v>2.25</v>
      </c>
      <c r="M236" s="91" t="s">
        <v>591</v>
      </c>
      <c r="N236" s="106">
        <f t="shared" si="1"/>
        <v>0.86502821791759066</v>
      </c>
      <c r="O236" s="106">
        <f t="shared" si="2"/>
        <v>18.23950058720828</v>
      </c>
      <c r="P236" s="106">
        <f>IF(C203=0,0,C205/C203)</f>
        <v>2.1851851851851851</v>
      </c>
      <c r="Q236" s="106">
        <f>IF(C201=0,0,C205/C201)</f>
        <v>737.5</v>
      </c>
      <c r="R236" s="106">
        <f t="shared" si="3"/>
        <v>0.56666666666666665</v>
      </c>
      <c r="S236" s="108">
        <f t="shared" si="4"/>
        <v>191.25</v>
      </c>
      <c r="T236" s="93">
        <v>1.2</v>
      </c>
      <c r="U236" s="93">
        <v>1.2</v>
      </c>
      <c r="V236" s="106">
        <f t="shared" si="7"/>
        <v>13.275</v>
      </c>
      <c r="W236" s="106">
        <f t="shared" si="7"/>
        <v>3.9333333333333338E-2</v>
      </c>
      <c r="X236" s="102">
        <f>V236*$O236</f>
        <v>242.12937029518991</v>
      </c>
      <c r="Y236" s="102">
        <f>W236*$O236</f>
        <v>0.71742035643019242</v>
      </c>
      <c r="Z236" s="121">
        <f t="shared" si="8"/>
        <v>2290.1402940420048</v>
      </c>
      <c r="AA236" s="122">
        <f t="shared" si="9"/>
        <v>6.7856008712355704</v>
      </c>
      <c r="AB236" s="8"/>
      <c r="AC236" s="8"/>
      <c r="AD236" s="31"/>
      <c r="AE236" s="31"/>
    </row>
    <row r="237" spans="1:31" x14ac:dyDescent="0.2">
      <c r="A237" s="114" t="str">
        <f>$A$80</f>
        <v>Sign (banner)</v>
      </c>
      <c r="B237" s="106">
        <f>IF($Q$311="yes",C89,0)</f>
        <v>0.61614583333333339</v>
      </c>
      <c r="C237" s="91" t="s">
        <v>183</v>
      </c>
      <c r="D237" s="109">
        <f>$C$95</f>
        <v>19.583333333333332</v>
      </c>
      <c r="E237" s="109">
        <v>0</v>
      </c>
      <c r="F237" s="109">
        <f>C93</f>
        <v>0.53159722222222217</v>
      </c>
      <c r="G237" s="109">
        <f t="shared" si="10"/>
        <v>0</v>
      </c>
      <c r="H237" s="109">
        <f t="shared" si="10"/>
        <v>0.32754141348379628</v>
      </c>
      <c r="I237" s="109">
        <f>IF(D237=0,0,$C$91)</f>
        <v>5.8333333333333327E-3</v>
      </c>
      <c r="J237" s="109">
        <f>IF(D237=0,0,$C$90)</f>
        <v>4.375</v>
      </c>
      <c r="K237" s="109">
        <f>C84</f>
        <v>8.3333333333333339E-4</v>
      </c>
      <c r="L237" s="109">
        <f>C86</f>
        <v>0.625</v>
      </c>
      <c r="M237" s="91" t="s">
        <v>591</v>
      </c>
      <c r="N237" s="106">
        <f t="shared" si="1"/>
        <v>0.89789674191093283</v>
      </c>
      <c r="O237" s="106">
        <f t="shared" si="2"/>
        <v>18.932547877758456</v>
      </c>
      <c r="P237" s="106">
        <f>IF(C83=0,0,C88/C86)</f>
        <v>11.2</v>
      </c>
      <c r="Q237" s="106">
        <f>IF(C83=0,0,C88/C84)</f>
        <v>8400</v>
      </c>
      <c r="R237" s="108">
        <f t="shared" si="3"/>
        <v>7.0833333333333331E-2</v>
      </c>
      <c r="S237" s="108">
        <f t="shared" si="4"/>
        <v>53.125</v>
      </c>
      <c r="T237" s="231">
        <v>1.2</v>
      </c>
      <c r="U237" s="231">
        <v>1.2</v>
      </c>
      <c r="V237" s="106">
        <f t="shared" si="5"/>
        <v>6.9999999999999993E-3</v>
      </c>
      <c r="W237" s="106">
        <f t="shared" si="5"/>
        <v>5.25</v>
      </c>
      <c r="X237" s="102">
        <f t="shared" ref="X237:Y240" si="11">IF($Q$311="yes",V237*$O237,0)</f>
        <v>0.13252783514430919</v>
      </c>
      <c r="Y237" s="102">
        <f t="shared" si="11"/>
        <v>99.395876358231888</v>
      </c>
      <c r="Z237" s="121">
        <f t="shared" si="8"/>
        <v>2.5953367715760547</v>
      </c>
      <c r="AA237" s="122">
        <f t="shared" si="9"/>
        <v>1946.5025786820411</v>
      </c>
      <c r="AB237" s="8"/>
      <c r="AC237" s="8"/>
      <c r="AD237" s="31"/>
      <c r="AE237" s="31"/>
    </row>
    <row r="238" spans="1:31" x14ac:dyDescent="0.2">
      <c r="A238" s="114" t="str">
        <f>$A$98</f>
        <v>Smart Meter</v>
      </c>
      <c r="B238" s="106">
        <f>IF($Q$311="yes",C107,0)</f>
        <v>5</v>
      </c>
      <c r="C238" s="91" t="s">
        <v>3</v>
      </c>
      <c r="D238" s="109">
        <f>$C$113</f>
        <v>10.125</v>
      </c>
      <c r="E238" s="109">
        <f>$C$111</f>
        <v>0.4617708333333333</v>
      </c>
      <c r="F238" s="109">
        <v>0</v>
      </c>
      <c r="G238" s="109">
        <f t="shared" si="10"/>
        <v>2.3088541666666664</v>
      </c>
      <c r="H238" s="109">
        <f t="shared" si="10"/>
        <v>0</v>
      </c>
      <c r="I238" s="109">
        <f>IF(D238=0,0,$C$108)</f>
        <v>9.375E-2</v>
      </c>
      <c r="J238" s="109">
        <f>IF(D238=0,0,C109)</f>
        <v>9.375E-2</v>
      </c>
      <c r="K238" s="109">
        <f>C111</f>
        <v>0.4617708333333333</v>
      </c>
      <c r="L238" s="109">
        <f>C111</f>
        <v>0.4617708333333333</v>
      </c>
      <c r="M238" s="91" t="s">
        <v>591</v>
      </c>
      <c r="N238" s="106">
        <f t="shared" si="1"/>
        <v>0.86502821791759066</v>
      </c>
      <c r="O238" s="106">
        <f t="shared" si="2"/>
        <v>18.23950058720828</v>
      </c>
      <c r="P238" s="106">
        <f>C106/C104</f>
        <v>0.66666666666666663</v>
      </c>
      <c r="Q238" s="106">
        <f>C106/C102</f>
        <v>0.66666666666666663</v>
      </c>
      <c r="R238" s="108">
        <f t="shared" si="3"/>
        <v>39.250520833333333</v>
      </c>
      <c r="S238" s="108">
        <f t="shared" si="4"/>
        <v>39.250520833333333</v>
      </c>
      <c r="T238" s="231">
        <v>1.2</v>
      </c>
      <c r="U238" s="231">
        <v>1.2</v>
      </c>
      <c r="V238" s="106">
        <f t="shared" si="5"/>
        <v>0.11249999999999999</v>
      </c>
      <c r="W238" s="106">
        <f t="shared" si="5"/>
        <v>0.11249999999999999</v>
      </c>
      <c r="X238" s="102">
        <f t="shared" si="11"/>
        <v>2.0519438160609313</v>
      </c>
      <c r="Y238" s="102">
        <f t="shared" si="11"/>
        <v>2.0519438160609313</v>
      </c>
      <c r="Z238" s="121">
        <f t="shared" si="8"/>
        <v>20.775931137616929</v>
      </c>
      <c r="AA238" s="122">
        <f t="shared" si="9"/>
        <v>20.775931137616929</v>
      </c>
      <c r="AB238" s="8"/>
      <c r="AC238" s="8"/>
      <c r="AD238" s="31"/>
      <c r="AE238" s="31"/>
    </row>
    <row r="239" spans="1:31" x14ac:dyDescent="0.2">
      <c r="A239" s="114" t="str">
        <f>$A$116</f>
        <v>Radio/Antenna (1)</v>
      </c>
      <c r="B239" s="106">
        <f>IF($Q$311="yes",C131,0)</f>
        <v>50</v>
      </c>
      <c r="C239" s="91" t="s">
        <v>3</v>
      </c>
      <c r="D239" s="109">
        <f>$C$137</f>
        <v>25.375</v>
      </c>
      <c r="E239" s="109">
        <f>C135</f>
        <v>0.72697916666666662</v>
      </c>
      <c r="F239" s="109">
        <v>0</v>
      </c>
      <c r="G239" s="109">
        <f t="shared" si="10"/>
        <v>36.348958333333329</v>
      </c>
      <c r="H239" s="109">
        <f t="shared" si="10"/>
        <v>0</v>
      </c>
      <c r="I239" s="109">
        <f>IF(D239=0,0,$C$128*$C$130)</f>
        <v>1.1666666666666665</v>
      </c>
      <c r="J239" s="109">
        <f>IF(D239=0,0,$C$126*$C$130)</f>
        <v>0.72916666666666674</v>
      </c>
      <c r="K239" s="109">
        <f>C126</f>
        <v>0.41666666666666669</v>
      </c>
      <c r="L239" s="109">
        <f>C128</f>
        <v>0.66666666666666663</v>
      </c>
      <c r="M239" s="91" t="s">
        <v>591</v>
      </c>
      <c r="N239" s="106">
        <f t="shared" si="1"/>
        <v>0.94823219728985098</v>
      </c>
      <c r="O239" s="106">
        <f t="shared" si="2"/>
        <v>19.993893102023318</v>
      </c>
      <c r="P239" s="106">
        <f>C130/C128</f>
        <v>2.625</v>
      </c>
      <c r="Q239" s="106">
        <f>C130/C126</f>
        <v>4.2</v>
      </c>
      <c r="R239" s="108">
        <f t="shared" si="3"/>
        <v>35.416666666666671</v>
      </c>
      <c r="S239" s="108">
        <f t="shared" si="4"/>
        <v>56.666666666666664</v>
      </c>
      <c r="T239" s="93">
        <v>1.2</v>
      </c>
      <c r="U239" s="93">
        <v>1.2</v>
      </c>
      <c r="V239" s="106">
        <f t="shared" si="5"/>
        <v>1.3999999999999997</v>
      </c>
      <c r="W239" s="106">
        <f t="shared" si="5"/>
        <v>0.87500000000000011</v>
      </c>
      <c r="X239" s="102">
        <f t="shared" si="11"/>
        <v>27.991450342832639</v>
      </c>
      <c r="Y239" s="102">
        <f t="shared" si="11"/>
        <v>17.494656464270406</v>
      </c>
      <c r="Z239" s="121">
        <f t="shared" si="8"/>
        <v>710.28305244937826</v>
      </c>
      <c r="AA239" s="122">
        <f t="shared" si="9"/>
        <v>443.92690778086154</v>
      </c>
      <c r="AB239" s="8"/>
      <c r="AC239" s="8"/>
      <c r="AD239" s="31"/>
      <c r="AE239" s="31"/>
    </row>
    <row r="240" spans="1:31" ht="15" thickBot="1" x14ac:dyDescent="0.25">
      <c r="A240" s="117" t="str">
        <f>$A$141</f>
        <v>Disconnect</v>
      </c>
      <c r="B240" s="99">
        <f>IF($Q$311="yes",C150,0)</f>
        <v>6</v>
      </c>
      <c r="C240" s="96" t="s">
        <v>3</v>
      </c>
      <c r="D240" s="105">
        <f>$C$156</f>
        <v>9.5495833333333326</v>
      </c>
      <c r="E240" s="105">
        <f>C154</f>
        <v>0.43387743055555555</v>
      </c>
      <c r="F240" s="105">
        <v>0</v>
      </c>
      <c r="G240" s="105">
        <f t="shared" si="10"/>
        <v>2.6032645833333334</v>
      </c>
      <c r="H240" s="105">
        <f t="shared" si="10"/>
        <v>0</v>
      </c>
      <c r="I240" s="105">
        <f>IF(D240=0,0,$C$147*$C$149)</f>
        <v>0.47894305555555555</v>
      </c>
      <c r="J240" s="105">
        <f>IF(D240=0,0,$C$145*$C$149)</f>
        <v>0.28151041666666665</v>
      </c>
      <c r="K240" s="105">
        <f>C145</f>
        <v>0.3125</v>
      </c>
      <c r="L240" s="105">
        <f>C147</f>
        <v>0.53166666666666662</v>
      </c>
      <c r="M240" s="96" t="s">
        <v>591</v>
      </c>
      <c r="N240" s="99">
        <f t="shared" si="1"/>
        <v>0.86502821791759066</v>
      </c>
      <c r="O240" s="99">
        <f t="shared" si="2"/>
        <v>18.23950058720828</v>
      </c>
      <c r="P240" s="99">
        <f>C149/C147</f>
        <v>1.69435736677116</v>
      </c>
      <c r="Q240" s="99">
        <f>C149/C145</f>
        <v>2.8826666666666667</v>
      </c>
      <c r="R240" s="101">
        <f t="shared" si="3"/>
        <v>26.5625</v>
      </c>
      <c r="S240" s="101">
        <f t="shared" si="4"/>
        <v>45.191666666666663</v>
      </c>
      <c r="T240" s="97">
        <v>1.2</v>
      </c>
      <c r="U240" s="97">
        <v>1.2</v>
      </c>
      <c r="V240" s="99">
        <f t="shared" si="5"/>
        <v>0.57473166666666664</v>
      </c>
      <c r="W240" s="99">
        <f t="shared" si="5"/>
        <v>0.33781249999999996</v>
      </c>
      <c r="X240" s="103">
        <f t="shared" si="11"/>
        <v>10.48281857165386</v>
      </c>
      <c r="Y240" s="103">
        <f t="shared" si="11"/>
        <v>6.1615312921162966</v>
      </c>
      <c r="Z240" s="123">
        <f t="shared" si="8"/>
        <v>100.10654951822283</v>
      </c>
      <c r="AA240" s="124">
        <f t="shared" si="9"/>
        <v>58.84005653500558</v>
      </c>
      <c r="AB240" s="8"/>
      <c r="AC240" s="8"/>
      <c r="AD240" s="31"/>
      <c r="AE240" s="31"/>
    </row>
    <row r="242" spans="1:31" x14ac:dyDescent="0.2">
      <c r="B242" s="8"/>
      <c r="D242" s="7"/>
      <c r="E242" s="7"/>
      <c r="F242" s="7"/>
      <c r="G242" s="7"/>
      <c r="H242" s="7"/>
      <c r="I242" s="7"/>
      <c r="J242" s="7"/>
      <c r="K242" s="7"/>
      <c r="L242" s="7"/>
      <c r="M242" s="3"/>
      <c r="N242" s="8"/>
      <c r="O242" s="8"/>
      <c r="P242" s="8"/>
      <c r="Q242" s="8"/>
      <c r="R242" s="10"/>
      <c r="S242" s="10"/>
      <c r="T242" s="19"/>
      <c r="U242" s="19"/>
      <c r="V242" s="8"/>
      <c r="W242" s="8"/>
      <c r="X242" s="8"/>
      <c r="Y242" s="8"/>
      <c r="AA242" s="229">
        <f>H12</f>
        <v>107.69</v>
      </c>
      <c r="AB242" s="4" t="s">
        <v>21</v>
      </c>
      <c r="AC242" s="8"/>
      <c r="AD242" s="31"/>
      <c r="AE242" s="31"/>
    </row>
    <row r="243" spans="1:31" ht="15" thickBot="1" x14ac:dyDescent="0.25">
      <c r="P243" s="4"/>
      <c r="Z243" s="125" t="s">
        <v>803</v>
      </c>
      <c r="AA243" s="186">
        <f>AA242/12</f>
        <v>8.9741666666666671</v>
      </c>
      <c r="AB243" s="185" t="s">
        <v>0</v>
      </c>
      <c r="AC243" s="19"/>
      <c r="AD243" s="125"/>
      <c r="AE243" s="19"/>
    </row>
    <row r="244" spans="1:31" ht="18.75" x14ac:dyDescent="0.35">
      <c r="A244" s="136" t="s">
        <v>997</v>
      </c>
      <c r="B244" s="221" t="s">
        <v>601</v>
      </c>
      <c r="C244" s="221" t="s">
        <v>582</v>
      </c>
      <c r="D244" s="221" t="s">
        <v>583</v>
      </c>
      <c r="E244" s="246" t="s">
        <v>624</v>
      </c>
      <c r="F244" s="244"/>
      <c r="G244" s="246" t="s">
        <v>623</v>
      </c>
      <c r="H244" s="244"/>
      <c r="I244" s="247" t="s">
        <v>618</v>
      </c>
      <c r="J244" s="248"/>
      <c r="K244" s="246" t="s">
        <v>584</v>
      </c>
      <c r="L244" s="244"/>
      <c r="M244" s="221" t="s">
        <v>585</v>
      </c>
      <c r="N244" s="221" t="s">
        <v>594</v>
      </c>
      <c r="O244" s="221" t="s">
        <v>599</v>
      </c>
      <c r="P244" s="249" t="s">
        <v>705</v>
      </c>
      <c r="Q244" s="250"/>
      <c r="R244" s="251" t="s">
        <v>628</v>
      </c>
      <c r="S244" s="251"/>
      <c r="T244" s="243" t="s">
        <v>595</v>
      </c>
      <c r="U244" s="243"/>
      <c r="V244" s="246" t="s">
        <v>617</v>
      </c>
      <c r="W244" s="244"/>
      <c r="X244" s="243" t="s">
        <v>767</v>
      </c>
      <c r="Y244" s="243"/>
      <c r="Z244" s="244" t="s">
        <v>765</v>
      </c>
      <c r="AA244" s="245"/>
    </row>
    <row r="245" spans="1:31" x14ac:dyDescent="0.2">
      <c r="A245" s="90"/>
      <c r="B245" s="91" t="s">
        <v>49</v>
      </c>
      <c r="C245" s="91" t="s">
        <v>586</v>
      </c>
      <c r="D245" s="91" t="s">
        <v>817</v>
      </c>
      <c r="E245" s="91" t="s">
        <v>588</v>
      </c>
      <c r="F245" s="91" t="s">
        <v>589</v>
      </c>
      <c r="G245" s="91" t="s">
        <v>588</v>
      </c>
      <c r="H245" s="91" t="s">
        <v>589</v>
      </c>
      <c r="I245" s="91" t="s">
        <v>588</v>
      </c>
      <c r="J245" s="91" t="s">
        <v>589</v>
      </c>
      <c r="K245" s="91" t="s">
        <v>588</v>
      </c>
      <c r="L245" s="91" t="s">
        <v>589</v>
      </c>
      <c r="M245" s="91"/>
      <c r="N245" s="91" t="s">
        <v>602</v>
      </c>
      <c r="O245" s="91" t="s">
        <v>600</v>
      </c>
      <c r="P245" s="91" t="s">
        <v>588</v>
      </c>
      <c r="Q245" s="91" t="s">
        <v>589</v>
      </c>
      <c r="R245" s="91" t="s">
        <v>588</v>
      </c>
      <c r="S245" s="91" t="s">
        <v>589</v>
      </c>
      <c r="T245" s="91" t="s">
        <v>588</v>
      </c>
      <c r="U245" s="91" t="s">
        <v>589</v>
      </c>
      <c r="V245" s="91" t="s">
        <v>588</v>
      </c>
      <c r="W245" s="91" t="s">
        <v>589</v>
      </c>
      <c r="X245" s="91" t="s">
        <v>588</v>
      </c>
      <c r="Y245" s="118" t="s">
        <v>589</v>
      </c>
      <c r="Z245" s="91" t="s">
        <v>588</v>
      </c>
      <c r="AA245" s="92" t="s">
        <v>589</v>
      </c>
      <c r="AB245" s="3"/>
      <c r="AC245" s="3"/>
      <c r="AD245" s="3"/>
      <c r="AE245" s="3"/>
    </row>
    <row r="246" spans="1:31" ht="18.75" x14ac:dyDescent="0.2">
      <c r="A246" s="100"/>
      <c r="B246" s="94" t="s">
        <v>7</v>
      </c>
      <c r="C246" s="94" t="s">
        <v>590</v>
      </c>
      <c r="D246" s="94" t="s">
        <v>0</v>
      </c>
      <c r="E246" s="94" t="s">
        <v>0</v>
      </c>
      <c r="F246" s="94" t="s">
        <v>0</v>
      </c>
      <c r="G246" s="94" t="s">
        <v>622</v>
      </c>
      <c r="H246" s="94" t="s">
        <v>622</v>
      </c>
      <c r="I246" s="126" t="s">
        <v>121</v>
      </c>
      <c r="J246" s="94" t="s">
        <v>121</v>
      </c>
      <c r="K246" s="94" t="s">
        <v>0</v>
      </c>
      <c r="L246" s="94" t="s">
        <v>0</v>
      </c>
      <c r="M246" s="94"/>
      <c r="N246" s="127" t="s">
        <v>107</v>
      </c>
      <c r="O246" s="94" t="s">
        <v>6</v>
      </c>
      <c r="P246" s="94"/>
      <c r="Q246" s="94"/>
      <c r="R246" s="94"/>
      <c r="S246" s="94"/>
      <c r="T246" s="127" t="s">
        <v>632</v>
      </c>
      <c r="U246" s="127" t="s">
        <v>632</v>
      </c>
      <c r="V246" s="94" t="s">
        <v>121</v>
      </c>
      <c r="W246" s="94" t="s">
        <v>121</v>
      </c>
      <c r="X246" s="94" t="s">
        <v>7</v>
      </c>
      <c r="Y246" s="119" t="s">
        <v>7</v>
      </c>
      <c r="Z246" s="94" t="s">
        <v>622</v>
      </c>
      <c r="AA246" s="98" t="s">
        <v>622</v>
      </c>
      <c r="AB246" s="35"/>
      <c r="AC246" s="35"/>
      <c r="AD246" s="35"/>
      <c r="AE246" s="35"/>
    </row>
    <row r="247" spans="1:31" x14ac:dyDescent="0.2">
      <c r="A247" s="115" t="str">
        <f>$A$1</f>
        <v>Pole</v>
      </c>
      <c r="B247" s="95">
        <f>C35</f>
        <v>302.26242154617563</v>
      </c>
      <c r="C247" s="94" t="s">
        <v>183</v>
      </c>
      <c r="D247" s="113">
        <f>$C$25</f>
        <v>18.508734768078913</v>
      </c>
      <c r="E247" s="113">
        <v>0</v>
      </c>
      <c r="F247" s="113">
        <f>C19</f>
        <v>0</v>
      </c>
      <c r="G247" s="109">
        <f t="shared" ref="G247:H249" si="12">$B247*E247</f>
        <v>0</v>
      </c>
      <c r="H247" s="109">
        <f t="shared" si="12"/>
        <v>0</v>
      </c>
      <c r="I247" s="111">
        <f>C24-2.413</f>
        <v>6.8240136151620359</v>
      </c>
      <c r="J247" s="113">
        <f>C24</f>
        <v>9.2370136151620361</v>
      </c>
      <c r="K247" s="113">
        <f>C10</f>
        <v>0.66666666666666663</v>
      </c>
      <c r="L247" s="113">
        <f>C10</f>
        <v>0.66666666666666663</v>
      </c>
      <c r="M247" s="94" t="s">
        <v>592</v>
      </c>
      <c r="N247" s="106">
        <f>$N$231</f>
        <v>0.86502821791759066</v>
      </c>
      <c r="O247" s="106">
        <f t="shared" ref="O247:O256" si="13">0.00256*N247*$M$4*$M$5^2*$M$6</f>
        <v>18.23950058720828</v>
      </c>
      <c r="P247" s="106">
        <f>C2/C10</f>
        <v>45</v>
      </c>
      <c r="Q247" s="106">
        <f>C2/C10</f>
        <v>45</v>
      </c>
      <c r="R247" s="108">
        <f t="shared" ref="R247:R256" si="14">$M$7*$M$5*K247</f>
        <v>56.666666666666664</v>
      </c>
      <c r="S247" s="108">
        <f t="shared" ref="S247:S256" si="15">$M$7*$M$5*L247</f>
        <v>56.666666666666664</v>
      </c>
      <c r="T247" s="110">
        <v>1.2</v>
      </c>
      <c r="U247" s="110">
        <v>1.2</v>
      </c>
      <c r="V247" s="106">
        <f>I247*T247</f>
        <v>8.1888163381944423</v>
      </c>
      <c r="W247" s="106">
        <f>J247*U247</f>
        <v>11.084416338194442</v>
      </c>
      <c r="X247" s="102">
        <f>V247*$O247</f>
        <v>149.3599204090383</v>
      </c>
      <c r="Y247" s="102">
        <f>W247*$O247</f>
        <v>202.17421830935859</v>
      </c>
      <c r="Z247" s="121">
        <f>X247*$D247</f>
        <v>2764.4631518322662</v>
      </c>
      <c r="AA247" s="122">
        <f>Y247*$D247</f>
        <v>3741.988983631602</v>
      </c>
      <c r="AB247" s="8"/>
      <c r="AC247" s="8"/>
      <c r="AD247" s="31"/>
      <c r="AE247" s="31"/>
    </row>
    <row r="248" spans="1:31" x14ac:dyDescent="0.2">
      <c r="A248" s="114" t="str">
        <f>$A$65</f>
        <v>Luminaire</v>
      </c>
      <c r="B248" s="106">
        <f>C78</f>
        <v>30.250000000000004</v>
      </c>
      <c r="C248" s="91" t="s">
        <v>183</v>
      </c>
      <c r="D248" s="109">
        <f>MAX($C$76-$AA$243,0)</f>
        <v>22.609166666666667</v>
      </c>
      <c r="E248" s="109">
        <v>0</v>
      </c>
      <c r="F248" s="109">
        <f>C74</f>
        <v>9.3791666666666664</v>
      </c>
      <c r="G248" s="109">
        <f t="shared" si="12"/>
        <v>0</v>
      </c>
      <c r="H248" s="109">
        <f t="shared" si="12"/>
        <v>283.71979166666671</v>
      </c>
      <c r="I248" s="109">
        <f>C72</f>
        <v>1.0803472222222221</v>
      </c>
      <c r="J248" s="109">
        <f>C68*C70</f>
        <v>0.34597222222222218</v>
      </c>
      <c r="K248" s="109">
        <f>C68</f>
        <v>0.8833333333333333</v>
      </c>
      <c r="L248" s="109">
        <f>C66</f>
        <v>2.7583333333333333</v>
      </c>
      <c r="M248" s="91" t="s">
        <v>591</v>
      </c>
      <c r="N248" s="106">
        <f>$N$232</f>
        <v>0.99294599120745508</v>
      </c>
      <c r="O248" s="106">
        <f t="shared" si="13"/>
        <v>20.936703120845323</v>
      </c>
      <c r="P248" s="106">
        <f>C66/C70</f>
        <v>7.042553191489362</v>
      </c>
      <c r="Q248" s="106">
        <f>C68/C70</f>
        <v>2.2553191489361701</v>
      </c>
      <c r="R248" s="108">
        <f t="shared" si="14"/>
        <v>75.083333333333329</v>
      </c>
      <c r="S248" s="108">
        <f t="shared" si="15"/>
        <v>234.45833333333334</v>
      </c>
      <c r="T248" s="93">
        <v>1.2</v>
      </c>
      <c r="U248" s="93">
        <v>1.2</v>
      </c>
      <c r="V248" s="106">
        <f>I248*T248</f>
        <v>1.2964166666666666</v>
      </c>
      <c r="W248" s="106">
        <f>J248*U248</f>
        <v>0.41516666666666663</v>
      </c>
      <c r="X248" s="102">
        <f>V248*$O248</f>
        <v>27.142690870915889</v>
      </c>
      <c r="Y248" s="102">
        <f>W248*$O248</f>
        <v>8.6922212456709484</v>
      </c>
      <c r="Z248" s="121">
        <f>X248*$D248</f>
        <v>613.67362168234911</v>
      </c>
      <c r="AA248" s="122">
        <f>Y248*$D248</f>
        <v>196.52387884691541</v>
      </c>
      <c r="AB248" s="8"/>
      <c r="AC248" s="8"/>
      <c r="AD248" s="31"/>
      <c r="AE248" s="31"/>
    </row>
    <row r="249" spans="1:31" x14ac:dyDescent="0.2">
      <c r="A249" s="114" t="str">
        <f>$A$37</f>
        <v>Mast Arm</v>
      </c>
      <c r="B249" s="106">
        <f>C63</f>
        <v>42.226163986352546</v>
      </c>
      <c r="C249" s="91" t="s">
        <v>183</v>
      </c>
      <c r="D249" s="109">
        <f>MAX($C$53-$AA$243,0)</f>
        <v>21.985833333333332</v>
      </c>
      <c r="E249" s="109">
        <v>0</v>
      </c>
      <c r="F249" s="109">
        <f>C51</f>
        <v>4</v>
      </c>
      <c r="G249" s="109">
        <f t="shared" si="12"/>
        <v>0</v>
      </c>
      <c r="H249" s="109">
        <f t="shared" si="12"/>
        <v>168.90465594541018</v>
      </c>
      <c r="I249" s="109">
        <f>C48</f>
        <v>1.9395250000000002</v>
      </c>
      <c r="J249" s="109">
        <f>C50</f>
        <v>1.7327604166666668</v>
      </c>
      <c r="K249" s="109">
        <f>C42</f>
        <v>0.19791666666666666</v>
      </c>
      <c r="L249" s="109">
        <f>C42</f>
        <v>0.19791666666666666</v>
      </c>
      <c r="M249" s="91" t="s">
        <v>593</v>
      </c>
      <c r="N249" s="106">
        <f>$N$233</f>
        <v>0.98878779694233587</v>
      </c>
      <c r="O249" s="106">
        <f t="shared" si="13"/>
        <v>20.849025765159805</v>
      </c>
      <c r="P249" s="106">
        <f>C38/C42</f>
        <v>44.235789473684214</v>
      </c>
      <c r="Q249" s="106">
        <f>C42/C42</f>
        <v>1</v>
      </c>
      <c r="R249" s="108">
        <f t="shared" si="14"/>
        <v>16.822916666666664</v>
      </c>
      <c r="S249" s="108">
        <f t="shared" si="15"/>
        <v>16.822916666666664</v>
      </c>
      <c r="T249" s="93">
        <v>1.1000000000000001</v>
      </c>
      <c r="U249" s="93">
        <v>1.1000000000000001</v>
      </c>
      <c r="V249" s="106">
        <f t="shared" ref="V249:W256" si="16">I249*T249</f>
        <v>2.1334775000000001</v>
      </c>
      <c r="W249" s="106">
        <f t="shared" si="16"/>
        <v>1.9060364583333336</v>
      </c>
      <c r="X249" s="102">
        <f t="shared" ref="X249:Y256" si="17">V249*$O249</f>
        <v>44.480927366888729</v>
      </c>
      <c r="Y249" s="102">
        <f t="shared" si="17"/>
        <v>39.739003229125615</v>
      </c>
      <c r="Z249" s="121">
        <f t="shared" ref="Z249:Z256" si="18">X249*$D249</f>
        <v>977.95025560052102</v>
      </c>
      <c r="AA249" s="122">
        <f>Y249*$C$57</f>
        <v>424.41255448706153</v>
      </c>
      <c r="AB249" s="8"/>
      <c r="AC249" s="8"/>
      <c r="AD249" s="31"/>
      <c r="AE249" s="31"/>
    </row>
    <row r="250" spans="1:31" x14ac:dyDescent="0.2">
      <c r="A250" s="116" t="str">
        <f>$A$159</f>
        <v>Radio/Antenna (2)</v>
      </c>
      <c r="B250" s="120">
        <f>$C$168</f>
        <v>50</v>
      </c>
      <c r="C250" s="91" t="s">
        <v>3</v>
      </c>
      <c r="D250" s="109">
        <f>MAX($C$174-$AA$243,0)</f>
        <v>16.400833333333331</v>
      </c>
      <c r="E250" s="109">
        <v>0</v>
      </c>
      <c r="F250" s="109">
        <f>$C$172</f>
        <v>0.72697916666666662</v>
      </c>
      <c r="G250" s="109">
        <f>B250*E250</f>
        <v>0</v>
      </c>
      <c r="H250" s="109">
        <f>B250*F250</f>
        <v>36.348958333333329</v>
      </c>
      <c r="I250" s="109">
        <f>IF(D250=0,0,$C$169)</f>
        <v>1.2148101902594866</v>
      </c>
      <c r="J250" s="109">
        <f>IF(D250=0,0,$C$170)</f>
        <v>1.3749463044151784</v>
      </c>
      <c r="K250" s="109">
        <f>$C$165</f>
        <v>0.66666666666666663</v>
      </c>
      <c r="L250" s="109">
        <f>$C$163</f>
        <v>0.41666666666666669</v>
      </c>
      <c r="M250" s="91" t="s">
        <v>591</v>
      </c>
      <c r="N250" s="106">
        <f>2.01*(MAX(D250,5/0.3048)/$M$3)^(2/$M$2)</f>
        <v>0.86502821791759066</v>
      </c>
      <c r="O250" s="106">
        <f t="shared" si="13"/>
        <v>18.23950058720828</v>
      </c>
      <c r="P250" s="106">
        <f>$C$167/$C$163</f>
        <v>4.2</v>
      </c>
      <c r="Q250" s="106">
        <f>$C$165/$C$167</f>
        <v>0.38095238095238093</v>
      </c>
      <c r="R250" s="108">
        <f t="shared" si="14"/>
        <v>56.666666666666664</v>
      </c>
      <c r="S250" s="108">
        <f t="shared" si="15"/>
        <v>35.416666666666671</v>
      </c>
      <c r="T250" s="93">
        <v>1.2</v>
      </c>
      <c r="U250" s="93">
        <v>1.2</v>
      </c>
      <c r="V250" s="106">
        <f t="shared" si="16"/>
        <v>1.4577722283113839</v>
      </c>
      <c r="W250" s="106">
        <f t="shared" si="16"/>
        <v>1.6499355652982139</v>
      </c>
      <c r="X250" s="102">
        <f t="shared" si="17"/>
        <v>26.589037414301409</v>
      </c>
      <c r="Y250" s="102">
        <f t="shared" si="17"/>
        <v>30.094000712112599</v>
      </c>
      <c r="Z250" s="121">
        <f t="shared" si="18"/>
        <v>436.08237112572164</v>
      </c>
      <c r="AA250" s="122">
        <f t="shared" ref="AA250:AA256" si="19">Y250*$D250</f>
        <v>493.5666900125733</v>
      </c>
      <c r="AB250" s="8"/>
      <c r="AC250" s="8"/>
      <c r="AD250" s="31"/>
      <c r="AE250" s="31"/>
    </row>
    <row r="251" spans="1:31" x14ac:dyDescent="0.2">
      <c r="A251" s="116" t="str">
        <f>$A$179</f>
        <v>Radio/Antenna (3)</v>
      </c>
      <c r="B251" s="120">
        <f>$C$188</f>
        <v>50</v>
      </c>
      <c r="C251" s="91" t="s">
        <v>3</v>
      </c>
      <c r="D251" s="109">
        <f>MAX($C$194-$AA$243,0)</f>
        <v>16.400833333333331</v>
      </c>
      <c r="E251" s="109">
        <f>$C$192</f>
        <v>0.72697916666666662</v>
      </c>
      <c r="F251" s="109">
        <v>0</v>
      </c>
      <c r="G251" s="109">
        <f>B251*E251</f>
        <v>36.348958333333329</v>
      </c>
      <c r="H251" s="109">
        <f>$B$251*$F$251</f>
        <v>0</v>
      </c>
      <c r="I251" s="109">
        <f>IF(D251=0,0,$C$189)</f>
        <v>1.2148101902594866</v>
      </c>
      <c r="J251" s="109">
        <f>IF(D251=0,0,$C$190)</f>
        <v>1.3749463044151784</v>
      </c>
      <c r="K251" s="109">
        <f>$C$183</f>
        <v>0.41666666666666669</v>
      </c>
      <c r="L251" s="109">
        <f>$C$185</f>
        <v>0.66666666666666663</v>
      </c>
      <c r="M251" s="91" t="s">
        <v>591</v>
      </c>
      <c r="N251" s="106">
        <f>2.01*(MAX(D251,5/0.3048)/$M$3)^(2/$M$2)</f>
        <v>0.86502821791759066</v>
      </c>
      <c r="O251" s="106">
        <f t="shared" si="13"/>
        <v>18.23950058720828</v>
      </c>
      <c r="P251" s="106">
        <f>$C$185/$C$187</f>
        <v>0.38095238095238093</v>
      </c>
      <c r="Q251" s="106">
        <f>$C$187/$C$183</f>
        <v>4.2</v>
      </c>
      <c r="R251" s="108">
        <f t="shared" si="14"/>
        <v>35.416666666666671</v>
      </c>
      <c r="S251" s="108">
        <f t="shared" si="15"/>
        <v>56.666666666666664</v>
      </c>
      <c r="T251" s="93">
        <v>1.2</v>
      </c>
      <c r="U251" s="93">
        <v>1.2</v>
      </c>
      <c r="V251" s="106">
        <f t="shared" si="16"/>
        <v>1.4577722283113839</v>
      </c>
      <c r="W251" s="106">
        <f t="shared" si="16"/>
        <v>1.6499355652982139</v>
      </c>
      <c r="X251" s="102">
        <f t="shared" si="17"/>
        <v>26.589037414301409</v>
      </c>
      <c r="Y251" s="102">
        <f t="shared" si="17"/>
        <v>30.094000712112599</v>
      </c>
      <c r="Z251" s="121">
        <f t="shared" si="18"/>
        <v>436.08237112572164</v>
      </c>
      <c r="AA251" s="122">
        <f t="shared" si="19"/>
        <v>493.5666900125733</v>
      </c>
      <c r="AB251" s="8"/>
      <c r="AC251" s="8"/>
      <c r="AD251" s="31"/>
      <c r="AE251" s="31"/>
    </row>
    <row r="252" spans="1:31" x14ac:dyDescent="0.2">
      <c r="A252" s="116" t="str">
        <f>$A$197</f>
        <v>Sign (bottom)</v>
      </c>
      <c r="B252" s="120">
        <f>C206</f>
        <v>12.463750000000001</v>
      </c>
      <c r="C252" s="91" t="s">
        <v>183</v>
      </c>
      <c r="D252" s="109">
        <f>MAX($C$212-$AA$243,0)</f>
        <v>0.48416666666666686</v>
      </c>
      <c r="E252" s="109">
        <v>0</v>
      </c>
      <c r="F252" s="109">
        <f>C210</f>
        <v>1.4031597222222221</v>
      </c>
      <c r="G252" s="109">
        <f t="shared" ref="G252:H256" si="20">$B252*E252</f>
        <v>0</v>
      </c>
      <c r="H252" s="109">
        <f t="shared" si="20"/>
        <v>17.488631987847221</v>
      </c>
      <c r="I252" s="109">
        <f>IF(D252=0,0,$C$203*$C$205)</f>
        <v>11.0625</v>
      </c>
      <c r="J252" s="109">
        <f>IF(D252=0,0,$C$201*$C$205)</f>
        <v>3.2777777777777781E-2</v>
      </c>
      <c r="K252" s="109">
        <f>C201</f>
        <v>6.6666666666666671E-3</v>
      </c>
      <c r="L252" s="109">
        <f>C203</f>
        <v>2.25</v>
      </c>
      <c r="M252" s="91" t="s">
        <v>591</v>
      </c>
      <c r="N252" s="106">
        <f>$N$236</f>
        <v>0.86502821791759066</v>
      </c>
      <c r="O252" s="106">
        <f t="shared" si="13"/>
        <v>18.23950058720828</v>
      </c>
      <c r="P252" s="106">
        <f>IF(C203=0,0,C205/C203)</f>
        <v>2.1851851851851851</v>
      </c>
      <c r="Q252" s="106">
        <f>IF(C201=0,0,C205/C201)</f>
        <v>737.5</v>
      </c>
      <c r="R252" s="108">
        <f t="shared" si="14"/>
        <v>0.56666666666666665</v>
      </c>
      <c r="S252" s="108">
        <f t="shared" si="15"/>
        <v>191.25</v>
      </c>
      <c r="T252" s="93">
        <v>1.19</v>
      </c>
      <c r="U252" s="93">
        <v>1.3</v>
      </c>
      <c r="V252" s="106">
        <f t="shared" si="16"/>
        <v>13.164375</v>
      </c>
      <c r="W252" s="106">
        <f t="shared" si="16"/>
        <v>4.2611111111111113E-2</v>
      </c>
      <c r="X252" s="102">
        <f t="shared" si="17"/>
        <v>240.11162554273</v>
      </c>
      <c r="Y252" s="102">
        <f t="shared" si="17"/>
        <v>0.7772053861327084</v>
      </c>
      <c r="Z252" s="121">
        <f t="shared" si="18"/>
        <v>116.25404536693848</v>
      </c>
      <c r="AA252" s="122">
        <f t="shared" si="19"/>
        <v>0.3762969411192531</v>
      </c>
      <c r="AB252" s="8"/>
      <c r="AC252" s="8"/>
      <c r="AD252" s="31"/>
      <c r="AE252" s="31"/>
    </row>
    <row r="253" spans="1:31" x14ac:dyDescent="0.2">
      <c r="A253" s="114" t="str">
        <f>$A$80</f>
        <v>Sign (banner)</v>
      </c>
      <c r="B253" s="91">
        <f>IF($Q$311="yes",C89,0)</f>
        <v>0.61614583333333339</v>
      </c>
      <c r="C253" s="91" t="s">
        <v>3</v>
      </c>
      <c r="D253" s="109">
        <f>MAX($C$88-$AA$243,0)</f>
        <v>0</v>
      </c>
      <c r="E253" s="109">
        <v>0</v>
      </c>
      <c r="F253" s="109">
        <f>C85</f>
        <v>7.5</v>
      </c>
      <c r="G253" s="109">
        <f t="shared" si="20"/>
        <v>0</v>
      </c>
      <c r="H253" s="109">
        <f t="shared" si="20"/>
        <v>4.62109375</v>
      </c>
      <c r="I253" s="109">
        <f>IF(D253=0,0,$C$82)</f>
        <v>0</v>
      </c>
      <c r="J253" s="109">
        <f>IF(D253=0,0,$C$82)</f>
        <v>0</v>
      </c>
      <c r="K253" s="109">
        <f>C84</f>
        <v>8.3333333333333339E-4</v>
      </c>
      <c r="L253" s="109">
        <f>C84</f>
        <v>8.3333333333333339E-4</v>
      </c>
      <c r="M253" s="91" t="s">
        <v>593</v>
      </c>
      <c r="N253" s="106">
        <f>$N$237</f>
        <v>0.89789674191093283</v>
      </c>
      <c r="O253" s="106">
        <f t="shared" si="13"/>
        <v>18.932547877758456</v>
      </c>
      <c r="P253" s="106">
        <f>IF(C83=0,0,64.38/C83)</f>
        <v>6437.9999999999991</v>
      </c>
      <c r="Q253" s="106">
        <f>IF(C83=0,0,64.38/C83)</f>
        <v>6437.9999999999991</v>
      </c>
      <c r="R253" s="108">
        <f t="shared" si="14"/>
        <v>7.0833333333333331E-2</v>
      </c>
      <c r="S253" s="108">
        <f t="shared" si="15"/>
        <v>7.0833333333333331E-2</v>
      </c>
      <c r="T253" s="106">
        <f>IF(R253=0,0,129/(R253)^1.3)</f>
        <v>4029.7743363629384</v>
      </c>
      <c r="U253" s="106">
        <f>IF(S253=0,0,129/(S253)^1.3)</f>
        <v>4029.7743363629384</v>
      </c>
      <c r="V253" s="106">
        <f t="shared" si="16"/>
        <v>0</v>
      </c>
      <c r="W253" s="106">
        <f t="shared" si="16"/>
        <v>0</v>
      </c>
      <c r="X253" s="102">
        <f t="shared" si="17"/>
        <v>0</v>
      </c>
      <c r="Y253" s="102">
        <f t="shared" si="17"/>
        <v>0</v>
      </c>
      <c r="Z253" s="121">
        <f t="shared" si="18"/>
        <v>0</v>
      </c>
      <c r="AA253" s="122">
        <f t="shared" si="19"/>
        <v>0</v>
      </c>
      <c r="AB253" s="8"/>
      <c r="AC253" s="8"/>
      <c r="AD253" s="31"/>
      <c r="AE253" s="31"/>
    </row>
    <row r="254" spans="1:31" x14ac:dyDescent="0.2">
      <c r="A254" s="114" t="str">
        <f>$A$98</f>
        <v>Smart Meter</v>
      </c>
      <c r="B254" s="106">
        <f>IF($Q$311="yes",C107,0)</f>
        <v>5</v>
      </c>
      <c r="C254" s="91" t="s">
        <v>3</v>
      </c>
      <c r="D254" s="109">
        <f>MAX(C113-$AA$243,0)</f>
        <v>1.1508333333333329</v>
      </c>
      <c r="E254" s="109">
        <f>C111</f>
        <v>0.4617708333333333</v>
      </c>
      <c r="F254" s="109">
        <v>0</v>
      </c>
      <c r="G254" s="109">
        <f t="shared" si="20"/>
        <v>2.3088541666666664</v>
      </c>
      <c r="H254" s="109">
        <f t="shared" si="20"/>
        <v>0</v>
      </c>
      <c r="I254" s="109">
        <f>IF(D254=0,0,$C$111*$C$113)</f>
        <v>4.6754296874999994</v>
      </c>
      <c r="J254" s="109">
        <f>IF(D254=0,0,$C$111*$C$113)</f>
        <v>4.6754296874999994</v>
      </c>
      <c r="K254" s="109">
        <f>C111</f>
        <v>0.4617708333333333</v>
      </c>
      <c r="L254" s="109">
        <f>C111</f>
        <v>0.4617708333333333</v>
      </c>
      <c r="M254" s="91" t="s">
        <v>593</v>
      </c>
      <c r="N254" s="106">
        <f>$N$238</f>
        <v>0.86502821791759066</v>
      </c>
      <c r="O254" s="106">
        <f t="shared" si="13"/>
        <v>18.23950058720828</v>
      </c>
      <c r="P254" s="106">
        <f>C113/C111</f>
        <v>21.926460636138057</v>
      </c>
      <c r="Q254" s="106">
        <f>C113/C111</f>
        <v>21.926460636138057</v>
      </c>
      <c r="R254" s="108">
        <f t="shared" si="14"/>
        <v>39.250520833333333</v>
      </c>
      <c r="S254" s="108">
        <f t="shared" si="15"/>
        <v>39.250520833333333</v>
      </c>
      <c r="T254" s="231">
        <v>1.2</v>
      </c>
      <c r="U254" s="231">
        <v>1.2</v>
      </c>
      <c r="V254" s="106">
        <f t="shared" si="16"/>
        <v>5.6105156249999988</v>
      </c>
      <c r="W254" s="106">
        <f t="shared" si="16"/>
        <v>5.6105156249999988</v>
      </c>
      <c r="X254" s="102">
        <f t="shared" si="17"/>
        <v>102.33300303672871</v>
      </c>
      <c r="Y254" s="102">
        <f t="shared" si="17"/>
        <v>102.33300303672871</v>
      </c>
      <c r="Z254" s="121">
        <f t="shared" si="18"/>
        <v>117.76823099476859</v>
      </c>
      <c r="AA254" s="122">
        <f t="shared" si="19"/>
        <v>117.76823099476859</v>
      </c>
      <c r="AB254" s="8"/>
      <c r="AC254" s="8"/>
      <c r="AD254" s="31"/>
      <c r="AE254" s="31"/>
    </row>
    <row r="255" spans="1:31" x14ac:dyDescent="0.2">
      <c r="A255" s="114" t="str">
        <f>$A$116</f>
        <v>Radio/Antenna (1)</v>
      </c>
      <c r="B255" s="106">
        <f>IF($Q$311="yes",C131,0)</f>
        <v>50</v>
      </c>
      <c r="C255" s="91" t="s">
        <v>3</v>
      </c>
      <c r="D255" s="109">
        <f>MAX($C$137-$AA$243,0)</f>
        <v>16.400833333333331</v>
      </c>
      <c r="E255" s="109">
        <f>C135</f>
        <v>0.72697916666666662</v>
      </c>
      <c r="F255" s="109">
        <v>0</v>
      </c>
      <c r="G255" s="109">
        <f t="shared" si="20"/>
        <v>36.348958333333329</v>
      </c>
      <c r="H255" s="109">
        <f t="shared" si="20"/>
        <v>0</v>
      </c>
      <c r="I255" s="109">
        <f>IF(D255=0,0,$C$128*$C$130)</f>
        <v>1.1666666666666665</v>
      </c>
      <c r="J255" s="109">
        <f>IF(D255=0,0,$C$126*$C$130)</f>
        <v>0.72916666666666674</v>
      </c>
      <c r="K255" s="109">
        <f>C126</f>
        <v>0.41666666666666669</v>
      </c>
      <c r="L255" s="109">
        <f>C128</f>
        <v>0.66666666666666663</v>
      </c>
      <c r="M255" s="91" t="s">
        <v>591</v>
      </c>
      <c r="N255" s="106">
        <f>$N$239</f>
        <v>0.94823219728985098</v>
      </c>
      <c r="O255" s="106">
        <f t="shared" si="13"/>
        <v>19.993893102023318</v>
      </c>
      <c r="P255" s="106">
        <f>C130/C128</f>
        <v>2.625</v>
      </c>
      <c r="Q255" s="106">
        <f>C130/C126</f>
        <v>4.2</v>
      </c>
      <c r="R255" s="108">
        <f t="shared" si="14"/>
        <v>35.416666666666671</v>
      </c>
      <c r="S255" s="108">
        <f t="shared" si="15"/>
        <v>56.666666666666664</v>
      </c>
      <c r="T255" s="93">
        <v>1.2</v>
      </c>
      <c r="U255" s="93">
        <v>1.2</v>
      </c>
      <c r="V255" s="106">
        <f t="shared" si="16"/>
        <v>1.3999999999999997</v>
      </c>
      <c r="W255" s="106">
        <f t="shared" si="16"/>
        <v>0.87500000000000011</v>
      </c>
      <c r="X255" s="102">
        <f t="shared" si="17"/>
        <v>27.991450342832639</v>
      </c>
      <c r="Y255" s="102">
        <f t="shared" si="17"/>
        <v>17.494656464270406</v>
      </c>
      <c r="Z255" s="121">
        <f t="shared" si="18"/>
        <v>459.08311183107423</v>
      </c>
      <c r="AA255" s="122">
        <f t="shared" si="19"/>
        <v>286.92694489442152</v>
      </c>
      <c r="AB255" s="8"/>
      <c r="AC255" s="8"/>
      <c r="AD255" s="31"/>
      <c r="AE255" s="31"/>
    </row>
    <row r="256" spans="1:31" ht="15" thickBot="1" x14ac:dyDescent="0.25">
      <c r="A256" s="117" t="str">
        <f>$A$141</f>
        <v>Disconnect</v>
      </c>
      <c r="B256" s="99">
        <f>IF($Q$311="yes",C150,0)</f>
        <v>6</v>
      </c>
      <c r="C256" s="96" t="s">
        <v>3</v>
      </c>
      <c r="D256" s="105">
        <f>MAX($C$156-$AA$243,0)</f>
        <v>0.57541666666666558</v>
      </c>
      <c r="E256" s="105">
        <f>C154</f>
        <v>0.43387743055555555</v>
      </c>
      <c r="F256" s="105">
        <v>0</v>
      </c>
      <c r="G256" s="105">
        <f t="shared" si="20"/>
        <v>2.6032645833333334</v>
      </c>
      <c r="H256" s="105">
        <f t="shared" si="20"/>
        <v>0</v>
      </c>
      <c r="I256" s="105">
        <f>IF(D256=0,0,$C$147*$C$149)</f>
        <v>0.47894305555555555</v>
      </c>
      <c r="J256" s="105">
        <f>IF(D256=0,0,$C$145*$C$149)</f>
        <v>0.28151041666666665</v>
      </c>
      <c r="K256" s="105">
        <f>C145</f>
        <v>0.3125</v>
      </c>
      <c r="L256" s="105">
        <f>C147</f>
        <v>0.53166666666666662</v>
      </c>
      <c r="M256" s="96" t="s">
        <v>591</v>
      </c>
      <c r="N256" s="99">
        <f>$N$240</f>
        <v>0.86502821791759066</v>
      </c>
      <c r="O256" s="99">
        <f t="shared" si="13"/>
        <v>18.23950058720828</v>
      </c>
      <c r="P256" s="99">
        <f>C149/C147</f>
        <v>1.69435736677116</v>
      </c>
      <c r="Q256" s="99">
        <f>C149/C145</f>
        <v>2.8826666666666667</v>
      </c>
      <c r="R256" s="101">
        <f t="shared" si="14"/>
        <v>26.5625</v>
      </c>
      <c r="S256" s="101">
        <f t="shared" si="15"/>
        <v>45.191666666666663</v>
      </c>
      <c r="T256" s="97">
        <v>1.2</v>
      </c>
      <c r="U256" s="97">
        <v>1.2</v>
      </c>
      <c r="V256" s="99">
        <f>I256*T256</f>
        <v>0.57473166666666664</v>
      </c>
      <c r="W256" s="99">
        <f t="shared" si="16"/>
        <v>0.33781249999999996</v>
      </c>
      <c r="X256" s="103">
        <f>V256*$O256</f>
        <v>10.48281857165386</v>
      </c>
      <c r="Y256" s="103">
        <f t="shared" si="17"/>
        <v>6.1615312921162966</v>
      </c>
      <c r="Z256" s="123">
        <f t="shared" si="18"/>
        <v>6.0319885197724803</v>
      </c>
      <c r="AA256" s="124">
        <f t="shared" si="19"/>
        <v>3.5454477976719123</v>
      </c>
      <c r="AB256" s="8"/>
      <c r="AC256" s="8"/>
      <c r="AD256" s="31"/>
      <c r="AE256" s="31"/>
    </row>
    <row r="258" spans="1:31" x14ac:dyDescent="0.2">
      <c r="B258" s="8"/>
      <c r="D258" s="7"/>
      <c r="E258" s="7"/>
      <c r="F258" s="7"/>
      <c r="G258" s="7"/>
      <c r="H258" s="7"/>
      <c r="I258" s="7"/>
      <c r="J258" s="7"/>
      <c r="K258" s="7"/>
      <c r="L258" s="7"/>
      <c r="M258" s="3"/>
      <c r="N258" s="8"/>
      <c r="O258" s="8"/>
      <c r="P258" s="8"/>
      <c r="Q258" s="8"/>
      <c r="R258" s="10"/>
      <c r="S258" s="10"/>
      <c r="T258" s="19"/>
      <c r="U258" s="19"/>
      <c r="V258" s="8"/>
      <c r="W258" s="8"/>
      <c r="X258" s="8"/>
      <c r="Y258" s="8"/>
      <c r="AA258" s="229">
        <f>H20</f>
        <v>122</v>
      </c>
      <c r="AB258" s="4" t="s">
        <v>21</v>
      </c>
      <c r="AC258" s="8"/>
      <c r="AD258" s="31"/>
      <c r="AE258" s="31"/>
    </row>
    <row r="259" spans="1:31" ht="15" thickBot="1" x14ac:dyDescent="0.25">
      <c r="P259" s="4"/>
      <c r="Z259" s="125" t="s">
        <v>803</v>
      </c>
      <c r="AA259" s="186">
        <f>AA258/12</f>
        <v>10.166666666666666</v>
      </c>
      <c r="AB259" s="185" t="s">
        <v>0</v>
      </c>
      <c r="AC259" s="8"/>
      <c r="AD259" s="31"/>
      <c r="AE259" s="31"/>
    </row>
    <row r="260" spans="1:31" ht="18.75" x14ac:dyDescent="0.35">
      <c r="A260" s="136" t="s">
        <v>998</v>
      </c>
      <c r="B260" s="221" t="s">
        <v>601</v>
      </c>
      <c r="C260" s="221" t="s">
        <v>582</v>
      </c>
      <c r="D260" s="221" t="s">
        <v>583</v>
      </c>
      <c r="E260" s="246" t="s">
        <v>624</v>
      </c>
      <c r="F260" s="244"/>
      <c r="G260" s="246" t="s">
        <v>623</v>
      </c>
      <c r="H260" s="244"/>
      <c r="I260" s="247" t="s">
        <v>618</v>
      </c>
      <c r="J260" s="248"/>
      <c r="K260" s="246" t="s">
        <v>584</v>
      </c>
      <c r="L260" s="244"/>
      <c r="M260" s="221" t="s">
        <v>585</v>
      </c>
      <c r="N260" s="221" t="s">
        <v>594</v>
      </c>
      <c r="O260" s="221" t="s">
        <v>599</v>
      </c>
      <c r="P260" s="249" t="s">
        <v>705</v>
      </c>
      <c r="Q260" s="250"/>
      <c r="R260" s="251" t="s">
        <v>628</v>
      </c>
      <c r="S260" s="251"/>
      <c r="T260" s="243" t="s">
        <v>595</v>
      </c>
      <c r="U260" s="243"/>
      <c r="V260" s="246" t="s">
        <v>617</v>
      </c>
      <c r="W260" s="244"/>
      <c r="X260" s="243" t="s">
        <v>767</v>
      </c>
      <c r="Y260" s="243"/>
      <c r="Z260" s="244" t="s">
        <v>816</v>
      </c>
      <c r="AA260" s="245"/>
      <c r="AB260" s="8"/>
      <c r="AC260" s="8"/>
      <c r="AD260" s="31"/>
      <c r="AE260" s="31"/>
    </row>
    <row r="261" spans="1:31" x14ac:dyDescent="0.2">
      <c r="A261" s="90"/>
      <c r="B261" s="91" t="s">
        <v>49</v>
      </c>
      <c r="C261" s="91" t="s">
        <v>586</v>
      </c>
      <c r="D261" s="91" t="s">
        <v>817</v>
      </c>
      <c r="E261" s="91" t="s">
        <v>588</v>
      </c>
      <c r="F261" s="91" t="s">
        <v>589</v>
      </c>
      <c r="G261" s="91" t="s">
        <v>588</v>
      </c>
      <c r="H261" s="91" t="s">
        <v>589</v>
      </c>
      <c r="I261" s="91" t="s">
        <v>588</v>
      </c>
      <c r="J261" s="91" t="s">
        <v>589</v>
      </c>
      <c r="K261" s="91" t="s">
        <v>588</v>
      </c>
      <c r="L261" s="91" t="s">
        <v>589</v>
      </c>
      <c r="M261" s="91"/>
      <c r="N261" s="91" t="s">
        <v>602</v>
      </c>
      <c r="O261" s="91" t="s">
        <v>600</v>
      </c>
      <c r="P261" s="91" t="s">
        <v>588</v>
      </c>
      <c r="Q261" s="91" t="s">
        <v>589</v>
      </c>
      <c r="R261" s="91" t="s">
        <v>588</v>
      </c>
      <c r="S261" s="91" t="s">
        <v>589</v>
      </c>
      <c r="T261" s="91" t="s">
        <v>588</v>
      </c>
      <c r="U261" s="91" t="s">
        <v>589</v>
      </c>
      <c r="V261" s="91" t="s">
        <v>588</v>
      </c>
      <c r="W261" s="91" t="s">
        <v>589</v>
      </c>
      <c r="X261" s="91" t="s">
        <v>588</v>
      </c>
      <c r="Y261" s="118" t="s">
        <v>589</v>
      </c>
      <c r="Z261" s="91" t="s">
        <v>588</v>
      </c>
      <c r="AA261" s="92" t="s">
        <v>589</v>
      </c>
      <c r="AB261" s="8"/>
      <c r="AC261" s="8"/>
      <c r="AD261" s="31"/>
      <c r="AE261" s="31"/>
    </row>
    <row r="262" spans="1:31" ht="18.75" x14ac:dyDescent="0.2">
      <c r="A262" s="100"/>
      <c r="B262" s="94" t="s">
        <v>7</v>
      </c>
      <c r="C262" s="94" t="s">
        <v>590</v>
      </c>
      <c r="D262" s="94" t="s">
        <v>0</v>
      </c>
      <c r="E262" s="94" t="s">
        <v>0</v>
      </c>
      <c r="F262" s="94" t="s">
        <v>0</v>
      </c>
      <c r="G262" s="94" t="s">
        <v>622</v>
      </c>
      <c r="H262" s="94" t="s">
        <v>622</v>
      </c>
      <c r="I262" s="126" t="s">
        <v>121</v>
      </c>
      <c r="J262" s="94" t="s">
        <v>121</v>
      </c>
      <c r="K262" s="94" t="s">
        <v>0</v>
      </c>
      <c r="L262" s="94" t="s">
        <v>0</v>
      </c>
      <c r="M262" s="94"/>
      <c r="N262" s="127" t="s">
        <v>107</v>
      </c>
      <c r="O262" s="94" t="s">
        <v>6</v>
      </c>
      <c r="P262" s="94"/>
      <c r="Q262" s="94"/>
      <c r="R262" s="94"/>
      <c r="S262" s="94"/>
      <c r="T262" s="127" t="s">
        <v>632</v>
      </c>
      <c r="U262" s="127" t="s">
        <v>632</v>
      </c>
      <c r="V262" s="94" t="s">
        <v>121</v>
      </c>
      <c r="W262" s="94" t="s">
        <v>121</v>
      </c>
      <c r="X262" s="94" t="s">
        <v>7</v>
      </c>
      <c r="Y262" s="119" t="s">
        <v>7</v>
      </c>
      <c r="Z262" s="94" t="s">
        <v>622</v>
      </c>
      <c r="AA262" s="98" t="s">
        <v>622</v>
      </c>
      <c r="AB262" s="8"/>
      <c r="AC262" s="8"/>
      <c r="AD262" s="31"/>
      <c r="AE262" s="31"/>
    </row>
    <row r="263" spans="1:31" x14ac:dyDescent="0.2">
      <c r="A263" s="115" t="str">
        <f>$A$1</f>
        <v>Pole</v>
      </c>
      <c r="B263" s="95">
        <f>C35</f>
        <v>302.26242154617563</v>
      </c>
      <c r="C263" s="94" t="s">
        <v>183</v>
      </c>
      <c r="D263" s="113">
        <f>$C$29</f>
        <v>19.198807866652391</v>
      </c>
      <c r="E263" s="113">
        <v>0</v>
      </c>
      <c r="F263" s="113">
        <f>C19</f>
        <v>0</v>
      </c>
      <c r="G263" s="109">
        <f t="shared" ref="G263:G272" si="21">$B263*E263</f>
        <v>0</v>
      </c>
      <c r="H263" s="109">
        <f t="shared" ref="H263:H272" si="22">$B263*F263</f>
        <v>0</v>
      </c>
      <c r="I263" s="111">
        <f>C28-1.9624</f>
        <v>6.6127620370370375</v>
      </c>
      <c r="J263" s="113">
        <f>C28</f>
        <v>8.5751620370370372</v>
      </c>
      <c r="K263" s="113">
        <f>C10</f>
        <v>0.66666666666666663</v>
      </c>
      <c r="L263" s="113">
        <f>C10</f>
        <v>0.66666666666666663</v>
      </c>
      <c r="M263" s="94" t="s">
        <v>592</v>
      </c>
      <c r="N263" s="106">
        <f>$N$231</f>
        <v>0.86502821791759066</v>
      </c>
      <c r="O263" s="106">
        <f t="shared" ref="O263:O272" si="23">0.00256*N263*$M$4*$M$5^2*$M$6</f>
        <v>18.23950058720828</v>
      </c>
      <c r="P263" s="106">
        <f>C2/C10</f>
        <v>45</v>
      </c>
      <c r="Q263" s="106">
        <f>C2/C10</f>
        <v>45</v>
      </c>
      <c r="R263" s="108">
        <f t="shared" ref="R263:R272" si="24">$M$7*$M$5*K263</f>
        <v>56.666666666666664</v>
      </c>
      <c r="S263" s="108">
        <f t="shared" ref="S263:S272" si="25">$M$7*$M$5*L263</f>
        <v>56.666666666666664</v>
      </c>
      <c r="T263" s="110">
        <v>1.2</v>
      </c>
      <c r="U263" s="110">
        <v>1.2</v>
      </c>
      <c r="V263" s="106">
        <f>I263*T263</f>
        <v>7.9353144444444448</v>
      </c>
      <c r="W263" s="106">
        <f>J263*U263</f>
        <v>10.290194444444444</v>
      </c>
      <c r="X263" s="102">
        <f>V263*$O263</f>
        <v>144.73617246912679</v>
      </c>
      <c r="Y263" s="102">
        <f>W263*$O263</f>
        <v>187.68800761193179</v>
      </c>
      <c r="Z263" s="121">
        <f>X263*$D263</f>
        <v>2778.7619665894285</v>
      </c>
      <c r="AA263" s="122">
        <f>Y263*$D263</f>
        <v>3603.3859970162698</v>
      </c>
      <c r="AB263" s="8"/>
      <c r="AC263" s="8"/>
      <c r="AD263" s="31"/>
      <c r="AE263" s="31"/>
    </row>
    <row r="264" spans="1:31" x14ac:dyDescent="0.2">
      <c r="A264" s="114" t="str">
        <f>$A$65</f>
        <v>Luminaire</v>
      </c>
      <c r="B264" s="106">
        <f>C78</f>
        <v>30.250000000000004</v>
      </c>
      <c r="C264" s="91" t="s">
        <v>183</v>
      </c>
      <c r="D264" s="109">
        <f>MAX($C$76-$AA$259,0)</f>
        <v>21.416666666666664</v>
      </c>
      <c r="E264" s="109">
        <v>0</v>
      </c>
      <c r="F264" s="109">
        <f>C74</f>
        <v>9.3791666666666664</v>
      </c>
      <c r="G264" s="109">
        <f t="shared" si="21"/>
        <v>0</v>
      </c>
      <c r="H264" s="109">
        <f t="shared" si="22"/>
        <v>283.71979166666671</v>
      </c>
      <c r="I264" s="109">
        <f>C72</f>
        <v>1.0803472222222221</v>
      </c>
      <c r="J264" s="109">
        <f>C68*C70</f>
        <v>0.34597222222222218</v>
      </c>
      <c r="K264" s="109">
        <f>C68</f>
        <v>0.8833333333333333</v>
      </c>
      <c r="L264" s="109">
        <f>C66</f>
        <v>2.7583333333333333</v>
      </c>
      <c r="M264" s="91" t="s">
        <v>591</v>
      </c>
      <c r="N264" s="106">
        <f>$N$232</f>
        <v>0.99294599120745508</v>
      </c>
      <c r="O264" s="106">
        <f t="shared" si="23"/>
        <v>20.936703120845323</v>
      </c>
      <c r="P264" s="106">
        <f>C66/C70</f>
        <v>7.042553191489362</v>
      </c>
      <c r="Q264" s="106">
        <f>C68/C70</f>
        <v>2.2553191489361701</v>
      </c>
      <c r="R264" s="108">
        <f t="shared" si="24"/>
        <v>75.083333333333329</v>
      </c>
      <c r="S264" s="108">
        <f t="shared" si="25"/>
        <v>234.45833333333334</v>
      </c>
      <c r="T264" s="93">
        <v>1.2</v>
      </c>
      <c r="U264" s="93">
        <v>1.2</v>
      </c>
      <c r="V264" s="106">
        <f>I264*T264</f>
        <v>1.2964166666666666</v>
      </c>
      <c r="W264" s="106">
        <f>J264*U264</f>
        <v>0.41516666666666663</v>
      </c>
      <c r="X264" s="102">
        <f>V264*$O264</f>
        <v>27.142690870915889</v>
      </c>
      <c r="Y264" s="102">
        <f>W264*$O264</f>
        <v>8.6922212456709484</v>
      </c>
      <c r="Z264" s="121">
        <f>X264*$D264</f>
        <v>581.30596281878184</v>
      </c>
      <c r="AA264" s="122">
        <f>Y264*$D264</f>
        <v>186.1584050114528</v>
      </c>
      <c r="AB264" s="8"/>
      <c r="AC264" s="8"/>
      <c r="AD264" s="31"/>
      <c r="AE264" s="31"/>
    </row>
    <row r="265" spans="1:31" x14ac:dyDescent="0.2">
      <c r="A265" s="114" t="str">
        <f>$A$37</f>
        <v>Mast Arm</v>
      </c>
      <c r="B265" s="106">
        <f>C63</f>
        <v>42.226163986352546</v>
      </c>
      <c r="C265" s="91" t="s">
        <v>183</v>
      </c>
      <c r="D265" s="109">
        <f>MAX($C$53-$AA$259,0)</f>
        <v>20.793333333333329</v>
      </c>
      <c r="E265" s="109">
        <v>0</v>
      </c>
      <c r="F265" s="109">
        <f>C51</f>
        <v>4</v>
      </c>
      <c r="G265" s="109">
        <f t="shared" si="21"/>
        <v>0</v>
      </c>
      <c r="H265" s="109">
        <f t="shared" si="22"/>
        <v>168.90465594541018</v>
      </c>
      <c r="I265" s="109">
        <f>C48</f>
        <v>1.9395250000000002</v>
      </c>
      <c r="J265" s="109">
        <f>C50</f>
        <v>1.7327604166666668</v>
      </c>
      <c r="K265" s="109">
        <f>C42</f>
        <v>0.19791666666666666</v>
      </c>
      <c r="L265" s="109">
        <f>C42</f>
        <v>0.19791666666666666</v>
      </c>
      <c r="M265" s="91" t="s">
        <v>593</v>
      </c>
      <c r="N265" s="106">
        <f>$N$233</f>
        <v>0.98878779694233587</v>
      </c>
      <c r="O265" s="106">
        <f t="shared" si="23"/>
        <v>20.849025765159805</v>
      </c>
      <c r="P265" s="106">
        <f>C38/C42</f>
        <v>44.235789473684214</v>
      </c>
      <c r="Q265" s="106">
        <f>C42/C42</f>
        <v>1</v>
      </c>
      <c r="R265" s="108">
        <f t="shared" si="24"/>
        <v>16.822916666666664</v>
      </c>
      <c r="S265" s="108">
        <f t="shared" si="25"/>
        <v>16.822916666666664</v>
      </c>
      <c r="T265" s="93">
        <v>1.1000000000000001</v>
      </c>
      <c r="U265" s="93">
        <v>1.1000000000000001</v>
      </c>
      <c r="V265" s="106">
        <f t="shared" ref="V265:W272" si="26">I265*T265</f>
        <v>2.1334775000000001</v>
      </c>
      <c r="W265" s="106">
        <f t="shared" si="26"/>
        <v>1.9060364583333336</v>
      </c>
      <c r="X265" s="102">
        <f t="shared" ref="X265:Y272" si="27">V265*$O265</f>
        <v>44.480927366888729</v>
      </c>
      <c r="Y265" s="102">
        <f t="shared" si="27"/>
        <v>39.739003229125615</v>
      </c>
      <c r="Z265" s="121">
        <f t="shared" ref="Z265:Z272" si="28">X265*$D265</f>
        <v>924.90674971550618</v>
      </c>
      <c r="AA265" s="122">
        <f>Y265*$C$59</f>
        <v>338.37761249600464</v>
      </c>
      <c r="AB265" s="8"/>
      <c r="AC265" s="8"/>
      <c r="AD265" s="31"/>
      <c r="AE265" s="31"/>
    </row>
    <row r="266" spans="1:31" x14ac:dyDescent="0.2">
      <c r="A266" s="116" t="str">
        <f>$A$159</f>
        <v>Radio/Antenna (2)</v>
      </c>
      <c r="B266" s="120">
        <f>$C$168</f>
        <v>50</v>
      </c>
      <c r="C266" s="91" t="s">
        <v>3</v>
      </c>
      <c r="D266" s="109">
        <f>MAX($C$174-$AA$259,0)</f>
        <v>15.208333333333334</v>
      </c>
      <c r="E266" s="109">
        <v>0</v>
      </c>
      <c r="F266" s="109">
        <f>$C$172</f>
        <v>0.72697916666666662</v>
      </c>
      <c r="G266" s="109">
        <f t="shared" si="21"/>
        <v>0</v>
      </c>
      <c r="H266" s="109">
        <f t="shared" si="22"/>
        <v>36.348958333333329</v>
      </c>
      <c r="I266" s="109">
        <f>IF(D266=0,0,$C$169)</f>
        <v>1.2148101902594866</v>
      </c>
      <c r="J266" s="109">
        <f>IF(D266=0,0,$C$170)</f>
        <v>1.3749463044151784</v>
      </c>
      <c r="K266" s="109">
        <f>$C$165</f>
        <v>0.66666666666666663</v>
      </c>
      <c r="L266" s="109">
        <f>$C$163</f>
        <v>0.41666666666666669</v>
      </c>
      <c r="M266" s="91" t="s">
        <v>591</v>
      </c>
      <c r="N266" s="106">
        <f>2.01*(MAX(D266,5/0.3048)/$M$3)^(2/$M$2)</f>
        <v>0.86502821791759066</v>
      </c>
      <c r="O266" s="106">
        <f t="shared" si="23"/>
        <v>18.23950058720828</v>
      </c>
      <c r="P266" s="106">
        <f>$C$167/$C$163</f>
        <v>4.2</v>
      </c>
      <c r="Q266" s="106">
        <f>$C$165/$C$167</f>
        <v>0.38095238095238093</v>
      </c>
      <c r="R266" s="108">
        <f t="shared" si="24"/>
        <v>56.666666666666664</v>
      </c>
      <c r="S266" s="108">
        <f t="shared" si="25"/>
        <v>35.416666666666671</v>
      </c>
      <c r="T266" s="93">
        <v>1.3</v>
      </c>
      <c r="U266" s="93">
        <v>1.2</v>
      </c>
      <c r="V266" s="106">
        <f>I266*T266</f>
        <v>1.5792532473373326</v>
      </c>
      <c r="W266" s="106">
        <f>J266*U266</f>
        <v>1.6499355652982139</v>
      </c>
      <c r="X266" s="102">
        <f>V266*$O266</f>
        <v>28.80479053215986</v>
      </c>
      <c r="Y266" s="102">
        <f t="shared" si="27"/>
        <v>30.094000712112599</v>
      </c>
      <c r="Z266" s="121">
        <f t="shared" si="28"/>
        <v>438.07285600993123</v>
      </c>
      <c r="AA266" s="122">
        <f t="shared" ref="AA266:AA272" si="29">Y266*$D266</f>
        <v>457.67959416337914</v>
      </c>
      <c r="AB266" s="8"/>
      <c r="AC266" s="8"/>
      <c r="AD266" s="31"/>
      <c r="AE266" s="31"/>
    </row>
    <row r="267" spans="1:31" x14ac:dyDescent="0.2">
      <c r="A267" s="116" t="str">
        <f>$A$179</f>
        <v>Radio/Antenna (3)</v>
      </c>
      <c r="B267" s="120">
        <f>$C$188</f>
        <v>50</v>
      </c>
      <c r="C267" s="91" t="s">
        <v>3</v>
      </c>
      <c r="D267" s="109">
        <f>MAX($C$194-$AA$259,0)</f>
        <v>15.208333333333334</v>
      </c>
      <c r="E267" s="109">
        <f>$C$192</f>
        <v>0.72697916666666662</v>
      </c>
      <c r="F267" s="109">
        <v>0</v>
      </c>
      <c r="G267" s="109">
        <f t="shared" si="21"/>
        <v>36.348958333333329</v>
      </c>
      <c r="H267" s="109">
        <f t="shared" si="22"/>
        <v>0</v>
      </c>
      <c r="I267" s="109">
        <f>IF(D267=0,0,$C$189)</f>
        <v>1.2148101902594866</v>
      </c>
      <c r="J267" s="109">
        <f>IF(D267=0,0,$C$190)</f>
        <v>1.3749463044151784</v>
      </c>
      <c r="K267" s="109">
        <f>$C$183</f>
        <v>0.41666666666666669</v>
      </c>
      <c r="L267" s="109">
        <f>$C$185</f>
        <v>0.66666666666666663</v>
      </c>
      <c r="M267" s="91" t="s">
        <v>591</v>
      </c>
      <c r="N267" s="106">
        <f>2.01*(MAX(D267,5/0.3048)/$M$3)^(2/$M$2)</f>
        <v>0.86502821791759066</v>
      </c>
      <c r="O267" s="106">
        <f t="shared" si="23"/>
        <v>18.23950058720828</v>
      </c>
      <c r="P267" s="106">
        <f>$C$185/$C$187</f>
        <v>0.38095238095238093</v>
      </c>
      <c r="Q267" s="106">
        <f>$C$187/$C$183</f>
        <v>4.2</v>
      </c>
      <c r="R267" s="108">
        <f t="shared" si="24"/>
        <v>35.416666666666671</v>
      </c>
      <c r="S267" s="108">
        <f t="shared" si="25"/>
        <v>56.666666666666664</v>
      </c>
      <c r="T267" s="93">
        <v>1.2</v>
      </c>
      <c r="U267" s="93">
        <v>1.3</v>
      </c>
      <c r="V267" s="106">
        <f t="shared" si="26"/>
        <v>1.4577722283113839</v>
      </c>
      <c r="W267" s="106">
        <f t="shared" si="26"/>
        <v>1.7874301957397321</v>
      </c>
      <c r="X267" s="102">
        <f>V267*$O267</f>
        <v>26.589037414301409</v>
      </c>
      <c r="Y267" s="102">
        <f t="shared" si="27"/>
        <v>32.601834104788651</v>
      </c>
      <c r="Z267" s="121">
        <f t="shared" si="28"/>
        <v>404.37494400916728</v>
      </c>
      <c r="AA267" s="122">
        <f t="shared" si="29"/>
        <v>495.81956034366073</v>
      </c>
      <c r="AB267" s="8"/>
      <c r="AC267" s="8"/>
      <c r="AD267" s="31"/>
      <c r="AE267" s="31"/>
    </row>
    <row r="268" spans="1:31" x14ac:dyDescent="0.2">
      <c r="A268" s="116" t="str">
        <f>$A$197</f>
        <v>Sign (bottom)</v>
      </c>
      <c r="B268" s="120">
        <f>C206</f>
        <v>12.463750000000001</v>
      </c>
      <c r="C268" s="91" t="s">
        <v>183</v>
      </c>
      <c r="D268" s="109">
        <f>MAX($C$212-$AA$259,0)</f>
        <v>0</v>
      </c>
      <c r="E268" s="109">
        <v>0</v>
      </c>
      <c r="F268" s="109">
        <f>C210</f>
        <v>1.4031597222222221</v>
      </c>
      <c r="G268" s="109">
        <f t="shared" si="21"/>
        <v>0</v>
      </c>
      <c r="H268" s="109">
        <f t="shared" si="22"/>
        <v>17.488631987847221</v>
      </c>
      <c r="I268" s="109">
        <f>IF(D268=0,0,$C$203*$C$205)</f>
        <v>0</v>
      </c>
      <c r="J268" s="109">
        <f>IF(D268=0,0,$C$201*$C$205)</f>
        <v>0</v>
      </c>
      <c r="K268" s="109">
        <f>C201</f>
        <v>6.6666666666666671E-3</v>
      </c>
      <c r="L268" s="109">
        <f>C203</f>
        <v>2.25</v>
      </c>
      <c r="M268" s="91" t="s">
        <v>591</v>
      </c>
      <c r="N268" s="106">
        <f>$N$236</f>
        <v>0.86502821791759066</v>
      </c>
      <c r="O268" s="106">
        <f t="shared" si="23"/>
        <v>18.23950058720828</v>
      </c>
      <c r="P268" s="106">
        <f>IF(C203=0,0,C205/C203)</f>
        <v>2.1851851851851851</v>
      </c>
      <c r="Q268" s="106">
        <f>IF(C201=0,0,C205/C201)</f>
        <v>737.5</v>
      </c>
      <c r="R268" s="108">
        <f t="shared" si="24"/>
        <v>0.56666666666666665</v>
      </c>
      <c r="S268" s="108">
        <f t="shared" si="25"/>
        <v>191.25</v>
      </c>
      <c r="T268" s="93">
        <v>1.19</v>
      </c>
      <c r="U268" s="93">
        <v>1.3</v>
      </c>
      <c r="V268" s="106">
        <f>I268*T268</f>
        <v>0</v>
      </c>
      <c r="W268" s="106">
        <f t="shared" si="26"/>
        <v>0</v>
      </c>
      <c r="X268" s="102">
        <f>V268*$O268</f>
        <v>0</v>
      </c>
      <c r="Y268" s="102">
        <f t="shared" si="27"/>
        <v>0</v>
      </c>
      <c r="Z268" s="121">
        <f t="shared" si="28"/>
        <v>0</v>
      </c>
      <c r="AA268" s="122">
        <f t="shared" si="29"/>
        <v>0</v>
      </c>
      <c r="AB268" s="8"/>
      <c r="AC268" s="8"/>
      <c r="AD268" s="31"/>
      <c r="AE268" s="31"/>
    </row>
    <row r="269" spans="1:31" x14ac:dyDescent="0.2">
      <c r="A269" s="114" t="str">
        <f>$A$80</f>
        <v>Sign (banner)</v>
      </c>
      <c r="B269" s="91">
        <f>IF($Q$311="yes",C89,0)</f>
        <v>0.61614583333333339</v>
      </c>
      <c r="C269" s="91" t="s">
        <v>3</v>
      </c>
      <c r="D269" s="109">
        <f>MAX($C$88-$AA$259,0)</f>
        <v>0</v>
      </c>
      <c r="E269" s="109">
        <v>0</v>
      </c>
      <c r="F269" s="109">
        <f>C85</f>
        <v>7.5</v>
      </c>
      <c r="G269" s="109">
        <f t="shared" si="21"/>
        <v>0</v>
      </c>
      <c r="H269" s="109">
        <f t="shared" si="22"/>
        <v>4.62109375</v>
      </c>
      <c r="I269" s="109">
        <f>IF(D269=0,0,$C$82)</f>
        <v>0</v>
      </c>
      <c r="J269" s="109">
        <f>IF(D269=0,0,$C$82)</f>
        <v>0</v>
      </c>
      <c r="K269" s="109">
        <f>C84</f>
        <v>8.3333333333333339E-4</v>
      </c>
      <c r="L269" s="109">
        <f>C84</f>
        <v>8.3333333333333339E-4</v>
      </c>
      <c r="M269" s="91" t="s">
        <v>593</v>
      </c>
      <c r="N269" s="106">
        <f>$N$237</f>
        <v>0.89789674191093283</v>
      </c>
      <c r="O269" s="106">
        <f t="shared" si="23"/>
        <v>18.932547877758456</v>
      </c>
      <c r="P269" s="106">
        <f>IF(C83=0,0,64.38/C83)</f>
        <v>6437.9999999999991</v>
      </c>
      <c r="Q269" s="106">
        <f>IF(C83=0,0,64.38/C83)</f>
        <v>6437.9999999999991</v>
      </c>
      <c r="R269" s="108">
        <f t="shared" si="24"/>
        <v>7.0833333333333331E-2</v>
      </c>
      <c r="S269" s="108">
        <f t="shared" si="25"/>
        <v>7.0833333333333331E-2</v>
      </c>
      <c r="T269" s="106">
        <f>IF(R269=0,0,129/(R269)^1.3)</f>
        <v>4029.7743363629384</v>
      </c>
      <c r="U269" s="106">
        <f>IF(S269=0,0,129/(S269)^1.3)</f>
        <v>4029.7743363629384</v>
      </c>
      <c r="V269" s="106">
        <f t="shared" si="26"/>
        <v>0</v>
      </c>
      <c r="W269" s="106">
        <f t="shared" si="26"/>
        <v>0</v>
      </c>
      <c r="X269" s="102">
        <f t="shared" si="27"/>
        <v>0</v>
      </c>
      <c r="Y269" s="102">
        <f t="shared" si="27"/>
        <v>0</v>
      </c>
      <c r="Z269" s="121">
        <f t="shared" si="28"/>
        <v>0</v>
      </c>
      <c r="AA269" s="122">
        <f t="shared" si="29"/>
        <v>0</v>
      </c>
      <c r="AB269" s="8"/>
      <c r="AC269" s="8"/>
      <c r="AD269" s="31"/>
      <c r="AE269" s="31"/>
    </row>
    <row r="270" spans="1:31" x14ac:dyDescent="0.2">
      <c r="A270" s="114" t="str">
        <f>$A$98</f>
        <v>Smart Meter</v>
      </c>
      <c r="B270" s="106">
        <f>IF($Q$311="yes",C107,0)</f>
        <v>5</v>
      </c>
      <c r="C270" s="91" t="s">
        <v>3</v>
      </c>
      <c r="D270" s="109">
        <f>MAX(C113-$AA$259,0)</f>
        <v>0</v>
      </c>
      <c r="E270" s="109">
        <f>C111</f>
        <v>0.4617708333333333</v>
      </c>
      <c r="F270" s="109">
        <v>0</v>
      </c>
      <c r="G270" s="109">
        <f t="shared" si="21"/>
        <v>2.3088541666666664</v>
      </c>
      <c r="H270" s="109">
        <f t="shared" si="22"/>
        <v>0</v>
      </c>
      <c r="I270" s="109">
        <f>IF(D270=0,0,$C$111*$C$113)</f>
        <v>0</v>
      </c>
      <c r="J270" s="109">
        <f>IF(D270=0,0,$C$111*$C$113)</f>
        <v>0</v>
      </c>
      <c r="K270" s="109">
        <f>C111</f>
        <v>0.4617708333333333</v>
      </c>
      <c r="L270" s="109">
        <f>C111</f>
        <v>0.4617708333333333</v>
      </c>
      <c r="M270" s="91" t="s">
        <v>593</v>
      </c>
      <c r="N270" s="106">
        <f>$N$238</f>
        <v>0.86502821791759066</v>
      </c>
      <c r="O270" s="106">
        <f t="shared" si="23"/>
        <v>18.23950058720828</v>
      </c>
      <c r="P270" s="106">
        <f>C113/C111</f>
        <v>21.926460636138057</v>
      </c>
      <c r="Q270" s="106">
        <f>C113/C111</f>
        <v>21.926460636138057</v>
      </c>
      <c r="R270" s="108">
        <f t="shared" si="24"/>
        <v>39.250520833333333</v>
      </c>
      <c r="S270" s="108">
        <f t="shared" si="25"/>
        <v>39.250520833333333</v>
      </c>
      <c r="T270" s="106">
        <f>129/(R270)^1.3</f>
        <v>1.0929257520305797</v>
      </c>
      <c r="U270" s="106">
        <f>129/(S270)^1.3</f>
        <v>1.0929257520305797</v>
      </c>
      <c r="V270" s="106">
        <f t="shared" si="26"/>
        <v>0</v>
      </c>
      <c r="W270" s="106">
        <f t="shared" si="26"/>
        <v>0</v>
      </c>
      <c r="X270" s="102">
        <f t="shared" si="27"/>
        <v>0</v>
      </c>
      <c r="Y270" s="102">
        <f t="shared" si="27"/>
        <v>0</v>
      </c>
      <c r="Z270" s="121">
        <f t="shared" si="28"/>
        <v>0</v>
      </c>
      <c r="AA270" s="122">
        <f t="shared" si="29"/>
        <v>0</v>
      </c>
      <c r="AB270" s="8"/>
      <c r="AC270" s="8"/>
      <c r="AD270" s="31"/>
      <c r="AE270" s="31"/>
    </row>
    <row r="271" spans="1:31" x14ac:dyDescent="0.2">
      <c r="A271" s="114" t="str">
        <f>$A$116</f>
        <v>Radio/Antenna (1)</v>
      </c>
      <c r="B271" s="106">
        <f>IF($Q$311="yes",C131,0)</f>
        <v>50</v>
      </c>
      <c r="C271" s="91" t="s">
        <v>3</v>
      </c>
      <c r="D271" s="109">
        <f>MAX($C$137-$AA$259,0)</f>
        <v>15.208333333333334</v>
      </c>
      <c r="E271" s="109">
        <f>C135</f>
        <v>0.72697916666666662</v>
      </c>
      <c r="F271" s="109">
        <v>0</v>
      </c>
      <c r="G271" s="109">
        <f t="shared" si="21"/>
        <v>36.348958333333329</v>
      </c>
      <c r="H271" s="109">
        <f t="shared" si="22"/>
        <v>0</v>
      </c>
      <c r="I271" s="109">
        <f>IF(D271=0,0,$C$128*$C$130)</f>
        <v>1.1666666666666665</v>
      </c>
      <c r="J271" s="109">
        <f>IF(D271=0,0,$C$126*$C$130)</f>
        <v>0.72916666666666674</v>
      </c>
      <c r="K271" s="109">
        <f>C126</f>
        <v>0.41666666666666669</v>
      </c>
      <c r="L271" s="109">
        <f>C128</f>
        <v>0.66666666666666663</v>
      </c>
      <c r="M271" s="91" t="s">
        <v>591</v>
      </c>
      <c r="N271" s="106">
        <f>$N$239</f>
        <v>0.94823219728985098</v>
      </c>
      <c r="O271" s="106">
        <f t="shared" si="23"/>
        <v>19.993893102023318</v>
      </c>
      <c r="P271" s="106">
        <f>C130/C128</f>
        <v>2.625</v>
      </c>
      <c r="Q271" s="106">
        <f>C130/C126</f>
        <v>4.2</v>
      </c>
      <c r="R271" s="108">
        <f t="shared" si="24"/>
        <v>35.416666666666671</v>
      </c>
      <c r="S271" s="108">
        <f t="shared" si="25"/>
        <v>56.666666666666664</v>
      </c>
      <c r="T271" s="93">
        <v>1.7</v>
      </c>
      <c r="U271" s="93">
        <v>1.7</v>
      </c>
      <c r="V271" s="106">
        <f t="shared" si="26"/>
        <v>1.9833333333333329</v>
      </c>
      <c r="W271" s="106">
        <f t="shared" si="26"/>
        <v>1.2395833333333335</v>
      </c>
      <c r="X271" s="102">
        <f t="shared" si="27"/>
        <v>39.654554652346242</v>
      </c>
      <c r="Y271" s="102">
        <f t="shared" si="27"/>
        <v>24.784096657716407</v>
      </c>
      <c r="Z271" s="121">
        <f t="shared" si="28"/>
        <v>603.0796853377658</v>
      </c>
      <c r="AA271" s="122">
        <f t="shared" si="29"/>
        <v>376.92480333610371</v>
      </c>
      <c r="AB271" s="8"/>
      <c r="AC271" s="8"/>
      <c r="AD271" s="31"/>
      <c r="AE271" s="31"/>
    </row>
    <row r="272" spans="1:31" ht="15" thickBot="1" x14ac:dyDescent="0.25">
      <c r="A272" s="117" t="str">
        <f>$A$141</f>
        <v>Disconnect</v>
      </c>
      <c r="B272" s="99">
        <f>IF($Q$311="yes",C150,0)</f>
        <v>6</v>
      </c>
      <c r="C272" s="96" t="s">
        <v>3</v>
      </c>
      <c r="D272" s="105">
        <f>MAX($C$156-$AA$259,0)</f>
        <v>0</v>
      </c>
      <c r="E272" s="105">
        <f>C154</f>
        <v>0.43387743055555555</v>
      </c>
      <c r="F272" s="105">
        <v>0</v>
      </c>
      <c r="G272" s="105">
        <f t="shared" si="21"/>
        <v>2.6032645833333334</v>
      </c>
      <c r="H272" s="105">
        <f t="shared" si="22"/>
        <v>0</v>
      </c>
      <c r="I272" s="105">
        <f>IF(D272=0,0,$C$147*$C$149)</f>
        <v>0</v>
      </c>
      <c r="J272" s="105">
        <f>IF(D272=0,0,$C$145*$C$149)</f>
        <v>0</v>
      </c>
      <c r="K272" s="105">
        <f>C145</f>
        <v>0.3125</v>
      </c>
      <c r="L272" s="105">
        <f>C147</f>
        <v>0.53166666666666662</v>
      </c>
      <c r="M272" s="96" t="s">
        <v>591</v>
      </c>
      <c r="N272" s="99">
        <f>$N$240</f>
        <v>0.86502821791759066</v>
      </c>
      <c r="O272" s="99">
        <f t="shared" si="23"/>
        <v>18.23950058720828</v>
      </c>
      <c r="P272" s="99">
        <f>C149/C147</f>
        <v>1.69435736677116</v>
      </c>
      <c r="Q272" s="99">
        <f>C149/C145</f>
        <v>2.8826666666666667</v>
      </c>
      <c r="R272" s="101">
        <f t="shared" si="24"/>
        <v>26.5625</v>
      </c>
      <c r="S272" s="101">
        <f t="shared" si="25"/>
        <v>45.191666666666663</v>
      </c>
      <c r="T272" s="97">
        <v>1.2</v>
      </c>
      <c r="U272" s="97">
        <v>1.2</v>
      </c>
      <c r="V272" s="99">
        <f t="shared" si="26"/>
        <v>0</v>
      </c>
      <c r="W272" s="99">
        <f t="shared" si="26"/>
        <v>0</v>
      </c>
      <c r="X272" s="103">
        <f t="shared" si="27"/>
        <v>0</v>
      </c>
      <c r="Y272" s="103">
        <f t="shared" si="27"/>
        <v>0</v>
      </c>
      <c r="Z272" s="123">
        <f t="shared" si="28"/>
        <v>0</v>
      </c>
      <c r="AA272" s="124">
        <f t="shared" si="29"/>
        <v>0</v>
      </c>
      <c r="AB272" s="8"/>
      <c r="AC272" s="8"/>
      <c r="AD272" s="31"/>
      <c r="AE272" s="31"/>
    </row>
    <row r="274" spans="1:31" x14ac:dyDescent="0.2">
      <c r="B274" s="8"/>
      <c r="D274" s="7"/>
      <c r="E274" s="7"/>
      <c r="F274" s="7"/>
      <c r="G274" s="7"/>
      <c r="H274" s="7"/>
      <c r="I274" s="7"/>
      <c r="J274" s="7"/>
      <c r="K274" s="7"/>
      <c r="L274" s="7"/>
      <c r="M274" s="3"/>
      <c r="N274" s="8"/>
      <c r="O274" s="8"/>
      <c r="P274" s="8"/>
      <c r="Q274" s="8"/>
      <c r="R274" s="10"/>
      <c r="S274" s="10"/>
      <c r="T274" s="19"/>
      <c r="U274" s="19"/>
      <c r="V274" s="8"/>
      <c r="W274" s="8"/>
      <c r="X274" s="8"/>
      <c r="Y274" s="8"/>
      <c r="AA274" s="229">
        <f>H28</f>
        <v>298</v>
      </c>
      <c r="AB274" s="4" t="s">
        <v>21</v>
      </c>
      <c r="AC274" s="8"/>
      <c r="AD274" s="31"/>
      <c r="AE274" s="31"/>
    </row>
    <row r="275" spans="1:31" ht="15" thickBot="1" x14ac:dyDescent="0.25">
      <c r="P275" s="4"/>
      <c r="Z275" s="125" t="s">
        <v>803</v>
      </c>
      <c r="AA275" s="186">
        <f>AA274/12</f>
        <v>24.833333333333332</v>
      </c>
      <c r="AB275" s="185" t="s">
        <v>0</v>
      </c>
      <c r="AC275" s="8"/>
      <c r="AD275" s="31"/>
      <c r="AE275" s="31"/>
    </row>
    <row r="276" spans="1:31" ht="18.75" x14ac:dyDescent="0.35">
      <c r="A276" s="136" t="s">
        <v>999</v>
      </c>
      <c r="B276" s="221" t="s">
        <v>601</v>
      </c>
      <c r="C276" s="221" t="s">
        <v>582</v>
      </c>
      <c r="D276" s="221" t="s">
        <v>583</v>
      </c>
      <c r="E276" s="246" t="s">
        <v>624</v>
      </c>
      <c r="F276" s="244"/>
      <c r="G276" s="246" t="s">
        <v>623</v>
      </c>
      <c r="H276" s="244"/>
      <c r="I276" s="247" t="s">
        <v>618</v>
      </c>
      <c r="J276" s="248"/>
      <c r="K276" s="246" t="s">
        <v>584</v>
      </c>
      <c r="L276" s="244"/>
      <c r="M276" s="221" t="s">
        <v>585</v>
      </c>
      <c r="N276" s="221" t="s">
        <v>594</v>
      </c>
      <c r="O276" s="221" t="s">
        <v>599</v>
      </c>
      <c r="P276" s="249" t="s">
        <v>705</v>
      </c>
      <c r="Q276" s="250"/>
      <c r="R276" s="251" t="s">
        <v>628</v>
      </c>
      <c r="S276" s="251"/>
      <c r="T276" s="243" t="s">
        <v>595</v>
      </c>
      <c r="U276" s="243"/>
      <c r="V276" s="246" t="s">
        <v>617</v>
      </c>
      <c r="W276" s="244"/>
      <c r="X276" s="243" t="s">
        <v>767</v>
      </c>
      <c r="Y276" s="243"/>
      <c r="Z276" s="244" t="s">
        <v>816</v>
      </c>
      <c r="AA276" s="245"/>
      <c r="AB276" s="8"/>
      <c r="AC276" s="8"/>
      <c r="AD276" s="31"/>
      <c r="AE276" s="31"/>
    </row>
    <row r="277" spans="1:31" x14ac:dyDescent="0.2">
      <c r="A277" s="90"/>
      <c r="B277" s="91" t="s">
        <v>49</v>
      </c>
      <c r="C277" s="91" t="s">
        <v>586</v>
      </c>
      <c r="D277" s="91" t="s">
        <v>817</v>
      </c>
      <c r="E277" s="91" t="s">
        <v>588</v>
      </c>
      <c r="F277" s="91" t="s">
        <v>589</v>
      </c>
      <c r="G277" s="91" t="s">
        <v>588</v>
      </c>
      <c r="H277" s="91" t="s">
        <v>589</v>
      </c>
      <c r="I277" s="91" t="s">
        <v>588</v>
      </c>
      <c r="J277" s="91" t="s">
        <v>589</v>
      </c>
      <c r="K277" s="91" t="s">
        <v>588</v>
      </c>
      <c r="L277" s="91" t="s">
        <v>589</v>
      </c>
      <c r="M277" s="91"/>
      <c r="N277" s="91" t="s">
        <v>602</v>
      </c>
      <c r="O277" s="91" t="s">
        <v>600</v>
      </c>
      <c r="P277" s="91" t="s">
        <v>588</v>
      </c>
      <c r="Q277" s="91" t="s">
        <v>589</v>
      </c>
      <c r="R277" s="91" t="s">
        <v>588</v>
      </c>
      <c r="S277" s="91" t="s">
        <v>589</v>
      </c>
      <c r="T277" s="91" t="s">
        <v>588</v>
      </c>
      <c r="U277" s="91" t="s">
        <v>589</v>
      </c>
      <c r="V277" s="91" t="s">
        <v>588</v>
      </c>
      <c r="W277" s="91" t="s">
        <v>589</v>
      </c>
      <c r="X277" s="91" t="s">
        <v>588</v>
      </c>
      <c r="Y277" s="118" t="s">
        <v>589</v>
      </c>
      <c r="Z277" s="91" t="s">
        <v>588</v>
      </c>
      <c r="AA277" s="92" t="s">
        <v>589</v>
      </c>
      <c r="AB277" s="8"/>
      <c r="AC277" s="8"/>
      <c r="AD277" s="31"/>
      <c r="AE277" s="31"/>
    </row>
    <row r="278" spans="1:31" ht="18.75" x14ac:dyDescent="0.2">
      <c r="A278" s="100"/>
      <c r="B278" s="94" t="s">
        <v>7</v>
      </c>
      <c r="C278" s="94" t="s">
        <v>590</v>
      </c>
      <c r="D278" s="94" t="s">
        <v>0</v>
      </c>
      <c r="E278" s="94" t="s">
        <v>0</v>
      </c>
      <c r="F278" s="94" t="s">
        <v>0</v>
      </c>
      <c r="G278" s="94" t="s">
        <v>622</v>
      </c>
      <c r="H278" s="94" t="s">
        <v>622</v>
      </c>
      <c r="I278" s="126" t="s">
        <v>121</v>
      </c>
      <c r="J278" s="94" t="s">
        <v>121</v>
      </c>
      <c r="K278" s="94" t="s">
        <v>0</v>
      </c>
      <c r="L278" s="94" t="s">
        <v>0</v>
      </c>
      <c r="M278" s="94"/>
      <c r="N278" s="127" t="s">
        <v>107</v>
      </c>
      <c r="O278" s="94" t="s">
        <v>6</v>
      </c>
      <c r="P278" s="94"/>
      <c r="Q278" s="94"/>
      <c r="R278" s="94"/>
      <c r="S278" s="94"/>
      <c r="T278" s="127" t="s">
        <v>632</v>
      </c>
      <c r="U278" s="127" t="s">
        <v>632</v>
      </c>
      <c r="V278" s="94" t="s">
        <v>121</v>
      </c>
      <c r="W278" s="94" t="s">
        <v>121</v>
      </c>
      <c r="X278" s="94" t="s">
        <v>7</v>
      </c>
      <c r="Y278" s="119" t="s">
        <v>7</v>
      </c>
      <c r="Z278" s="94" t="s">
        <v>622</v>
      </c>
      <c r="AA278" s="98" t="s">
        <v>622</v>
      </c>
      <c r="AB278" s="8"/>
      <c r="AC278" s="8"/>
      <c r="AD278" s="31"/>
      <c r="AE278" s="31"/>
    </row>
    <row r="279" spans="1:31" x14ac:dyDescent="0.2">
      <c r="A279" s="115" t="str">
        <f>$A$1</f>
        <v>Pole</v>
      </c>
      <c r="B279" s="95">
        <f>C35</f>
        <v>302.26242154617563</v>
      </c>
      <c r="C279" s="94" t="s">
        <v>183</v>
      </c>
      <c r="D279" s="113">
        <f>$C$33</f>
        <v>27.341832421127577</v>
      </c>
      <c r="E279" s="113">
        <v>0</v>
      </c>
      <c r="F279" s="113">
        <f>C19</f>
        <v>0</v>
      </c>
      <c r="G279" s="109">
        <f t="shared" ref="G279:H281" si="30">$B231*E279</f>
        <v>0</v>
      </c>
      <c r="H279" s="109">
        <f t="shared" si="30"/>
        <v>0</v>
      </c>
      <c r="I279" s="111">
        <f>C32-0.7891</f>
        <v>1.0027287037037036</v>
      </c>
      <c r="J279" s="113">
        <f>C32</f>
        <v>1.7918287037037035</v>
      </c>
      <c r="K279" s="113">
        <f>C10</f>
        <v>0.66666666666666663</v>
      </c>
      <c r="L279" s="113">
        <f>C10</f>
        <v>0.66666666666666663</v>
      </c>
      <c r="M279" s="94" t="s">
        <v>592</v>
      </c>
      <c r="N279" s="106">
        <f>$N$231</f>
        <v>0.86502821791759066</v>
      </c>
      <c r="O279" s="106">
        <f t="shared" ref="O279:O288" si="31">0.00256*N279*$M$4*$M$5^2*$M$6</f>
        <v>18.23950058720828</v>
      </c>
      <c r="P279" s="106">
        <f>C2/C10</f>
        <v>45</v>
      </c>
      <c r="Q279" s="106">
        <f>C2/C10</f>
        <v>45</v>
      </c>
      <c r="R279" s="108">
        <f t="shared" ref="R279:R288" si="32">$M$7*$M$5*K279</f>
        <v>56.666666666666664</v>
      </c>
      <c r="S279" s="108">
        <f t="shared" ref="S279:S288" si="33">$M$7*$M$5*L279</f>
        <v>56.666666666666664</v>
      </c>
      <c r="T279" s="110">
        <v>1.2</v>
      </c>
      <c r="U279" s="110">
        <v>1.2</v>
      </c>
      <c r="V279" s="106">
        <f>I279*T279</f>
        <v>1.2032744444444443</v>
      </c>
      <c r="W279" s="106">
        <f>J279*U279</f>
        <v>2.1501944444444443</v>
      </c>
      <c r="X279" s="102">
        <f t="shared" ref="X279:Y281" si="34">V279*$O279</f>
        <v>21.947124936017158</v>
      </c>
      <c r="Y279" s="102">
        <f t="shared" si="34"/>
        <v>39.21847283205642</v>
      </c>
      <c r="Z279" s="121">
        <f>X279*$D279</f>
        <v>600.07461212613146</v>
      </c>
      <c r="AA279" s="122">
        <f>Y279*$D279</f>
        <v>1072.3049119866314</v>
      </c>
      <c r="AB279" s="8"/>
      <c r="AC279" s="8"/>
      <c r="AD279" s="31"/>
      <c r="AE279" s="31"/>
    </row>
    <row r="280" spans="1:31" x14ac:dyDescent="0.2">
      <c r="A280" s="114" t="str">
        <f>$A$65</f>
        <v>Luminaire</v>
      </c>
      <c r="B280" s="106">
        <f>C78</f>
        <v>30.250000000000004</v>
      </c>
      <c r="C280" s="91" t="s">
        <v>183</v>
      </c>
      <c r="D280" s="109">
        <f>MAX($C$76-$AA$275,0)</f>
        <v>6.75</v>
      </c>
      <c r="E280" s="109">
        <v>0</v>
      </c>
      <c r="F280" s="109">
        <f>C74</f>
        <v>9.3791666666666664</v>
      </c>
      <c r="G280" s="109">
        <f t="shared" si="30"/>
        <v>0</v>
      </c>
      <c r="H280" s="109">
        <f t="shared" si="30"/>
        <v>283.71979166666671</v>
      </c>
      <c r="I280" s="109">
        <f>C72</f>
        <v>1.0803472222222221</v>
      </c>
      <c r="J280" s="109">
        <f>C68*C70</f>
        <v>0.34597222222222218</v>
      </c>
      <c r="K280" s="109">
        <f>C68</f>
        <v>0.8833333333333333</v>
      </c>
      <c r="L280" s="109">
        <f>C66</f>
        <v>2.7583333333333333</v>
      </c>
      <c r="M280" s="91" t="s">
        <v>591</v>
      </c>
      <c r="N280" s="106">
        <f>$N$232</f>
        <v>0.99294599120745508</v>
      </c>
      <c r="O280" s="106">
        <f t="shared" si="31"/>
        <v>20.936703120845323</v>
      </c>
      <c r="P280" s="106">
        <f>C66/C70</f>
        <v>7.042553191489362</v>
      </c>
      <c r="Q280" s="106">
        <f>C68/C70</f>
        <v>2.2553191489361701</v>
      </c>
      <c r="R280" s="108">
        <f t="shared" si="32"/>
        <v>75.083333333333329</v>
      </c>
      <c r="S280" s="108">
        <f t="shared" si="33"/>
        <v>234.45833333333334</v>
      </c>
      <c r="T280" s="93">
        <v>1.2</v>
      </c>
      <c r="U280" s="93">
        <v>1.2</v>
      </c>
      <c r="V280" s="106">
        <f>I280*T280</f>
        <v>1.2964166666666666</v>
      </c>
      <c r="W280" s="106">
        <f>J280*U280</f>
        <v>0.41516666666666663</v>
      </c>
      <c r="X280" s="102">
        <f t="shared" si="34"/>
        <v>27.142690870915889</v>
      </c>
      <c r="Y280" s="102">
        <f t="shared" si="34"/>
        <v>8.6922212456709484</v>
      </c>
      <c r="Z280" s="121">
        <f>X280*$D280</f>
        <v>183.21316337868225</v>
      </c>
      <c r="AA280" s="122">
        <f>Y280*$D280</f>
        <v>58.672493408278903</v>
      </c>
      <c r="AB280" s="8"/>
      <c r="AC280" s="8"/>
      <c r="AD280" s="31"/>
      <c r="AE280" s="31"/>
    </row>
    <row r="281" spans="1:31" x14ac:dyDescent="0.2">
      <c r="A281" s="114" t="str">
        <f>$A$37</f>
        <v>Mast Arm</v>
      </c>
      <c r="B281" s="106">
        <f>C63</f>
        <v>42.226163986352546</v>
      </c>
      <c r="C281" s="91" t="s">
        <v>183</v>
      </c>
      <c r="D281" s="109">
        <f>MAX($C$53-$AA$275,0)</f>
        <v>6.1266666666666652</v>
      </c>
      <c r="E281" s="109">
        <v>0</v>
      </c>
      <c r="F281" s="109">
        <f>C51</f>
        <v>4</v>
      </c>
      <c r="G281" s="109">
        <f t="shared" si="30"/>
        <v>0</v>
      </c>
      <c r="H281" s="109">
        <f t="shared" si="30"/>
        <v>168.90465594541018</v>
      </c>
      <c r="I281" s="109">
        <f>C48</f>
        <v>1.9395250000000002</v>
      </c>
      <c r="J281" s="109">
        <f>C50</f>
        <v>1.7327604166666668</v>
      </c>
      <c r="K281" s="109">
        <f>C42</f>
        <v>0.19791666666666666</v>
      </c>
      <c r="L281" s="109">
        <f>C42</f>
        <v>0.19791666666666666</v>
      </c>
      <c r="M281" s="91" t="s">
        <v>593</v>
      </c>
      <c r="N281" s="106">
        <f>$N$233</f>
        <v>0.98878779694233587</v>
      </c>
      <c r="O281" s="106">
        <f t="shared" si="31"/>
        <v>20.849025765159805</v>
      </c>
      <c r="P281" s="106">
        <f>C38/C42</f>
        <v>44.235789473684214</v>
      </c>
      <c r="Q281" s="106">
        <f>C42/C42</f>
        <v>1</v>
      </c>
      <c r="R281" s="108">
        <f t="shared" si="32"/>
        <v>16.822916666666664</v>
      </c>
      <c r="S281" s="108">
        <f t="shared" si="33"/>
        <v>16.822916666666664</v>
      </c>
      <c r="T281" s="93">
        <v>1.1000000000000001</v>
      </c>
      <c r="U281" s="93">
        <v>1.1000000000000001</v>
      </c>
      <c r="V281" s="106">
        <f t="shared" ref="V281:V288" si="35">I281*T281</f>
        <v>2.1334775000000001</v>
      </c>
      <c r="W281" s="106">
        <f t="shared" ref="W281:W288" si="36">J281*U281</f>
        <v>1.9060364583333336</v>
      </c>
      <c r="X281" s="102">
        <f t="shared" si="34"/>
        <v>44.480927366888729</v>
      </c>
      <c r="Y281" s="102">
        <f t="shared" si="34"/>
        <v>39.739003229125615</v>
      </c>
      <c r="Z281" s="121">
        <f t="shared" ref="Z281:Z288" si="37">X281*$D281</f>
        <v>272.51981500113823</v>
      </c>
      <c r="AA281" s="122">
        <f>Y281*$C$61</f>
        <v>320.92556691121365</v>
      </c>
      <c r="AB281" s="8"/>
      <c r="AC281" s="8"/>
      <c r="AD281" s="31"/>
      <c r="AE281" s="31"/>
    </row>
    <row r="282" spans="1:31" x14ac:dyDescent="0.2">
      <c r="A282" s="116" t="str">
        <f>$A$159</f>
        <v>Radio/Antenna (2)</v>
      </c>
      <c r="B282" s="120">
        <f>$C$168</f>
        <v>50</v>
      </c>
      <c r="C282" s="91" t="s">
        <v>3</v>
      </c>
      <c r="D282" s="109">
        <f>MAX($C$174-$AA$275,0)</f>
        <v>0.54166666666666785</v>
      </c>
      <c r="E282" s="109">
        <v>0</v>
      </c>
      <c r="F282" s="109">
        <f>$C$172</f>
        <v>0.72697916666666662</v>
      </c>
      <c r="G282" s="109">
        <f>$B282*E282</f>
        <v>0</v>
      </c>
      <c r="H282" s="109">
        <f>$B282*F282</f>
        <v>36.348958333333329</v>
      </c>
      <c r="I282" s="109">
        <f>IF(D282=0,0,$C$169)</f>
        <v>1.2148101902594866</v>
      </c>
      <c r="J282" s="109">
        <f>IF(D282=0,0,$C$170)</f>
        <v>1.3749463044151784</v>
      </c>
      <c r="K282" s="109">
        <f>$C$165</f>
        <v>0.66666666666666663</v>
      </c>
      <c r="L282" s="109">
        <f>$C$163</f>
        <v>0.41666666666666669</v>
      </c>
      <c r="M282" s="91" t="s">
        <v>591</v>
      </c>
      <c r="N282" s="106">
        <f>$N$233</f>
        <v>0.98878779694233587</v>
      </c>
      <c r="O282" s="106">
        <f t="shared" si="31"/>
        <v>20.849025765159805</v>
      </c>
      <c r="P282" s="106">
        <f>$C$167/$C$163</f>
        <v>4.2</v>
      </c>
      <c r="Q282" s="106">
        <f>$C$165/$C$167</f>
        <v>0.38095238095238093</v>
      </c>
      <c r="R282" s="108">
        <f t="shared" si="32"/>
        <v>56.666666666666664</v>
      </c>
      <c r="S282" s="108">
        <f t="shared" si="33"/>
        <v>35.416666666666671</v>
      </c>
      <c r="T282" s="93">
        <v>1.3</v>
      </c>
      <c r="U282" s="93">
        <v>1.2</v>
      </c>
      <c r="V282" s="106">
        <f>I282*T282</f>
        <v>1.5792532473373326</v>
      </c>
      <c r="W282" s="106">
        <f>J282*U282</f>
        <v>1.6499355652982139</v>
      </c>
      <c r="X282" s="102">
        <f t="shared" ref="X282:Y288" si="38">V282*$O282</f>
        <v>32.925891643448338</v>
      </c>
      <c r="Y282" s="102">
        <f t="shared" si="38"/>
        <v>34.399549111755974</v>
      </c>
      <c r="Z282" s="121">
        <f t="shared" si="37"/>
        <v>17.834857973534554</v>
      </c>
      <c r="AA282" s="122">
        <f t="shared" ref="AA282:AA288" si="39">Y282*$D282</f>
        <v>18.633089102201193</v>
      </c>
      <c r="AB282" s="8"/>
      <c r="AC282" s="8"/>
      <c r="AD282" s="31"/>
      <c r="AE282" s="31"/>
    </row>
    <row r="283" spans="1:31" x14ac:dyDescent="0.2">
      <c r="A283" s="116" t="str">
        <f>$A$179</f>
        <v>Radio/Antenna (3)</v>
      </c>
      <c r="B283" s="120">
        <f>$C$188</f>
        <v>50</v>
      </c>
      <c r="C283" s="91" t="s">
        <v>3</v>
      </c>
      <c r="D283" s="109">
        <f>MAX($C$194-$AA$275,0)</f>
        <v>0.54166666666666785</v>
      </c>
      <c r="E283" s="109">
        <f>$C$192</f>
        <v>0.72697916666666662</v>
      </c>
      <c r="F283" s="109">
        <v>0</v>
      </c>
      <c r="G283" s="109">
        <f>$B283*E283</f>
        <v>36.348958333333329</v>
      </c>
      <c r="H283" s="109">
        <f>$B283*F283</f>
        <v>0</v>
      </c>
      <c r="I283" s="109">
        <f>IF(D283=0,0,$C$189)</f>
        <v>1.2148101902594866</v>
      </c>
      <c r="J283" s="109">
        <f>IF(D283=0,0,$C$190)</f>
        <v>1.3749463044151784</v>
      </c>
      <c r="K283" s="109">
        <f>$C$183</f>
        <v>0.41666666666666669</v>
      </c>
      <c r="L283" s="109">
        <f>$C$185</f>
        <v>0.66666666666666663</v>
      </c>
      <c r="M283" s="91" t="s">
        <v>591</v>
      </c>
      <c r="N283" s="106">
        <f>$N$233</f>
        <v>0.98878779694233587</v>
      </c>
      <c r="O283" s="106">
        <f t="shared" si="31"/>
        <v>20.849025765159805</v>
      </c>
      <c r="P283" s="106">
        <f>$C$185/$C$187</f>
        <v>0.38095238095238093</v>
      </c>
      <c r="Q283" s="106">
        <f>$C$187/$C$183</f>
        <v>4.2</v>
      </c>
      <c r="R283" s="108">
        <f t="shared" si="32"/>
        <v>35.416666666666671</v>
      </c>
      <c r="S283" s="108">
        <f t="shared" si="33"/>
        <v>56.666666666666664</v>
      </c>
      <c r="T283" s="93">
        <v>1.2</v>
      </c>
      <c r="U283" s="93">
        <v>1.3</v>
      </c>
      <c r="V283" s="106">
        <f>I283*T283</f>
        <v>1.4577722283113839</v>
      </c>
      <c r="W283" s="106">
        <f>J283*U283</f>
        <v>1.7874301957397321</v>
      </c>
      <c r="X283" s="102">
        <f t="shared" si="38"/>
        <v>30.393130747798462</v>
      </c>
      <c r="Y283" s="102">
        <f t="shared" si="38"/>
        <v>37.266178204402308</v>
      </c>
      <c r="Z283" s="121">
        <f t="shared" si="37"/>
        <v>16.462945821724205</v>
      </c>
      <c r="AA283" s="122">
        <f t="shared" si="39"/>
        <v>20.185846527384626</v>
      </c>
      <c r="AB283" s="8"/>
      <c r="AC283" s="8"/>
      <c r="AD283" s="31"/>
      <c r="AE283" s="31"/>
    </row>
    <row r="284" spans="1:31" x14ac:dyDescent="0.2">
      <c r="A284" s="116" t="str">
        <f>$A$197</f>
        <v>Sign (bottom)</v>
      </c>
      <c r="B284" s="120">
        <f>C206</f>
        <v>12.463750000000001</v>
      </c>
      <c r="C284" s="91" t="s">
        <v>183</v>
      </c>
      <c r="D284" s="109">
        <f>MAX($C$212-$AA$275,0)</f>
        <v>0</v>
      </c>
      <c r="E284" s="109">
        <v>0</v>
      </c>
      <c r="F284" s="109">
        <f>C210</f>
        <v>1.4031597222222221</v>
      </c>
      <c r="G284" s="109">
        <f t="shared" ref="G284:H288" si="40">$B236*E284</f>
        <v>0</v>
      </c>
      <c r="H284" s="109">
        <f t="shared" si="40"/>
        <v>17.488631987847221</v>
      </c>
      <c r="I284" s="109">
        <f>IF(D284=0,0,$C$203*$C$205)</f>
        <v>0</v>
      </c>
      <c r="J284" s="109">
        <f>IF(D284=0,0,$C$201*$C$205)</f>
        <v>0</v>
      </c>
      <c r="K284" s="109">
        <f>C201</f>
        <v>6.6666666666666671E-3</v>
      </c>
      <c r="L284" s="109">
        <f>C203</f>
        <v>2.25</v>
      </c>
      <c r="M284" s="91" t="s">
        <v>591</v>
      </c>
      <c r="N284" s="106">
        <f>$N$236</f>
        <v>0.86502821791759066</v>
      </c>
      <c r="O284" s="106">
        <f t="shared" si="31"/>
        <v>18.23950058720828</v>
      </c>
      <c r="P284" s="106">
        <f>IF(C203=0,0,C205/C203)</f>
        <v>2.1851851851851851</v>
      </c>
      <c r="Q284" s="106">
        <f>IF(C201=0,0,C205/C201)</f>
        <v>737.5</v>
      </c>
      <c r="R284" s="108">
        <f t="shared" si="32"/>
        <v>0.56666666666666665</v>
      </c>
      <c r="S284" s="108">
        <f t="shared" si="33"/>
        <v>191.25</v>
      </c>
      <c r="T284" s="93">
        <v>1.19</v>
      </c>
      <c r="U284" s="93">
        <v>1.3</v>
      </c>
      <c r="V284" s="106">
        <f>I284*T284</f>
        <v>0</v>
      </c>
      <c r="W284" s="106">
        <f t="shared" si="36"/>
        <v>0</v>
      </c>
      <c r="X284" s="102">
        <f t="shared" si="38"/>
        <v>0</v>
      </c>
      <c r="Y284" s="102">
        <f t="shared" si="38"/>
        <v>0</v>
      </c>
      <c r="Z284" s="121">
        <f t="shared" si="37"/>
        <v>0</v>
      </c>
      <c r="AA284" s="122">
        <f t="shared" si="39"/>
        <v>0</v>
      </c>
      <c r="AB284" s="8"/>
      <c r="AC284" s="8"/>
      <c r="AD284" s="31"/>
      <c r="AE284" s="31"/>
    </row>
    <row r="285" spans="1:31" x14ac:dyDescent="0.2">
      <c r="A285" s="114" t="str">
        <f>$A$80</f>
        <v>Sign (banner)</v>
      </c>
      <c r="B285" s="91">
        <f>IF($Q$311="yes",C96,0)</f>
        <v>2.9166666666666665</v>
      </c>
      <c r="C285" s="91" t="s">
        <v>3</v>
      </c>
      <c r="D285" s="109">
        <f>MAX($C$88-$AA$275,0)</f>
        <v>0</v>
      </c>
      <c r="E285" s="109">
        <v>0</v>
      </c>
      <c r="F285" s="109">
        <f>C85</f>
        <v>7.5</v>
      </c>
      <c r="G285" s="109">
        <f t="shared" si="40"/>
        <v>0</v>
      </c>
      <c r="H285" s="109">
        <f t="shared" si="40"/>
        <v>4.62109375</v>
      </c>
      <c r="I285" s="109">
        <f>IF(D285=0,0,$C$82)</f>
        <v>0</v>
      </c>
      <c r="J285" s="109">
        <f>IF(D285=0,0,$C$82)</f>
        <v>0</v>
      </c>
      <c r="K285" s="109">
        <f>C84</f>
        <v>8.3333333333333339E-4</v>
      </c>
      <c r="L285" s="109">
        <f>C84</f>
        <v>8.3333333333333339E-4</v>
      </c>
      <c r="M285" s="91" t="s">
        <v>593</v>
      </c>
      <c r="N285" s="106">
        <f>$N$237</f>
        <v>0.89789674191093283</v>
      </c>
      <c r="O285" s="106">
        <f t="shared" si="31"/>
        <v>18.932547877758456</v>
      </c>
      <c r="P285" s="106">
        <f>IF(C83=0,0,64.38/C83)</f>
        <v>6437.9999999999991</v>
      </c>
      <c r="Q285" s="106">
        <f>IF(C83=0,0,64.38/C83)</f>
        <v>6437.9999999999991</v>
      </c>
      <c r="R285" s="108">
        <f t="shared" si="32"/>
        <v>7.0833333333333331E-2</v>
      </c>
      <c r="S285" s="108">
        <f t="shared" si="33"/>
        <v>7.0833333333333331E-2</v>
      </c>
      <c r="T285" s="106">
        <f>IF(R285=0,0,129/(R285)^1.3)</f>
        <v>4029.7743363629384</v>
      </c>
      <c r="U285" s="106">
        <f>IF(S285=0,0,129/(S285)^1.3)</f>
        <v>4029.7743363629384</v>
      </c>
      <c r="V285" s="106">
        <f t="shared" si="35"/>
        <v>0</v>
      </c>
      <c r="W285" s="106">
        <f t="shared" si="36"/>
        <v>0</v>
      </c>
      <c r="X285" s="102">
        <f t="shared" si="38"/>
        <v>0</v>
      </c>
      <c r="Y285" s="102">
        <f t="shared" si="38"/>
        <v>0</v>
      </c>
      <c r="Z285" s="121">
        <f t="shared" si="37"/>
        <v>0</v>
      </c>
      <c r="AA285" s="122">
        <f t="shared" si="39"/>
        <v>0</v>
      </c>
      <c r="AB285" s="8"/>
      <c r="AC285" s="8"/>
      <c r="AD285" s="31"/>
      <c r="AE285" s="31"/>
    </row>
    <row r="286" spans="1:31" x14ac:dyDescent="0.2">
      <c r="A286" s="114" t="str">
        <f>$A$98</f>
        <v>Smart Meter</v>
      </c>
      <c r="B286" s="106">
        <f>IF($Q$311="yes",C107,0)</f>
        <v>5</v>
      </c>
      <c r="C286" s="91" t="s">
        <v>3</v>
      </c>
      <c r="D286" s="109">
        <f>MAX(C113-$AA$275,0)</f>
        <v>0</v>
      </c>
      <c r="E286" s="109">
        <f>C111</f>
        <v>0.4617708333333333</v>
      </c>
      <c r="F286" s="109">
        <v>0</v>
      </c>
      <c r="G286" s="109">
        <f t="shared" si="40"/>
        <v>2.3088541666666664</v>
      </c>
      <c r="H286" s="109">
        <f t="shared" si="40"/>
        <v>0</v>
      </c>
      <c r="I286" s="109">
        <f>IF(D286=0,0,$C$111*$C$113)</f>
        <v>0</v>
      </c>
      <c r="J286" s="109">
        <f>IF(D286=0,0,$C$111*$C$113)</f>
        <v>0</v>
      </c>
      <c r="K286" s="109">
        <f>C111</f>
        <v>0.4617708333333333</v>
      </c>
      <c r="L286" s="109">
        <f>C111</f>
        <v>0.4617708333333333</v>
      </c>
      <c r="M286" s="91" t="s">
        <v>593</v>
      </c>
      <c r="N286" s="106">
        <f>$N$238</f>
        <v>0.86502821791759066</v>
      </c>
      <c r="O286" s="106">
        <f t="shared" si="31"/>
        <v>18.23950058720828</v>
      </c>
      <c r="P286" s="106">
        <f>C113/C111</f>
        <v>21.926460636138057</v>
      </c>
      <c r="Q286" s="106">
        <f>C113/C111</f>
        <v>21.926460636138057</v>
      </c>
      <c r="R286" s="108">
        <f t="shared" si="32"/>
        <v>39.250520833333333</v>
      </c>
      <c r="S286" s="108">
        <f t="shared" si="33"/>
        <v>39.250520833333333</v>
      </c>
      <c r="T286" s="106">
        <f>129/(R286)^1.3</f>
        <v>1.0929257520305797</v>
      </c>
      <c r="U286" s="106">
        <f>129/(S286)^1.3</f>
        <v>1.0929257520305797</v>
      </c>
      <c r="V286" s="106">
        <f t="shared" si="35"/>
        <v>0</v>
      </c>
      <c r="W286" s="106">
        <f t="shared" si="36"/>
        <v>0</v>
      </c>
      <c r="X286" s="102">
        <f t="shared" si="38"/>
        <v>0</v>
      </c>
      <c r="Y286" s="102">
        <f t="shared" si="38"/>
        <v>0</v>
      </c>
      <c r="Z286" s="121">
        <f t="shared" si="37"/>
        <v>0</v>
      </c>
      <c r="AA286" s="122">
        <f t="shared" si="39"/>
        <v>0</v>
      </c>
      <c r="AB286" s="8"/>
      <c r="AC286" s="8"/>
      <c r="AD286" s="31"/>
      <c r="AE286" s="31"/>
    </row>
    <row r="287" spans="1:31" x14ac:dyDescent="0.2">
      <c r="A287" s="114" t="str">
        <f>$A$116</f>
        <v>Radio/Antenna (1)</v>
      </c>
      <c r="B287" s="106">
        <f>IF($Q$311="yes",C131,0)</f>
        <v>50</v>
      </c>
      <c r="C287" s="91" t="s">
        <v>3</v>
      </c>
      <c r="D287" s="109">
        <f>MAX($C$137-$AA$275,0)</f>
        <v>0.54166666666666785</v>
      </c>
      <c r="E287" s="109">
        <f>C135</f>
        <v>0.72697916666666662</v>
      </c>
      <c r="F287" s="109">
        <v>0</v>
      </c>
      <c r="G287" s="109">
        <f t="shared" si="40"/>
        <v>36.348958333333329</v>
      </c>
      <c r="H287" s="109">
        <f t="shared" si="40"/>
        <v>0</v>
      </c>
      <c r="I287" s="109">
        <f>IF(D287=0,0,$C$128*$C$130)</f>
        <v>1.1666666666666665</v>
      </c>
      <c r="J287" s="109">
        <f>IF(D287=0,0,$C$126*$C$130)</f>
        <v>0.72916666666666674</v>
      </c>
      <c r="K287" s="109">
        <f>C126</f>
        <v>0.41666666666666669</v>
      </c>
      <c r="L287" s="109">
        <f>C128</f>
        <v>0.66666666666666663</v>
      </c>
      <c r="M287" s="91" t="s">
        <v>591</v>
      </c>
      <c r="N287" s="106">
        <f>$N$239</f>
        <v>0.94823219728985098</v>
      </c>
      <c r="O287" s="106">
        <f t="shared" si="31"/>
        <v>19.993893102023318</v>
      </c>
      <c r="P287" s="106">
        <f>C130/C128</f>
        <v>2.625</v>
      </c>
      <c r="Q287" s="106">
        <f>C130/C126</f>
        <v>4.2</v>
      </c>
      <c r="R287" s="108">
        <f t="shared" si="32"/>
        <v>35.416666666666671</v>
      </c>
      <c r="S287" s="108">
        <f t="shared" si="33"/>
        <v>56.666666666666664</v>
      </c>
      <c r="T287" s="93">
        <v>1.7</v>
      </c>
      <c r="U287" s="93">
        <v>1.7</v>
      </c>
      <c r="V287" s="106">
        <f t="shared" si="35"/>
        <v>1.9833333333333329</v>
      </c>
      <c r="W287" s="106">
        <f t="shared" si="36"/>
        <v>1.2395833333333335</v>
      </c>
      <c r="X287" s="102">
        <f t="shared" si="38"/>
        <v>39.654554652346242</v>
      </c>
      <c r="Y287" s="102">
        <f t="shared" si="38"/>
        <v>24.784096657716407</v>
      </c>
      <c r="Z287" s="121">
        <f t="shared" si="37"/>
        <v>21.479550436687596</v>
      </c>
      <c r="AA287" s="122">
        <f t="shared" si="39"/>
        <v>13.42471902292975</v>
      </c>
      <c r="AB287" s="8"/>
      <c r="AC287" s="8"/>
      <c r="AD287" s="31"/>
      <c r="AE287" s="31"/>
    </row>
    <row r="288" spans="1:31" ht="15" thickBot="1" x14ac:dyDescent="0.25">
      <c r="A288" s="117" t="str">
        <f>$A$141</f>
        <v>Disconnect</v>
      </c>
      <c r="B288" s="99">
        <f>IF($Q$311="yes",C150,0)</f>
        <v>6</v>
      </c>
      <c r="C288" s="96" t="s">
        <v>3</v>
      </c>
      <c r="D288" s="105">
        <f>MAX($C$156-$AA$275,0)</f>
        <v>0</v>
      </c>
      <c r="E288" s="105">
        <f>C154</f>
        <v>0.43387743055555555</v>
      </c>
      <c r="F288" s="105">
        <v>0</v>
      </c>
      <c r="G288" s="105">
        <f t="shared" si="40"/>
        <v>2.6032645833333334</v>
      </c>
      <c r="H288" s="105">
        <f t="shared" si="40"/>
        <v>0</v>
      </c>
      <c r="I288" s="105">
        <f>IF(D288=0,0,$C$147*$C$149)</f>
        <v>0</v>
      </c>
      <c r="J288" s="105">
        <f>IF(D288=0,0,$C$145*$C$149)</f>
        <v>0</v>
      </c>
      <c r="K288" s="105">
        <f>C145</f>
        <v>0.3125</v>
      </c>
      <c r="L288" s="105">
        <f>C147</f>
        <v>0.53166666666666662</v>
      </c>
      <c r="M288" s="96" t="s">
        <v>591</v>
      </c>
      <c r="N288" s="99">
        <f>$N$240</f>
        <v>0.86502821791759066</v>
      </c>
      <c r="O288" s="99">
        <f t="shared" si="31"/>
        <v>18.23950058720828</v>
      </c>
      <c r="P288" s="99">
        <f>C149/C147</f>
        <v>1.69435736677116</v>
      </c>
      <c r="Q288" s="99">
        <f>C149/C145</f>
        <v>2.8826666666666667</v>
      </c>
      <c r="R288" s="101">
        <f t="shared" si="32"/>
        <v>26.5625</v>
      </c>
      <c r="S288" s="101">
        <f t="shared" si="33"/>
        <v>45.191666666666663</v>
      </c>
      <c r="T288" s="97">
        <v>1.2</v>
      </c>
      <c r="U288" s="97">
        <v>1.2</v>
      </c>
      <c r="V288" s="99">
        <f t="shared" si="35"/>
        <v>0</v>
      </c>
      <c r="W288" s="99">
        <f t="shared" si="36"/>
        <v>0</v>
      </c>
      <c r="X288" s="103">
        <f t="shared" si="38"/>
        <v>0</v>
      </c>
      <c r="Y288" s="103">
        <f t="shared" si="38"/>
        <v>0</v>
      </c>
      <c r="Z288" s="123">
        <f t="shared" si="37"/>
        <v>0</v>
      </c>
      <c r="AA288" s="124">
        <f t="shared" si="39"/>
        <v>0</v>
      </c>
      <c r="AB288" s="8"/>
      <c r="AC288" s="8"/>
      <c r="AD288" s="31"/>
      <c r="AE288" s="31"/>
    </row>
    <row r="290" spans="1:27" ht="15" thickBot="1" x14ac:dyDescent="0.25"/>
    <row r="291" spans="1:27" ht="15" x14ac:dyDescent="0.25">
      <c r="A291" s="136" t="s">
        <v>701</v>
      </c>
      <c r="B291" s="221" t="s">
        <v>601</v>
      </c>
      <c r="C291" s="221" t="s">
        <v>582</v>
      </c>
      <c r="D291" s="221" t="s">
        <v>583</v>
      </c>
      <c r="E291" s="246" t="s">
        <v>624</v>
      </c>
      <c r="F291" s="244"/>
      <c r="G291" s="246" t="s">
        <v>623</v>
      </c>
      <c r="H291" s="244"/>
      <c r="I291" s="247" t="s">
        <v>618</v>
      </c>
      <c r="J291" s="248"/>
      <c r="K291" s="246" t="s">
        <v>584</v>
      </c>
      <c r="L291" s="244"/>
      <c r="M291" s="221" t="s">
        <v>585</v>
      </c>
      <c r="N291" s="221" t="s">
        <v>594</v>
      </c>
      <c r="O291" s="221" t="s">
        <v>599</v>
      </c>
      <c r="P291" s="249" t="s">
        <v>705</v>
      </c>
      <c r="Q291" s="250"/>
      <c r="R291" s="251" t="s">
        <v>704</v>
      </c>
      <c r="S291" s="251"/>
      <c r="T291" s="243" t="s">
        <v>703</v>
      </c>
      <c r="U291" s="243"/>
      <c r="V291" s="246" t="s">
        <v>617</v>
      </c>
      <c r="W291" s="244"/>
      <c r="X291" s="243" t="s">
        <v>621</v>
      </c>
      <c r="Y291" s="243"/>
      <c r="Z291" s="244" t="s">
        <v>759</v>
      </c>
      <c r="AA291" s="245"/>
    </row>
    <row r="292" spans="1:27" x14ac:dyDescent="0.2">
      <c r="A292" s="90"/>
      <c r="B292" s="91" t="s">
        <v>49</v>
      </c>
      <c r="C292" s="91" t="s">
        <v>586</v>
      </c>
      <c r="D292" s="91" t="s">
        <v>587</v>
      </c>
      <c r="E292" s="91" t="s">
        <v>588</v>
      </c>
      <c r="F292" s="91" t="s">
        <v>589</v>
      </c>
      <c r="G292" s="91" t="s">
        <v>588</v>
      </c>
      <c r="H292" s="91" t="s">
        <v>589</v>
      </c>
      <c r="I292" s="91" t="s">
        <v>588</v>
      </c>
      <c r="J292" s="91" t="s">
        <v>589</v>
      </c>
      <c r="K292" s="91" t="s">
        <v>588</v>
      </c>
      <c r="L292" s="91" t="s">
        <v>589</v>
      </c>
      <c r="M292" s="91"/>
      <c r="N292" s="91" t="s">
        <v>602</v>
      </c>
      <c r="O292" s="91" t="s">
        <v>600</v>
      </c>
      <c r="P292" s="91" t="s">
        <v>588</v>
      </c>
      <c r="Q292" s="91" t="s">
        <v>589</v>
      </c>
      <c r="R292" s="91" t="s">
        <v>588</v>
      </c>
      <c r="S292" s="91" t="s">
        <v>589</v>
      </c>
      <c r="T292" s="91" t="s">
        <v>588</v>
      </c>
      <c r="U292" s="91" t="s">
        <v>589</v>
      </c>
      <c r="V292" s="91" t="s">
        <v>588</v>
      </c>
      <c r="W292" s="91" t="s">
        <v>589</v>
      </c>
      <c r="X292" s="91" t="s">
        <v>588</v>
      </c>
      <c r="Y292" s="118" t="s">
        <v>589</v>
      </c>
      <c r="Z292" s="91" t="s">
        <v>588</v>
      </c>
      <c r="AA292" s="92" t="s">
        <v>589</v>
      </c>
    </row>
    <row r="293" spans="1:27" ht="18.75" x14ac:dyDescent="0.2">
      <c r="A293" s="100"/>
      <c r="B293" s="94" t="s">
        <v>7</v>
      </c>
      <c r="C293" s="94" t="s">
        <v>590</v>
      </c>
      <c r="D293" s="94" t="s">
        <v>0</v>
      </c>
      <c r="E293" s="94" t="s">
        <v>0</v>
      </c>
      <c r="F293" s="94" t="s">
        <v>0</v>
      </c>
      <c r="G293" s="94" t="s">
        <v>622</v>
      </c>
      <c r="H293" s="94" t="s">
        <v>622</v>
      </c>
      <c r="I293" s="126" t="s">
        <v>121</v>
      </c>
      <c r="J293" s="94" t="s">
        <v>121</v>
      </c>
      <c r="K293" s="94" t="s">
        <v>0</v>
      </c>
      <c r="L293" s="94" t="s">
        <v>0</v>
      </c>
      <c r="M293" s="94"/>
      <c r="N293" s="127" t="s">
        <v>107</v>
      </c>
      <c r="O293" s="94" t="s">
        <v>6</v>
      </c>
      <c r="P293" s="94"/>
      <c r="Q293" s="94"/>
      <c r="R293" s="94"/>
      <c r="S293" s="94"/>
      <c r="T293" s="127" t="s">
        <v>702</v>
      </c>
      <c r="U293" s="127" t="s">
        <v>702</v>
      </c>
      <c r="V293" s="94" t="s">
        <v>121</v>
      </c>
      <c r="W293" s="94" t="s">
        <v>121</v>
      </c>
      <c r="X293" s="94" t="s">
        <v>7</v>
      </c>
      <c r="Y293" s="119" t="s">
        <v>7</v>
      </c>
      <c r="Z293" s="94" t="s">
        <v>622</v>
      </c>
      <c r="AA293" s="98" t="s">
        <v>622</v>
      </c>
    </row>
    <row r="294" spans="1:27" x14ac:dyDescent="0.2">
      <c r="A294" s="115" t="str">
        <f>$A$1</f>
        <v>Pole</v>
      </c>
      <c r="B294" s="95">
        <f>C35</f>
        <v>302.26242154617563</v>
      </c>
      <c r="C294" s="94" t="s">
        <v>183</v>
      </c>
      <c r="D294" s="113">
        <f>$C$21</f>
        <v>13.220338983050846</v>
      </c>
      <c r="E294" s="158">
        <v>0</v>
      </c>
      <c r="F294" s="113">
        <f>C19</f>
        <v>0</v>
      </c>
      <c r="G294" s="109">
        <f t="shared" ref="G294:G303" si="41">$B294*E294</f>
        <v>0</v>
      </c>
      <c r="H294" s="109">
        <f t="shared" ref="H294:H303" si="42">$B294*F294</f>
        <v>0</v>
      </c>
      <c r="I294" s="111">
        <f>C18-2.77</f>
        <v>11.98</v>
      </c>
      <c r="J294" s="113">
        <f>C18</f>
        <v>14.75</v>
      </c>
      <c r="K294" s="113">
        <f>C10</f>
        <v>0.66666666666666663</v>
      </c>
      <c r="L294" s="113">
        <f>C10</f>
        <v>0.66666666666666663</v>
      </c>
      <c r="M294" s="94" t="s">
        <v>592</v>
      </c>
      <c r="N294" s="106">
        <f t="shared" ref="N294:N303" si="43">MAX(2.01*(D294/$S$16)^(2/$S$17),$S$18)</f>
        <v>0.85</v>
      </c>
      <c r="O294" s="106">
        <f t="shared" ref="O294:O303" si="44">0.00256*N294*$S$21*$S$22*$S$23^2*$S$26</f>
        <v>14.93552</v>
      </c>
      <c r="P294" s="106">
        <f>C2/C10</f>
        <v>45</v>
      </c>
      <c r="Q294" s="106">
        <f>C2/C10</f>
        <v>45</v>
      </c>
      <c r="R294" s="108">
        <f t="shared" ref="R294:S296" si="45">SQRT($S$26*$S$21*$N294)*$S$23*K294</f>
        <v>52.244085257993028</v>
      </c>
      <c r="S294" s="108">
        <f t="shared" si="45"/>
        <v>52.244085257993028</v>
      </c>
      <c r="T294" s="110">
        <v>1.2</v>
      </c>
      <c r="U294" s="110">
        <v>1.2</v>
      </c>
      <c r="V294" s="106">
        <f>I294*T294</f>
        <v>14.375999999999999</v>
      </c>
      <c r="W294" s="106">
        <f>J294*U294</f>
        <v>17.7</v>
      </c>
      <c r="X294" s="102">
        <f>V294*$O294</f>
        <v>214.71303552000001</v>
      </c>
      <c r="Y294" s="102">
        <f>W294*$O294</f>
        <v>264.35870399999999</v>
      </c>
      <c r="Z294" s="121">
        <f>X294*$D294</f>
        <v>2838.5791136542371</v>
      </c>
      <c r="AA294" s="122">
        <f>Y294*$D294</f>
        <v>3494.9116799999993</v>
      </c>
    </row>
    <row r="295" spans="1:27" x14ac:dyDescent="0.2">
      <c r="A295" s="114" t="str">
        <f>$A$65</f>
        <v>Luminaire</v>
      </c>
      <c r="B295" s="106">
        <f>C78</f>
        <v>30.250000000000004</v>
      </c>
      <c r="C295" s="91" t="s">
        <v>183</v>
      </c>
      <c r="D295" s="109">
        <f>$C$76</f>
        <v>31.583333333333332</v>
      </c>
      <c r="E295" s="157">
        <v>0</v>
      </c>
      <c r="F295" s="109">
        <f>C74</f>
        <v>9.3791666666666664</v>
      </c>
      <c r="G295" s="109">
        <f t="shared" si="41"/>
        <v>0</v>
      </c>
      <c r="H295" s="109">
        <f t="shared" si="42"/>
        <v>283.71979166666671</v>
      </c>
      <c r="I295" s="109">
        <f>C72</f>
        <v>1.0803472222222221</v>
      </c>
      <c r="J295" s="109">
        <f>C68*C70</f>
        <v>0.34597222222222218</v>
      </c>
      <c r="K295" s="109">
        <f>C68</f>
        <v>0.8833333333333333</v>
      </c>
      <c r="L295" s="109">
        <f>C66</f>
        <v>2.7583333333333333</v>
      </c>
      <c r="M295" s="91" t="s">
        <v>591</v>
      </c>
      <c r="N295" s="106">
        <f t="shared" si="43"/>
        <v>0.99294599120745508</v>
      </c>
      <c r="O295" s="106">
        <f t="shared" si="44"/>
        <v>17.447252600704434</v>
      </c>
      <c r="P295" s="106">
        <f>C66/C70</f>
        <v>7.042553191489362</v>
      </c>
      <c r="Q295" s="106">
        <f>C68/C70</f>
        <v>2.2553191489361701</v>
      </c>
      <c r="R295" s="108">
        <f t="shared" si="45"/>
        <v>74.818045422814279</v>
      </c>
      <c r="S295" s="108">
        <f t="shared" si="45"/>
        <v>233.62993429199554</v>
      </c>
      <c r="T295" s="109">
        <f>IF(P295&gt;$R$305,$R$306,IF(P295&lt;$P$305,$P$306,IF(P295&gt;$Q$305,$Q$306+(P295-$Q$305)/($R$305-$Q$305)*($R$306-$Q$306),$P$306+(P295-$P$305)/($Q$305-$P$305)*($Q$306-$P$306))))</f>
        <v>1.4014184397163121</v>
      </c>
      <c r="U295" s="109">
        <f>IF(Q295&gt;$R$305,$R$306,IF(Q295&lt;$P$305,$P$306,IF(Q295&gt;$Q$305,$Q$306+(Q295-$Q$305)/($R$305-$Q$305)*($R$306-$Q$306),$P$306+(Q295-$P$305)/($Q$305-$P$305)*($Q$306-$P$306))))</f>
        <v>1.2</v>
      </c>
      <c r="V295" s="106">
        <f>I295*T295</f>
        <v>1.5140185185185184</v>
      </c>
      <c r="W295" s="106">
        <f>J295*U295</f>
        <v>0.41516666666666663</v>
      </c>
      <c r="X295" s="102">
        <f>V295*$O295</f>
        <v>26.415463534736894</v>
      </c>
      <c r="Y295" s="102">
        <f>W295*$O295</f>
        <v>7.2435177047257904</v>
      </c>
      <c r="Z295" s="121">
        <f>X295*$D295</f>
        <v>834.28838997210687</v>
      </c>
      <c r="AA295" s="122">
        <f>Y295*$D295</f>
        <v>228.77443417425621</v>
      </c>
    </row>
    <row r="296" spans="1:27" x14ac:dyDescent="0.2">
      <c r="A296" s="114" t="str">
        <f>$A$37</f>
        <v>Mast Arm</v>
      </c>
      <c r="B296" s="106">
        <f>C63</f>
        <v>42.226163986352546</v>
      </c>
      <c r="C296" s="91" t="s">
        <v>183</v>
      </c>
      <c r="D296" s="112">
        <f>$C$53</f>
        <v>30.959999999999997</v>
      </c>
      <c r="E296" s="157">
        <v>0</v>
      </c>
      <c r="F296" s="109">
        <f>C51</f>
        <v>4</v>
      </c>
      <c r="G296" s="109">
        <f t="shared" si="41"/>
        <v>0</v>
      </c>
      <c r="H296" s="109">
        <f t="shared" si="42"/>
        <v>168.90465594541018</v>
      </c>
      <c r="I296" s="109">
        <f>C48</f>
        <v>1.9395250000000002</v>
      </c>
      <c r="J296" s="109">
        <f>C50</f>
        <v>1.7327604166666668</v>
      </c>
      <c r="K296" s="109">
        <f>C42</f>
        <v>0.19791666666666666</v>
      </c>
      <c r="L296" s="109">
        <f>C42</f>
        <v>0.19791666666666666</v>
      </c>
      <c r="M296" s="91" t="s">
        <v>593</v>
      </c>
      <c r="N296" s="106">
        <f t="shared" si="43"/>
        <v>0.98878779694233587</v>
      </c>
      <c r="O296" s="106">
        <f t="shared" si="44"/>
        <v>17.374188137633173</v>
      </c>
      <c r="P296" s="106">
        <f>C38/C42</f>
        <v>44.235789473684214</v>
      </c>
      <c r="Q296" s="106">
        <f>C42/C42</f>
        <v>1</v>
      </c>
      <c r="R296" s="108">
        <f t="shared" si="45"/>
        <v>16.728339836872884</v>
      </c>
      <c r="S296" s="108">
        <f t="shared" si="45"/>
        <v>16.728339836872884</v>
      </c>
      <c r="T296" s="93">
        <v>1.2</v>
      </c>
      <c r="U296" s="93">
        <v>0.7</v>
      </c>
      <c r="V296" s="106">
        <f t="shared" ref="V296:W303" si="46">I296*T296</f>
        <v>2.3274300000000001</v>
      </c>
      <c r="W296" s="106">
        <f t="shared" si="46"/>
        <v>1.2129322916666667</v>
      </c>
      <c r="X296" s="102">
        <f t="shared" ref="X296:X303" si="47">V296*$O296</f>
        <v>40.437206697171575</v>
      </c>
      <c r="Y296" s="102">
        <f t="shared" ref="Y296:Y303" si="48">W296*$O296</f>
        <v>21.07371383362722</v>
      </c>
      <c r="Z296" s="121">
        <f t="shared" ref="Z296:Z303" si="49">X296*$D296</f>
        <v>1251.9359193444318</v>
      </c>
      <c r="AA296" s="122">
        <f>$C$55*$Y296</f>
        <v>301.52972210281609</v>
      </c>
    </row>
    <row r="297" spans="1:27" x14ac:dyDescent="0.2">
      <c r="A297" s="116" t="str">
        <f>$A$159</f>
        <v>Radio/Antenna (2)</v>
      </c>
      <c r="B297" s="120">
        <f>$C$168</f>
        <v>50</v>
      </c>
      <c r="C297" s="91" t="s">
        <v>3</v>
      </c>
      <c r="D297" s="109">
        <f>$C$174</f>
        <v>25.375</v>
      </c>
      <c r="E297" s="109">
        <v>0</v>
      </c>
      <c r="F297" s="109">
        <f>$C$172</f>
        <v>0.72697916666666662</v>
      </c>
      <c r="G297" s="109">
        <f t="shared" si="41"/>
        <v>0</v>
      </c>
      <c r="H297" s="109">
        <f t="shared" si="42"/>
        <v>36.348958333333329</v>
      </c>
      <c r="I297" s="109">
        <f>IF(D297=0,0,$C$169)</f>
        <v>1.2148101902594866</v>
      </c>
      <c r="J297" s="109">
        <f>IF(D297=0,0,$C$170)</f>
        <v>1.3749463044151784</v>
      </c>
      <c r="K297" s="109">
        <f>$C$165</f>
        <v>0.66666666666666663</v>
      </c>
      <c r="L297" s="109">
        <f>$C$163</f>
        <v>0.41666666666666669</v>
      </c>
      <c r="M297" s="91" t="s">
        <v>591</v>
      </c>
      <c r="N297" s="106">
        <f t="shared" si="43"/>
        <v>0.94823219728985098</v>
      </c>
      <c r="O297" s="106">
        <f t="shared" si="44"/>
        <v>16.66157758501943</v>
      </c>
      <c r="P297" s="106">
        <f>$C$167/$C$163</f>
        <v>4.2</v>
      </c>
      <c r="Q297" s="106">
        <f>$C$165/$C$167</f>
        <v>0.38095238095238093</v>
      </c>
      <c r="R297" s="108">
        <f>$M$7*$M$5*K297</f>
        <v>56.666666666666664</v>
      </c>
      <c r="S297" s="108">
        <f>$M$7*$M$5*L297</f>
        <v>35.416666666666671</v>
      </c>
      <c r="T297" s="93">
        <v>1.3</v>
      </c>
      <c r="U297" s="93">
        <v>1.2</v>
      </c>
      <c r="V297" s="106">
        <f>I297*T297</f>
        <v>1.5792532473373326</v>
      </c>
      <c r="W297" s="106">
        <f>J297*U297</f>
        <v>1.6499355652982139</v>
      </c>
      <c r="X297" s="102">
        <f>V297*$O297</f>
        <v>26.312850506904848</v>
      </c>
      <c r="Y297" s="102">
        <f t="shared" si="48"/>
        <v>27.490529431499084</v>
      </c>
      <c r="Z297" s="121">
        <f t="shared" si="49"/>
        <v>667.68858161271055</v>
      </c>
      <c r="AA297" s="122">
        <f t="shared" ref="AA297:AA303" si="50">Y297*$D297</f>
        <v>697.57218432428931</v>
      </c>
    </row>
    <row r="298" spans="1:27" x14ac:dyDescent="0.2">
      <c r="A298" s="116" t="str">
        <f>$A$179</f>
        <v>Radio/Antenna (3)</v>
      </c>
      <c r="B298" s="120">
        <f>$C$188</f>
        <v>50</v>
      </c>
      <c r="C298" s="91" t="s">
        <v>3</v>
      </c>
      <c r="D298" s="8">
        <f>$C$194</f>
        <v>25.375</v>
      </c>
      <c r="E298" s="109">
        <f>$C$192</f>
        <v>0.72697916666666662</v>
      </c>
      <c r="F298" s="109">
        <v>0</v>
      </c>
      <c r="G298" s="109">
        <f t="shared" si="41"/>
        <v>36.348958333333329</v>
      </c>
      <c r="H298" s="109">
        <f t="shared" si="42"/>
        <v>0</v>
      </c>
      <c r="I298" s="109">
        <f>IF(D298=0,0,$C$189)</f>
        <v>1.2148101902594866</v>
      </c>
      <c r="J298" s="109">
        <f>IF(D298=0,0,$C$190)</f>
        <v>1.3749463044151784</v>
      </c>
      <c r="K298" s="109">
        <f>$C$183</f>
        <v>0.41666666666666669</v>
      </c>
      <c r="L298" s="109">
        <f>$C$185</f>
        <v>0.66666666666666663</v>
      </c>
      <c r="M298" s="91" t="s">
        <v>591</v>
      </c>
      <c r="N298" s="106">
        <f t="shared" si="43"/>
        <v>0.94823219728985098</v>
      </c>
      <c r="O298" s="106">
        <f t="shared" si="44"/>
        <v>16.66157758501943</v>
      </c>
      <c r="P298" s="106">
        <f>$C$185/$C$187</f>
        <v>0.38095238095238093</v>
      </c>
      <c r="Q298" s="106">
        <f>$C$187/$C$183</f>
        <v>4.2</v>
      </c>
      <c r="R298" s="108">
        <f>$M$7*$M$5*K298</f>
        <v>35.416666666666671</v>
      </c>
      <c r="S298" s="108">
        <f>$M$7*$M$5*L298</f>
        <v>56.666666666666664</v>
      </c>
      <c r="T298" s="93">
        <v>1.2</v>
      </c>
      <c r="U298" s="93">
        <v>1.3</v>
      </c>
      <c r="V298" s="106">
        <f>I298*T298</f>
        <v>1.4577722283113839</v>
      </c>
      <c r="W298" s="106">
        <f>J298*U298</f>
        <v>1.7874301957397321</v>
      </c>
      <c r="X298" s="102">
        <f>V298*$O298</f>
        <v>24.28878508329678</v>
      </c>
      <c r="Y298" s="102">
        <f t="shared" si="48"/>
        <v>29.78140688412401</v>
      </c>
      <c r="Z298" s="121">
        <f t="shared" si="49"/>
        <v>616.32792148865576</v>
      </c>
      <c r="AA298" s="122">
        <f t="shared" si="50"/>
        <v>755.70319968464673</v>
      </c>
    </row>
    <row r="299" spans="1:27" x14ac:dyDescent="0.2">
      <c r="A299" s="116" t="str">
        <f>$A$197</f>
        <v>Sign (bottom)</v>
      </c>
      <c r="B299" s="120">
        <f>C206</f>
        <v>12.463750000000001</v>
      </c>
      <c r="C299" s="91" t="s">
        <v>183</v>
      </c>
      <c r="D299" s="109">
        <f>$C$212</f>
        <v>9.4583333333333339</v>
      </c>
      <c r="E299" s="157">
        <v>0</v>
      </c>
      <c r="F299" s="109">
        <f>C210</f>
        <v>1.4031597222222221</v>
      </c>
      <c r="G299" s="109">
        <f t="shared" si="41"/>
        <v>0</v>
      </c>
      <c r="H299" s="109">
        <f t="shared" si="42"/>
        <v>17.488631987847221</v>
      </c>
      <c r="I299" s="109">
        <f>IF(D299=0,0,$C$203*$C$205)</f>
        <v>11.0625</v>
      </c>
      <c r="J299" s="109">
        <f>IF(D299=0,0,$C$201*$C$205)</f>
        <v>3.2777777777777781E-2</v>
      </c>
      <c r="K299" s="109">
        <f>C201</f>
        <v>6.6666666666666671E-3</v>
      </c>
      <c r="L299" s="109">
        <f>C203</f>
        <v>2.25</v>
      </c>
      <c r="M299" s="91" t="s">
        <v>591</v>
      </c>
      <c r="N299" s="106">
        <f t="shared" si="43"/>
        <v>0.85</v>
      </c>
      <c r="O299" s="106">
        <f t="shared" si="44"/>
        <v>14.93552</v>
      </c>
      <c r="P299" s="106">
        <f>IF(C203=0,0,C205/C203)</f>
        <v>2.1851851851851851</v>
      </c>
      <c r="Q299" s="106">
        <f>IF(C201=0,0,C205/C201)</f>
        <v>737.5</v>
      </c>
      <c r="R299" s="108">
        <f t="shared" ref="R299:S303" si="51">SQRT($S$26*$S$21*$N299)*$S$23*K299</f>
        <v>0.52244085257993034</v>
      </c>
      <c r="S299" s="108">
        <f t="shared" si="51"/>
        <v>176.32378774572646</v>
      </c>
      <c r="T299" s="109">
        <f>IF(P299&gt;$R$305,$R$306,IF(P299&lt;$P$305,$P$306,IF(P299&gt;$Q$305,$Q$306+(P299-$Q$305)/($R$305-$Q$305)*($R$306-$Q$306),$P$306+(P299-$P$305)/($Q$305-$P$305)*($Q$306-$P$306))))</f>
        <v>1.2</v>
      </c>
      <c r="U299" s="109">
        <f>IF(Q299&gt;$R$305,$R$306,IF(Q299&lt;$P$305,$P$306,IF(Q299&gt;$Q$305,$Q$306+(Q299-$Q$305)/($R$305-$Q$305)*($R$306-$Q$306),$P$306+(Q299-$P$305)/($Q$305-$P$305)*($Q$306-$P$306))))</f>
        <v>2</v>
      </c>
      <c r="V299" s="106">
        <f t="shared" si="46"/>
        <v>13.275</v>
      </c>
      <c r="W299" s="106">
        <f t="shared" si="46"/>
        <v>6.5555555555555561E-2</v>
      </c>
      <c r="X299" s="102">
        <f t="shared" si="47"/>
        <v>198.26902800000002</v>
      </c>
      <c r="Y299" s="102">
        <f t="shared" si="48"/>
        <v>0.97910631111111124</v>
      </c>
      <c r="Z299" s="121">
        <f t="shared" si="49"/>
        <v>1875.2945565000002</v>
      </c>
      <c r="AA299" s="122">
        <f t="shared" si="50"/>
        <v>9.2607138592592602</v>
      </c>
    </row>
    <row r="300" spans="1:27" x14ac:dyDescent="0.2">
      <c r="A300" s="114" t="str">
        <f>$A$80</f>
        <v>Sign (banner)</v>
      </c>
      <c r="B300" s="106">
        <f>IF($Q$311="yes",C96,0)</f>
        <v>2.9166666666666665</v>
      </c>
      <c r="C300" s="91" t="s">
        <v>3</v>
      </c>
      <c r="D300" s="109">
        <f>$C$88</f>
        <v>7</v>
      </c>
      <c r="E300" s="157">
        <v>0</v>
      </c>
      <c r="F300" s="109">
        <f>C85</f>
        <v>7.5</v>
      </c>
      <c r="G300" s="109">
        <f t="shared" si="41"/>
        <v>0</v>
      </c>
      <c r="H300" s="109">
        <f t="shared" si="42"/>
        <v>21.875</v>
      </c>
      <c r="I300" s="109">
        <f>IF(D300=0,0,$C$82)</f>
        <v>193</v>
      </c>
      <c r="J300" s="109">
        <f>IF(D300=0,0,$C$82)</f>
        <v>193</v>
      </c>
      <c r="K300" s="109">
        <f>C84</f>
        <v>8.3333333333333339E-4</v>
      </c>
      <c r="L300" s="109">
        <f>C84</f>
        <v>8.3333333333333339E-4</v>
      </c>
      <c r="M300" s="91" t="s">
        <v>593</v>
      </c>
      <c r="N300" s="106">
        <f t="shared" si="43"/>
        <v>0.85</v>
      </c>
      <c r="O300" s="106">
        <f t="shared" si="44"/>
        <v>14.93552</v>
      </c>
      <c r="P300" s="106">
        <f>IF(C83=0,0,64.38/C83)</f>
        <v>6437.9999999999991</v>
      </c>
      <c r="Q300" s="106">
        <f>IF(C83=0,0,64.38/C83)</f>
        <v>6437.9999999999991</v>
      </c>
      <c r="R300" s="108">
        <f t="shared" si="51"/>
        <v>6.5305106572491292E-2</v>
      </c>
      <c r="S300" s="108">
        <f t="shared" si="51"/>
        <v>6.5305106572491292E-2</v>
      </c>
      <c r="T300" s="109">
        <f>IF(P300&gt;$R$305,$R$309,IF(P300&lt;$P$305,$P$309,IF(P300&gt;$Q$305,$Q$309+(P300-$Q$305)/($R$305-$Q$305)*($R$309-$Q$309),$P$309+(P300-$P$305)/($Q$305-$P$305)*($Q$309-$P$309))))</f>
        <v>0.6</v>
      </c>
      <c r="U300" s="109">
        <f>IF(Q300&gt;$R$305,$R$309,IF(Q300&lt;$P$305,$P$309,IF(Q300&gt;$Q$305,$Q$309+(Q300-$Q$305)/($R$305-$Q$305)*($R$309-$Q$309),$P$309+(Q300-$P$305)/($Q$305-$P$305)*($Q$309-$P$309))))</f>
        <v>0.6</v>
      </c>
      <c r="V300" s="106">
        <f t="shared" si="46"/>
        <v>115.8</v>
      </c>
      <c r="W300" s="106">
        <f t="shared" si="46"/>
        <v>115.8</v>
      </c>
      <c r="X300" s="102">
        <f t="shared" si="47"/>
        <v>1729.533216</v>
      </c>
      <c r="Y300" s="102">
        <f t="shared" si="48"/>
        <v>1729.533216</v>
      </c>
      <c r="Z300" s="121">
        <f t="shared" si="49"/>
        <v>12106.732512</v>
      </c>
      <c r="AA300" s="122">
        <f t="shared" si="50"/>
        <v>12106.732512</v>
      </c>
    </row>
    <row r="301" spans="1:27" x14ac:dyDescent="0.2">
      <c r="A301" s="114" t="str">
        <f>$A$98</f>
        <v>Smart Meter</v>
      </c>
      <c r="B301" s="106">
        <f>IF($Q$311="yes",C107,0)</f>
        <v>5</v>
      </c>
      <c r="C301" s="91" t="s">
        <v>3</v>
      </c>
      <c r="D301" s="109">
        <f>$C$113</f>
        <v>10.125</v>
      </c>
      <c r="E301" s="109">
        <f>$C$111</f>
        <v>0.4617708333333333</v>
      </c>
      <c r="F301" s="109">
        <v>0</v>
      </c>
      <c r="G301" s="109">
        <f t="shared" si="41"/>
        <v>2.3088541666666664</v>
      </c>
      <c r="H301" s="109">
        <f t="shared" si="42"/>
        <v>0</v>
      </c>
      <c r="I301" s="109">
        <f>IF(D301=0,0,$C$111*$C$113)</f>
        <v>4.6754296874999994</v>
      </c>
      <c r="J301" s="109">
        <f>IF(D301=0,0,$C$111*$C$113)</f>
        <v>4.6754296874999994</v>
      </c>
      <c r="K301" s="109">
        <f>C111</f>
        <v>0.4617708333333333</v>
      </c>
      <c r="L301" s="109">
        <f>C111</f>
        <v>0.4617708333333333</v>
      </c>
      <c r="M301" s="91" t="s">
        <v>593</v>
      </c>
      <c r="N301" s="106">
        <f t="shared" si="43"/>
        <v>0.85</v>
      </c>
      <c r="O301" s="106">
        <f t="shared" si="44"/>
        <v>14.93552</v>
      </c>
      <c r="P301" s="106">
        <f>C113/C111</f>
        <v>21.926460636138057</v>
      </c>
      <c r="Q301" s="106">
        <f>C113/C111</f>
        <v>21.926460636138057</v>
      </c>
      <c r="R301" s="108">
        <f t="shared" si="51"/>
        <v>36.187192179481734</v>
      </c>
      <c r="S301" s="108">
        <f t="shared" si="51"/>
        <v>36.187192179481734</v>
      </c>
      <c r="T301" s="109">
        <f>IF(P301&gt;$R$305,38.4/R301,IF(P301&lt;$P$305,3.76/R301^0.485,IF(P301&gt;$Q$305,3.37/R301^0.415+(P301-$Q$305)/($R$305-$Q$305)*(38.4/R301-3.37/R301^0.415),3.76/R301^0.485+(P301-$P$305)/($Q$305-$P$305)*(3.37/R301^0.415-3.76/R301^0.485))))</f>
        <v>1.0097318758289431</v>
      </c>
      <c r="U301" s="109">
        <f>IF(Q301&gt;$R$305,38.4/S301,IF(Q301&lt;$P$305,3.76/S301^0.485,IF(Q301&gt;$Q$305,3.37/S301^0.415+(Q301-$Q$305)/($R$305-$Q$305)*(38.4/S301-3.37/S301^0.415),3.76/S301^0.485+(Q301-$P$305)/($Q$305-$P$305)*(3.37/S301^0.415-3.76/S301^0.485))))</f>
        <v>1.0097318758289431</v>
      </c>
      <c r="V301" s="106">
        <f t="shared" si="46"/>
        <v>4.7209303886657032</v>
      </c>
      <c r="W301" s="106">
        <f t="shared" si="46"/>
        <v>4.7209303886657032</v>
      </c>
      <c r="X301" s="102">
        <f t="shared" si="47"/>
        <v>70.509550238524383</v>
      </c>
      <c r="Y301" s="102">
        <f t="shared" si="48"/>
        <v>70.509550238524383</v>
      </c>
      <c r="Z301" s="121">
        <f t="shared" si="49"/>
        <v>713.90919616505937</v>
      </c>
      <c r="AA301" s="122">
        <f t="shared" si="50"/>
        <v>713.90919616505937</v>
      </c>
    </row>
    <row r="302" spans="1:27" x14ac:dyDescent="0.2">
      <c r="A302" s="114" t="str">
        <f>$A$116</f>
        <v>Radio/Antenna (1)</v>
      </c>
      <c r="B302" s="106">
        <f>IF($Q$311="yes",C131,0)</f>
        <v>50</v>
      </c>
      <c r="C302" s="91" t="s">
        <v>3</v>
      </c>
      <c r="D302" s="109">
        <f>$C$137</f>
        <v>25.375</v>
      </c>
      <c r="E302" s="109">
        <f>C135</f>
        <v>0.72697916666666662</v>
      </c>
      <c r="F302" s="109">
        <v>0</v>
      </c>
      <c r="G302" s="109">
        <f t="shared" si="41"/>
        <v>36.348958333333329</v>
      </c>
      <c r="H302" s="109">
        <f t="shared" si="42"/>
        <v>0</v>
      </c>
      <c r="I302" s="109">
        <f>IF(D302=0,0,$C$128*$C$130)</f>
        <v>1.1666666666666665</v>
      </c>
      <c r="J302" s="109">
        <f>IF(D302=0,0,$C$126*$C$130)</f>
        <v>0.72916666666666674</v>
      </c>
      <c r="K302" s="109">
        <f>C126</f>
        <v>0.41666666666666669</v>
      </c>
      <c r="L302" s="109">
        <f>C128</f>
        <v>0.66666666666666663</v>
      </c>
      <c r="M302" s="91" t="s">
        <v>591</v>
      </c>
      <c r="N302" s="106">
        <f t="shared" si="43"/>
        <v>0.94823219728985098</v>
      </c>
      <c r="O302" s="106">
        <f t="shared" si="44"/>
        <v>16.66157758501943</v>
      </c>
      <c r="P302" s="106">
        <f>C130/C128</f>
        <v>2.625</v>
      </c>
      <c r="Q302" s="106">
        <f>C130/C126</f>
        <v>4.2</v>
      </c>
      <c r="R302" s="108">
        <f t="shared" si="51"/>
        <v>34.487763594445845</v>
      </c>
      <c r="S302" s="108">
        <f t="shared" si="51"/>
        <v>55.180421751113343</v>
      </c>
      <c r="T302" s="109">
        <f>IF(P302&gt;$R$305,$R$306,IF(P302&lt;$P$305,$P$306,IF(P302&gt;$Q$305,$Q$306+(P302-$Q$305)/($R$305-$Q$305)*($R$306-$Q$306),$P$306+(P302-$P$305)/($Q$305-$P$305)*($Q$306-$P$306))))</f>
        <v>1.2055555555555555</v>
      </c>
      <c r="U302" s="109">
        <f>IF(Q302&gt;$R$305,$R$306,IF(Q302&lt;$P$305,$P$306,IF(Q302&gt;$Q$305,$Q$306+(Q302-$Q$305)/($R$305-$Q$305)*($R$306-$Q$306),$P$306+(Q302-$P$305)/($Q$305-$P$305)*($Q$306-$P$306))))</f>
        <v>1.2755555555555556</v>
      </c>
      <c r="V302" s="106">
        <f t="shared" si="46"/>
        <v>1.4064814814814812</v>
      </c>
      <c r="W302" s="106">
        <f t="shared" si="46"/>
        <v>0.93009259259259269</v>
      </c>
      <c r="X302" s="102">
        <f t="shared" si="47"/>
        <v>23.434200325596766</v>
      </c>
      <c r="Y302" s="102">
        <f t="shared" si="48"/>
        <v>15.496809892733351</v>
      </c>
      <c r="Z302" s="121">
        <f t="shared" si="49"/>
        <v>594.64283326201792</v>
      </c>
      <c r="AA302" s="122">
        <f t="shared" si="50"/>
        <v>393.23155102810881</v>
      </c>
    </row>
    <row r="303" spans="1:27" ht="15" thickBot="1" x14ac:dyDescent="0.25">
      <c r="A303" s="117" t="str">
        <f>$A$141</f>
        <v>Disconnect</v>
      </c>
      <c r="B303" s="99">
        <f>IF($Q$311="yes",C150,0)</f>
        <v>6</v>
      </c>
      <c r="C303" s="96" t="s">
        <v>3</v>
      </c>
      <c r="D303" s="105">
        <f>$C$156</f>
        <v>9.5495833333333326</v>
      </c>
      <c r="E303" s="105">
        <f>C154</f>
        <v>0.43387743055555555</v>
      </c>
      <c r="F303" s="105">
        <v>0</v>
      </c>
      <c r="G303" s="105">
        <f t="shared" si="41"/>
        <v>2.6032645833333334</v>
      </c>
      <c r="H303" s="105">
        <f t="shared" si="42"/>
        <v>0</v>
      </c>
      <c r="I303" s="105">
        <f>IF(D303=0,0,$C$147*$C$149)</f>
        <v>0.47894305555555555</v>
      </c>
      <c r="J303" s="105">
        <f>IF(D303=0,0,$C$145*$C$149)</f>
        <v>0.28151041666666665</v>
      </c>
      <c r="K303" s="105">
        <f>C145</f>
        <v>0.3125</v>
      </c>
      <c r="L303" s="105">
        <f>C147</f>
        <v>0.53166666666666662</v>
      </c>
      <c r="M303" s="96" t="s">
        <v>591</v>
      </c>
      <c r="N303" s="99">
        <f t="shared" si="43"/>
        <v>0.85</v>
      </c>
      <c r="O303" s="99">
        <f t="shared" si="44"/>
        <v>14.93552</v>
      </c>
      <c r="P303" s="99">
        <f>C149/C147</f>
        <v>1.69435736677116</v>
      </c>
      <c r="Q303" s="99">
        <f>C149/C145</f>
        <v>2.8826666666666667</v>
      </c>
      <c r="R303" s="101">
        <f t="shared" si="51"/>
        <v>24.489414964684233</v>
      </c>
      <c r="S303" s="101">
        <f t="shared" si="51"/>
        <v>41.664657993249435</v>
      </c>
      <c r="T303" s="105">
        <f>IF(P303&gt;$R$305,$R$306,IF(P303&lt;$P$305,$P$306,IF(P303&gt;$Q$305,$Q$306+(P303-$Q$305)/($R$305-$Q$305)*($R$306-$Q$306),$P$306+(P303-$P$305)/($Q$305-$P$305)*($Q$306-$P$306))))</f>
        <v>1.2</v>
      </c>
      <c r="U303" s="105">
        <f>IF(Q303&gt;$R$305,$R$306,IF(Q303&lt;$P$305,$P$306,IF(Q303&gt;$Q$305,$Q$306+(Q303-$Q$305)/($R$305-$Q$305)*($R$306-$Q$306),$P$306+(Q303-$P$305)/($Q$305-$P$305)*($Q$306-$P$306))))</f>
        <v>1.2170074074074073</v>
      </c>
      <c r="V303" s="99">
        <f t="shared" si="46"/>
        <v>0.57473166666666664</v>
      </c>
      <c r="W303" s="99">
        <f t="shared" si="46"/>
        <v>0.34260026234567897</v>
      </c>
      <c r="X303" s="103">
        <f t="shared" si="47"/>
        <v>8.5839163021333338</v>
      </c>
      <c r="Y303" s="103">
        <f t="shared" si="48"/>
        <v>5.1169130702691357</v>
      </c>
      <c r="Z303" s="123">
        <f t="shared" si="49"/>
        <v>81.97282405358078</v>
      </c>
      <c r="AA303" s="124">
        <f t="shared" si="50"/>
        <v>48.864387773957631</v>
      </c>
    </row>
    <row r="304" spans="1:27" x14ac:dyDescent="0.2">
      <c r="B304" s="8"/>
      <c r="D304" s="7"/>
      <c r="E304" s="7"/>
      <c r="F304" s="7"/>
      <c r="G304" s="7"/>
      <c r="H304" s="7"/>
      <c r="I304" s="7"/>
      <c r="J304" s="7"/>
      <c r="K304" s="7"/>
      <c r="L304" s="7"/>
      <c r="M304" s="3"/>
      <c r="N304" s="8"/>
      <c r="O304" s="8"/>
      <c r="P304" s="10"/>
      <c r="Q304" s="10"/>
      <c r="R304" s="19"/>
      <c r="S304" s="19"/>
      <c r="T304" s="8"/>
      <c r="U304" s="8"/>
      <c r="V304" s="8"/>
      <c r="W304" s="8"/>
      <c r="X304" s="31"/>
      <c r="Y304" s="31"/>
    </row>
    <row r="305" spans="1:19" ht="15" x14ac:dyDescent="0.25">
      <c r="A305" s="1" t="s">
        <v>59</v>
      </c>
      <c r="G305" s="4"/>
      <c r="H305" s="4"/>
      <c r="J305" s="4"/>
      <c r="K305" s="4"/>
      <c r="N305" s="137" t="s">
        <v>708</v>
      </c>
      <c r="O305" s="138"/>
      <c r="P305" s="139">
        <v>2.5</v>
      </c>
      <c r="Q305" s="139">
        <v>7</v>
      </c>
      <c r="R305" s="140">
        <v>25</v>
      </c>
    </row>
    <row r="306" spans="1:19" ht="18.75" x14ac:dyDescent="0.35">
      <c r="A306" s="4" t="s">
        <v>82</v>
      </c>
      <c r="B306" s="2" t="s">
        <v>141</v>
      </c>
      <c r="C306" s="33">
        <f>SUM(B231:B240)</f>
        <v>548.81848136586154</v>
      </c>
      <c r="D306" s="4" t="s">
        <v>7</v>
      </c>
      <c r="G306" s="4"/>
      <c r="J306" s="4"/>
      <c r="K306" s="4"/>
      <c r="N306" s="118" t="s">
        <v>706</v>
      </c>
      <c r="O306" s="138"/>
      <c r="P306" s="141">
        <v>1.2</v>
      </c>
      <c r="Q306" s="141">
        <v>1.4</v>
      </c>
      <c r="R306" s="142">
        <v>2</v>
      </c>
    </row>
    <row r="307" spans="1:19" ht="18.75" x14ac:dyDescent="0.35">
      <c r="A307" s="4" t="s">
        <v>83</v>
      </c>
      <c r="B307" s="2" t="s">
        <v>142</v>
      </c>
      <c r="C307" s="31">
        <f>C306+C226</f>
        <v>3847.490767635144</v>
      </c>
      <c r="D307" s="4" t="s">
        <v>7</v>
      </c>
      <c r="N307" s="252" t="s">
        <v>707</v>
      </c>
      <c r="O307" s="143">
        <v>32</v>
      </c>
      <c r="P307" s="53">
        <v>0.7</v>
      </c>
      <c r="Q307" s="53">
        <v>0.8</v>
      </c>
      <c r="R307" s="144">
        <v>1.2</v>
      </c>
    </row>
    <row r="308" spans="1:19" ht="18.75" x14ac:dyDescent="0.35">
      <c r="A308" s="4" t="s">
        <v>625</v>
      </c>
      <c r="B308" s="2" t="s">
        <v>627</v>
      </c>
      <c r="C308" s="31">
        <f>SUM(G231:G240)</f>
        <v>58.749709071180554</v>
      </c>
      <c r="D308" s="4" t="s">
        <v>622</v>
      </c>
      <c r="N308" s="253"/>
      <c r="O308" s="145" t="s">
        <v>709</v>
      </c>
      <c r="P308" s="8" t="s">
        <v>710</v>
      </c>
      <c r="Q308" s="8" t="s">
        <v>712</v>
      </c>
      <c r="R308" s="146" t="s">
        <v>711</v>
      </c>
    </row>
    <row r="309" spans="1:19" ht="18.75" x14ac:dyDescent="0.35">
      <c r="A309" s="4" t="s">
        <v>266</v>
      </c>
      <c r="B309" s="2" t="s">
        <v>626</v>
      </c>
      <c r="C309" s="33">
        <f>SUM(H231:H240)</f>
        <v>525.64990569222732</v>
      </c>
      <c r="D309" s="4" t="s">
        <v>622</v>
      </c>
      <c r="G309" s="4"/>
      <c r="H309" s="4"/>
      <c r="J309" s="4"/>
      <c r="K309" s="4"/>
      <c r="N309" s="254"/>
      <c r="O309" s="147">
        <v>64</v>
      </c>
      <c r="P309" s="22">
        <v>0.5</v>
      </c>
      <c r="Q309" s="22">
        <v>0.6</v>
      </c>
      <c r="R309" s="148">
        <v>0.6</v>
      </c>
    </row>
    <row r="310" spans="1:19" x14ac:dyDescent="0.2">
      <c r="G310" s="4"/>
      <c r="H310" s="4"/>
      <c r="J310" s="4"/>
      <c r="K310" s="4"/>
    </row>
    <row r="311" spans="1:19" ht="18.75" x14ac:dyDescent="0.35">
      <c r="A311" s="4" t="s">
        <v>50</v>
      </c>
      <c r="B311" s="2" t="s">
        <v>143</v>
      </c>
      <c r="C311" s="33">
        <f>IF($Q$313="AASHTO LTS-6",SUM(X231:X240),IF($Q$313="TIA-222-H",SUM(X294:X303),"ERROR"))</f>
        <v>672.33417882927222</v>
      </c>
      <c r="D311" s="33">
        <f>IF($Q$313="AASHTO LTS-6",SUM(X247:X256),IF($Q$313="TIA-222-H",SUM(X294:X303),"ERROR"))</f>
        <v>655.08051096939096</v>
      </c>
      <c r="E311" s="31">
        <f>IF($Q$313="AASHTO LTS-6",SUM(X263:X272),IF($Q$313="TIA-222-H",SUM(X294:X303),"ERROR"))</f>
        <v>311.4081733057389</v>
      </c>
      <c r="F311" s="31">
        <f>IF($Q$313="AASHTO LTS-6",SUM(X279:X288),IF($Q$313="TIA-222-H",SUM(X294:X303),"ERROR"))</f>
        <v>196.54432021741479</v>
      </c>
      <c r="G311" s="4" t="s">
        <v>7</v>
      </c>
      <c r="H311" s="31"/>
      <c r="J311" s="4"/>
      <c r="K311" s="4"/>
      <c r="P311" s="125" t="s">
        <v>699</v>
      </c>
      <c r="Q311" s="5" t="s">
        <v>700</v>
      </c>
    </row>
    <row r="312" spans="1:19" ht="18.75" x14ac:dyDescent="0.35">
      <c r="A312" s="4" t="s">
        <v>51</v>
      </c>
      <c r="B312" s="2" t="s">
        <v>144</v>
      </c>
      <c r="C312" s="31">
        <f>IF($Q$313="AASHTO LTS-6",SUM(Z231:Z240),IF($Q$313="TIA-222-H",SUM(Z294:Z303),"ERROR"))</f>
        <v>10269.862562380131</v>
      </c>
      <c r="D312" s="31">
        <f>IF($Q$313="AASHTO LTS-6",SUM(Z247:Z256),IF($Q$313="TIA-222-H",SUM(Z294:Z303),"ERROR"))</f>
        <v>5927.3891480791335</v>
      </c>
      <c r="E312" s="31">
        <f>IF($Q$313="AASHTO LTS-6",SUM(Z263:Z272),IF($Q$313="TIA-222-H",SUM(Z294:Z303),"ERROR"))</f>
        <v>5730.5021644805811</v>
      </c>
      <c r="F312" s="31">
        <f>IF($Q$313="AASHTO LTS-6",SUM(Z279:Z288),IF($Q$313="TIA-222-H",SUM(Z294:Z303),"ERROR"))</f>
        <v>1111.584944737898</v>
      </c>
      <c r="G312" s="4" t="s">
        <v>622</v>
      </c>
      <c r="H312" s="31"/>
      <c r="J312" s="4"/>
      <c r="K312" s="4"/>
      <c r="P312" s="125" t="s">
        <v>620</v>
      </c>
      <c r="Q312" s="8">
        <f>(C319*(X231*D231+X232*D232+X233*D233+X234*D234+X235*D235+X236*D236+X237*D237+X238*D238+X239*+D239+X240*D240)+D319*(Y231*D231+Y232*D232+Y233*D233+Y234*D234+Y235*D235+Y236*D236+Y237*D237+Y238*D238+Y239*D239+Y240*D240))/(C319*(X231+X232+X233+X234+X235+X236+X237+X238+X239)+D319*(Y231+Y232+Y233+Y234+Y235+Y236+Y237+Y238+Y239+Y240))</f>
        <v>15.828899553921485</v>
      </c>
      <c r="R312" s="4" t="s">
        <v>0</v>
      </c>
    </row>
    <row r="313" spans="1:19" s="81" customFormat="1" x14ac:dyDescent="0.2">
      <c r="A313" s="4"/>
      <c r="B313" s="2"/>
      <c r="C313" s="3"/>
      <c r="D313" s="3"/>
      <c r="E313" s="4"/>
      <c r="F313" s="4"/>
      <c r="G313" s="4"/>
      <c r="H313" s="4"/>
      <c r="I313" s="4"/>
      <c r="J313" s="4"/>
      <c r="K313" s="4"/>
      <c r="L313" s="4"/>
      <c r="P313" s="130" t="s">
        <v>748</v>
      </c>
      <c r="Q313" s="35" t="s">
        <v>749</v>
      </c>
      <c r="S313" s="130"/>
    </row>
    <row r="314" spans="1:19" ht="18.75" x14ac:dyDescent="0.35">
      <c r="A314" s="4" t="s">
        <v>58</v>
      </c>
      <c r="B314" s="2" t="s">
        <v>145</v>
      </c>
      <c r="C314" s="33">
        <f>Y233*COS(C40)</f>
        <v>37.208788210940796</v>
      </c>
      <c r="D314" s="31">
        <f>Y249*COS(C40)</f>
        <v>37.208788210940796</v>
      </c>
      <c r="E314" s="31">
        <f>Y265*COS(C40)</f>
        <v>37.208788210940796</v>
      </c>
      <c r="F314" s="31">
        <f>Y281*COS(C40)</f>
        <v>37.208788210940796</v>
      </c>
      <c r="G314" s="4" t="s">
        <v>7</v>
      </c>
      <c r="H314" s="31"/>
      <c r="J314" s="4"/>
      <c r="K314" s="4"/>
    </row>
    <row r="315" spans="1:19" s="35" customFormat="1" ht="18.75" x14ac:dyDescent="0.35">
      <c r="A315" s="4" t="s">
        <v>750</v>
      </c>
      <c r="B315" s="2" t="s">
        <v>146</v>
      </c>
      <c r="C315" s="33">
        <f>IF($Q$313="AASHTO LTS-6",Y231+Y232+Y233*SIN($C$40)+Y234+Y235+Y236+Y237+Y238+Y239+Y240,IF($Q$313="TIA-222-H",Y294+Y295+Y296*SIN($C$40)+Y297+Y298+Y299+Y300+Y301+Y302+Y303,"ERROR"))</f>
        <v>529.06108391879081</v>
      </c>
      <c r="D315" s="31">
        <f>IF($Q$313="AASHTO LTS-6",Y247+Y248+Y249*SIN($C$40)+Y250+Y251+Y252+Y253+Y254+Y255+Y256,IF($Q$313="TIA-222-H",Y294+Y295+Y296*SIN($C$40)+Y297+Y298+Y299+Y300+Y301+Y302+Y303,"ERROR"))</f>
        <v>411.77413273760567</v>
      </c>
      <c r="E315" s="31">
        <f>IF($Q$313="AASHTO LTS-6",Y263+Y264+Y265*SIN($C$40)+Y266+Y267+Y268+Y269+Y270+Y271+Y272,IF($Q$313="TIA-222-H",Y294+Y295+Y296*SIN($C$40)+Y297+Y298+Y299+Y300+Y301+Y302+Y303,"ERROR"))</f>
        <v>297.81345591132322</v>
      </c>
      <c r="F315" s="31">
        <f>IF($Q$313="AASHTO LTS-6",Y279+Y280+Y281*SIN($C$40)+Y282+Y283+Y284+Y285+Y286+Y287+Y288,IF($Q$313="TIA-222-H",Y294+Y295+Y296*SIN($C$40)+Y297+Y298+Y299+Y300+Y301+Y302+Y303,"ERROR"))</f>
        <v>158.31381363070489</v>
      </c>
      <c r="G315" s="4" t="s">
        <v>7</v>
      </c>
      <c r="H315" s="31"/>
      <c r="I315" s="4"/>
      <c r="J315" s="2"/>
      <c r="K315" s="3"/>
      <c r="L315" s="4"/>
      <c r="S315" s="130"/>
    </row>
    <row r="316" spans="1:19" ht="18.75" x14ac:dyDescent="0.35">
      <c r="A316" s="4" t="s">
        <v>52</v>
      </c>
      <c r="B316" s="2" t="s">
        <v>147</v>
      </c>
      <c r="C316" s="31">
        <f>IF($Q$313="AASHTO LTS-6",SUM(AA231:AA240),IF($Q$313="TIA-222-H",SUM(AA294:AA303),"ERROR"))</f>
        <v>9153.4741899414348</v>
      </c>
      <c r="D316" s="31">
        <f>IF($Q$313="AASHTO LTS-6",SUM(AA247:AA256),IF($Q$313="TIA-222-H",SUM(AA294:AA303),"ERROR"))</f>
        <v>5758.6757176187066</v>
      </c>
      <c r="E316" s="31">
        <f>IF($Q$313="AASHTO LTS-6",SUM(AA263:AA272),IF($Q$313="TIA-222-H",SUM(AA294:AA303),"ERROR"))</f>
        <v>5458.3459723668711</v>
      </c>
      <c r="F316" s="31">
        <f>IF($Q$313="AASHTO LTS-6",SUM(AA279:AA288),IF($Q$313="TIA-222-H",SUM(AA294:AA303),"ERROR"))</f>
        <v>1504.1466269586397</v>
      </c>
      <c r="G316" s="4" t="s">
        <v>622</v>
      </c>
      <c r="H316" s="31"/>
      <c r="P316" s="4"/>
    </row>
    <row r="317" spans="1:19" x14ac:dyDescent="0.2">
      <c r="P317" s="4"/>
    </row>
    <row r="318" spans="1:19" ht="18.75" x14ac:dyDescent="0.2">
      <c r="A318" s="35"/>
      <c r="B318" s="34" t="s">
        <v>49</v>
      </c>
      <c r="C318" s="34" t="s">
        <v>562</v>
      </c>
      <c r="D318" s="34" t="s">
        <v>563</v>
      </c>
      <c r="F318" s="4"/>
      <c r="G318" s="4"/>
      <c r="H318" s="4"/>
      <c r="J318" s="4"/>
      <c r="K318" s="4"/>
      <c r="P318" s="4"/>
    </row>
    <row r="319" spans="1:19" x14ac:dyDescent="0.2">
      <c r="A319" s="4" t="s">
        <v>60</v>
      </c>
      <c r="B319" s="36">
        <v>1</v>
      </c>
      <c r="C319" s="36">
        <v>1</v>
      </c>
      <c r="D319" s="36">
        <v>0.2</v>
      </c>
      <c r="F319" s="4"/>
      <c r="G319" s="4"/>
      <c r="H319" s="4"/>
      <c r="J319" s="4"/>
      <c r="K319" s="4"/>
      <c r="P319" s="4"/>
    </row>
    <row r="320" spans="1:19" x14ac:dyDescent="0.2">
      <c r="A320" s="4" t="s">
        <v>61</v>
      </c>
      <c r="B320" s="36">
        <v>1</v>
      </c>
      <c r="C320" s="36">
        <v>0.6</v>
      </c>
      <c r="D320" s="36">
        <v>0.3</v>
      </c>
      <c r="F320" s="4"/>
      <c r="G320" s="4"/>
      <c r="H320" s="4"/>
      <c r="J320" s="4"/>
      <c r="K320" s="4"/>
      <c r="P320" s="4"/>
    </row>
    <row r="322" spans="1:16" ht="15" x14ac:dyDescent="0.25">
      <c r="A322" s="1" t="s">
        <v>764</v>
      </c>
    </row>
    <row r="323" spans="1:16" x14ac:dyDescent="0.2">
      <c r="C323" s="3" t="s">
        <v>85</v>
      </c>
      <c r="D323" s="4" t="s">
        <v>86</v>
      </c>
      <c r="E323" s="4" t="s">
        <v>581</v>
      </c>
      <c r="F323" s="3" t="s">
        <v>60</v>
      </c>
      <c r="G323" s="3" t="s">
        <v>61</v>
      </c>
    </row>
    <row r="324" spans="1:16" x14ac:dyDescent="0.2">
      <c r="A324" s="4" t="s">
        <v>66</v>
      </c>
      <c r="C324" s="33">
        <f>C306</f>
        <v>548.81848136586154</v>
      </c>
      <c r="D324" s="3">
        <v>0</v>
      </c>
      <c r="E324" s="33">
        <f>C314</f>
        <v>37.208788210940796</v>
      </c>
      <c r="F324" s="31">
        <f>$B$319*C324+($C$319*D324+$D$319*E324)</f>
        <v>556.26023900804967</v>
      </c>
      <c r="G324" s="31">
        <f>$B$320*C324+($C$320*D324+$D$320*E324)</f>
        <v>559.98111782914373</v>
      </c>
      <c r="H324" s="4" t="s">
        <v>7</v>
      </c>
      <c r="P324" s="4"/>
    </row>
    <row r="325" spans="1:16" x14ac:dyDescent="0.2">
      <c r="A325" s="4" t="s">
        <v>65</v>
      </c>
      <c r="C325" s="3">
        <v>0</v>
      </c>
      <c r="D325" s="33">
        <f>C311</f>
        <v>672.33417882927222</v>
      </c>
      <c r="E325" s="33">
        <f>C315</f>
        <v>529.06108391879081</v>
      </c>
      <c r="F325" s="31">
        <f>$B$319*C325+($C$319*D325+$D$319*E325)</f>
        <v>778.14639561303034</v>
      </c>
      <c r="G325" s="31">
        <f>$B$320*C325+($C$320*D325+$D$320*E325)</f>
        <v>562.11883247320054</v>
      </c>
      <c r="H325" s="4" t="s">
        <v>7</v>
      </c>
      <c r="P325" s="4"/>
    </row>
    <row r="326" spans="1:16" x14ac:dyDescent="0.2">
      <c r="A326" s="4" t="s">
        <v>64</v>
      </c>
      <c r="C326" s="31">
        <f>C309</f>
        <v>525.64990569222732</v>
      </c>
      <c r="D326" s="31">
        <f>C312</f>
        <v>10269.862562380131</v>
      </c>
      <c r="E326" s="31">
        <f>C316</f>
        <v>9153.4741899414348</v>
      </c>
      <c r="F326" s="31">
        <f>$B$319*C326+($C$319*D326+$D$319*E326)</f>
        <v>12626.207306060645</v>
      </c>
      <c r="G326" s="31">
        <f>$B$320*C326+($C$320*D326+$D$320*E326)</f>
        <v>9433.6097001027356</v>
      </c>
      <c r="H326" s="4" t="s">
        <v>622</v>
      </c>
      <c r="P326" s="4"/>
    </row>
    <row r="327" spans="1:16" x14ac:dyDescent="0.2">
      <c r="C327" s="31"/>
      <c r="D327" s="31"/>
      <c r="E327" s="31"/>
      <c r="F327" s="31"/>
      <c r="G327" s="31"/>
      <c r="H327" s="4"/>
    </row>
    <row r="328" spans="1:16" ht="15" x14ac:dyDescent="0.25">
      <c r="A328" s="1" t="s">
        <v>773</v>
      </c>
    </row>
    <row r="329" spans="1:16" x14ac:dyDescent="0.2">
      <c r="C329" s="3" t="s">
        <v>85</v>
      </c>
      <c r="D329" s="4" t="s">
        <v>86</v>
      </c>
      <c r="E329" s="4" t="s">
        <v>581</v>
      </c>
      <c r="F329" s="3" t="s">
        <v>60</v>
      </c>
      <c r="G329" s="3" t="s">
        <v>61</v>
      </c>
    </row>
    <row r="330" spans="1:16" x14ac:dyDescent="0.2">
      <c r="A330" s="4" t="s">
        <v>66</v>
      </c>
      <c r="C330" s="33">
        <f>C306</f>
        <v>548.81848136586154</v>
      </c>
      <c r="D330" s="3">
        <v>0</v>
      </c>
      <c r="E330" s="33">
        <f>C314</f>
        <v>37.208788210940796</v>
      </c>
      <c r="F330" s="31">
        <f>$B$319*C330+($C$319*D330+$D$319*E330)</f>
        <v>556.26023900804967</v>
      </c>
      <c r="G330" s="31">
        <f>$B$320*C330+($C$320*D330+$D$320*E330)</f>
        <v>559.98111782914373</v>
      </c>
      <c r="H330" s="4" t="s">
        <v>7</v>
      </c>
    </row>
    <row r="331" spans="1:16" x14ac:dyDescent="0.2">
      <c r="A331" s="4" t="s">
        <v>65</v>
      </c>
      <c r="C331" s="3">
        <v>0</v>
      </c>
      <c r="D331" s="33">
        <f>D311</f>
        <v>655.08051096939096</v>
      </c>
      <c r="E331" s="33">
        <f>D315</f>
        <v>411.77413273760567</v>
      </c>
      <c r="F331" s="31">
        <f>$B$319*C331+($C$319*D331+$D$319*E331)</f>
        <v>737.43533751691211</v>
      </c>
      <c r="G331" s="31">
        <f>$B$320*C331+($C$320*D331+$D$320*E331)</f>
        <v>516.5805464029163</v>
      </c>
      <c r="H331" s="4" t="s">
        <v>7</v>
      </c>
    </row>
    <row r="332" spans="1:16" x14ac:dyDescent="0.2">
      <c r="A332" s="4" t="s">
        <v>64</v>
      </c>
      <c r="C332" s="31">
        <f>C309</f>
        <v>525.64990569222732</v>
      </c>
      <c r="D332" s="31">
        <f>D312</f>
        <v>5927.3891480791335</v>
      </c>
      <c r="E332" s="31">
        <f>D316</f>
        <v>5758.6757176187066</v>
      </c>
      <c r="F332" s="31">
        <f>$B$319*C332+($C$319*D332+$D$319*E332)</f>
        <v>7604.7741972951026</v>
      </c>
      <c r="G332" s="31">
        <f>$B$320*C332+($C$320*D332+$D$320*E332)</f>
        <v>5809.6861098253194</v>
      </c>
      <c r="H332" s="4" t="s">
        <v>622</v>
      </c>
    </row>
    <row r="333" spans="1:16" x14ac:dyDescent="0.2">
      <c r="C333" s="31"/>
      <c r="D333" s="31"/>
      <c r="E333" s="31"/>
      <c r="F333" s="31"/>
      <c r="G333" s="31"/>
      <c r="H333" s="4"/>
    </row>
    <row r="334" spans="1:16" ht="15" x14ac:dyDescent="0.25">
      <c r="A334" s="1" t="s">
        <v>802</v>
      </c>
    </row>
    <row r="335" spans="1:16" x14ac:dyDescent="0.2">
      <c r="C335" s="3" t="s">
        <v>85</v>
      </c>
      <c r="D335" s="4" t="s">
        <v>86</v>
      </c>
      <c r="E335" s="4" t="s">
        <v>581</v>
      </c>
      <c r="F335" s="3" t="s">
        <v>60</v>
      </c>
      <c r="G335" s="3" t="s">
        <v>61</v>
      </c>
    </row>
    <row r="336" spans="1:16" x14ac:dyDescent="0.2">
      <c r="A336" s="4" t="s">
        <v>66</v>
      </c>
      <c r="C336" s="33">
        <f>C306</f>
        <v>548.81848136586154</v>
      </c>
      <c r="D336" s="3">
        <v>0</v>
      </c>
      <c r="E336" s="33">
        <f>E314</f>
        <v>37.208788210940796</v>
      </c>
      <c r="F336" s="31">
        <f>$B$319*C336+($C$319*D336+$D$319*E336)</f>
        <v>556.26023900804967</v>
      </c>
      <c r="G336" s="31">
        <f>$B$320*C336+($C$320*D336+$D$320*E336)</f>
        <v>559.98111782914373</v>
      </c>
      <c r="H336" s="4" t="s">
        <v>7</v>
      </c>
    </row>
    <row r="337" spans="1:8" x14ac:dyDescent="0.2">
      <c r="A337" s="4" t="s">
        <v>65</v>
      </c>
      <c r="C337" s="3">
        <v>0</v>
      </c>
      <c r="D337" s="33">
        <f>E311</f>
        <v>311.4081733057389</v>
      </c>
      <c r="E337" s="33">
        <f>E315</f>
        <v>297.81345591132322</v>
      </c>
      <c r="F337" s="31">
        <f>$B$319*C337+($C$319*D337+$D$319*E337)</f>
        <v>370.97086448800354</v>
      </c>
      <c r="G337" s="31">
        <f>$B$320*C337+($C$320*D337+$D$320*E337)</f>
        <v>276.18894075684034</v>
      </c>
      <c r="H337" s="4" t="s">
        <v>7</v>
      </c>
    </row>
    <row r="338" spans="1:8" x14ac:dyDescent="0.2">
      <c r="A338" s="4" t="s">
        <v>64</v>
      </c>
      <c r="C338" s="31">
        <f>C309</f>
        <v>525.64990569222732</v>
      </c>
      <c r="D338" s="31">
        <f>E312</f>
        <v>5730.5021644805811</v>
      </c>
      <c r="E338" s="31">
        <f>E316</f>
        <v>5458.3459723668711</v>
      </c>
      <c r="F338" s="31">
        <f>$B$319*C338+($C$319*D338+$D$319*E338)</f>
        <v>7347.8212646461834</v>
      </c>
      <c r="G338" s="31">
        <f>$B$320*C338+($C$320*D338+$D$320*E338)</f>
        <v>5601.454996090637</v>
      </c>
      <c r="H338" s="4" t="s">
        <v>622</v>
      </c>
    </row>
    <row r="339" spans="1:8" x14ac:dyDescent="0.2">
      <c r="C339" s="31"/>
      <c r="D339" s="31"/>
      <c r="E339" s="31"/>
      <c r="F339" s="31"/>
      <c r="G339" s="31"/>
      <c r="H339" s="4"/>
    </row>
    <row r="340" spans="1:8" ht="15" x14ac:dyDescent="0.25">
      <c r="A340" s="1" t="s">
        <v>802</v>
      </c>
    </row>
    <row r="341" spans="1:8" x14ac:dyDescent="0.2">
      <c r="C341" s="3" t="s">
        <v>85</v>
      </c>
      <c r="D341" s="4" t="s">
        <v>86</v>
      </c>
      <c r="E341" s="4" t="s">
        <v>581</v>
      </c>
      <c r="F341" s="3" t="s">
        <v>60</v>
      </c>
      <c r="G341" s="3" t="s">
        <v>61</v>
      </c>
    </row>
    <row r="342" spans="1:8" x14ac:dyDescent="0.2">
      <c r="A342" s="4" t="s">
        <v>66</v>
      </c>
      <c r="C342" s="33">
        <f>C306</f>
        <v>548.81848136586154</v>
      </c>
      <c r="D342" s="3">
        <v>0</v>
      </c>
      <c r="E342" s="33">
        <f>F314</f>
        <v>37.208788210940796</v>
      </c>
      <c r="F342" s="31">
        <f>$B$319*C342+($C$319*D342+$D$319*E342)</f>
        <v>556.26023900804967</v>
      </c>
      <c r="G342" s="31">
        <f>$B$320*C342+($C$320*D342+$D$320*E342)</f>
        <v>559.98111782914373</v>
      </c>
      <c r="H342" s="4" t="s">
        <v>7</v>
      </c>
    </row>
    <row r="343" spans="1:8" x14ac:dyDescent="0.2">
      <c r="A343" s="4" t="s">
        <v>65</v>
      </c>
      <c r="C343" s="3">
        <v>0</v>
      </c>
      <c r="D343" s="33">
        <f>F311</f>
        <v>196.54432021741479</v>
      </c>
      <c r="E343" s="33">
        <f>F315</f>
        <v>158.31381363070489</v>
      </c>
      <c r="F343" s="31">
        <f>$B$319*C343+($C$319*D343+$D$319*E343)</f>
        <v>228.20708294355578</v>
      </c>
      <c r="G343" s="31">
        <f>$B$320*C343+($C$320*D343+$D$320*E343)</f>
        <v>165.42073621966034</v>
      </c>
      <c r="H343" s="4" t="s">
        <v>7</v>
      </c>
    </row>
    <row r="344" spans="1:8" x14ac:dyDescent="0.2">
      <c r="A344" s="4" t="s">
        <v>64</v>
      </c>
      <c r="C344" s="31">
        <f>C309</f>
        <v>525.64990569222732</v>
      </c>
      <c r="D344" s="31">
        <f>F312</f>
        <v>1111.584944737898</v>
      </c>
      <c r="E344" s="31">
        <f>F316</f>
        <v>1504.1466269586397</v>
      </c>
      <c r="F344" s="31">
        <f>$B$319*C344+($C$319*D344+$D$319*E344)</f>
        <v>1938.0641758218533</v>
      </c>
      <c r="G344" s="31">
        <f>$B$320*C344+($C$320*D344+$D$320*E344)</f>
        <v>1643.8448606225581</v>
      </c>
      <c r="H344" s="4" t="s">
        <v>622</v>
      </c>
    </row>
    <row r="345" spans="1:8" x14ac:dyDescent="0.2">
      <c r="C345" s="31"/>
      <c r="D345" s="31"/>
      <c r="E345" s="31"/>
      <c r="F345" s="31"/>
      <c r="G345" s="31"/>
      <c r="H345" s="4"/>
    </row>
    <row r="346" spans="1:8" x14ac:dyDescent="0.2">
      <c r="C346" s="31"/>
      <c r="D346" s="31"/>
      <c r="E346" s="31"/>
      <c r="F346" s="31"/>
      <c r="G346" s="31"/>
      <c r="H346" s="4"/>
    </row>
    <row r="348" spans="1:8" ht="15" x14ac:dyDescent="0.25">
      <c r="A348" s="1" t="s">
        <v>67</v>
      </c>
    </row>
    <row r="349" spans="1:8" x14ac:dyDescent="0.2">
      <c r="A349" s="4" t="s">
        <v>68</v>
      </c>
      <c r="B349" s="2" t="s">
        <v>69</v>
      </c>
      <c r="C349" s="3">
        <v>1.3</v>
      </c>
    </row>
    <row r="350" spans="1:8" ht="18.75" x14ac:dyDescent="0.35">
      <c r="A350" s="4" t="s">
        <v>72</v>
      </c>
      <c r="B350" s="2" t="s">
        <v>150</v>
      </c>
      <c r="C350" s="3">
        <v>0.75</v>
      </c>
      <c r="D350" s="4" t="s">
        <v>70</v>
      </c>
    </row>
    <row r="351" spans="1:8" x14ac:dyDescent="0.2">
      <c r="C351" s="10">
        <v>1</v>
      </c>
      <c r="D351" s="4" t="s">
        <v>71</v>
      </c>
    </row>
    <row r="352" spans="1:8" ht="18.75" x14ac:dyDescent="0.35">
      <c r="A352" s="4" t="s">
        <v>73</v>
      </c>
      <c r="B352" s="2" t="s">
        <v>151</v>
      </c>
      <c r="C352" s="10">
        <v>1</v>
      </c>
    </row>
    <row r="354" spans="1:8" ht="18.75" x14ac:dyDescent="0.35">
      <c r="A354" s="37" t="s">
        <v>84</v>
      </c>
      <c r="B354" s="2" t="s">
        <v>49</v>
      </c>
      <c r="C354" s="3" t="s">
        <v>148</v>
      </c>
      <c r="D354" s="3" t="s">
        <v>149</v>
      </c>
    </row>
    <row r="355" spans="1:8" x14ac:dyDescent="0.2">
      <c r="A355" s="4" t="s">
        <v>76</v>
      </c>
      <c r="B355" s="2">
        <v>0.75</v>
      </c>
      <c r="C355" s="10">
        <f>$C$352*C319</f>
        <v>1</v>
      </c>
      <c r="D355" s="10">
        <f>$C$352*D319</f>
        <v>0.2</v>
      </c>
    </row>
    <row r="356" spans="1:8" x14ac:dyDescent="0.2">
      <c r="A356" s="4" t="s">
        <v>78</v>
      </c>
      <c r="B356" s="2">
        <v>0.75</v>
      </c>
      <c r="C356" s="10">
        <f>$C$352*C320</f>
        <v>0.6</v>
      </c>
      <c r="D356" s="10">
        <f>$C$352*D320</f>
        <v>0.3</v>
      </c>
    </row>
    <row r="357" spans="1:8" x14ac:dyDescent="0.2">
      <c r="A357" s="4" t="s">
        <v>77</v>
      </c>
      <c r="B357" s="38">
        <v>1</v>
      </c>
      <c r="C357" s="10">
        <f>$C$352*C319</f>
        <v>1</v>
      </c>
      <c r="D357" s="3">
        <f>$C$352*D319</f>
        <v>0.2</v>
      </c>
    </row>
    <row r="358" spans="1:8" x14ac:dyDescent="0.2">
      <c r="A358" s="4" t="s">
        <v>79</v>
      </c>
      <c r="B358" s="38">
        <v>1</v>
      </c>
      <c r="C358" s="10">
        <f>$C$352*C320</f>
        <v>0.6</v>
      </c>
      <c r="D358" s="10">
        <f>$C$352*D320</f>
        <v>0.3</v>
      </c>
    </row>
    <row r="360" spans="1:8" ht="18.75" x14ac:dyDescent="0.35">
      <c r="A360" s="37" t="s">
        <v>87</v>
      </c>
      <c r="B360" s="2" t="s">
        <v>152</v>
      </c>
    </row>
    <row r="361" spans="1:8" ht="15" x14ac:dyDescent="0.25">
      <c r="A361" s="39" t="s">
        <v>80</v>
      </c>
      <c r="C361" s="3" t="s">
        <v>85</v>
      </c>
      <c r="D361" s="3" t="s">
        <v>86</v>
      </c>
      <c r="E361" s="3" t="s">
        <v>581</v>
      </c>
      <c r="F361" s="3" t="s">
        <v>60</v>
      </c>
      <c r="G361" s="3" t="s">
        <v>61</v>
      </c>
    </row>
    <row r="362" spans="1:8" ht="18.75" x14ac:dyDescent="0.35">
      <c r="A362" s="4" t="s">
        <v>74</v>
      </c>
      <c r="B362" s="2" t="s">
        <v>153</v>
      </c>
      <c r="C362" s="31">
        <f t="shared" ref="C362:E363" si="52">C324</f>
        <v>548.81848136586154</v>
      </c>
      <c r="D362" s="31">
        <f t="shared" si="52"/>
        <v>0</v>
      </c>
      <c r="E362" s="31">
        <f t="shared" si="52"/>
        <v>37.208788210940796</v>
      </c>
      <c r="F362" s="31">
        <f>$C$349*($B$355*C362+$C$355*D362+$D$355*E362)</f>
        <v>544.77230426655967</v>
      </c>
      <c r="G362" s="31">
        <f>$C$349*($B$356*C362+$C$356*D362+$D$356*E362)</f>
        <v>549.60944673398194</v>
      </c>
      <c r="H362" s="4" t="s">
        <v>7</v>
      </c>
    </row>
    <row r="363" spans="1:8" ht="18.75" x14ac:dyDescent="0.35">
      <c r="A363" s="4" t="s">
        <v>75</v>
      </c>
      <c r="B363" s="2" t="s">
        <v>154</v>
      </c>
      <c r="C363" s="31">
        <f t="shared" si="52"/>
        <v>0</v>
      </c>
      <c r="D363" s="31">
        <f t="shared" si="52"/>
        <v>672.33417882927222</v>
      </c>
      <c r="E363" s="31">
        <f t="shared" si="52"/>
        <v>529.06108391879081</v>
      </c>
      <c r="F363" s="31">
        <f>$C$349*($B$355*C363+$C$355*D363+$D$355*E363)</f>
        <v>1011.5903142969395</v>
      </c>
      <c r="G363" s="31">
        <f>$C$349*($B$356*C363+$C$356*D363+$D$356*E363)</f>
        <v>730.75448221516069</v>
      </c>
      <c r="H363" s="4" t="s">
        <v>7</v>
      </c>
    </row>
    <row r="364" spans="1:8" ht="18.75" x14ac:dyDescent="0.35">
      <c r="A364" s="4" t="s">
        <v>243</v>
      </c>
      <c r="B364" s="2" t="s">
        <v>155</v>
      </c>
      <c r="C364" s="31">
        <f>C326</f>
        <v>525.64990569222732</v>
      </c>
      <c r="D364" s="31">
        <f>D326</f>
        <v>10269.862562380131</v>
      </c>
      <c r="E364" s="31">
        <f>E326</f>
        <v>9153.4741899414348</v>
      </c>
      <c r="F364" s="31">
        <f>$C$349*($B$355*C364+$C$355*D364+$D$355*E364)</f>
        <v>16243.233278528865</v>
      </c>
      <c r="G364" s="31">
        <f>$C$349*($B$356*C364+$C$356*D364+$D$356*E364)</f>
        <v>12092.856390783583</v>
      </c>
      <c r="H364" s="4" t="s">
        <v>622</v>
      </c>
    </row>
    <row r="365" spans="1:8" ht="18.75" x14ac:dyDescent="0.35">
      <c r="A365" s="4" t="s">
        <v>257</v>
      </c>
      <c r="B365" s="2" t="s">
        <v>258</v>
      </c>
      <c r="C365" s="31"/>
      <c r="D365" s="31"/>
      <c r="E365" s="31"/>
      <c r="F365" s="31"/>
      <c r="G365" s="31"/>
      <c r="H365" s="4"/>
    </row>
    <row r="366" spans="1:8" ht="15" x14ac:dyDescent="0.25">
      <c r="A366" s="39" t="s">
        <v>81</v>
      </c>
      <c r="C366" s="31"/>
      <c r="D366" s="31"/>
      <c r="E366" s="40"/>
      <c r="F366" s="31"/>
      <c r="G366" s="31"/>
    </row>
    <row r="367" spans="1:8" ht="18.75" x14ac:dyDescent="0.35">
      <c r="A367" s="4" t="s">
        <v>74</v>
      </c>
      <c r="B367" s="2" t="s">
        <v>153</v>
      </c>
      <c r="C367" s="31">
        <f t="shared" ref="C367:E369" si="53">C324</f>
        <v>548.81848136586154</v>
      </c>
      <c r="D367" s="31">
        <f t="shared" si="53"/>
        <v>0</v>
      </c>
      <c r="E367" s="31">
        <f t="shared" si="53"/>
        <v>37.208788210940796</v>
      </c>
      <c r="F367" s="31">
        <f>$C$349*($B$357*C367+$C$357*D367+$D$357*E367)</f>
        <v>723.13831071046457</v>
      </c>
      <c r="G367" s="31">
        <f>$C$349*($B$358*C367+$C$358*D367+$D$358*E367)</f>
        <v>727.97545317788683</v>
      </c>
      <c r="H367" s="4" t="s">
        <v>7</v>
      </c>
    </row>
    <row r="368" spans="1:8" ht="18.75" x14ac:dyDescent="0.35">
      <c r="A368" s="4" t="s">
        <v>75</v>
      </c>
      <c r="B368" s="2" t="s">
        <v>154</v>
      </c>
      <c r="C368" s="31">
        <f t="shared" si="53"/>
        <v>0</v>
      </c>
      <c r="D368" s="31">
        <f>D325</f>
        <v>672.33417882927222</v>
      </c>
      <c r="E368" s="31">
        <f>E325</f>
        <v>529.06108391879081</v>
      </c>
      <c r="F368" s="31">
        <f>$C$349*($B$357*C368+$C$357*D368+$D$357*E368)</f>
        <v>1011.5903142969395</v>
      </c>
      <c r="G368" s="31">
        <f>$C$349*($B$358*C368+$C$358*D368+$D$358*E368)</f>
        <v>730.75448221516069</v>
      </c>
      <c r="H368" s="4" t="s">
        <v>7</v>
      </c>
    </row>
    <row r="369" spans="1:8" ht="18.75" x14ac:dyDescent="0.35">
      <c r="A369" s="4" t="s">
        <v>243</v>
      </c>
      <c r="B369" s="2" t="s">
        <v>155</v>
      </c>
      <c r="C369" s="31">
        <f t="shared" si="53"/>
        <v>525.64990569222732</v>
      </c>
      <c r="D369" s="31">
        <f t="shared" si="53"/>
        <v>10269.862562380131</v>
      </c>
      <c r="E369" s="31">
        <f t="shared" si="53"/>
        <v>9153.4741899414348</v>
      </c>
      <c r="F369" s="31">
        <f>$C$349*($B$357*C369+$C$357*D369+$D$357*E369)</f>
        <v>16414.069497878838</v>
      </c>
      <c r="G369" s="31">
        <f>$C$349*($B$358*C369+$C$358*D369+$D$358*E369)</f>
        <v>12263.692610133559</v>
      </c>
      <c r="H369" s="4" t="s">
        <v>622</v>
      </c>
    </row>
    <row r="370" spans="1:8" ht="18.75" x14ac:dyDescent="0.35">
      <c r="A370" s="4" t="s">
        <v>257</v>
      </c>
      <c r="B370" s="2" t="s">
        <v>258</v>
      </c>
      <c r="C370" s="31"/>
      <c r="D370" s="31"/>
      <c r="E370" s="31"/>
      <c r="F370" s="31"/>
      <c r="G370" s="31"/>
      <c r="H370" s="4"/>
    </row>
    <row r="372" spans="1:8" x14ac:dyDescent="0.2">
      <c r="A372" s="4" t="s">
        <v>94</v>
      </c>
      <c r="B372" s="2" t="s">
        <v>91</v>
      </c>
      <c r="C372" s="8">
        <f>(F369*12)/G367</f>
        <v>270.57070827691092</v>
      </c>
      <c r="D372" s="4" t="s">
        <v>21</v>
      </c>
    </row>
  </sheetData>
  <mergeCells count="57">
    <mergeCell ref="Z228:AA228"/>
    <mergeCell ref="X244:Y244"/>
    <mergeCell ref="Z244:AA244"/>
    <mergeCell ref="I244:J244"/>
    <mergeCell ref="K244:L244"/>
    <mergeCell ref="P244:Q244"/>
    <mergeCell ref="R244:S244"/>
    <mergeCell ref="T244:U244"/>
    <mergeCell ref="F1:G1"/>
    <mergeCell ref="F80:G80"/>
    <mergeCell ref="X228:Y228"/>
    <mergeCell ref="R228:S228"/>
    <mergeCell ref="V228:W228"/>
    <mergeCell ref="T228:U228"/>
    <mergeCell ref="I228:J228"/>
    <mergeCell ref="K228:L228"/>
    <mergeCell ref="G228:H228"/>
    <mergeCell ref="E228:F228"/>
    <mergeCell ref="E9:H9"/>
    <mergeCell ref="E17:H17"/>
    <mergeCell ref="E25:H25"/>
    <mergeCell ref="E14:E16"/>
    <mergeCell ref="X291:Y291"/>
    <mergeCell ref="Z291:AA291"/>
    <mergeCell ref="E291:F291"/>
    <mergeCell ref="G291:H291"/>
    <mergeCell ref="I291:J291"/>
    <mergeCell ref="K291:L291"/>
    <mergeCell ref="R291:S291"/>
    <mergeCell ref="P291:Q291"/>
    <mergeCell ref="N307:N309"/>
    <mergeCell ref="P228:Q228"/>
    <mergeCell ref="T260:U260"/>
    <mergeCell ref="V260:W260"/>
    <mergeCell ref="E260:F260"/>
    <mergeCell ref="E244:F244"/>
    <mergeCell ref="G244:H244"/>
    <mergeCell ref="K260:L260"/>
    <mergeCell ref="P260:Q260"/>
    <mergeCell ref="T291:U291"/>
    <mergeCell ref="V291:W291"/>
    <mergeCell ref="V244:W244"/>
    <mergeCell ref="X260:Y260"/>
    <mergeCell ref="Z260:AA260"/>
    <mergeCell ref="E276:F276"/>
    <mergeCell ref="G276:H276"/>
    <mergeCell ref="I276:J276"/>
    <mergeCell ref="K276:L276"/>
    <mergeCell ref="P276:Q276"/>
    <mergeCell ref="R276:S276"/>
    <mergeCell ref="T276:U276"/>
    <mergeCell ref="V276:W276"/>
    <mergeCell ref="X276:Y276"/>
    <mergeCell ref="Z276:AA276"/>
    <mergeCell ref="G260:H260"/>
    <mergeCell ref="I260:J260"/>
    <mergeCell ref="R260:S260"/>
  </mergeCells>
  <conditionalFormatting sqref="F324:G324">
    <cfRule type="top10" dxfId="72" priority="21" rank="1"/>
  </conditionalFormatting>
  <conditionalFormatting sqref="F325:G325">
    <cfRule type="top10" dxfId="71" priority="20" rank="1"/>
  </conditionalFormatting>
  <conditionalFormatting sqref="F326:G327 F333:G333 F339:G339 F345:G346">
    <cfRule type="top10" dxfId="70" priority="19" rank="1"/>
  </conditionalFormatting>
  <conditionalFormatting sqref="F362:G362 F367:G367">
    <cfRule type="top10" dxfId="69" priority="18" rank="1"/>
  </conditionalFormatting>
  <conditionalFormatting sqref="F363:G363 F368:G368">
    <cfRule type="top10" dxfId="68" priority="17" rank="1"/>
  </conditionalFormatting>
  <conditionalFormatting sqref="F364:G365 F369:G370">
    <cfRule type="top10" dxfId="67" priority="16" rank="1"/>
  </conditionalFormatting>
  <conditionalFormatting sqref="F330:G330">
    <cfRule type="top10" dxfId="66" priority="12" rank="1"/>
  </conditionalFormatting>
  <conditionalFormatting sqref="F331:G331">
    <cfRule type="top10" dxfId="65" priority="11" rank="1"/>
  </conditionalFormatting>
  <conditionalFormatting sqref="F332:G332">
    <cfRule type="top10" dxfId="64" priority="10" rank="1"/>
  </conditionalFormatting>
  <conditionalFormatting sqref="F336:G336">
    <cfRule type="top10" dxfId="63" priority="9" rank="1"/>
  </conditionalFormatting>
  <conditionalFormatting sqref="F337:G337">
    <cfRule type="top10" dxfId="62" priority="8" rank="1"/>
  </conditionalFormatting>
  <conditionalFormatting sqref="F338:G338">
    <cfRule type="top10" dxfId="61" priority="7" rank="1"/>
  </conditionalFormatting>
  <conditionalFormatting sqref="F342:G342">
    <cfRule type="top10" dxfId="60" priority="3" rank="1"/>
  </conditionalFormatting>
  <conditionalFormatting sqref="F343:G343">
    <cfRule type="top10" dxfId="59" priority="2" rank="1"/>
  </conditionalFormatting>
  <conditionalFormatting sqref="F344:G344">
    <cfRule type="top10" dxfId="58" priority="1" rank="1"/>
  </conditionalFormatting>
  <dataValidations count="4">
    <dataValidation type="list" allowBlank="1" showInputMessage="1" showErrorMessage="1" sqref="Q311" xr:uid="{0168D463-45FD-46DD-84C4-E6F23A5300A2}">
      <formula1>"yes,no"</formula1>
    </dataValidation>
    <dataValidation type="list" allowBlank="1" showInputMessage="1" showErrorMessage="1" sqref="Q313" xr:uid="{B33314B7-217C-48D4-BF97-2657BE68FDE4}">
      <formula1>"TIA-222-H,AASHTO LTS-6"</formula1>
    </dataValidation>
    <dataValidation type="list" allowBlank="1" showInputMessage="1" showErrorMessage="1" sqref="S14" xr:uid="{A661EF63-C108-4550-9D2D-F61ECBC4FDBC}">
      <formula1>"B,C"</formula1>
    </dataValidation>
    <dataValidation type="list" allowBlank="1" showInputMessage="1" showErrorMessage="1" sqref="W5" xr:uid="{72FEF5E5-3333-47B3-92B6-B9BF5731EEE8}">
      <formula1>"restrained,unrestrained"</formula1>
    </dataValidation>
  </dataValidations>
  <pageMargins left="0.7" right="0.7" top="0.75" bottom="0.75" header="0.3" footer="0.3"/>
  <pageSetup scale="10" orientation="landscape" r:id="rId1"/>
  <rowBreaks count="1" manualBreakCount="1">
    <brk id="257" max="16383" man="1"/>
  </rowBreaks>
  <colBreaks count="1" manualBreakCount="1">
    <brk id="27" max="1048575" man="1"/>
  </colBreaks>
  <ignoredErrors>
    <ignoredError sqref="C10 C4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44E5F-9A67-4C87-BEE0-3FD10B7F6D8B}">
  <sheetPr>
    <pageSetUpPr fitToPage="1"/>
  </sheetPr>
  <dimension ref="A1:AG362"/>
  <sheetViews>
    <sheetView view="pageBreakPreview" topLeftCell="A22" zoomScaleNormal="100" zoomScaleSheetLayoutView="100" workbookViewId="0">
      <selection activeCell="D28" sqref="D28"/>
    </sheetView>
  </sheetViews>
  <sheetFormatPr defaultColWidth="9.140625" defaultRowHeight="14.25" x14ac:dyDescent="0.2"/>
  <cols>
    <col min="1" max="1" width="22.5703125" style="4" customWidth="1"/>
    <col min="2" max="2" width="16.7109375" style="2" customWidth="1"/>
    <col min="3" max="3" width="12.85546875" style="31" customWidth="1"/>
    <col min="4" max="4" width="15.42578125" style="4" customWidth="1"/>
    <col min="5" max="5" width="12.7109375" style="4" customWidth="1"/>
    <col min="6" max="6" width="13.28515625" style="4" customWidth="1"/>
    <col min="7" max="7" width="13" style="2" customWidth="1"/>
    <col min="8" max="8" width="12.28515625" style="47" customWidth="1"/>
    <col min="9" max="9" width="12" style="41" customWidth="1"/>
    <col min="10" max="10" width="11.7109375" style="3" customWidth="1"/>
    <col min="11" max="13" width="10.42578125" style="41" customWidth="1"/>
    <col min="14" max="14" width="10" style="3" bestFit="1" customWidth="1"/>
    <col min="15" max="15" width="10.7109375" style="41" bestFit="1" customWidth="1"/>
    <col min="16" max="16" width="10" style="41" customWidth="1"/>
    <col min="17" max="17" width="10.5703125" style="3" customWidth="1"/>
    <col min="18" max="18" width="8.85546875" style="3" customWidth="1"/>
    <col min="19" max="19" width="9.42578125" style="3" customWidth="1"/>
    <col min="20" max="20" width="9.28515625" style="3" customWidth="1"/>
    <col min="21" max="21" width="10.42578125" style="3" customWidth="1"/>
    <col min="22" max="22" width="13.140625" style="41" customWidth="1"/>
    <col min="23" max="23" width="10.42578125" style="3" customWidth="1"/>
    <col min="24" max="24" width="14.28515625" style="3" customWidth="1"/>
    <col min="25" max="25" width="13.28515625" style="4" customWidth="1"/>
    <col min="26" max="26" width="15" style="4" customWidth="1"/>
    <col min="27" max="27" width="14.85546875" style="4" customWidth="1"/>
    <col min="28" max="28" width="9.140625" style="4"/>
    <col min="29" max="29" width="10.7109375" style="4" bestFit="1" customWidth="1"/>
    <col min="30" max="30" width="9.140625" style="4"/>
    <col min="31" max="31" width="12.42578125" style="4" bestFit="1" customWidth="1"/>
    <col min="32" max="32" width="9.140625" style="4"/>
    <col min="33" max="33" width="10.42578125" style="4" bestFit="1" customWidth="1"/>
    <col min="34" max="16384" width="9.140625" style="4"/>
  </cols>
  <sheetData>
    <row r="1" spans="1:29" x14ac:dyDescent="0.2">
      <c r="A1" s="81"/>
      <c r="B1" s="81"/>
      <c r="C1" s="81"/>
      <c r="D1" s="81"/>
      <c r="E1" s="81"/>
      <c r="F1" s="81"/>
      <c r="G1" s="81"/>
      <c r="W1" s="4"/>
      <c r="X1" s="4"/>
    </row>
    <row r="2" spans="1:29" x14ac:dyDescent="0.2">
      <c r="A2" s="81"/>
      <c r="B2" s="81"/>
      <c r="C2" s="81"/>
      <c r="D2" s="81"/>
      <c r="E2" s="81"/>
      <c r="F2" s="81"/>
      <c r="G2" s="81"/>
      <c r="W2" s="4"/>
      <c r="X2" s="4"/>
    </row>
    <row r="3" spans="1:29" x14ac:dyDescent="0.2">
      <c r="A3" s="81"/>
      <c r="B3" s="81"/>
      <c r="C3" s="81"/>
      <c r="D3" s="81"/>
      <c r="E3" s="81"/>
      <c r="F3" s="81"/>
      <c r="G3" s="81"/>
      <c r="W3" s="4"/>
      <c r="X3" s="4"/>
    </row>
    <row r="4" spans="1:29" x14ac:dyDescent="0.2">
      <c r="A4" s="81"/>
      <c r="B4" s="81"/>
      <c r="C4" s="81"/>
      <c r="D4" s="81"/>
      <c r="E4" s="81"/>
      <c r="F4" s="81"/>
      <c r="G4" s="81"/>
      <c r="Q4" s="4"/>
      <c r="R4" s="4"/>
      <c r="S4" s="4"/>
      <c r="W4" s="4"/>
      <c r="X4" s="4"/>
    </row>
    <row r="5" spans="1:29" x14ac:dyDescent="0.2">
      <c r="A5" s="81"/>
      <c r="B5" s="81"/>
      <c r="C5" s="81"/>
      <c r="D5" s="81"/>
      <c r="E5" s="81"/>
      <c r="F5" s="81"/>
      <c r="G5" s="81"/>
      <c r="Q5" s="4"/>
      <c r="R5" s="4"/>
      <c r="S5" s="4"/>
      <c r="W5" s="4"/>
      <c r="X5" s="4"/>
    </row>
    <row r="6" spans="1:29" ht="15" x14ac:dyDescent="0.25">
      <c r="A6" s="39" t="s">
        <v>874</v>
      </c>
      <c r="B6" s="39" t="s">
        <v>1049</v>
      </c>
      <c r="C6" s="39"/>
      <c r="F6"/>
      <c r="G6"/>
      <c r="H6"/>
      <c r="I6"/>
      <c r="J6"/>
      <c r="K6"/>
      <c r="Q6" s="4"/>
      <c r="R6" s="4"/>
      <c r="S6" s="4"/>
      <c r="W6" s="4"/>
      <c r="X6" s="4"/>
    </row>
    <row r="7" spans="1:29" ht="15" x14ac:dyDescent="0.25">
      <c r="B7" s="4"/>
      <c r="C7" s="4"/>
      <c r="F7"/>
      <c r="G7"/>
      <c r="H7"/>
      <c r="I7"/>
      <c r="J7"/>
      <c r="K7"/>
      <c r="Q7" s="4"/>
      <c r="R7" s="4"/>
      <c r="S7" s="4"/>
      <c r="T7" s="133"/>
      <c r="U7" s="182"/>
      <c r="W7" s="41"/>
      <c r="X7" s="41"/>
      <c r="Y7" s="3"/>
      <c r="Z7" s="41"/>
      <c r="AB7" s="3"/>
      <c r="AC7" s="3"/>
    </row>
    <row r="8" spans="1:29" ht="15" x14ac:dyDescent="0.25">
      <c r="A8" s="1" t="s">
        <v>876</v>
      </c>
      <c r="B8" s="4"/>
      <c r="F8"/>
      <c r="G8"/>
      <c r="H8" s="4"/>
      <c r="J8"/>
      <c r="K8"/>
      <c r="M8" s="133"/>
      <c r="S8" s="4"/>
      <c r="T8" s="41"/>
      <c r="W8" s="41"/>
      <c r="X8" s="41"/>
      <c r="Y8" s="3"/>
      <c r="Z8" s="41"/>
      <c r="AB8" s="3"/>
      <c r="AC8" s="3"/>
    </row>
    <row r="9" spans="1:29" ht="15" x14ac:dyDescent="0.25">
      <c r="A9" s="4" t="s">
        <v>910</v>
      </c>
      <c r="B9" s="4"/>
      <c r="F9"/>
      <c r="G9"/>
      <c r="H9" s="4" t="s">
        <v>875</v>
      </c>
      <c r="J9"/>
      <c r="K9"/>
      <c r="M9" s="4"/>
      <c r="N9" s="4"/>
      <c r="O9" s="4"/>
      <c r="Q9" s="41"/>
      <c r="R9" s="150"/>
      <c r="S9" s="150"/>
      <c r="T9" s="41"/>
      <c r="W9" s="41"/>
      <c r="X9" s="133"/>
      <c r="Y9" s="3"/>
      <c r="Z9" s="41"/>
      <c r="AB9" s="3"/>
      <c r="AC9" s="3"/>
    </row>
    <row r="10" spans="1:29" x14ac:dyDescent="0.2">
      <c r="B10" s="4"/>
      <c r="C10" s="8"/>
      <c r="F10" s="182" t="s">
        <v>916</v>
      </c>
      <c r="H10" s="3"/>
      <c r="J10" s="2"/>
      <c r="K10" s="8"/>
      <c r="M10" s="150"/>
      <c r="O10" s="151"/>
      <c r="P10" s="151"/>
      <c r="Q10" s="41"/>
      <c r="R10" s="4"/>
      <c r="S10" s="4"/>
      <c r="T10" s="41"/>
      <c r="W10" s="41"/>
      <c r="X10" s="41"/>
      <c r="Y10" s="3"/>
      <c r="Z10" s="41"/>
      <c r="AB10" s="3"/>
      <c r="AC10" s="3"/>
    </row>
    <row r="11" spans="1:29" x14ac:dyDescent="0.2">
      <c r="B11" s="4"/>
      <c r="C11" s="8"/>
      <c r="F11" s="182"/>
      <c r="H11" s="3"/>
      <c r="J11" s="2"/>
      <c r="K11" s="8"/>
      <c r="M11" s="150"/>
      <c r="O11" s="151"/>
      <c r="P11" s="151"/>
      <c r="Q11" s="41"/>
      <c r="R11" s="4"/>
      <c r="S11" s="4"/>
      <c r="T11" s="41"/>
      <c r="W11" s="41"/>
      <c r="X11" s="41"/>
      <c r="Y11" s="3"/>
      <c r="Z11" s="41"/>
      <c r="AB11" s="3"/>
      <c r="AC11" s="3"/>
    </row>
    <row r="12" spans="1:29" x14ac:dyDescent="0.2">
      <c r="A12" s="4" t="s">
        <v>271</v>
      </c>
      <c r="C12" s="259"/>
      <c r="D12" s="259"/>
      <c r="E12" s="270"/>
      <c r="F12" s="51" t="str">
        <f>'LTS-6 Loads'!$S$14</f>
        <v>C</v>
      </c>
      <c r="G12" s="4" t="s">
        <v>22</v>
      </c>
      <c r="H12" s="4" t="s">
        <v>884</v>
      </c>
      <c r="I12" s="4"/>
      <c r="J12" s="2"/>
      <c r="K12" s="8"/>
      <c r="Q12" s="41"/>
      <c r="R12" s="4"/>
      <c r="S12" s="4"/>
      <c r="T12" s="41"/>
      <c r="U12" s="2"/>
      <c r="V12" s="54"/>
      <c r="W12" s="41"/>
      <c r="X12" s="41"/>
      <c r="Y12" s="3"/>
      <c r="Z12" s="41"/>
      <c r="AB12" s="3"/>
      <c r="AC12" s="3"/>
    </row>
    <row r="13" spans="1:29" ht="15" customHeight="1" x14ac:dyDescent="0.2">
      <c r="A13" s="4" t="s">
        <v>880</v>
      </c>
      <c r="C13" s="262" t="s">
        <v>14</v>
      </c>
      <c r="D13" s="262"/>
      <c r="E13" s="263"/>
      <c r="F13" s="192">
        <f>'LTS-6 Loads'!$M$2</f>
        <v>9.5</v>
      </c>
      <c r="G13" s="4" t="s">
        <v>22</v>
      </c>
      <c r="H13" s="4" t="s">
        <v>884</v>
      </c>
      <c r="I13" s="4"/>
      <c r="J13" s="2"/>
      <c r="K13" s="8"/>
      <c r="Q13" s="41"/>
      <c r="R13" s="4"/>
      <c r="S13" s="4"/>
      <c r="T13" s="41"/>
      <c r="U13" s="2"/>
      <c r="V13" s="54"/>
      <c r="W13" s="41"/>
      <c r="X13" s="41"/>
      <c r="Y13" s="3"/>
      <c r="Z13" s="41"/>
      <c r="AB13" s="3"/>
      <c r="AC13" s="3"/>
    </row>
    <row r="14" spans="1:29" ht="18.75" x14ac:dyDescent="0.35">
      <c r="A14" s="4" t="s">
        <v>881</v>
      </c>
      <c r="C14" s="262" t="s">
        <v>104</v>
      </c>
      <c r="D14" s="262"/>
      <c r="E14" s="263"/>
      <c r="F14" s="193">
        <f>'LTS-6 Loads'!$M$3</f>
        <v>900</v>
      </c>
      <c r="G14" s="4" t="s">
        <v>0</v>
      </c>
      <c r="H14" s="4" t="s">
        <v>884</v>
      </c>
      <c r="I14" s="4"/>
      <c r="J14" s="2"/>
      <c r="K14" s="8"/>
      <c r="Q14" s="41"/>
      <c r="R14" s="4"/>
      <c r="S14" s="4"/>
      <c r="T14" s="41"/>
      <c r="U14" s="2"/>
      <c r="V14" s="54"/>
      <c r="W14" s="41"/>
      <c r="X14" s="41"/>
      <c r="Y14" s="3"/>
      <c r="Z14" s="41"/>
      <c r="AB14" s="3"/>
      <c r="AC14" s="3"/>
    </row>
    <row r="15" spans="1:29" ht="15" customHeight="1" x14ac:dyDescent="0.2">
      <c r="A15" s="4" t="s">
        <v>887</v>
      </c>
      <c r="C15" s="268" t="s">
        <v>62</v>
      </c>
      <c r="D15" s="268"/>
      <c r="E15" s="269"/>
      <c r="F15" s="51">
        <f>'LTS-6 Loads'!D231</f>
        <v>13.220338983050846</v>
      </c>
      <c r="G15" s="4" t="s">
        <v>0</v>
      </c>
      <c r="H15" s="4"/>
      <c r="I15" s="4"/>
      <c r="J15" s="2"/>
      <c r="K15" s="8"/>
      <c r="Q15" s="41"/>
      <c r="R15" s="4"/>
      <c r="S15" s="4"/>
      <c r="T15" s="41"/>
      <c r="U15" s="2"/>
      <c r="V15" s="54"/>
      <c r="W15" s="41"/>
      <c r="X15" s="41"/>
      <c r="Y15" s="3"/>
      <c r="Z15" s="41"/>
      <c r="AB15" s="3"/>
      <c r="AC15" s="3"/>
    </row>
    <row r="16" spans="1:29" ht="18.75" x14ac:dyDescent="0.35">
      <c r="A16" s="4" t="s">
        <v>878</v>
      </c>
      <c r="C16" s="262" t="s">
        <v>877</v>
      </c>
      <c r="D16" s="262"/>
      <c r="E16" s="263"/>
      <c r="F16" s="51">
        <f>'LTS-6 Loads'!$N$231</f>
        <v>0.86502821791759066</v>
      </c>
      <c r="G16" s="4" t="s">
        <v>22</v>
      </c>
      <c r="H16" s="4" t="s">
        <v>883</v>
      </c>
      <c r="I16" s="4"/>
      <c r="J16" s="2"/>
      <c r="K16" s="154"/>
      <c r="L16" s="155"/>
      <c r="Q16" s="41"/>
      <c r="R16" s="4"/>
      <c r="S16" s="4"/>
      <c r="T16" s="41"/>
      <c r="U16" s="34"/>
      <c r="V16" s="179"/>
      <c r="W16" s="41"/>
      <c r="X16" s="41"/>
      <c r="Y16" s="3"/>
      <c r="Z16" s="41"/>
      <c r="AB16" s="3"/>
      <c r="AC16" s="3"/>
    </row>
    <row r="17" spans="1:29" ht="15" x14ac:dyDescent="0.25">
      <c r="A17" s="4" t="s">
        <v>960</v>
      </c>
      <c r="C17" s="268" t="s">
        <v>9</v>
      </c>
      <c r="D17" s="268"/>
      <c r="E17" s="269"/>
      <c r="F17" s="51">
        <f>'LTS-6 Loads'!$M$4</f>
        <v>1.1399999999999999</v>
      </c>
      <c r="G17" s="4" t="s">
        <v>22</v>
      </c>
      <c r="H17" s="4" t="s">
        <v>894</v>
      </c>
      <c r="I17" s="4"/>
      <c r="J17" s="2"/>
      <c r="K17" s="154"/>
      <c r="L17" s="155"/>
      <c r="Q17" s="41"/>
      <c r="R17" s="4"/>
      <c r="S17" s="4"/>
      <c r="T17" s="41"/>
      <c r="U17" s="34"/>
      <c r="V17" s="179"/>
      <c r="W17" s="41"/>
      <c r="X17" s="41"/>
      <c r="Y17" s="3"/>
      <c r="Z17" s="41"/>
      <c r="AB17" s="3"/>
      <c r="AC17" s="3"/>
    </row>
    <row r="18" spans="1:29" ht="15" customHeight="1" x14ac:dyDescent="0.2">
      <c r="A18" s="4" t="s">
        <v>10</v>
      </c>
      <c r="C18" s="262" t="s">
        <v>8</v>
      </c>
      <c r="D18" s="262"/>
      <c r="E18" s="263"/>
      <c r="F18" s="191">
        <f>'LTS-6 Loads'!$M$5</f>
        <v>85</v>
      </c>
      <c r="G18" s="4" t="s">
        <v>13</v>
      </c>
      <c r="H18" s="4" t="s">
        <v>882</v>
      </c>
      <c r="I18" s="4"/>
      <c r="J18" s="4"/>
      <c r="K18" s="31"/>
      <c r="Q18" s="41"/>
      <c r="R18" s="4"/>
      <c r="S18" s="4"/>
      <c r="T18" s="41"/>
      <c r="W18" s="41"/>
      <c r="X18" s="41"/>
      <c r="Y18" s="3"/>
      <c r="Z18" s="41"/>
      <c r="AB18" s="3"/>
      <c r="AC18" s="3"/>
    </row>
    <row r="19" spans="1:29" ht="15" customHeight="1" x14ac:dyDescent="0.2">
      <c r="A19" s="4" t="s">
        <v>961</v>
      </c>
      <c r="C19" s="262"/>
      <c r="D19" s="262"/>
      <c r="E19" s="263"/>
      <c r="F19" s="191">
        <f>'LTS-6 Loads'!$M$12</f>
        <v>0</v>
      </c>
      <c r="G19" s="4" t="s">
        <v>21</v>
      </c>
      <c r="H19" s="4" t="s">
        <v>965</v>
      </c>
      <c r="I19" s="4"/>
      <c r="J19" s="4"/>
      <c r="K19" s="31"/>
      <c r="Q19" s="41"/>
      <c r="R19" s="4"/>
      <c r="S19" s="4"/>
      <c r="T19" s="41"/>
      <c r="W19" s="41"/>
      <c r="X19" s="41"/>
      <c r="Y19" s="3"/>
      <c r="Z19" s="41"/>
      <c r="AB19" s="3"/>
      <c r="AC19" s="3"/>
    </row>
    <row r="20" spans="1:29" s="35" customFormat="1" ht="15" x14ac:dyDescent="0.2">
      <c r="A20" s="4" t="s">
        <v>962</v>
      </c>
      <c r="C20" s="262" t="s">
        <v>879</v>
      </c>
      <c r="D20" s="262"/>
      <c r="E20" s="263"/>
      <c r="F20" s="191" t="str">
        <f>'LTS-6 Loads'!$S$25</f>
        <v>II</v>
      </c>
      <c r="G20" s="4" t="s">
        <v>22</v>
      </c>
      <c r="H20" s="4"/>
      <c r="I20" s="4"/>
      <c r="J20" s="4"/>
      <c r="K20" s="153"/>
      <c r="L20" s="156"/>
      <c r="O20" s="132"/>
      <c r="P20" s="132"/>
      <c r="T20" s="41"/>
      <c r="U20" s="34"/>
      <c r="V20" s="179"/>
      <c r="W20" s="41"/>
      <c r="X20" s="41"/>
      <c r="Y20" s="3"/>
      <c r="Z20" s="41"/>
      <c r="AA20" s="4"/>
      <c r="AB20" s="3"/>
      <c r="AC20" s="3"/>
    </row>
    <row r="21" spans="1:29" s="81" customFormat="1" ht="18.75" x14ac:dyDescent="0.35">
      <c r="A21" s="4" t="s">
        <v>963</v>
      </c>
      <c r="C21" s="262" t="s">
        <v>110</v>
      </c>
      <c r="D21" s="262"/>
      <c r="E21" s="263"/>
      <c r="F21" s="43">
        <f>'LTS-6 Loads'!M6</f>
        <v>1</v>
      </c>
      <c r="G21" s="4" t="s">
        <v>22</v>
      </c>
      <c r="H21" s="4" t="s">
        <v>885</v>
      </c>
      <c r="I21" s="4"/>
      <c r="J21" s="4"/>
      <c r="K21" s="149"/>
      <c r="L21" s="132"/>
      <c r="M21" s="132"/>
      <c r="N21" s="35"/>
      <c r="O21" s="132"/>
      <c r="P21" s="132"/>
      <c r="Q21" s="132"/>
      <c r="R21" s="132"/>
      <c r="S21" s="132"/>
      <c r="T21" s="41"/>
      <c r="U21" s="2"/>
      <c r="V21" s="41"/>
      <c r="W21" s="41"/>
      <c r="X21" s="41"/>
      <c r="Y21" s="3"/>
      <c r="Z21" s="41"/>
      <c r="AA21" s="4"/>
      <c r="AB21" s="3"/>
      <c r="AC21" s="3"/>
    </row>
    <row r="22" spans="1:29" ht="18.75" customHeight="1" x14ac:dyDescent="0.35">
      <c r="A22" s="4" t="s">
        <v>964</v>
      </c>
      <c r="C22" s="262" t="s">
        <v>113</v>
      </c>
      <c r="D22" s="262"/>
      <c r="E22" s="263"/>
      <c r="F22" s="194">
        <f>'LTS-6 Loads'!M7</f>
        <v>1</v>
      </c>
      <c r="G22" s="4" t="s">
        <v>22</v>
      </c>
      <c r="H22" s="4" t="s">
        <v>885</v>
      </c>
      <c r="I22" s="4"/>
      <c r="J22" s="4"/>
      <c r="K22" s="154"/>
      <c r="L22" s="155"/>
      <c r="R22" s="41"/>
      <c r="S22" s="41"/>
      <c r="T22" s="41"/>
      <c r="U22" s="34"/>
      <c r="V22" s="179"/>
      <c r="W22" s="41"/>
      <c r="X22" s="41"/>
      <c r="Y22" s="3"/>
      <c r="Z22" s="41"/>
      <c r="AB22" s="3"/>
      <c r="AC22" s="3"/>
    </row>
    <row r="23" spans="1:29" ht="18.75" customHeight="1" x14ac:dyDescent="0.35">
      <c r="A23" s="4" t="s">
        <v>888</v>
      </c>
      <c r="C23" s="262" t="s">
        <v>892</v>
      </c>
      <c r="D23" s="262"/>
      <c r="E23" s="263"/>
      <c r="F23" s="194">
        <f>'LTS-6 Loads'!C11</f>
        <v>8</v>
      </c>
      <c r="G23" s="4" t="s">
        <v>21</v>
      </c>
      <c r="H23" s="4" t="s">
        <v>891</v>
      </c>
      <c r="I23" s="4"/>
      <c r="J23" s="4"/>
      <c r="K23" s="154"/>
      <c r="L23" s="155"/>
      <c r="R23" s="41"/>
      <c r="S23" s="41"/>
      <c r="T23" s="41"/>
      <c r="U23" s="34"/>
      <c r="V23" s="179"/>
      <c r="W23" s="41"/>
      <c r="X23" s="41"/>
      <c r="Y23" s="3"/>
      <c r="Z23" s="41"/>
      <c r="AB23" s="3"/>
      <c r="AC23" s="3"/>
    </row>
    <row r="24" spans="1:29" ht="18.75" customHeight="1" x14ac:dyDescent="0.35">
      <c r="A24" s="4" t="s">
        <v>889</v>
      </c>
      <c r="C24" s="262" t="s">
        <v>890</v>
      </c>
      <c r="D24" s="262"/>
      <c r="E24" s="263"/>
      <c r="F24" s="194">
        <f>'LTS-6 Loads'!C13</f>
        <v>3.8</v>
      </c>
      <c r="G24" s="4" t="s">
        <v>21</v>
      </c>
      <c r="H24" s="4" t="s">
        <v>891</v>
      </c>
      <c r="I24" s="4"/>
      <c r="J24" s="4"/>
      <c r="K24" s="154"/>
      <c r="L24" s="155"/>
      <c r="R24" s="41"/>
      <c r="S24" s="41"/>
      <c r="T24" s="41"/>
      <c r="U24" s="34"/>
      <c r="V24" s="179"/>
      <c r="W24" s="41"/>
      <c r="X24" s="41"/>
      <c r="Y24" s="3"/>
      <c r="Z24" s="41"/>
      <c r="AB24" s="3"/>
      <c r="AC24" s="3"/>
    </row>
    <row r="25" spans="1:29" ht="18.75" customHeight="1" x14ac:dyDescent="0.35">
      <c r="A25" s="4" t="s">
        <v>893</v>
      </c>
      <c r="C25" s="262" t="s">
        <v>632</v>
      </c>
      <c r="D25" s="262"/>
      <c r="E25" s="263"/>
      <c r="F25" s="51">
        <f>'LTS-6 Loads'!$T$231</f>
        <v>1.2</v>
      </c>
      <c r="G25" s="4" t="s">
        <v>22</v>
      </c>
      <c r="H25" s="4" t="s">
        <v>896</v>
      </c>
      <c r="I25" s="4"/>
      <c r="J25" s="4"/>
      <c r="O25" s="3"/>
      <c r="R25" s="41"/>
      <c r="T25" s="41"/>
      <c r="W25" s="41"/>
      <c r="X25" s="41"/>
      <c r="Y25" s="3"/>
      <c r="Z25" s="41"/>
      <c r="AB25" s="3"/>
      <c r="AC25" s="3"/>
    </row>
    <row r="26" spans="1:29" ht="18.75" x14ac:dyDescent="0.2">
      <c r="A26" s="4" t="s">
        <v>886</v>
      </c>
      <c r="C26" s="264" t="s">
        <v>899</v>
      </c>
      <c r="D26" s="264"/>
      <c r="E26" s="265"/>
      <c r="F26" s="51">
        <f>'LTS-6 Loads'!$C$18</f>
        <v>14.75</v>
      </c>
      <c r="G26" s="41" t="s">
        <v>121</v>
      </c>
      <c r="H26" s="4"/>
      <c r="I26" s="4"/>
      <c r="J26" s="4"/>
      <c r="T26" s="41"/>
      <c r="W26" s="41"/>
      <c r="X26" s="41"/>
      <c r="Y26" s="3"/>
      <c r="Z26" s="41"/>
      <c r="AB26" s="3"/>
      <c r="AC26" s="3"/>
    </row>
    <row r="27" spans="1:29" ht="18.75" x14ac:dyDescent="0.2">
      <c r="A27" s="4" t="s">
        <v>900</v>
      </c>
      <c r="C27" s="264" t="s">
        <v>901</v>
      </c>
      <c r="D27" s="264"/>
      <c r="E27" s="265"/>
      <c r="F27" s="43">
        <f>'LTS-6 Loads'!$I$231</f>
        <v>11.862046527777778</v>
      </c>
      <c r="G27" s="41" t="s">
        <v>121</v>
      </c>
      <c r="H27" s="4" t="s">
        <v>898</v>
      </c>
      <c r="I27" s="4"/>
      <c r="J27" s="4"/>
      <c r="R27" s="41"/>
      <c r="S27" s="41"/>
      <c r="T27" s="41"/>
      <c r="W27" s="41"/>
      <c r="X27" s="41"/>
      <c r="Y27" s="3"/>
      <c r="Z27" s="41"/>
      <c r="AB27" s="3"/>
      <c r="AC27" s="3"/>
    </row>
    <row r="28" spans="1:29" ht="18.75" x14ac:dyDescent="0.35">
      <c r="A28" s="4" t="s">
        <v>917</v>
      </c>
      <c r="C28" s="2"/>
      <c r="D28" s="2" t="s">
        <v>918</v>
      </c>
      <c r="E28" s="196"/>
      <c r="F28" s="43">
        <f>'LTS-6 Loads'!O231</f>
        <v>18.23950058720828</v>
      </c>
      <c r="G28" s="41" t="s">
        <v>6</v>
      </c>
      <c r="H28" s="4"/>
      <c r="I28" s="4"/>
      <c r="J28" s="4"/>
      <c r="R28" s="41"/>
      <c r="S28" s="41"/>
      <c r="T28" s="41"/>
      <c r="W28" s="41"/>
      <c r="X28" s="41"/>
      <c r="Y28" s="3"/>
      <c r="Z28" s="41"/>
      <c r="AB28" s="3"/>
      <c r="AC28" s="3"/>
    </row>
    <row r="29" spans="1:29" ht="18.75" x14ac:dyDescent="0.35">
      <c r="A29" s="4" t="s">
        <v>905</v>
      </c>
      <c r="C29" s="262" t="s">
        <v>919</v>
      </c>
      <c r="D29" s="262"/>
      <c r="E29" s="263"/>
      <c r="F29" s="42">
        <f>'LTS-6 Loads'!$X$231</f>
        <v>259.62936553067368</v>
      </c>
      <c r="G29" s="4" t="s">
        <v>7</v>
      </c>
      <c r="H29" s="4" t="s">
        <v>895</v>
      </c>
      <c r="I29" s="3"/>
      <c r="J29" s="4"/>
      <c r="T29" s="41"/>
      <c r="W29" s="41"/>
      <c r="X29" s="41"/>
      <c r="Y29" s="3"/>
      <c r="Z29" s="41"/>
      <c r="AB29" s="3"/>
      <c r="AC29" s="3"/>
    </row>
    <row r="30" spans="1:29" ht="18.75" x14ac:dyDescent="0.35">
      <c r="A30" s="4" t="s">
        <v>906</v>
      </c>
      <c r="C30" s="262" t="s">
        <v>920</v>
      </c>
      <c r="D30" s="262"/>
      <c r="E30" s="263"/>
      <c r="F30" s="42">
        <f>'LTS-6 Loads'!Y231</f>
        <v>314.61686817130953</v>
      </c>
      <c r="G30" s="4" t="s">
        <v>7</v>
      </c>
      <c r="H30" s="4" t="s">
        <v>895</v>
      </c>
      <c r="I30" s="3"/>
      <c r="J30" s="4"/>
      <c r="T30" s="41"/>
      <c r="W30" s="41"/>
      <c r="X30" s="41"/>
      <c r="Y30" s="3"/>
      <c r="Z30" s="41"/>
      <c r="AB30" s="3"/>
      <c r="AC30" s="3"/>
    </row>
    <row r="31" spans="1:29" ht="18.75" x14ac:dyDescent="0.2">
      <c r="A31" s="81" t="s">
        <v>897</v>
      </c>
      <c r="C31" s="264" t="s">
        <v>909</v>
      </c>
      <c r="D31" s="264"/>
      <c r="E31" s="265"/>
      <c r="F31" s="165">
        <f>'LTS-6 Loads'!$D$231</f>
        <v>13.220338983050846</v>
      </c>
      <c r="G31" s="132" t="s">
        <v>0</v>
      </c>
      <c r="H31" s="35"/>
      <c r="I31" s="35"/>
      <c r="J31" s="35"/>
      <c r="M31" s="133"/>
      <c r="Q31" s="4"/>
      <c r="S31" s="4"/>
      <c r="T31" s="41"/>
      <c r="W31" s="41"/>
      <c r="X31" s="41"/>
      <c r="Y31" s="3"/>
      <c r="Z31" s="41"/>
      <c r="AB31" s="3"/>
      <c r="AC31" s="3"/>
    </row>
    <row r="32" spans="1:29" ht="18.75" x14ac:dyDescent="0.2">
      <c r="A32" s="81" t="s">
        <v>902</v>
      </c>
      <c r="C32" s="264" t="s">
        <v>936</v>
      </c>
      <c r="D32" s="264"/>
      <c r="E32" s="265"/>
      <c r="F32" s="82">
        <f>'LTS-6 Loads'!$Z$231</f>
        <v>3432.3882222699231</v>
      </c>
      <c r="G32" s="81" t="s">
        <v>903</v>
      </c>
      <c r="H32" s="81"/>
      <c r="I32" s="81"/>
      <c r="J32" s="81"/>
      <c r="M32" s="4"/>
      <c r="N32" s="4"/>
      <c r="O32" s="4"/>
      <c r="Q32" s="4"/>
      <c r="S32" s="4"/>
      <c r="W32" s="4"/>
      <c r="X32" s="4"/>
    </row>
    <row r="33" spans="1:30" ht="18.75" x14ac:dyDescent="0.2">
      <c r="A33" s="81" t="s">
        <v>904</v>
      </c>
      <c r="C33" s="264" t="s">
        <v>935</v>
      </c>
      <c r="D33" s="264"/>
      <c r="E33" s="265"/>
      <c r="F33" s="82">
        <f>'LTS-6 Loads'!$AA$231</f>
        <v>4159.3416470105321</v>
      </c>
      <c r="G33" s="190" t="s">
        <v>903</v>
      </c>
      <c r="H33" s="4"/>
      <c r="I33" s="4"/>
      <c r="J33" s="4"/>
      <c r="K33" s="8"/>
      <c r="Q33" s="41"/>
      <c r="R33" s="4"/>
      <c r="T33" s="4"/>
      <c r="W33" s="4"/>
      <c r="X33" s="4"/>
    </row>
    <row r="34" spans="1:30" ht="15" thickBot="1" x14ac:dyDescent="0.25">
      <c r="A34" s="81"/>
      <c r="B34" s="9"/>
      <c r="C34" s="195"/>
      <c r="D34" s="81"/>
      <c r="G34" s="4"/>
      <c r="H34" s="3"/>
      <c r="I34" s="4"/>
      <c r="J34" s="2"/>
      <c r="K34" s="19"/>
      <c r="W34" s="4"/>
      <c r="X34" s="4"/>
    </row>
    <row r="35" spans="1:30" ht="15" x14ac:dyDescent="0.25">
      <c r="A35" s="136" t="s">
        <v>944</v>
      </c>
      <c r="B35" s="221" t="s">
        <v>601</v>
      </c>
      <c r="C35" s="221" t="s">
        <v>582</v>
      </c>
      <c r="D35" s="221" t="s">
        <v>583</v>
      </c>
      <c r="E35" s="246" t="s">
        <v>624</v>
      </c>
      <c r="F35" s="244"/>
      <c r="G35" s="246" t="s">
        <v>623</v>
      </c>
      <c r="H35" s="244"/>
      <c r="I35" s="247" t="s">
        <v>618</v>
      </c>
      <c r="J35" s="248"/>
      <c r="K35" s="246" t="s">
        <v>584</v>
      </c>
      <c r="L35" s="244"/>
      <c r="M35" s="221" t="s">
        <v>585</v>
      </c>
      <c r="N35" s="222" t="s">
        <v>594</v>
      </c>
      <c r="AB35" s="132"/>
      <c r="AC35" s="132"/>
      <c r="AD35" s="132"/>
    </row>
    <row r="36" spans="1:30" ht="15" x14ac:dyDescent="0.25">
      <c r="A36" s="219" t="s">
        <v>958</v>
      </c>
      <c r="B36" s="91" t="s">
        <v>49</v>
      </c>
      <c r="C36" s="91" t="s">
        <v>586</v>
      </c>
      <c r="D36" s="91" t="s">
        <v>817</v>
      </c>
      <c r="E36" s="91" t="s">
        <v>588</v>
      </c>
      <c r="F36" s="91" t="s">
        <v>589</v>
      </c>
      <c r="G36" s="91" t="s">
        <v>588</v>
      </c>
      <c r="H36" s="91" t="s">
        <v>589</v>
      </c>
      <c r="I36" s="91" t="s">
        <v>588</v>
      </c>
      <c r="J36" s="91" t="s">
        <v>589</v>
      </c>
      <c r="K36" s="91" t="s">
        <v>588</v>
      </c>
      <c r="L36" s="91" t="s">
        <v>589</v>
      </c>
      <c r="M36" s="91"/>
      <c r="N36" s="92" t="s">
        <v>602</v>
      </c>
      <c r="AB36" s="132"/>
      <c r="AC36" s="132"/>
    </row>
    <row r="37" spans="1:30" ht="18.75" x14ac:dyDescent="0.2">
      <c r="A37" s="100"/>
      <c r="B37" s="94" t="s">
        <v>7</v>
      </c>
      <c r="C37" s="94" t="s">
        <v>590</v>
      </c>
      <c r="D37" s="94" t="s">
        <v>0</v>
      </c>
      <c r="E37" s="94" t="s">
        <v>0</v>
      </c>
      <c r="F37" s="94" t="s">
        <v>0</v>
      </c>
      <c r="G37" s="94" t="s">
        <v>622</v>
      </c>
      <c r="H37" s="94" t="s">
        <v>622</v>
      </c>
      <c r="I37" s="126" t="s">
        <v>121</v>
      </c>
      <c r="J37" s="94" t="s">
        <v>121</v>
      </c>
      <c r="K37" s="94" t="s">
        <v>0</v>
      </c>
      <c r="L37" s="94" t="s">
        <v>0</v>
      </c>
      <c r="M37" s="94"/>
      <c r="N37" s="198" t="s">
        <v>107</v>
      </c>
      <c r="AB37" s="132"/>
      <c r="AC37" s="132"/>
    </row>
    <row r="38" spans="1:30" x14ac:dyDescent="0.2">
      <c r="A38" s="115" t="str">
        <f>'LTS-6 Loads'!A231</f>
        <v>Pole</v>
      </c>
      <c r="B38" s="95">
        <f>'LTS-6 Loads'!B231</f>
        <v>302.26242154617563</v>
      </c>
      <c r="C38" s="95" t="str">
        <f>'LTS-6 Loads'!C231</f>
        <v>E</v>
      </c>
      <c r="D38" s="95">
        <f>'LTS-6 Loads'!D231</f>
        <v>13.220338983050846</v>
      </c>
      <c r="E38" s="95">
        <f>'LTS-6 Loads'!E231</f>
        <v>0</v>
      </c>
      <c r="F38" s="95">
        <f>'LTS-6 Loads'!F231</f>
        <v>0</v>
      </c>
      <c r="G38" s="95">
        <f>'LTS-6 Loads'!G231</f>
        <v>0</v>
      </c>
      <c r="H38" s="95">
        <f>'LTS-6 Loads'!H231</f>
        <v>0</v>
      </c>
      <c r="I38" s="95">
        <f>'LTS-6 Loads'!I231</f>
        <v>11.862046527777778</v>
      </c>
      <c r="J38" s="95">
        <f>'LTS-6 Loads'!J231</f>
        <v>14.374336743625744</v>
      </c>
      <c r="K38" s="95">
        <f>'LTS-6 Loads'!K231</f>
        <v>0.66666666666666663</v>
      </c>
      <c r="L38" s="95">
        <f>'LTS-6 Loads'!L231</f>
        <v>0.66666666666666663</v>
      </c>
      <c r="M38" s="95" t="str">
        <f>'LTS-6 Loads'!M231</f>
        <v>Octag.</v>
      </c>
      <c r="N38" s="199">
        <f>'LTS-6 Loads'!N231</f>
        <v>0.86502821791759066</v>
      </c>
      <c r="AB38" s="132"/>
      <c r="AC38" s="132"/>
    </row>
    <row r="39" spans="1:30" x14ac:dyDescent="0.2">
      <c r="A39" s="114" t="str">
        <f>'LTS-6 Loads'!A232</f>
        <v>Luminaire</v>
      </c>
      <c r="B39" s="95">
        <f>'LTS-6 Loads'!B232</f>
        <v>30.250000000000004</v>
      </c>
      <c r="C39" s="95" t="str">
        <f>'LTS-6 Loads'!C232</f>
        <v>E</v>
      </c>
      <c r="D39" s="95">
        <f>'LTS-6 Loads'!D232</f>
        <v>31.583333333333332</v>
      </c>
      <c r="E39" s="95">
        <f>'LTS-6 Loads'!E232</f>
        <v>0</v>
      </c>
      <c r="F39" s="95">
        <f>'LTS-6 Loads'!F232</f>
        <v>9.3791666666666664</v>
      </c>
      <c r="G39" s="95">
        <f>'LTS-6 Loads'!G232</f>
        <v>0</v>
      </c>
      <c r="H39" s="95">
        <f>'LTS-6 Loads'!H232</f>
        <v>283.71979166666671</v>
      </c>
      <c r="I39" s="95">
        <f>'LTS-6 Loads'!I232</f>
        <v>1.0803472222222221</v>
      </c>
      <c r="J39" s="95">
        <f>'LTS-6 Loads'!J232</f>
        <v>0.34597222222222218</v>
      </c>
      <c r="K39" s="95">
        <f>'LTS-6 Loads'!K232</f>
        <v>0.8833333333333333</v>
      </c>
      <c r="L39" s="95">
        <f>'LTS-6 Loads'!L232</f>
        <v>2.7583333333333333</v>
      </c>
      <c r="M39" s="95" t="str">
        <f>'LTS-6 Loads'!M232</f>
        <v>Flat</v>
      </c>
      <c r="N39" s="199">
        <f>'LTS-6 Loads'!N232</f>
        <v>0.99294599120745508</v>
      </c>
      <c r="AB39" s="132"/>
      <c r="AC39" s="132"/>
    </row>
    <row r="40" spans="1:30" x14ac:dyDescent="0.2">
      <c r="A40" s="114" t="str">
        <f>'LTS-6 Loads'!A233</f>
        <v>Mast Arm</v>
      </c>
      <c r="B40" s="95">
        <f>'LTS-6 Loads'!B233</f>
        <v>42.226163986352546</v>
      </c>
      <c r="C40" s="95" t="str">
        <f>'LTS-6 Loads'!C233</f>
        <v>E</v>
      </c>
      <c r="D40" s="95">
        <f>'LTS-6 Loads'!D233</f>
        <v>30.959999999999997</v>
      </c>
      <c r="E40" s="95">
        <f>'LTS-6 Loads'!E233</f>
        <v>0</v>
      </c>
      <c r="F40" s="95">
        <f>'LTS-6 Loads'!F233</f>
        <v>4</v>
      </c>
      <c r="G40" s="95">
        <f>'LTS-6 Loads'!G233</f>
        <v>0</v>
      </c>
      <c r="H40" s="95">
        <f>'LTS-6 Loads'!H233</f>
        <v>168.90465594541018</v>
      </c>
      <c r="I40" s="95">
        <f>'LTS-6 Loads'!I233</f>
        <v>1.9395250000000002</v>
      </c>
      <c r="J40" s="95">
        <f>'LTS-6 Loads'!J233</f>
        <v>1.7327604166666668</v>
      </c>
      <c r="K40" s="95">
        <f>'LTS-6 Loads'!K233</f>
        <v>0.19791666666666666</v>
      </c>
      <c r="L40" s="95">
        <f>'LTS-6 Loads'!L233</f>
        <v>0.19791666666666666</v>
      </c>
      <c r="M40" s="95" t="str">
        <f>'LTS-6 Loads'!M233</f>
        <v>Round</v>
      </c>
      <c r="N40" s="199">
        <f>'LTS-6 Loads'!N233</f>
        <v>0.98878779694233587</v>
      </c>
      <c r="AB40" s="132"/>
      <c r="AC40" s="132"/>
    </row>
    <row r="41" spans="1:30" x14ac:dyDescent="0.2">
      <c r="A41" s="114" t="str">
        <f>'LTS-6 Loads'!A234</f>
        <v>Radio/Antenna (2)</v>
      </c>
      <c r="B41" s="95">
        <f>'LTS-6 Loads'!B234</f>
        <v>50</v>
      </c>
      <c r="C41" s="95" t="str">
        <f>'LTS-6 Loads'!C234</f>
        <v>P</v>
      </c>
      <c r="D41" s="95">
        <f>'LTS-6 Loads'!D234</f>
        <v>25.375</v>
      </c>
      <c r="E41" s="95">
        <f>'LTS-6 Loads'!E234</f>
        <v>0</v>
      </c>
      <c r="F41" s="95">
        <f>'LTS-6 Loads'!F234</f>
        <v>0.72697916666666662</v>
      </c>
      <c r="G41" s="95">
        <f>'LTS-6 Loads'!G234</f>
        <v>0</v>
      </c>
      <c r="H41" s="95">
        <f>'LTS-6 Loads'!H234</f>
        <v>36.348958333333329</v>
      </c>
      <c r="I41" s="95">
        <f>'LTS-6 Loads'!I234</f>
        <v>1.2148101902594866</v>
      </c>
      <c r="J41" s="95">
        <f>'LTS-6 Loads'!J234</f>
        <v>1.3749463044151784</v>
      </c>
      <c r="K41" s="95">
        <f>'LTS-6 Loads'!K234</f>
        <v>0.66666666666666663</v>
      </c>
      <c r="L41" s="95">
        <f>'LTS-6 Loads'!L234</f>
        <v>0.41666666666666669</v>
      </c>
      <c r="M41" s="95" t="str">
        <f>'LTS-6 Loads'!M234</f>
        <v>Flat</v>
      </c>
      <c r="N41" s="199">
        <f>'LTS-6 Loads'!N234</f>
        <v>0.94823219728985098</v>
      </c>
      <c r="AB41" s="132"/>
      <c r="AC41" s="132"/>
    </row>
    <row r="42" spans="1:30" x14ac:dyDescent="0.2">
      <c r="A42" s="114" t="str">
        <f>'LTS-6 Loads'!A235</f>
        <v>Radio/Antenna (3)</v>
      </c>
      <c r="B42" s="95">
        <f>'LTS-6 Loads'!B235</f>
        <v>50</v>
      </c>
      <c r="C42" s="95" t="str">
        <f>'LTS-6 Loads'!C235</f>
        <v>P</v>
      </c>
      <c r="D42" s="95">
        <f>'LTS-6 Loads'!D235</f>
        <v>25.375</v>
      </c>
      <c r="E42" s="95">
        <f>'LTS-6 Loads'!E235</f>
        <v>0</v>
      </c>
      <c r="F42" s="95">
        <f>'LTS-6 Loads'!F235</f>
        <v>0.72697916666666662</v>
      </c>
      <c r="G42" s="95">
        <f>'LTS-6 Loads'!G235</f>
        <v>0</v>
      </c>
      <c r="H42" s="95">
        <f>'LTS-6 Loads'!H235</f>
        <v>36.348958333333329</v>
      </c>
      <c r="I42" s="95">
        <f>'LTS-6 Loads'!I235</f>
        <v>1.2148101902594866</v>
      </c>
      <c r="J42" s="95">
        <f>'LTS-6 Loads'!J235</f>
        <v>1.3749463044151784</v>
      </c>
      <c r="K42" s="95">
        <f>'LTS-6 Loads'!K235</f>
        <v>0.66666666666666663</v>
      </c>
      <c r="L42" s="95">
        <f>'LTS-6 Loads'!L235</f>
        <v>0.41666666666666669</v>
      </c>
      <c r="M42" s="95" t="str">
        <f>'LTS-6 Loads'!M235</f>
        <v>Flat</v>
      </c>
      <c r="N42" s="199">
        <f>'LTS-6 Loads'!N235</f>
        <v>0.94823219728985098</v>
      </c>
      <c r="AB42" s="132"/>
      <c r="AC42" s="132"/>
    </row>
    <row r="43" spans="1:30" x14ac:dyDescent="0.2">
      <c r="A43" s="114" t="str">
        <f>'LTS-6 Loads'!A236</f>
        <v>Sign (bottom)</v>
      </c>
      <c r="B43" s="95">
        <f>'LTS-6 Loads'!B236</f>
        <v>12.463750000000001</v>
      </c>
      <c r="C43" s="95" t="str">
        <f>'LTS-6 Loads'!C236</f>
        <v>E</v>
      </c>
      <c r="D43" s="95">
        <f>'LTS-6 Loads'!D236</f>
        <v>9.4583333333333339</v>
      </c>
      <c r="E43" s="95">
        <f>'LTS-6 Loads'!E236</f>
        <v>1.4031597222222221</v>
      </c>
      <c r="F43" s="95">
        <f>'LTS-6 Loads'!F236</f>
        <v>0</v>
      </c>
      <c r="G43" s="95">
        <f>'LTS-6 Loads'!G236</f>
        <v>17.488631987847221</v>
      </c>
      <c r="H43" s="95">
        <f>'LTS-6 Loads'!H236</f>
        <v>0</v>
      </c>
      <c r="I43" s="95">
        <f>'LTS-6 Loads'!I236</f>
        <v>11.0625</v>
      </c>
      <c r="J43" s="95">
        <f>'LTS-6 Loads'!J236</f>
        <v>3.2777777777777781E-2</v>
      </c>
      <c r="K43" s="95">
        <f>'LTS-6 Loads'!K236</f>
        <v>6.6666666666666671E-3</v>
      </c>
      <c r="L43" s="95">
        <f>'LTS-6 Loads'!L236</f>
        <v>2.25</v>
      </c>
      <c r="M43" s="95" t="str">
        <f>'LTS-6 Loads'!M236</f>
        <v>Flat</v>
      </c>
      <c r="N43" s="199">
        <f>'LTS-6 Loads'!N236</f>
        <v>0.86502821791759066</v>
      </c>
      <c r="AB43" s="132"/>
      <c r="AC43" s="132"/>
    </row>
    <row r="44" spans="1:30" x14ac:dyDescent="0.2">
      <c r="A44" s="114" t="str">
        <f>'LTS-6 Loads'!A237</f>
        <v>Sign (banner)</v>
      </c>
      <c r="B44" s="95">
        <f>'LTS-6 Loads'!B237</f>
        <v>0.61614583333333339</v>
      </c>
      <c r="C44" s="95" t="str">
        <f>'LTS-6 Loads'!C237</f>
        <v>E</v>
      </c>
      <c r="D44" s="95">
        <f>'LTS-6 Loads'!D237</f>
        <v>19.583333333333332</v>
      </c>
      <c r="E44" s="95">
        <f>'LTS-6 Loads'!E237</f>
        <v>0</v>
      </c>
      <c r="F44" s="95">
        <f>'LTS-6 Loads'!F237</f>
        <v>0.53159722222222217</v>
      </c>
      <c r="G44" s="95">
        <f>'LTS-6 Loads'!G237</f>
        <v>0</v>
      </c>
      <c r="H44" s="95">
        <f>'LTS-6 Loads'!H237</f>
        <v>0.32754141348379628</v>
      </c>
      <c r="I44" s="95">
        <f>'LTS-6 Loads'!I237</f>
        <v>5.8333333333333327E-3</v>
      </c>
      <c r="J44" s="95">
        <f>'LTS-6 Loads'!J237</f>
        <v>4.375</v>
      </c>
      <c r="K44" s="95">
        <f>'LTS-6 Loads'!K237</f>
        <v>8.3333333333333339E-4</v>
      </c>
      <c r="L44" s="95">
        <f>'LTS-6 Loads'!L237</f>
        <v>0.625</v>
      </c>
      <c r="M44" s="95" t="str">
        <f>'LTS-6 Loads'!M237</f>
        <v>Flat</v>
      </c>
      <c r="N44" s="199">
        <f>'LTS-6 Loads'!N237</f>
        <v>0.89789674191093283</v>
      </c>
      <c r="AB44" s="132"/>
      <c r="AC44" s="132"/>
    </row>
    <row r="45" spans="1:30" s="81" customFormat="1" x14ac:dyDescent="0.2">
      <c r="A45" s="114" t="str">
        <f>'LTS-6 Loads'!A238</f>
        <v>Smart Meter</v>
      </c>
      <c r="B45" s="95">
        <f>'LTS-6 Loads'!B238</f>
        <v>5</v>
      </c>
      <c r="C45" s="95" t="str">
        <f>'LTS-6 Loads'!C238</f>
        <v>P</v>
      </c>
      <c r="D45" s="95">
        <f>'LTS-6 Loads'!D238</f>
        <v>10.125</v>
      </c>
      <c r="E45" s="95">
        <f>'LTS-6 Loads'!E238</f>
        <v>0.4617708333333333</v>
      </c>
      <c r="F45" s="95">
        <f>'LTS-6 Loads'!F238</f>
        <v>0</v>
      </c>
      <c r="G45" s="95">
        <f>'LTS-6 Loads'!G238</f>
        <v>2.3088541666666664</v>
      </c>
      <c r="H45" s="95">
        <f>'LTS-6 Loads'!H238</f>
        <v>0</v>
      </c>
      <c r="I45" s="95">
        <f>'LTS-6 Loads'!I238</f>
        <v>9.375E-2</v>
      </c>
      <c r="J45" s="95">
        <f>'LTS-6 Loads'!J238</f>
        <v>9.375E-2</v>
      </c>
      <c r="K45" s="95">
        <f>'LTS-6 Loads'!K238</f>
        <v>0.4617708333333333</v>
      </c>
      <c r="L45" s="95">
        <f>'LTS-6 Loads'!L238</f>
        <v>0.4617708333333333</v>
      </c>
      <c r="M45" s="95" t="str">
        <f>'LTS-6 Loads'!M238</f>
        <v>Flat</v>
      </c>
      <c r="N45" s="199">
        <f>'LTS-6 Loads'!N238</f>
        <v>0.86502821791759066</v>
      </c>
      <c r="AB45" s="132"/>
      <c r="AC45" s="132"/>
    </row>
    <row r="46" spans="1:30" s="81" customFormat="1" x14ac:dyDescent="0.2">
      <c r="A46" s="114" t="str">
        <f>'LTS-6 Loads'!A239</f>
        <v>Radio/Antenna (1)</v>
      </c>
      <c r="B46" s="95">
        <f>'LTS-6 Loads'!B239</f>
        <v>50</v>
      </c>
      <c r="C46" s="95" t="str">
        <f>'LTS-6 Loads'!C239</f>
        <v>P</v>
      </c>
      <c r="D46" s="95">
        <f>'LTS-6 Loads'!D239</f>
        <v>25.375</v>
      </c>
      <c r="E46" s="95">
        <f>'LTS-6 Loads'!E239</f>
        <v>0.72697916666666662</v>
      </c>
      <c r="F46" s="95">
        <f>'LTS-6 Loads'!F239</f>
        <v>0</v>
      </c>
      <c r="G46" s="95">
        <f>'LTS-6 Loads'!G239</f>
        <v>36.348958333333329</v>
      </c>
      <c r="H46" s="95">
        <f>'LTS-6 Loads'!H239</f>
        <v>0</v>
      </c>
      <c r="I46" s="95">
        <f>'LTS-6 Loads'!I239</f>
        <v>1.1666666666666665</v>
      </c>
      <c r="J46" s="95">
        <f>'LTS-6 Loads'!J239</f>
        <v>0.72916666666666674</v>
      </c>
      <c r="K46" s="95">
        <f>'LTS-6 Loads'!K239</f>
        <v>0.41666666666666669</v>
      </c>
      <c r="L46" s="95">
        <f>'LTS-6 Loads'!L239</f>
        <v>0.66666666666666663</v>
      </c>
      <c r="M46" s="95" t="str">
        <f>'LTS-6 Loads'!M239</f>
        <v>Flat</v>
      </c>
      <c r="N46" s="199">
        <f>'LTS-6 Loads'!N239</f>
        <v>0.94823219728985098</v>
      </c>
      <c r="AB46" s="132"/>
      <c r="AC46" s="132"/>
    </row>
    <row r="47" spans="1:30" s="81" customFormat="1" x14ac:dyDescent="0.2">
      <c r="A47" s="114" t="str">
        <f>'LTS-6 Loads'!A240</f>
        <v>Disconnect</v>
      </c>
      <c r="B47" s="95">
        <f>'LTS-6 Loads'!B240</f>
        <v>6</v>
      </c>
      <c r="C47" s="95" t="str">
        <f>'LTS-6 Loads'!C240</f>
        <v>P</v>
      </c>
      <c r="D47" s="95">
        <f>'LTS-6 Loads'!D240</f>
        <v>9.5495833333333326</v>
      </c>
      <c r="E47" s="95">
        <f>'LTS-6 Loads'!E240</f>
        <v>0.43387743055555555</v>
      </c>
      <c r="F47" s="95">
        <f>'LTS-6 Loads'!F240</f>
        <v>0</v>
      </c>
      <c r="G47" s="95">
        <f>'LTS-6 Loads'!G240</f>
        <v>2.6032645833333334</v>
      </c>
      <c r="H47" s="95">
        <f>'LTS-6 Loads'!H240</f>
        <v>0</v>
      </c>
      <c r="I47" s="95">
        <f>'LTS-6 Loads'!I240</f>
        <v>0.47894305555555555</v>
      </c>
      <c r="J47" s="95">
        <f>'LTS-6 Loads'!J240</f>
        <v>0.28151041666666665</v>
      </c>
      <c r="K47" s="95">
        <f>'LTS-6 Loads'!K240</f>
        <v>0.3125</v>
      </c>
      <c r="L47" s="95">
        <f>'LTS-6 Loads'!L240</f>
        <v>0.53166666666666662</v>
      </c>
      <c r="M47" s="95" t="str">
        <f>'LTS-6 Loads'!M240</f>
        <v>Flat</v>
      </c>
      <c r="N47" s="199">
        <f>'LTS-6 Loads'!N240</f>
        <v>0.86502821791759066</v>
      </c>
      <c r="AB47" s="132"/>
      <c r="AC47" s="132"/>
    </row>
    <row r="48" spans="1:30" s="81" customFormat="1" x14ac:dyDescent="0.25">
      <c r="A48" s="100"/>
      <c r="N48" s="224"/>
      <c r="O48" s="132"/>
      <c r="P48" s="132"/>
      <c r="Q48" s="132"/>
      <c r="R48" s="132"/>
      <c r="S48" s="132"/>
      <c r="T48" s="132"/>
      <c r="U48" s="132"/>
      <c r="V48" s="132"/>
      <c r="W48" s="132"/>
      <c r="X48" s="132"/>
      <c r="Y48" s="132"/>
      <c r="Z48" s="132"/>
      <c r="AA48" s="132"/>
    </row>
    <row r="49" spans="1:27" ht="18.75" x14ac:dyDescent="0.35">
      <c r="A49" s="200"/>
      <c r="B49" s="91" t="s">
        <v>599</v>
      </c>
      <c r="C49" s="261" t="s">
        <v>915</v>
      </c>
      <c r="D49" s="261"/>
      <c r="E49" s="261" t="s">
        <v>628</v>
      </c>
      <c r="F49" s="261"/>
      <c r="G49" s="260" t="s">
        <v>595</v>
      </c>
      <c r="H49" s="260"/>
      <c r="I49" s="260" t="s">
        <v>617</v>
      </c>
      <c r="J49" s="260"/>
      <c r="K49" s="260" t="s">
        <v>907</v>
      </c>
      <c r="L49" s="260"/>
      <c r="M49" s="260" t="s">
        <v>908</v>
      </c>
      <c r="N49" s="267"/>
      <c r="O49" s="132"/>
      <c r="P49" s="132"/>
      <c r="Q49" s="132"/>
      <c r="R49" s="132"/>
      <c r="S49" s="132"/>
      <c r="T49" s="132"/>
      <c r="U49" s="132"/>
      <c r="V49" s="132"/>
      <c r="W49" s="132"/>
      <c r="X49" s="132"/>
      <c r="Y49" s="132"/>
      <c r="Z49" s="132" t="str">
        <f>'LTS-6 Loads'!Z243</f>
        <v>port hole at L =</v>
      </c>
      <c r="AA49" s="132"/>
    </row>
    <row r="50" spans="1:27" x14ac:dyDescent="0.2">
      <c r="A50" s="90"/>
      <c r="B50" s="91" t="s">
        <v>600</v>
      </c>
      <c r="C50" s="91" t="s">
        <v>588</v>
      </c>
      <c r="D50" s="91" t="s">
        <v>589</v>
      </c>
      <c r="E50" s="91" t="s">
        <v>588</v>
      </c>
      <c r="F50" s="91" t="s">
        <v>589</v>
      </c>
      <c r="G50" s="91" t="s">
        <v>588</v>
      </c>
      <c r="H50" s="91" t="s">
        <v>589</v>
      </c>
      <c r="I50" s="91" t="s">
        <v>588</v>
      </c>
      <c r="J50" s="91" t="s">
        <v>589</v>
      </c>
      <c r="K50" s="91" t="s">
        <v>588</v>
      </c>
      <c r="L50" s="118" t="s">
        <v>589</v>
      </c>
      <c r="M50" s="91" t="s">
        <v>588</v>
      </c>
      <c r="N50" s="92" t="s">
        <v>589</v>
      </c>
      <c r="P50" s="3"/>
      <c r="Z50" s="41"/>
      <c r="AA50" s="41"/>
    </row>
    <row r="51" spans="1:27" ht="18.75" x14ac:dyDescent="0.2">
      <c r="A51" s="100"/>
      <c r="B51" s="94" t="s">
        <v>6</v>
      </c>
      <c r="C51" s="94"/>
      <c r="D51" s="94"/>
      <c r="E51" s="94"/>
      <c r="F51" s="94"/>
      <c r="G51" s="127" t="s">
        <v>632</v>
      </c>
      <c r="H51" s="127" t="s">
        <v>632</v>
      </c>
      <c r="I51" s="94" t="s">
        <v>121</v>
      </c>
      <c r="J51" s="94" t="s">
        <v>121</v>
      </c>
      <c r="K51" s="94" t="s">
        <v>7</v>
      </c>
      <c r="L51" s="119" t="s">
        <v>7</v>
      </c>
      <c r="M51" s="94" t="s">
        <v>622</v>
      </c>
      <c r="N51" s="98" t="s">
        <v>622</v>
      </c>
      <c r="P51" s="3"/>
      <c r="T51" s="41"/>
      <c r="U51" s="41"/>
      <c r="X51" s="41"/>
      <c r="Z51" s="41"/>
      <c r="AA51" s="41"/>
    </row>
    <row r="52" spans="1:27" x14ac:dyDescent="0.2">
      <c r="A52" s="115" t="str">
        <f>'LTS-6 Loads'!A231</f>
        <v>Pole</v>
      </c>
      <c r="B52" s="95">
        <f>'LTS-6 Loads'!O231</f>
        <v>18.23950058720828</v>
      </c>
      <c r="C52" s="95">
        <f>'LTS-6 Loads'!P231</f>
        <v>45</v>
      </c>
      <c r="D52" s="95">
        <f>'LTS-6 Loads'!Q231</f>
        <v>45</v>
      </c>
      <c r="E52" s="95">
        <f>'LTS-6 Loads'!R231</f>
        <v>56.666666666666664</v>
      </c>
      <c r="F52" s="95">
        <f>'LTS-6 Loads'!S231</f>
        <v>56.666666666666664</v>
      </c>
      <c r="G52" s="95">
        <f>'LTS-6 Loads'!T231</f>
        <v>1.2</v>
      </c>
      <c r="H52" s="95">
        <f>'LTS-6 Loads'!U231</f>
        <v>1.2</v>
      </c>
      <c r="I52" s="95">
        <f>'LTS-6 Loads'!V231</f>
        <v>14.234455833333334</v>
      </c>
      <c r="J52" s="95">
        <f>'LTS-6 Loads'!W231</f>
        <v>17.24920409235089</v>
      </c>
      <c r="K52" s="95">
        <f>'LTS-6 Loads'!X231</f>
        <v>259.62936553067368</v>
      </c>
      <c r="L52" s="95">
        <f>'LTS-6 Loads'!Y231</f>
        <v>314.61686817130953</v>
      </c>
      <c r="M52" s="197">
        <f>'LTS-6 Loads'!Z231</f>
        <v>3432.3882222699231</v>
      </c>
      <c r="N52" s="201">
        <f>'LTS-6 Loads'!AA231</f>
        <v>4159.3416470105321</v>
      </c>
      <c r="P52" s="3"/>
      <c r="S52" s="41"/>
      <c r="T52" s="41"/>
      <c r="U52" s="41"/>
      <c r="X52" s="41"/>
      <c r="Z52" s="41"/>
      <c r="AA52" s="41"/>
    </row>
    <row r="53" spans="1:27" x14ac:dyDescent="0.2">
      <c r="A53" s="115" t="str">
        <f>'LTS-6 Loads'!A232</f>
        <v>Luminaire</v>
      </c>
      <c r="B53" s="95">
        <f>'LTS-6 Loads'!O232</f>
        <v>20.936703120845323</v>
      </c>
      <c r="C53" s="95">
        <f>'LTS-6 Loads'!P232</f>
        <v>7.042553191489362</v>
      </c>
      <c r="D53" s="95">
        <f>'LTS-6 Loads'!Q232</f>
        <v>2.2553191489361701</v>
      </c>
      <c r="E53" s="95">
        <f>'LTS-6 Loads'!R232</f>
        <v>75.083333333333329</v>
      </c>
      <c r="F53" s="95">
        <f>'LTS-6 Loads'!S232</f>
        <v>234.45833333333334</v>
      </c>
      <c r="G53" s="95">
        <f>'LTS-6 Loads'!T232</f>
        <v>1.2</v>
      </c>
      <c r="H53" s="95">
        <f>'LTS-6 Loads'!U232</f>
        <v>1.2</v>
      </c>
      <c r="I53" s="95">
        <f>'LTS-6 Loads'!V232</f>
        <v>1.2964166666666666</v>
      </c>
      <c r="J53" s="95">
        <f>'LTS-6 Loads'!W232</f>
        <v>0.41516666666666663</v>
      </c>
      <c r="K53" s="95">
        <f>'LTS-6 Loads'!X232</f>
        <v>27.142690870915889</v>
      </c>
      <c r="L53" s="95">
        <f>'LTS-6 Loads'!Y232</f>
        <v>8.6922212456709484</v>
      </c>
      <c r="M53" s="197">
        <f>'LTS-6 Loads'!Z232</f>
        <v>857.25665333976008</v>
      </c>
      <c r="N53" s="201">
        <f>'LTS-6 Loads'!AA232</f>
        <v>274.52932100910743</v>
      </c>
      <c r="P53" s="3"/>
      <c r="S53" s="41"/>
      <c r="T53" s="41"/>
      <c r="U53" s="41"/>
      <c r="V53" s="4"/>
      <c r="X53" s="4"/>
      <c r="Z53" s="41"/>
      <c r="AA53" s="41"/>
    </row>
    <row r="54" spans="1:27" x14ac:dyDescent="0.2">
      <c r="A54" s="115" t="str">
        <f>'LTS-6 Loads'!A233</f>
        <v>Mast Arm</v>
      </c>
      <c r="B54" s="95">
        <f>'LTS-6 Loads'!O233</f>
        <v>20.849025765159805</v>
      </c>
      <c r="C54" s="95">
        <f>'LTS-6 Loads'!P233</f>
        <v>44.235789473684214</v>
      </c>
      <c r="D54" s="95">
        <f>'LTS-6 Loads'!Q233</f>
        <v>1</v>
      </c>
      <c r="E54" s="95">
        <f>'LTS-6 Loads'!R233</f>
        <v>16.822916666666664</v>
      </c>
      <c r="F54" s="95">
        <f>'LTS-6 Loads'!S233</f>
        <v>16.822916666666664</v>
      </c>
      <c r="G54" s="95">
        <f>'LTS-6 Loads'!T233</f>
        <v>1.1000000000000001</v>
      </c>
      <c r="H54" s="95">
        <f>'LTS-6 Loads'!U233</f>
        <v>1.1000000000000001</v>
      </c>
      <c r="I54" s="95">
        <f>'LTS-6 Loads'!V233</f>
        <v>2.1334775000000001</v>
      </c>
      <c r="J54" s="95">
        <f>'LTS-6 Loads'!W233</f>
        <v>1.9060364583333336</v>
      </c>
      <c r="K54" s="95">
        <f>'LTS-6 Loads'!X233</f>
        <v>44.480927366888729</v>
      </c>
      <c r="L54" s="95">
        <f>'LTS-6 Loads'!Y233</f>
        <v>39.739003229125615</v>
      </c>
      <c r="M54" s="197">
        <f>'LTS-6 Loads'!Z233</f>
        <v>1377.1295112788748</v>
      </c>
      <c r="N54" s="201">
        <f>'LTS-6 Loads'!AA233</f>
        <v>568.59890453673893</v>
      </c>
      <c r="P54" s="3"/>
      <c r="S54" s="41"/>
      <c r="U54" s="41"/>
      <c r="V54" s="4"/>
      <c r="Z54" s="41"/>
      <c r="AA54" s="41"/>
    </row>
    <row r="55" spans="1:27" x14ac:dyDescent="0.2">
      <c r="A55" s="115" t="str">
        <f>'LTS-6 Loads'!A234</f>
        <v>Radio/Antenna (2)</v>
      </c>
      <c r="B55" s="95">
        <f>'LTS-6 Loads'!O234</f>
        <v>19.993893102023318</v>
      </c>
      <c r="C55" s="95">
        <f>'LTS-6 Loads'!P234</f>
        <v>4.2</v>
      </c>
      <c r="D55" s="95">
        <f>'LTS-6 Loads'!Q234</f>
        <v>0.38095238095238093</v>
      </c>
      <c r="E55" s="95">
        <f>'LTS-6 Loads'!R234</f>
        <v>56.666666666666664</v>
      </c>
      <c r="F55" s="95">
        <f>'LTS-6 Loads'!S234</f>
        <v>35.416666666666671</v>
      </c>
      <c r="G55" s="95">
        <f>'LTS-6 Loads'!T234</f>
        <v>1.2</v>
      </c>
      <c r="H55" s="95">
        <f>'LTS-6 Loads'!U234</f>
        <v>1.2</v>
      </c>
      <c r="I55" s="95">
        <f>'LTS-6 Loads'!V234</f>
        <v>1.4577722283113839</v>
      </c>
      <c r="J55" s="95">
        <f>'LTS-6 Loads'!W234</f>
        <v>1.6499355652982139</v>
      </c>
      <c r="K55" s="95">
        <f>'LTS-6 Loads'!X234</f>
        <v>29.14654209995614</v>
      </c>
      <c r="L55" s="95">
        <f>'LTS-6 Loads'!Y234</f>
        <v>32.988635317798902</v>
      </c>
      <c r="M55" s="197">
        <f>'LTS-6 Loads'!Z234</f>
        <v>739.59350578638703</v>
      </c>
      <c r="N55" s="201">
        <f>'LTS-6 Loads'!AA234</f>
        <v>837.08662118914719</v>
      </c>
      <c r="P55" s="3"/>
      <c r="R55" s="4"/>
      <c r="S55" s="41"/>
      <c r="U55" s="41"/>
      <c r="V55" s="4"/>
    </row>
    <row r="56" spans="1:27" x14ac:dyDescent="0.2">
      <c r="A56" s="115" t="str">
        <f>'LTS-6 Loads'!A235</f>
        <v>Radio/Antenna (3)</v>
      </c>
      <c r="B56" s="95">
        <f>'LTS-6 Loads'!O235</f>
        <v>19.993893102023318</v>
      </c>
      <c r="C56" s="95">
        <f>'LTS-6 Loads'!P235</f>
        <v>0.38095238095238093</v>
      </c>
      <c r="D56" s="95">
        <f>'LTS-6 Loads'!Q235</f>
        <v>4.2</v>
      </c>
      <c r="E56" s="95">
        <f>'LTS-6 Loads'!R235</f>
        <v>56.666666666666664</v>
      </c>
      <c r="F56" s="95">
        <f>'LTS-6 Loads'!S235</f>
        <v>35.416666666666671</v>
      </c>
      <c r="G56" s="95">
        <f>'LTS-6 Loads'!T235</f>
        <v>1.2</v>
      </c>
      <c r="H56" s="95">
        <f>'LTS-6 Loads'!U235</f>
        <v>1.2</v>
      </c>
      <c r="I56" s="95">
        <f>'LTS-6 Loads'!V235</f>
        <v>1.4577722283113839</v>
      </c>
      <c r="J56" s="95">
        <f>'LTS-6 Loads'!W235</f>
        <v>1.6499355652982139</v>
      </c>
      <c r="K56" s="95">
        <f>'LTS-6 Loads'!X235</f>
        <v>29.14654209995614</v>
      </c>
      <c r="L56" s="95">
        <f>'LTS-6 Loads'!Y235</f>
        <v>32.988635317798902</v>
      </c>
      <c r="M56" s="197">
        <f>'LTS-6 Loads'!Z235</f>
        <v>739.59350578638703</v>
      </c>
      <c r="N56" s="201">
        <f>'LTS-6 Loads'!AA235</f>
        <v>837.08662118914719</v>
      </c>
      <c r="P56" s="3"/>
      <c r="R56" s="4"/>
      <c r="S56" s="41"/>
    </row>
    <row r="57" spans="1:27" x14ac:dyDescent="0.2">
      <c r="A57" s="115" t="str">
        <f>'LTS-6 Loads'!A236</f>
        <v>Sign (bottom)</v>
      </c>
      <c r="B57" s="95">
        <f>'LTS-6 Loads'!O236</f>
        <v>18.23950058720828</v>
      </c>
      <c r="C57" s="95">
        <f>'LTS-6 Loads'!P236</f>
        <v>2.1851851851851851</v>
      </c>
      <c r="D57" s="95">
        <f>'LTS-6 Loads'!Q236</f>
        <v>737.5</v>
      </c>
      <c r="E57" s="95">
        <f>'LTS-6 Loads'!R236</f>
        <v>0.56666666666666665</v>
      </c>
      <c r="F57" s="95">
        <f>'LTS-6 Loads'!S236</f>
        <v>191.25</v>
      </c>
      <c r="G57" s="95">
        <f>'LTS-6 Loads'!T236</f>
        <v>1.2</v>
      </c>
      <c r="H57" s="95">
        <f>'LTS-6 Loads'!U236</f>
        <v>1.2</v>
      </c>
      <c r="I57" s="95">
        <f>'LTS-6 Loads'!V236</f>
        <v>13.275</v>
      </c>
      <c r="J57" s="95">
        <f>'LTS-6 Loads'!W236</f>
        <v>3.9333333333333338E-2</v>
      </c>
      <c r="K57" s="95">
        <f>'LTS-6 Loads'!X236</f>
        <v>242.12937029518991</v>
      </c>
      <c r="L57" s="95">
        <f>'LTS-6 Loads'!Y236</f>
        <v>0.71742035643019242</v>
      </c>
      <c r="M57" s="197">
        <f>'LTS-6 Loads'!Z236</f>
        <v>2290.1402940420048</v>
      </c>
      <c r="N57" s="201">
        <f>'LTS-6 Loads'!AA236</f>
        <v>6.7856008712355704</v>
      </c>
      <c r="R57" s="4"/>
      <c r="S57" s="41"/>
    </row>
    <row r="58" spans="1:27" x14ac:dyDescent="0.2">
      <c r="A58" s="115" t="str">
        <f>'LTS-6 Loads'!A237</f>
        <v>Sign (banner)</v>
      </c>
      <c r="B58" s="95">
        <f>'LTS-6 Loads'!O237</f>
        <v>18.932547877758456</v>
      </c>
      <c r="C58" s="95">
        <f>'LTS-6 Loads'!P237</f>
        <v>11.2</v>
      </c>
      <c r="D58" s="95">
        <f>'LTS-6 Loads'!Q237</f>
        <v>8400</v>
      </c>
      <c r="E58" s="95">
        <f>'LTS-6 Loads'!R237</f>
        <v>7.0833333333333331E-2</v>
      </c>
      <c r="F58" s="95">
        <f>'LTS-6 Loads'!S237</f>
        <v>53.125</v>
      </c>
      <c r="G58" s="95">
        <f>'LTS-6 Loads'!T237</f>
        <v>1.2</v>
      </c>
      <c r="H58" s="95">
        <f>'LTS-6 Loads'!U237</f>
        <v>1.2</v>
      </c>
      <c r="I58" s="95">
        <f>'LTS-6 Loads'!V237</f>
        <v>6.9999999999999993E-3</v>
      </c>
      <c r="J58" s="95">
        <f>'LTS-6 Loads'!W237</f>
        <v>5.25</v>
      </c>
      <c r="K58" s="95">
        <f>'LTS-6 Loads'!X237</f>
        <v>0.13252783514430919</v>
      </c>
      <c r="L58" s="95">
        <f>'LTS-6 Loads'!Y237</f>
        <v>99.395876358231888</v>
      </c>
      <c r="M58" s="197">
        <f>'LTS-6 Loads'!Z237</f>
        <v>2.5953367715760547</v>
      </c>
      <c r="N58" s="201">
        <f>'LTS-6 Loads'!AA237</f>
        <v>1946.5025786820411</v>
      </c>
      <c r="R58" s="4"/>
      <c r="S58" s="41"/>
    </row>
    <row r="59" spans="1:27" x14ac:dyDescent="0.2">
      <c r="A59" s="115" t="str">
        <f>'LTS-6 Loads'!A238</f>
        <v>Smart Meter</v>
      </c>
      <c r="B59" s="95">
        <f>'LTS-6 Loads'!O238</f>
        <v>18.23950058720828</v>
      </c>
      <c r="C59" s="95">
        <f>'LTS-6 Loads'!P238</f>
        <v>0.66666666666666663</v>
      </c>
      <c r="D59" s="95">
        <f>'LTS-6 Loads'!Q238</f>
        <v>0.66666666666666663</v>
      </c>
      <c r="E59" s="95">
        <f>'LTS-6 Loads'!R238</f>
        <v>39.250520833333333</v>
      </c>
      <c r="F59" s="95">
        <f>'LTS-6 Loads'!S238</f>
        <v>39.250520833333333</v>
      </c>
      <c r="G59" s="95">
        <f>'LTS-6 Loads'!T238</f>
        <v>1.2</v>
      </c>
      <c r="H59" s="95">
        <f>'LTS-6 Loads'!U238</f>
        <v>1.2</v>
      </c>
      <c r="I59" s="95">
        <f>'LTS-6 Loads'!V238</f>
        <v>0.11249999999999999</v>
      </c>
      <c r="J59" s="95">
        <f>'LTS-6 Loads'!W238</f>
        <v>0.11249999999999999</v>
      </c>
      <c r="K59" s="95">
        <f>'LTS-6 Loads'!X238</f>
        <v>2.0519438160609313</v>
      </c>
      <c r="L59" s="95">
        <f>'LTS-6 Loads'!Y238</f>
        <v>2.0519438160609313</v>
      </c>
      <c r="M59" s="197">
        <f>'LTS-6 Loads'!Z238</f>
        <v>20.775931137616929</v>
      </c>
      <c r="N59" s="201">
        <f>'LTS-6 Loads'!AA238</f>
        <v>20.775931137616929</v>
      </c>
      <c r="R59" s="4"/>
      <c r="S59" s="4"/>
      <c r="T59" s="4"/>
      <c r="U59" s="4"/>
      <c r="V59" s="4"/>
      <c r="W59" s="4"/>
      <c r="X59" s="4"/>
    </row>
    <row r="60" spans="1:27" x14ac:dyDescent="0.2">
      <c r="A60" s="115" t="str">
        <f>'LTS-6 Loads'!A239</f>
        <v>Radio/Antenna (1)</v>
      </c>
      <c r="B60" s="95">
        <f>'LTS-6 Loads'!O239</f>
        <v>19.993893102023318</v>
      </c>
      <c r="C60" s="95">
        <f>'LTS-6 Loads'!P239</f>
        <v>2.625</v>
      </c>
      <c r="D60" s="95">
        <f>'LTS-6 Loads'!Q239</f>
        <v>4.2</v>
      </c>
      <c r="E60" s="95">
        <f>'LTS-6 Loads'!R239</f>
        <v>35.416666666666671</v>
      </c>
      <c r="F60" s="95">
        <f>'LTS-6 Loads'!S239</f>
        <v>56.666666666666664</v>
      </c>
      <c r="G60" s="95">
        <f>'LTS-6 Loads'!T239</f>
        <v>1.2</v>
      </c>
      <c r="H60" s="95">
        <f>'LTS-6 Loads'!U239</f>
        <v>1.2</v>
      </c>
      <c r="I60" s="95">
        <f>'LTS-6 Loads'!V239</f>
        <v>1.3999999999999997</v>
      </c>
      <c r="J60" s="95">
        <f>'LTS-6 Loads'!W239</f>
        <v>0.87500000000000011</v>
      </c>
      <c r="K60" s="95">
        <f>'LTS-6 Loads'!X239</f>
        <v>27.991450342832639</v>
      </c>
      <c r="L60" s="95">
        <f>'LTS-6 Loads'!Y239</f>
        <v>17.494656464270406</v>
      </c>
      <c r="M60" s="197">
        <f>'LTS-6 Loads'!Z239</f>
        <v>710.28305244937826</v>
      </c>
      <c r="N60" s="201">
        <f>'LTS-6 Loads'!AA239</f>
        <v>443.92690778086154</v>
      </c>
      <c r="R60" s="4"/>
      <c r="S60" s="4"/>
      <c r="T60" s="4"/>
      <c r="U60" s="4"/>
      <c r="V60" s="4"/>
      <c r="W60" s="4"/>
      <c r="X60" s="4"/>
    </row>
    <row r="61" spans="1:27" ht="15" thickBot="1" x14ac:dyDescent="0.25">
      <c r="A61" s="115" t="str">
        <f>'LTS-6 Loads'!A240</f>
        <v>Disconnect</v>
      </c>
      <c r="B61" s="202">
        <f>'LTS-6 Loads'!O240</f>
        <v>18.23950058720828</v>
      </c>
      <c r="C61" s="202">
        <f>'LTS-6 Loads'!P240</f>
        <v>1.69435736677116</v>
      </c>
      <c r="D61" s="202">
        <f>'LTS-6 Loads'!Q240</f>
        <v>2.8826666666666667</v>
      </c>
      <c r="E61" s="202">
        <f>'LTS-6 Loads'!R240</f>
        <v>26.5625</v>
      </c>
      <c r="F61" s="202">
        <f>'LTS-6 Loads'!S240</f>
        <v>45.191666666666663</v>
      </c>
      <c r="G61" s="202">
        <f>'LTS-6 Loads'!T240</f>
        <v>1.2</v>
      </c>
      <c r="H61" s="202">
        <f>'LTS-6 Loads'!U240</f>
        <v>1.2</v>
      </c>
      <c r="I61" s="202">
        <f>'LTS-6 Loads'!V240</f>
        <v>0.57473166666666664</v>
      </c>
      <c r="J61" s="202">
        <f>'LTS-6 Loads'!W240</f>
        <v>0.33781249999999996</v>
      </c>
      <c r="K61" s="202">
        <f>'LTS-6 Loads'!X240</f>
        <v>10.48281857165386</v>
      </c>
      <c r="L61" s="202">
        <f>'LTS-6 Loads'!Y240</f>
        <v>6.1615312921162966</v>
      </c>
      <c r="M61" s="203">
        <f>'LTS-6 Loads'!Z240</f>
        <v>100.10654951822283</v>
      </c>
      <c r="N61" s="204">
        <f>'LTS-6 Loads'!AA240</f>
        <v>58.84005653500558</v>
      </c>
      <c r="R61" s="4"/>
      <c r="S61" s="4"/>
      <c r="T61" s="4"/>
      <c r="U61" s="4"/>
      <c r="V61" s="4"/>
      <c r="W61" s="4"/>
      <c r="X61" s="4"/>
    </row>
    <row r="62" spans="1:27" x14ac:dyDescent="0.2">
      <c r="B62" s="188"/>
      <c r="C62" s="188"/>
      <c r="D62" s="188"/>
      <c r="E62" s="188"/>
      <c r="F62" s="188"/>
      <c r="G62" s="188"/>
      <c r="H62" s="188"/>
      <c r="I62" s="188"/>
      <c r="J62" s="188"/>
      <c r="K62" s="188"/>
      <c r="L62" s="188"/>
      <c r="M62" s="149"/>
      <c r="N62" s="149"/>
      <c r="R62" s="4"/>
      <c r="S62" s="4"/>
      <c r="T62" s="4"/>
      <c r="U62" s="4"/>
      <c r="V62" s="4"/>
      <c r="W62" s="4"/>
      <c r="X62" s="4"/>
    </row>
    <row r="63" spans="1:27" ht="15" thickBot="1" x14ac:dyDescent="0.25">
      <c r="C63" s="152"/>
      <c r="G63" s="4"/>
      <c r="H63" s="3"/>
      <c r="M63" s="150"/>
      <c r="N63" s="134"/>
      <c r="O63" s="151"/>
      <c r="P63" s="151"/>
      <c r="R63" s="4"/>
      <c r="S63" s="4"/>
      <c r="T63" s="4"/>
      <c r="U63" s="4"/>
      <c r="V63" s="4"/>
      <c r="W63" s="4"/>
      <c r="X63" s="4"/>
    </row>
    <row r="64" spans="1:27" ht="15" x14ac:dyDescent="0.25">
      <c r="A64" s="205" t="s">
        <v>926</v>
      </c>
      <c r="B64" s="206"/>
      <c r="C64" s="206"/>
      <c r="D64" s="207"/>
      <c r="G64" s="4"/>
      <c r="H64" s="4"/>
      <c r="J64" s="2"/>
      <c r="K64" s="8"/>
      <c r="P64" s="4"/>
      <c r="Q64" s="4"/>
      <c r="R64" s="4"/>
      <c r="S64" s="4"/>
      <c r="T64" s="4"/>
      <c r="U64" s="4"/>
      <c r="V64" s="4"/>
      <c r="W64" s="4"/>
      <c r="X64" s="4"/>
    </row>
    <row r="65" spans="1:24" x14ac:dyDescent="0.2">
      <c r="A65" s="208" t="s">
        <v>923</v>
      </c>
      <c r="B65" s="91" t="s">
        <v>924</v>
      </c>
      <c r="C65" s="260" t="s">
        <v>925</v>
      </c>
      <c r="D65" s="267"/>
      <c r="G65" s="4"/>
      <c r="H65" s="4"/>
      <c r="J65" s="2"/>
      <c r="K65" s="8"/>
      <c r="O65" s="4"/>
      <c r="P65" s="4"/>
      <c r="Q65" s="4"/>
      <c r="R65" s="4"/>
      <c r="S65" s="4"/>
      <c r="T65" s="4"/>
      <c r="U65" s="4"/>
      <c r="V65" s="4"/>
      <c r="W65" s="4"/>
      <c r="X65" s="4"/>
    </row>
    <row r="66" spans="1:24" x14ac:dyDescent="0.2">
      <c r="A66" s="208" t="s">
        <v>260</v>
      </c>
      <c r="B66" s="68" t="s">
        <v>49</v>
      </c>
      <c r="C66" s="271">
        <v>100</v>
      </c>
      <c r="D66" s="272"/>
      <c r="G66" s="4"/>
      <c r="H66" s="4"/>
      <c r="I66" s="4"/>
      <c r="J66" s="2"/>
      <c r="K66" s="8"/>
      <c r="O66" s="4"/>
      <c r="P66" s="4"/>
      <c r="Q66" s="4"/>
      <c r="R66" s="4"/>
      <c r="S66" s="4"/>
      <c r="T66" s="4"/>
      <c r="U66" s="4"/>
      <c r="V66" s="4"/>
      <c r="W66" s="4"/>
      <c r="X66" s="4"/>
    </row>
    <row r="67" spans="1:24" x14ac:dyDescent="0.2">
      <c r="A67" s="208" t="s">
        <v>277</v>
      </c>
      <c r="B67" s="68" t="s">
        <v>922</v>
      </c>
      <c r="C67" s="271">
        <v>133</v>
      </c>
      <c r="D67" s="272"/>
      <c r="G67" s="4"/>
      <c r="H67" s="4"/>
      <c r="J67" s="2"/>
      <c r="K67" s="8"/>
      <c r="O67" s="4"/>
      <c r="P67" s="4"/>
      <c r="Q67" s="4"/>
      <c r="R67" s="4"/>
      <c r="S67" s="4"/>
      <c r="T67" s="4"/>
      <c r="U67" s="4"/>
      <c r="V67" s="4"/>
      <c r="W67" s="4"/>
      <c r="X67" s="4"/>
    </row>
    <row r="68" spans="1:24" s="81" customFormat="1" ht="15" thickBot="1" x14ac:dyDescent="0.25">
      <c r="A68" s="209" t="s">
        <v>921</v>
      </c>
      <c r="B68" s="210" t="s">
        <v>927</v>
      </c>
      <c r="C68" s="273">
        <v>133</v>
      </c>
      <c r="D68" s="274"/>
      <c r="I68" s="132"/>
      <c r="J68" s="34"/>
      <c r="K68" s="188"/>
      <c r="L68" s="132"/>
      <c r="M68" s="132"/>
      <c r="N68" s="35"/>
    </row>
    <row r="69" spans="1:24" s="81" customFormat="1" ht="15" thickBot="1" x14ac:dyDescent="0.3">
      <c r="E69" s="183"/>
      <c r="F69" s="183"/>
      <c r="G69" s="183"/>
      <c r="H69" s="35"/>
      <c r="I69" s="132"/>
      <c r="J69" s="34"/>
      <c r="K69" s="188"/>
      <c r="L69" s="132"/>
      <c r="M69" s="132"/>
      <c r="N69" s="35"/>
    </row>
    <row r="70" spans="1:24" ht="15" x14ac:dyDescent="0.25">
      <c r="A70" s="211" t="s">
        <v>966</v>
      </c>
      <c r="B70" s="212"/>
      <c r="C70" s="212"/>
      <c r="D70" s="213"/>
      <c r="E70" s="183"/>
      <c r="F70" s="183"/>
      <c r="G70" s="183"/>
      <c r="H70" s="3"/>
      <c r="J70" s="2"/>
      <c r="K70" s="8"/>
      <c r="Q70" s="4"/>
      <c r="R70" s="4"/>
      <c r="S70" s="4"/>
    </row>
    <row r="71" spans="1:24" ht="18.75" customHeight="1" x14ac:dyDescent="0.2">
      <c r="A71" s="214"/>
      <c r="B71" s="127" t="s">
        <v>49</v>
      </c>
      <c r="C71" s="127" t="s">
        <v>562</v>
      </c>
      <c r="D71" s="198" t="s">
        <v>563</v>
      </c>
      <c r="E71" s="183"/>
      <c r="F71" s="183"/>
      <c r="G71" s="183"/>
      <c r="H71" s="3"/>
      <c r="Q71" s="41"/>
      <c r="R71" s="4"/>
      <c r="S71" s="4"/>
    </row>
    <row r="72" spans="1:24" x14ac:dyDescent="0.2">
      <c r="A72" s="208" t="s">
        <v>60</v>
      </c>
      <c r="B72" s="107">
        <f>'LTS-6 Loads'!B319</f>
        <v>1</v>
      </c>
      <c r="C72" s="107">
        <f>'LTS-6 Loads'!C319</f>
        <v>1</v>
      </c>
      <c r="D72" s="215">
        <f>'LTS-6 Loads'!D319</f>
        <v>0.2</v>
      </c>
      <c r="G72" s="4"/>
      <c r="H72" s="3"/>
      <c r="R72" s="4"/>
      <c r="S72" s="4"/>
      <c r="W72" s="4"/>
      <c r="X72" s="4"/>
    </row>
    <row r="73" spans="1:24" ht="15" thickBot="1" x14ac:dyDescent="0.25">
      <c r="A73" s="209" t="s">
        <v>61</v>
      </c>
      <c r="B73" s="216">
        <f>'LTS-6 Loads'!B320</f>
        <v>1</v>
      </c>
      <c r="C73" s="216">
        <f>'LTS-6 Loads'!C320</f>
        <v>0.6</v>
      </c>
      <c r="D73" s="217">
        <f>'LTS-6 Loads'!D320</f>
        <v>0.3</v>
      </c>
      <c r="G73" s="4"/>
      <c r="H73" s="3"/>
      <c r="R73" s="4"/>
      <c r="S73" s="4"/>
      <c r="W73" s="4"/>
      <c r="X73" s="4"/>
    </row>
    <row r="74" spans="1:24" x14ac:dyDescent="0.2">
      <c r="G74" s="4"/>
      <c r="H74" s="3"/>
      <c r="R74" s="4"/>
      <c r="S74" s="4"/>
      <c r="W74" s="4"/>
      <c r="X74" s="4"/>
    </row>
    <row r="75" spans="1:24" x14ac:dyDescent="0.2">
      <c r="B75" s="4"/>
      <c r="C75" s="4"/>
      <c r="F75" s="4" t="s">
        <v>60</v>
      </c>
      <c r="G75" s="4" t="s">
        <v>61</v>
      </c>
      <c r="H75" s="3"/>
      <c r="R75" s="4"/>
      <c r="S75" s="4"/>
      <c r="W75" s="4"/>
      <c r="X75" s="4"/>
    </row>
    <row r="76" spans="1:24" ht="18.75" x14ac:dyDescent="0.35">
      <c r="A76" s="258" t="s">
        <v>934</v>
      </c>
      <c r="B76" s="258"/>
      <c r="C76" s="259" t="s">
        <v>940</v>
      </c>
      <c r="D76" s="259"/>
      <c r="E76" s="259"/>
      <c r="F76" s="42">
        <f>'LTS-6 Loads'!F324</f>
        <v>556.26023900804967</v>
      </c>
      <c r="G76" s="42">
        <f>'LTS-6 Loads'!G324</f>
        <v>559.98111782914373</v>
      </c>
      <c r="H76" s="41" t="s">
        <v>7</v>
      </c>
      <c r="I76" s="4" t="s">
        <v>939</v>
      </c>
      <c r="J76" s="4"/>
      <c r="K76" s="4"/>
      <c r="L76" s="4"/>
      <c r="M76" s="4"/>
      <c r="N76" s="4"/>
      <c r="O76" s="4"/>
      <c r="R76" s="4"/>
      <c r="S76" s="4"/>
      <c r="W76" s="4"/>
      <c r="X76" s="4"/>
    </row>
    <row r="77" spans="1:24" ht="18.75" x14ac:dyDescent="0.35">
      <c r="A77" s="258" t="s">
        <v>933</v>
      </c>
      <c r="B77" s="258"/>
      <c r="C77" s="259" t="s">
        <v>941</v>
      </c>
      <c r="D77" s="259"/>
      <c r="E77" s="259"/>
      <c r="F77" s="42">
        <f>'LTS-6 Loads'!F325</f>
        <v>778.14639561303034</v>
      </c>
      <c r="G77" s="42">
        <f>'LTS-6 Loads'!G325</f>
        <v>562.11883247320054</v>
      </c>
      <c r="H77" s="41" t="s">
        <v>7</v>
      </c>
      <c r="I77" s="4" t="s">
        <v>943</v>
      </c>
      <c r="J77" s="4"/>
      <c r="K77" s="4"/>
      <c r="L77" s="4"/>
      <c r="M77" s="4"/>
      <c r="N77" s="4"/>
      <c r="O77" s="4"/>
      <c r="R77" s="4"/>
      <c r="S77" s="4"/>
      <c r="W77" s="4"/>
      <c r="X77" s="4"/>
    </row>
    <row r="78" spans="1:24" ht="18.75" customHeight="1" x14ac:dyDescent="0.35">
      <c r="A78" s="258" t="s">
        <v>932</v>
      </c>
      <c r="B78" s="258"/>
      <c r="C78" s="259" t="s">
        <v>942</v>
      </c>
      <c r="D78" s="259"/>
      <c r="E78" s="259"/>
      <c r="F78" s="42">
        <f>'LTS-6 Loads'!F326</f>
        <v>12626.207306060645</v>
      </c>
      <c r="G78" s="42">
        <f>'LTS-6 Loads'!G326</f>
        <v>9433.6097001027356</v>
      </c>
      <c r="H78" s="41" t="s">
        <v>622</v>
      </c>
      <c r="I78" s="4" t="s">
        <v>943</v>
      </c>
      <c r="J78" s="4"/>
      <c r="K78" s="4"/>
      <c r="L78" s="4"/>
      <c r="M78" s="4"/>
      <c r="N78" s="4"/>
      <c r="O78" s="4"/>
      <c r="R78" s="4"/>
      <c r="S78" s="4"/>
      <c r="W78" s="4"/>
      <c r="X78" s="4"/>
    </row>
    <row r="79" spans="1:24" x14ac:dyDescent="0.2">
      <c r="G79" s="4"/>
      <c r="H79" s="3"/>
      <c r="I79" s="4"/>
      <c r="J79" s="4"/>
      <c r="K79" s="4"/>
      <c r="L79" s="4"/>
      <c r="M79" s="4"/>
      <c r="N79" s="4"/>
      <c r="O79" s="4"/>
      <c r="R79" s="4"/>
      <c r="S79" s="4"/>
      <c r="W79" s="4"/>
      <c r="X79" s="4"/>
    </row>
    <row r="80" spans="1:24" ht="15" x14ac:dyDescent="0.25">
      <c r="A80" s="1"/>
      <c r="G80" s="4"/>
      <c r="H80" s="3"/>
      <c r="I80" s="4"/>
      <c r="J80" s="4"/>
      <c r="K80" s="4"/>
      <c r="L80" s="4"/>
      <c r="M80" s="4"/>
      <c r="N80" s="4"/>
      <c r="O80" s="4"/>
      <c r="R80" s="4"/>
      <c r="S80" s="4"/>
      <c r="W80" s="4"/>
      <c r="X80" s="4"/>
    </row>
    <row r="81" spans="1:24" x14ac:dyDescent="0.2">
      <c r="C81" s="152"/>
      <c r="G81" s="4"/>
      <c r="H81" s="3"/>
      <c r="I81" s="4"/>
      <c r="J81" s="4"/>
      <c r="K81" s="4"/>
      <c r="L81" s="4"/>
      <c r="M81" s="4"/>
      <c r="N81" s="4"/>
      <c r="O81" s="4"/>
      <c r="R81" s="4"/>
      <c r="S81" s="4"/>
      <c r="W81" s="4"/>
      <c r="X81" s="4"/>
    </row>
    <row r="82" spans="1:24" x14ac:dyDescent="0.2">
      <c r="C82" s="47"/>
      <c r="D82" s="41"/>
      <c r="G82" s="4"/>
      <c r="H82" s="3"/>
      <c r="I82" s="4"/>
      <c r="J82" s="4"/>
      <c r="K82" s="4"/>
      <c r="L82" s="4"/>
      <c r="M82" s="4"/>
      <c r="N82" s="4"/>
      <c r="O82" s="4"/>
      <c r="R82" s="4"/>
      <c r="S82" s="4"/>
      <c r="W82" s="4"/>
      <c r="X82" s="4"/>
    </row>
    <row r="83" spans="1:24" x14ac:dyDescent="0.2">
      <c r="A83" s="132"/>
      <c r="C83" s="47"/>
      <c r="D83" s="132"/>
      <c r="G83" s="4"/>
      <c r="H83" s="3"/>
      <c r="I83" s="4"/>
      <c r="J83" s="4"/>
      <c r="K83" s="4"/>
      <c r="L83" s="4"/>
      <c r="M83" s="4"/>
      <c r="N83" s="4"/>
      <c r="O83" s="4"/>
      <c r="R83" s="4"/>
      <c r="S83" s="4"/>
      <c r="W83" s="4"/>
      <c r="X83" s="4"/>
    </row>
    <row r="84" spans="1:24" x14ac:dyDescent="0.2">
      <c r="A84" s="132"/>
      <c r="C84" s="47"/>
      <c r="D84" s="132"/>
      <c r="G84" s="4"/>
      <c r="H84" s="3"/>
      <c r="R84" s="4"/>
      <c r="S84" s="4"/>
      <c r="W84" s="4"/>
      <c r="X84" s="4"/>
    </row>
    <row r="85" spans="1:24" s="81" customFormat="1" x14ac:dyDescent="0.2">
      <c r="A85" s="4"/>
      <c r="B85" s="2"/>
      <c r="C85" s="47"/>
      <c r="D85" s="4"/>
      <c r="E85" s="4"/>
      <c r="F85" s="4"/>
      <c r="G85" s="4"/>
      <c r="H85" s="35"/>
      <c r="I85" s="132"/>
      <c r="J85" s="35"/>
      <c r="K85" s="132"/>
      <c r="L85" s="132"/>
      <c r="M85" s="132"/>
      <c r="N85" s="35"/>
      <c r="O85" s="132"/>
      <c r="P85" s="132"/>
      <c r="Q85" s="35"/>
      <c r="T85" s="35"/>
      <c r="U85" s="35"/>
      <c r="V85" s="132"/>
    </row>
    <row r="86" spans="1:24" s="81" customFormat="1" x14ac:dyDescent="0.2">
      <c r="A86" s="4"/>
      <c r="B86" s="2"/>
      <c r="C86" s="47"/>
      <c r="D86" s="4"/>
      <c r="E86" s="4"/>
      <c r="F86" s="4"/>
      <c r="G86" s="4"/>
      <c r="H86" s="35"/>
      <c r="I86" s="132"/>
      <c r="J86" s="35"/>
      <c r="K86" s="132"/>
      <c r="L86" s="132"/>
      <c r="M86" s="132"/>
      <c r="N86" s="35"/>
      <c r="O86" s="132"/>
      <c r="P86" s="132"/>
      <c r="Q86" s="35"/>
      <c r="T86" s="35"/>
      <c r="U86" s="35"/>
      <c r="V86" s="132"/>
    </row>
    <row r="87" spans="1:24" s="81" customFormat="1" x14ac:dyDescent="0.25">
      <c r="B87" s="34"/>
      <c r="C87" s="149"/>
      <c r="E87" s="183"/>
      <c r="F87" s="183"/>
      <c r="G87" s="183"/>
      <c r="H87" s="35"/>
      <c r="K87" s="132"/>
      <c r="L87" s="132"/>
      <c r="M87" s="132"/>
      <c r="N87" s="35"/>
      <c r="P87" s="132"/>
      <c r="T87" s="35"/>
      <c r="U87" s="35"/>
      <c r="V87" s="132"/>
    </row>
    <row r="88" spans="1:24" x14ac:dyDescent="0.2">
      <c r="A88" s="81"/>
      <c r="B88" s="34"/>
      <c r="C88" s="149"/>
      <c r="D88" s="81"/>
      <c r="E88" s="183"/>
      <c r="F88" s="183"/>
      <c r="G88" s="183"/>
      <c r="H88" s="3"/>
      <c r="I88" s="4"/>
      <c r="J88" s="4"/>
      <c r="O88" s="4"/>
      <c r="Q88" s="4"/>
      <c r="R88" s="4"/>
      <c r="S88" s="4"/>
      <c r="W88" s="4"/>
      <c r="X88" s="4"/>
    </row>
    <row r="89" spans="1:24" x14ac:dyDescent="0.2">
      <c r="C89" s="47"/>
      <c r="G89" s="4"/>
      <c r="H89" s="3"/>
      <c r="I89" s="4"/>
      <c r="J89" s="4"/>
      <c r="O89" s="4"/>
      <c r="Q89" s="4"/>
      <c r="R89" s="4"/>
      <c r="S89" s="4"/>
      <c r="W89" s="4"/>
      <c r="X89" s="4"/>
    </row>
    <row r="90" spans="1:24" ht="15" thickBot="1" x14ac:dyDescent="0.25">
      <c r="G90" s="4"/>
      <c r="H90" s="3"/>
      <c r="I90" s="4"/>
      <c r="J90" s="4"/>
      <c r="O90" s="4"/>
      <c r="Q90" s="4"/>
      <c r="R90" s="4"/>
      <c r="S90" s="4"/>
      <c r="W90" s="4"/>
      <c r="X90" s="4"/>
    </row>
    <row r="91" spans="1:24" ht="15" x14ac:dyDescent="0.25">
      <c r="A91" s="136" t="s">
        <v>944</v>
      </c>
      <c r="B91" s="221" t="s">
        <v>601</v>
      </c>
      <c r="C91" s="221" t="s">
        <v>582</v>
      </c>
      <c r="D91" s="221" t="s">
        <v>583</v>
      </c>
      <c r="E91" s="246" t="s">
        <v>624</v>
      </c>
      <c r="F91" s="244"/>
      <c r="G91" s="246" t="s">
        <v>623</v>
      </c>
      <c r="H91" s="244"/>
      <c r="I91" s="247" t="s">
        <v>618</v>
      </c>
      <c r="J91" s="248"/>
      <c r="K91" s="246" t="s">
        <v>584</v>
      </c>
      <c r="L91" s="244"/>
      <c r="M91" s="221" t="s">
        <v>585</v>
      </c>
      <c r="N91" s="222" t="s">
        <v>594</v>
      </c>
      <c r="O91" s="4"/>
      <c r="Q91" s="4"/>
      <c r="R91" s="4"/>
      <c r="S91" s="4"/>
      <c r="W91" s="4"/>
      <c r="X91" s="4"/>
    </row>
    <row r="92" spans="1:24" ht="15" x14ac:dyDescent="0.25">
      <c r="A92" s="219" t="s">
        <v>1013</v>
      </c>
      <c r="B92" s="91" t="s">
        <v>49</v>
      </c>
      <c r="C92" s="91" t="s">
        <v>586</v>
      </c>
      <c r="D92" s="91" t="s">
        <v>817</v>
      </c>
      <c r="E92" s="91" t="s">
        <v>588</v>
      </c>
      <c r="F92" s="91" t="s">
        <v>589</v>
      </c>
      <c r="G92" s="91" t="s">
        <v>588</v>
      </c>
      <c r="H92" s="91" t="s">
        <v>589</v>
      </c>
      <c r="I92" s="91" t="s">
        <v>588</v>
      </c>
      <c r="J92" s="91" t="s">
        <v>589</v>
      </c>
      <c r="K92" s="91" t="s">
        <v>588</v>
      </c>
      <c r="L92" s="91" t="s">
        <v>589</v>
      </c>
      <c r="M92" s="91"/>
      <c r="N92" s="92" t="s">
        <v>602</v>
      </c>
      <c r="O92" s="4"/>
      <c r="Q92" s="4"/>
      <c r="R92" s="4"/>
      <c r="S92" s="4"/>
      <c r="W92" s="4"/>
      <c r="X92" s="4"/>
    </row>
    <row r="93" spans="1:24" ht="18.75" x14ac:dyDescent="0.2">
      <c r="A93" s="100"/>
      <c r="B93" s="94" t="s">
        <v>7</v>
      </c>
      <c r="C93" s="94" t="s">
        <v>590</v>
      </c>
      <c r="D93" s="94" t="s">
        <v>0</v>
      </c>
      <c r="E93" s="94" t="s">
        <v>0</v>
      </c>
      <c r="F93" s="94" t="s">
        <v>0</v>
      </c>
      <c r="G93" s="94" t="s">
        <v>622</v>
      </c>
      <c r="H93" s="94" t="s">
        <v>622</v>
      </c>
      <c r="I93" s="126" t="s">
        <v>121</v>
      </c>
      <c r="J93" s="94" t="s">
        <v>121</v>
      </c>
      <c r="K93" s="94" t="s">
        <v>0</v>
      </c>
      <c r="L93" s="94" t="s">
        <v>0</v>
      </c>
      <c r="M93" s="94"/>
      <c r="N93" s="198" t="s">
        <v>107</v>
      </c>
      <c r="O93" s="4"/>
      <c r="Q93" s="4"/>
      <c r="R93" s="4"/>
      <c r="S93" s="4"/>
      <c r="W93" s="4"/>
      <c r="X93" s="4"/>
    </row>
    <row r="94" spans="1:24" x14ac:dyDescent="0.2">
      <c r="A94" s="115" t="str">
        <f>'LTS-6 Loads'!A247</f>
        <v>Pole</v>
      </c>
      <c r="B94" s="95">
        <f>'LTS-6 Loads'!B247</f>
        <v>302.26242154617563</v>
      </c>
      <c r="C94" s="95" t="str">
        <f>'LTS-6 Loads'!C247</f>
        <v>E</v>
      </c>
      <c r="D94" s="95">
        <f>'LTS-6 Loads'!D247</f>
        <v>18.508734768078913</v>
      </c>
      <c r="E94" s="95">
        <f>'LTS-6 Loads'!E247</f>
        <v>0</v>
      </c>
      <c r="F94" s="95">
        <f>'LTS-6 Loads'!F247</f>
        <v>0</v>
      </c>
      <c r="G94" s="95">
        <f>'LTS-6 Loads'!G247</f>
        <v>0</v>
      </c>
      <c r="H94" s="95">
        <f>'LTS-6 Loads'!H247</f>
        <v>0</v>
      </c>
      <c r="I94" s="95">
        <f>'LTS-6 Loads'!I247</f>
        <v>6.8240136151620359</v>
      </c>
      <c r="J94" s="95">
        <f>'LTS-6 Loads'!J247</f>
        <v>9.2370136151620361</v>
      </c>
      <c r="K94" s="95">
        <f>'LTS-6 Loads'!K247</f>
        <v>0.66666666666666663</v>
      </c>
      <c r="L94" s="95">
        <f>'LTS-6 Loads'!L247</f>
        <v>0.66666666666666663</v>
      </c>
      <c r="M94" s="95" t="str">
        <f>'LTS-6 Loads'!M247</f>
        <v>Octag.</v>
      </c>
      <c r="N94" s="199">
        <f>'LTS-6 Loads'!N247</f>
        <v>0.86502821791759066</v>
      </c>
      <c r="O94" s="4"/>
      <c r="Q94" s="4"/>
      <c r="R94" s="4"/>
      <c r="S94" s="4"/>
      <c r="W94" s="4"/>
      <c r="X94" s="4"/>
    </row>
    <row r="95" spans="1:24" x14ac:dyDescent="0.2">
      <c r="A95" s="115" t="str">
        <f>'LTS-6 Loads'!A248</f>
        <v>Luminaire</v>
      </c>
      <c r="B95" s="95">
        <f>'LTS-6 Loads'!B248</f>
        <v>30.250000000000004</v>
      </c>
      <c r="C95" s="95" t="str">
        <f>'LTS-6 Loads'!C248</f>
        <v>E</v>
      </c>
      <c r="D95" s="95">
        <f>'LTS-6 Loads'!D248</f>
        <v>22.609166666666667</v>
      </c>
      <c r="E95" s="95">
        <f>'LTS-6 Loads'!E248</f>
        <v>0</v>
      </c>
      <c r="F95" s="95">
        <f>'LTS-6 Loads'!F248</f>
        <v>9.3791666666666664</v>
      </c>
      <c r="G95" s="95">
        <f>'LTS-6 Loads'!G248</f>
        <v>0</v>
      </c>
      <c r="H95" s="95">
        <f>'LTS-6 Loads'!H248</f>
        <v>283.71979166666671</v>
      </c>
      <c r="I95" s="95">
        <f>'LTS-6 Loads'!I248</f>
        <v>1.0803472222222221</v>
      </c>
      <c r="J95" s="95">
        <f>'LTS-6 Loads'!J248</f>
        <v>0.34597222222222218</v>
      </c>
      <c r="K95" s="95">
        <f>'LTS-6 Loads'!K248</f>
        <v>0.8833333333333333</v>
      </c>
      <c r="L95" s="95">
        <f>'LTS-6 Loads'!L248</f>
        <v>2.7583333333333333</v>
      </c>
      <c r="M95" s="95" t="str">
        <f>'LTS-6 Loads'!M248</f>
        <v>Flat</v>
      </c>
      <c r="N95" s="199">
        <f>'LTS-6 Loads'!N248</f>
        <v>0.99294599120745508</v>
      </c>
      <c r="O95" s="4"/>
      <c r="Q95" s="4"/>
      <c r="R95" s="4"/>
      <c r="S95" s="4"/>
      <c r="W95" s="4"/>
      <c r="X95" s="4"/>
    </row>
    <row r="96" spans="1:24" x14ac:dyDescent="0.2">
      <c r="A96" s="115" t="str">
        <f>'LTS-6 Loads'!A249</f>
        <v>Mast Arm</v>
      </c>
      <c r="B96" s="95">
        <f>'LTS-6 Loads'!B249</f>
        <v>42.226163986352546</v>
      </c>
      <c r="C96" s="95" t="str">
        <f>'LTS-6 Loads'!C249</f>
        <v>E</v>
      </c>
      <c r="D96" s="95">
        <f>'LTS-6 Loads'!D249</f>
        <v>21.985833333333332</v>
      </c>
      <c r="E96" s="95">
        <f>'LTS-6 Loads'!E249</f>
        <v>0</v>
      </c>
      <c r="F96" s="95">
        <f>'LTS-6 Loads'!F249</f>
        <v>4</v>
      </c>
      <c r="G96" s="95">
        <f>'LTS-6 Loads'!G249</f>
        <v>0</v>
      </c>
      <c r="H96" s="95">
        <f>'LTS-6 Loads'!H249</f>
        <v>168.90465594541018</v>
      </c>
      <c r="I96" s="95">
        <f>'LTS-6 Loads'!I249</f>
        <v>1.9395250000000002</v>
      </c>
      <c r="J96" s="95">
        <f>'LTS-6 Loads'!J249</f>
        <v>1.7327604166666668</v>
      </c>
      <c r="K96" s="95">
        <f>'LTS-6 Loads'!K249</f>
        <v>0.19791666666666666</v>
      </c>
      <c r="L96" s="95">
        <f>'LTS-6 Loads'!L249</f>
        <v>0.19791666666666666</v>
      </c>
      <c r="M96" s="95" t="str">
        <f>'LTS-6 Loads'!M249</f>
        <v>Round</v>
      </c>
      <c r="N96" s="199">
        <f>'LTS-6 Loads'!N249</f>
        <v>0.98878779694233587</v>
      </c>
      <c r="S96" s="4"/>
      <c r="W96" s="4"/>
      <c r="X96" s="4"/>
    </row>
    <row r="97" spans="1:24" x14ac:dyDescent="0.2">
      <c r="A97" s="115" t="str">
        <f>'LTS-6 Loads'!A250</f>
        <v>Radio/Antenna (2)</v>
      </c>
      <c r="B97" s="95">
        <f>'LTS-6 Loads'!B250</f>
        <v>50</v>
      </c>
      <c r="C97" s="95" t="str">
        <f>'LTS-6 Loads'!C250</f>
        <v>P</v>
      </c>
      <c r="D97" s="95">
        <f>'LTS-6 Loads'!D250</f>
        <v>16.400833333333331</v>
      </c>
      <c r="E97" s="95">
        <f>'LTS-6 Loads'!E250</f>
        <v>0</v>
      </c>
      <c r="F97" s="95">
        <f>'LTS-6 Loads'!F250</f>
        <v>0.72697916666666662</v>
      </c>
      <c r="G97" s="95">
        <f>'LTS-6 Loads'!G250</f>
        <v>0</v>
      </c>
      <c r="H97" s="95">
        <f>'LTS-6 Loads'!H250</f>
        <v>36.348958333333329</v>
      </c>
      <c r="I97" s="95">
        <f>'LTS-6 Loads'!I250</f>
        <v>1.2148101902594866</v>
      </c>
      <c r="J97" s="95">
        <f>'LTS-6 Loads'!J250</f>
        <v>1.3749463044151784</v>
      </c>
      <c r="K97" s="95">
        <f>'LTS-6 Loads'!K250</f>
        <v>0.66666666666666663</v>
      </c>
      <c r="L97" s="95">
        <f>'LTS-6 Loads'!L250</f>
        <v>0.41666666666666669</v>
      </c>
      <c r="M97" s="95" t="str">
        <f>'LTS-6 Loads'!M250</f>
        <v>Flat</v>
      </c>
      <c r="N97" s="199">
        <f>'LTS-6 Loads'!N250</f>
        <v>0.86502821791759066</v>
      </c>
      <c r="S97" s="4"/>
      <c r="W97" s="4"/>
      <c r="X97" s="4"/>
    </row>
    <row r="98" spans="1:24" x14ac:dyDescent="0.2">
      <c r="A98" s="115" t="str">
        <f>'LTS-6 Loads'!A251</f>
        <v>Radio/Antenna (3)</v>
      </c>
      <c r="B98" s="95">
        <f>'LTS-6 Loads'!B251</f>
        <v>50</v>
      </c>
      <c r="C98" s="95" t="str">
        <f>'LTS-6 Loads'!C251</f>
        <v>P</v>
      </c>
      <c r="D98" s="95">
        <f>'LTS-6 Loads'!D251</f>
        <v>16.400833333333331</v>
      </c>
      <c r="E98" s="95">
        <f>'LTS-6 Loads'!E251</f>
        <v>0.72697916666666662</v>
      </c>
      <c r="F98" s="95">
        <f>'LTS-6 Loads'!F251</f>
        <v>0</v>
      </c>
      <c r="G98" s="95">
        <f>'LTS-6 Loads'!G251</f>
        <v>36.348958333333329</v>
      </c>
      <c r="H98" s="95">
        <f>'LTS-6 Loads'!H251</f>
        <v>0</v>
      </c>
      <c r="I98" s="95">
        <f>'LTS-6 Loads'!I251</f>
        <v>1.2148101902594866</v>
      </c>
      <c r="J98" s="95">
        <f>'LTS-6 Loads'!J251</f>
        <v>1.3749463044151784</v>
      </c>
      <c r="K98" s="95">
        <f>'LTS-6 Loads'!K251</f>
        <v>0.41666666666666669</v>
      </c>
      <c r="L98" s="95">
        <f>'LTS-6 Loads'!L251</f>
        <v>0.66666666666666663</v>
      </c>
      <c r="M98" s="95" t="str">
        <f>'LTS-6 Loads'!M251</f>
        <v>Flat</v>
      </c>
      <c r="N98" s="199">
        <f>'LTS-6 Loads'!N251</f>
        <v>0.86502821791759066</v>
      </c>
      <c r="S98" s="4"/>
      <c r="W98" s="4"/>
      <c r="X98" s="4"/>
    </row>
    <row r="99" spans="1:24" x14ac:dyDescent="0.2">
      <c r="A99" s="115" t="str">
        <f>'LTS-6 Loads'!A252</f>
        <v>Sign (bottom)</v>
      </c>
      <c r="B99" s="95">
        <f>'LTS-6 Loads'!B252</f>
        <v>12.463750000000001</v>
      </c>
      <c r="C99" s="95" t="str">
        <f>'LTS-6 Loads'!C252</f>
        <v>E</v>
      </c>
      <c r="D99" s="95">
        <f>'LTS-6 Loads'!D252</f>
        <v>0.48416666666666686</v>
      </c>
      <c r="E99" s="95">
        <f>'LTS-6 Loads'!E252</f>
        <v>0</v>
      </c>
      <c r="F99" s="95">
        <f>'LTS-6 Loads'!F252</f>
        <v>1.4031597222222221</v>
      </c>
      <c r="G99" s="95">
        <f>'LTS-6 Loads'!G252</f>
        <v>0</v>
      </c>
      <c r="H99" s="95">
        <f>'LTS-6 Loads'!H252</f>
        <v>17.488631987847221</v>
      </c>
      <c r="I99" s="95">
        <f>'LTS-6 Loads'!I252</f>
        <v>11.0625</v>
      </c>
      <c r="J99" s="95">
        <f>'LTS-6 Loads'!J252</f>
        <v>3.2777777777777781E-2</v>
      </c>
      <c r="K99" s="95">
        <f>'LTS-6 Loads'!K252</f>
        <v>6.6666666666666671E-3</v>
      </c>
      <c r="L99" s="95">
        <f>'LTS-6 Loads'!L252</f>
        <v>2.25</v>
      </c>
      <c r="M99" s="95" t="str">
        <f>'LTS-6 Loads'!M252</f>
        <v>Flat</v>
      </c>
      <c r="N99" s="199">
        <f>'LTS-6 Loads'!N252</f>
        <v>0.86502821791759066</v>
      </c>
      <c r="S99" s="4"/>
      <c r="W99" s="4"/>
      <c r="X99" s="4"/>
    </row>
    <row r="100" spans="1:24" x14ac:dyDescent="0.2">
      <c r="A100" s="115" t="str">
        <f>'LTS-6 Loads'!A253</f>
        <v>Sign (banner)</v>
      </c>
      <c r="B100" s="95">
        <f>'LTS-6 Loads'!B253</f>
        <v>0.61614583333333339</v>
      </c>
      <c r="C100" s="95" t="str">
        <f>'LTS-6 Loads'!C253</f>
        <v>P</v>
      </c>
      <c r="D100" s="95">
        <f>'LTS-6 Loads'!D253</f>
        <v>0</v>
      </c>
      <c r="E100" s="95">
        <f>'LTS-6 Loads'!E253</f>
        <v>0</v>
      </c>
      <c r="F100" s="95">
        <f>'LTS-6 Loads'!F253</f>
        <v>7.5</v>
      </c>
      <c r="G100" s="95">
        <f>'LTS-6 Loads'!G253</f>
        <v>0</v>
      </c>
      <c r="H100" s="95">
        <f>'LTS-6 Loads'!H253</f>
        <v>4.62109375</v>
      </c>
      <c r="I100" s="95">
        <f>'LTS-6 Loads'!I253</f>
        <v>0</v>
      </c>
      <c r="J100" s="95">
        <f>'LTS-6 Loads'!J253</f>
        <v>0</v>
      </c>
      <c r="K100" s="95">
        <f>'LTS-6 Loads'!K253</f>
        <v>8.3333333333333339E-4</v>
      </c>
      <c r="L100" s="95">
        <f>'LTS-6 Loads'!L253</f>
        <v>8.3333333333333339E-4</v>
      </c>
      <c r="M100" s="95" t="str">
        <f>'LTS-6 Loads'!M253</f>
        <v>Round</v>
      </c>
      <c r="N100" s="199">
        <f>'LTS-6 Loads'!N253</f>
        <v>0.89789674191093283</v>
      </c>
      <c r="S100" s="4"/>
      <c r="W100" s="4"/>
      <c r="X100" s="4"/>
    </row>
    <row r="101" spans="1:24" x14ac:dyDescent="0.2">
      <c r="A101" s="115" t="str">
        <f>'LTS-6 Loads'!A254</f>
        <v>Smart Meter</v>
      </c>
      <c r="B101" s="95">
        <f>'LTS-6 Loads'!B254</f>
        <v>5</v>
      </c>
      <c r="C101" s="95" t="str">
        <f>'LTS-6 Loads'!C254</f>
        <v>P</v>
      </c>
      <c r="D101" s="95">
        <f>'LTS-6 Loads'!D254</f>
        <v>1.1508333333333329</v>
      </c>
      <c r="E101" s="95">
        <f>'LTS-6 Loads'!E254</f>
        <v>0.4617708333333333</v>
      </c>
      <c r="F101" s="95">
        <f>'LTS-6 Loads'!F254</f>
        <v>0</v>
      </c>
      <c r="G101" s="95">
        <f>'LTS-6 Loads'!G254</f>
        <v>2.3088541666666664</v>
      </c>
      <c r="H101" s="95">
        <f>'LTS-6 Loads'!H254</f>
        <v>0</v>
      </c>
      <c r="I101" s="95">
        <f>'LTS-6 Loads'!I254</f>
        <v>4.6754296874999994</v>
      </c>
      <c r="J101" s="95">
        <f>'LTS-6 Loads'!J254</f>
        <v>4.6754296874999994</v>
      </c>
      <c r="K101" s="95">
        <f>'LTS-6 Loads'!K254</f>
        <v>0.4617708333333333</v>
      </c>
      <c r="L101" s="95">
        <f>'LTS-6 Loads'!L254</f>
        <v>0.4617708333333333</v>
      </c>
      <c r="M101" s="95" t="str">
        <f>'LTS-6 Loads'!M254</f>
        <v>Round</v>
      </c>
      <c r="N101" s="199">
        <f>'LTS-6 Loads'!N254</f>
        <v>0.86502821791759066</v>
      </c>
      <c r="S101" s="4"/>
      <c r="W101" s="4"/>
      <c r="X101" s="4"/>
    </row>
    <row r="102" spans="1:24" x14ac:dyDescent="0.2">
      <c r="A102" s="115" t="str">
        <f>'LTS-6 Loads'!A255</f>
        <v>Radio/Antenna (1)</v>
      </c>
      <c r="B102" s="95">
        <f>'LTS-6 Loads'!B255</f>
        <v>50</v>
      </c>
      <c r="C102" s="95" t="str">
        <f>'LTS-6 Loads'!C255</f>
        <v>P</v>
      </c>
      <c r="D102" s="95">
        <f>'LTS-6 Loads'!D255</f>
        <v>16.400833333333331</v>
      </c>
      <c r="E102" s="95">
        <f>'LTS-6 Loads'!E255</f>
        <v>0.72697916666666662</v>
      </c>
      <c r="F102" s="95">
        <f>'LTS-6 Loads'!F255</f>
        <v>0</v>
      </c>
      <c r="G102" s="95">
        <f>'LTS-6 Loads'!G255</f>
        <v>36.348958333333329</v>
      </c>
      <c r="H102" s="95">
        <f>'LTS-6 Loads'!H255</f>
        <v>0</v>
      </c>
      <c r="I102" s="95">
        <f>'LTS-6 Loads'!I255</f>
        <v>1.1666666666666665</v>
      </c>
      <c r="J102" s="95">
        <f>'LTS-6 Loads'!J255</f>
        <v>0.72916666666666674</v>
      </c>
      <c r="K102" s="95">
        <f>'LTS-6 Loads'!K255</f>
        <v>0.41666666666666669</v>
      </c>
      <c r="L102" s="95">
        <f>'LTS-6 Loads'!L255</f>
        <v>0.66666666666666663</v>
      </c>
      <c r="M102" s="95" t="str">
        <f>'LTS-6 Loads'!M255</f>
        <v>Flat</v>
      </c>
      <c r="N102" s="199">
        <f>'LTS-6 Loads'!N255</f>
        <v>0.94823219728985098</v>
      </c>
      <c r="S102" s="4"/>
      <c r="W102" s="4"/>
      <c r="X102" s="4"/>
    </row>
    <row r="103" spans="1:24" x14ac:dyDescent="0.2">
      <c r="A103" s="115" t="str">
        <f>'LTS-6 Loads'!A256</f>
        <v>Disconnect</v>
      </c>
      <c r="B103" s="95">
        <f>'LTS-6 Loads'!B256</f>
        <v>6</v>
      </c>
      <c r="C103" s="95" t="str">
        <f>'LTS-6 Loads'!C256</f>
        <v>P</v>
      </c>
      <c r="D103" s="95">
        <f>'LTS-6 Loads'!D256</f>
        <v>0.57541666666666558</v>
      </c>
      <c r="E103" s="95">
        <f>'LTS-6 Loads'!E256</f>
        <v>0.43387743055555555</v>
      </c>
      <c r="F103" s="95">
        <f>'LTS-6 Loads'!F256</f>
        <v>0</v>
      </c>
      <c r="G103" s="95">
        <f>'LTS-6 Loads'!G256</f>
        <v>2.6032645833333334</v>
      </c>
      <c r="H103" s="95">
        <f>'LTS-6 Loads'!H256</f>
        <v>0</v>
      </c>
      <c r="I103" s="95">
        <f>'LTS-6 Loads'!I256</f>
        <v>0.47894305555555555</v>
      </c>
      <c r="J103" s="95">
        <f>'LTS-6 Loads'!J256</f>
        <v>0.28151041666666665</v>
      </c>
      <c r="K103" s="95">
        <f>'LTS-6 Loads'!K256</f>
        <v>0.3125</v>
      </c>
      <c r="L103" s="95">
        <f>'LTS-6 Loads'!L256</f>
        <v>0.53166666666666662</v>
      </c>
      <c r="M103" s="95" t="str">
        <f>'LTS-6 Loads'!M256</f>
        <v>Flat</v>
      </c>
      <c r="N103" s="199">
        <f>'LTS-6 Loads'!N256</f>
        <v>0.86502821791759066</v>
      </c>
      <c r="S103" s="4"/>
      <c r="W103" s="4"/>
      <c r="X103" s="4"/>
    </row>
    <row r="104" spans="1:24" x14ac:dyDescent="0.2">
      <c r="A104" s="100"/>
      <c r="B104" s="81"/>
      <c r="C104" s="81"/>
      <c r="D104" s="81"/>
      <c r="E104" s="81"/>
      <c r="F104" s="81"/>
      <c r="G104" s="81"/>
      <c r="H104" s="81"/>
      <c r="I104" s="81"/>
      <c r="J104" s="81"/>
      <c r="K104" s="81"/>
      <c r="L104" s="81"/>
      <c r="M104" s="81"/>
      <c r="N104" s="224"/>
      <c r="S104" s="4"/>
      <c r="W104" s="4"/>
      <c r="X104" s="4"/>
    </row>
    <row r="105" spans="1:24" ht="18.75" x14ac:dyDescent="0.35">
      <c r="A105" s="200"/>
      <c r="B105" s="91" t="s">
        <v>599</v>
      </c>
      <c r="C105" s="261" t="s">
        <v>915</v>
      </c>
      <c r="D105" s="261"/>
      <c r="E105" s="261" t="s">
        <v>628</v>
      </c>
      <c r="F105" s="261"/>
      <c r="G105" s="260" t="s">
        <v>595</v>
      </c>
      <c r="H105" s="260"/>
      <c r="I105" s="260" t="s">
        <v>617</v>
      </c>
      <c r="J105" s="260"/>
      <c r="K105" s="260" t="s">
        <v>907</v>
      </c>
      <c r="L105" s="260"/>
      <c r="M105" s="260" t="s">
        <v>908</v>
      </c>
      <c r="N105" s="267"/>
      <c r="S105" s="4"/>
      <c r="W105" s="4"/>
      <c r="X105" s="4"/>
    </row>
    <row r="106" spans="1:24" x14ac:dyDescent="0.2">
      <c r="A106" s="90"/>
      <c r="B106" s="91" t="s">
        <v>600</v>
      </c>
      <c r="C106" s="91" t="s">
        <v>588</v>
      </c>
      <c r="D106" s="91" t="s">
        <v>589</v>
      </c>
      <c r="E106" s="91" t="s">
        <v>588</v>
      </c>
      <c r="F106" s="91" t="s">
        <v>589</v>
      </c>
      <c r="G106" s="91" t="s">
        <v>588</v>
      </c>
      <c r="H106" s="91" t="s">
        <v>589</v>
      </c>
      <c r="I106" s="91" t="s">
        <v>588</v>
      </c>
      <c r="J106" s="91" t="s">
        <v>589</v>
      </c>
      <c r="K106" s="91" t="s">
        <v>588</v>
      </c>
      <c r="L106" s="118" t="s">
        <v>589</v>
      </c>
      <c r="M106" s="91" t="s">
        <v>588</v>
      </c>
      <c r="N106" s="92" t="s">
        <v>589</v>
      </c>
      <c r="S106" s="4"/>
      <c r="W106" s="4"/>
      <c r="X106" s="4"/>
    </row>
    <row r="107" spans="1:24" ht="18.75" x14ac:dyDescent="0.2">
      <c r="A107" s="100"/>
      <c r="B107" s="94" t="s">
        <v>6</v>
      </c>
      <c r="C107" s="94"/>
      <c r="D107" s="94"/>
      <c r="E107" s="94"/>
      <c r="F107" s="94"/>
      <c r="G107" s="127" t="s">
        <v>632</v>
      </c>
      <c r="H107" s="127" t="s">
        <v>632</v>
      </c>
      <c r="I107" s="94" t="s">
        <v>121</v>
      </c>
      <c r="J107" s="94" t="s">
        <v>121</v>
      </c>
      <c r="K107" s="94" t="s">
        <v>7</v>
      </c>
      <c r="L107" s="119" t="s">
        <v>7</v>
      </c>
      <c r="M107" s="94" t="s">
        <v>622</v>
      </c>
      <c r="N107" s="98" t="s">
        <v>622</v>
      </c>
      <c r="S107" s="4"/>
      <c r="W107" s="4"/>
      <c r="X107" s="4"/>
    </row>
    <row r="108" spans="1:24" x14ac:dyDescent="0.2">
      <c r="A108" s="115" t="str">
        <f>'LTS-6 Loads'!A247</f>
        <v>Pole</v>
      </c>
      <c r="B108" s="95">
        <f>'LTS-6 Loads'!O247</f>
        <v>18.23950058720828</v>
      </c>
      <c r="C108" s="95">
        <f>'LTS-6 Loads'!P247</f>
        <v>45</v>
      </c>
      <c r="D108" s="95">
        <f>'LTS-6 Loads'!Q247</f>
        <v>45</v>
      </c>
      <c r="E108" s="95">
        <f>'LTS-6 Loads'!R247</f>
        <v>56.666666666666664</v>
      </c>
      <c r="F108" s="95">
        <f>'LTS-6 Loads'!S247</f>
        <v>56.666666666666664</v>
      </c>
      <c r="G108" s="95">
        <f>'LTS-6 Loads'!T247</f>
        <v>1.2</v>
      </c>
      <c r="H108" s="95">
        <f>'LTS-6 Loads'!U247</f>
        <v>1.2</v>
      </c>
      <c r="I108" s="95">
        <f>'LTS-6 Loads'!V247</f>
        <v>8.1888163381944423</v>
      </c>
      <c r="J108" s="95">
        <f>'LTS-6 Loads'!W247</f>
        <v>11.084416338194442</v>
      </c>
      <c r="K108" s="95">
        <f>'LTS-6 Loads'!X247</f>
        <v>149.3599204090383</v>
      </c>
      <c r="L108" s="95">
        <f>'LTS-6 Loads'!Y247</f>
        <v>202.17421830935859</v>
      </c>
      <c r="M108" s="197">
        <f>'LTS-6 Loads'!Z247</f>
        <v>2764.4631518322662</v>
      </c>
      <c r="N108" s="201">
        <f>'LTS-6 Loads'!AA247</f>
        <v>3741.988983631602</v>
      </c>
      <c r="S108" s="4"/>
      <c r="W108" s="4"/>
      <c r="X108" s="4"/>
    </row>
    <row r="109" spans="1:24" x14ac:dyDescent="0.2">
      <c r="A109" s="115" t="str">
        <f>'LTS-6 Loads'!A248</f>
        <v>Luminaire</v>
      </c>
      <c r="B109" s="95">
        <f>'LTS-6 Loads'!O248</f>
        <v>20.936703120845323</v>
      </c>
      <c r="C109" s="95">
        <f>'LTS-6 Loads'!P248</f>
        <v>7.042553191489362</v>
      </c>
      <c r="D109" s="95">
        <f>'LTS-6 Loads'!Q248</f>
        <v>2.2553191489361701</v>
      </c>
      <c r="E109" s="95">
        <f>'LTS-6 Loads'!R248</f>
        <v>75.083333333333329</v>
      </c>
      <c r="F109" s="95">
        <f>'LTS-6 Loads'!S248</f>
        <v>234.45833333333334</v>
      </c>
      <c r="G109" s="95">
        <f>'LTS-6 Loads'!T248</f>
        <v>1.2</v>
      </c>
      <c r="H109" s="95">
        <f>'LTS-6 Loads'!U248</f>
        <v>1.2</v>
      </c>
      <c r="I109" s="95">
        <f>'LTS-6 Loads'!V248</f>
        <v>1.2964166666666666</v>
      </c>
      <c r="J109" s="95">
        <f>'LTS-6 Loads'!W248</f>
        <v>0.41516666666666663</v>
      </c>
      <c r="K109" s="95">
        <f>'LTS-6 Loads'!X248</f>
        <v>27.142690870915889</v>
      </c>
      <c r="L109" s="95">
        <f>'LTS-6 Loads'!Y248</f>
        <v>8.6922212456709484</v>
      </c>
      <c r="M109" s="197">
        <f>'LTS-6 Loads'!Z248</f>
        <v>613.67362168234911</v>
      </c>
      <c r="N109" s="201">
        <f>'LTS-6 Loads'!AA248</f>
        <v>196.52387884691541</v>
      </c>
      <c r="S109" s="4"/>
      <c r="W109" s="4"/>
      <c r="X109" s="4"/>
    </row>
    <row r="110" spans="1:24" x14ac:dyDescent="0.2">
      <c r="A110" s="115" t="str">
        <f>'LTS-6 Loads'!A249</f>
        <v>Mast Arm</v>
      </c>
      <c r="B110" s="95">
        <f>'LTS-6 Loads'!O249</f>
        <v>20.849025765159805</v>
      </c>
      <c r="C110" s="95">
        <f>'LTS-6 Loads'!P249</f>
        <v>44.235789473684214</v>
      </c>
      <c r="D110" s="95">
        <f>'LTS-6 Loads'!Q249</f>
        <v>1</v>
      </c>
      <c r="E110" s="95">
        <f>'LTS-6 Loads'!R249</f>
        <v>16.822916666666664</v>
      </c>
      <c r="F110" s="95">
        <f>'LTS-6 Loads'!S249</f>
        <v>16.822916666666664</v>
      </c>
      <c r="G110" s="95">
        <f>'LTS-6 Loads'!T249</f>
        <v>1.1000000000000001</v>
      </c>
      <c r="H110" s="95">
        <f>'LTS-6 Loads'!U249</f>
        <v>1.1000000000000001</v>
      </c>
      <c r="I110" s="95">
        <f>'LTS-6 Loads'!V249</f>
        <v>2.1334775000000001</v>
      </c>
      <c r="J110" s="95">
        <f>'LTS-6 Loads'!W249</f>
        <v>1.9060364583333336</v>
      </c>
      <c r="K110" s="95">
        <f>'LTS-6 Loads'!X249</f>
        <v>44.480927366888729</v>
      </c>
      <c r="L110" s="95">
        <f>'LTS-6 Loads'!Y249</f>
        <v>39.739003229125615</v>
      </c>
      <c r="M110" s="197">
        <f>'LTS-6 Loads'!Z249</f>
        <v>977.95025560052102</v>
      </c>
      <c r="N110" s="201">
        <f>'LTS-6 Loads'!AA249</f>
        <v>424.41255448706153</v>
      </c>
      <c r="S110" s="4"/>
      <c r="W110" s="4"/>
      <c r="X110" s="4"/>
    </row>
    <row r="111" spans="1:24" x14ac:dyDescent="0.2">
      <c r="A111" s="115" t="str">
        <f>'LTS-6 Loads'!A250</f>
        <v>Radio/Antenna (2)</v>
      </c>
      <c r="B111" s="95">
        <f>'LTS-6 Loads'!O250</f>
        <v>18.23950058720828</v>
      </c>
      <c r="C111" s="95">
        <f>'LTS-6 Loads'!P250</f>
        <v>4.2</v>
      </c>
      <c r="D111" s="95">
        <f>'LTS-6 Loads'!Q250</f>
        <v>0.38095238095238093</v>
      </c>
      <c r="E111" s="95">
        <f>'LTS-6 Loads'!R250</f>
        <v>56.666666666666664</v>
      </c>
      <c r="F111" s="95">
        <f>'LTS-6 Loads'!S250</f>
        <v>35.416666666666671</v>
      </c>
      <c r="G111" s="95">
        <f>'LTS-6 Loads'!T250</f>
        <v>1.2</v>
      </c>
      <c r="H111" s="95">
        <f>'LTS-6 Loads'!U250</f>
        <v>1.2</v>
      </c>
      <c r="I111" s="95">
        <f>'LTS-6 Loads'!V250</f>
        <v>1.4577722283113839</v>
      </c>
      <c r="J111" s="95">
        <f>'LTS-6 Loads'!W250</f>
        <v>1.6499355652982139</v>
      </c>
      <c r="K111" s="95">
        <f>'LTS-6 Loads'!X250</f>
        <v>26.589037414301409</v>
      </c>
      <c r="L111" s="95">
        <f>'LTS-6 Loads'!Y250</f>
        <v>30.094000712112599</v>
      </c>
      <c r="M111" s="197">
        <f>'LTS-6 Loads'!Z250</f>
        <v>436.08237112572164</v>
      </c>
      <c r="N111" s="201">
        <f>'LTS-6 Loads'!AA250</f>
        <v>493.5666900125733</v>
      </c>
      <c r="S111" s="4"/>
      <c r="W111" s="4"/>
      <c r="X111" s="4"/>
    </row>
    <row r="112" spans="1:24" x14ac:dyDescent="0.2">
      <c r="A112" s="115" t="str">
        <f>'LTS-6 Loads'!A251</f>
        <v>Radio/Antenna (3)</v>
      </c>
      <c r="B112" s="95">
        <f>'LTS-6 Loads'!O251</f>
        <v>18.23950058720828</v>
      </c>
      <c r="C112" s="95">
        <f>'LTS-6 Loads'!P251</f>
        <v>0.38095238095238093</v>
      </c>
      <c r="D112" s="95">
        <f>'LTS-6 Loads'!Q251</f>
        <v>4.2</v>
      </c>
      <c r="E112" s="95">
        <f>'LTS-6 Loads'!R251</f>
        <v>35.416666666666671</v>
      </c>
      <c r="F112" s="95">
        <f>'LTS-6 Loads'!S251</f>
        <v>56.666666666666664</v>
      </c>
      <c r="G112" s="95">
        <f>'LTS-6 Loads'!T251</f>
        <v>1.2</v>
      </c>
      <c r="H112" s="95">
        <f>'LTS-6 Loads'!U251</f>
        <v>1.2</v>
      </c>
      <c r="I112" s="95">
        <f>'LTS-6 Loads'!V251</f>
        <v>1.4577722283113839</v>
      </c>
      <c r="J112" s="95">
        <f>'LTS-6 Loads'!W251</f>
        <v>1.6499355652982139</v>
      </c>
      <c r="K112" s="95">
        <f>'LTS-6 Loads'!X251</f>
        <v>26.589037414301409</v>
      </c>
      <c r="L112" s="95">
        <f>'LTS-6 Loads'!Y251</f>
        <v>30.094000712112599</v>
      </c>
      <c r="M112" s="197">
        <f>'LTS-6 Loads'!Z251</f>
        <v>436.08237112572164</v>
      </c>
      <c r="N112" s="201">
        <f>'LTS-6 Loads'!AA251</f>
        <v>493.5666900125733</v>
      </c>
      <c r="S112" s="4"/>
      <c r="W112" s="4"/>
      <c r="X112" s="4"/>
    </row>
    <row r="113" spans="1:24" x14ac:dyDescent="0.2">
      <c r="A113" s="115" t="str">
        <f>'LTS-6 Loads'!A252</f>
        <v>Sign (bottom)</v>
      </c>
      <c r="B113" s="95">
        <f>'LTS-6 Loads'!O252</f>
        <v>18.23950058720828</v>
      </c>
      <c r="C113" s="95">
        <f>'LTS-6 Loads'!P252</f>
        <v>2.1851851851851851</v>
      </c>
      <c r="D113" s="95">
        <f>'LTS-6 Loads'!Q252</f>
        <v>737.5</v>
      </c>
      <c r="E113" s="95">
        <f>'LTS-6 Loads'!R252</f>
        <v>0.56666666666666665</v>
      </c>
      <c r="F113" s="95">
        <f>'LTS-6 Loads'!S252</f>
        <v>191.25</v>
      </c>
      <c r="G113" s="95">
        <f>'LTS-6 Loads'!T252</f>
        <v>1.19</v>
      </c>
      <c r="H113" s="95">
        <f>'LTS-6 Loads'!U252</f>
        <v>1.3</v>
      </c>
      <c r="I113" s="95">
        <f>'LTS-6 Loads'!V252</f>
        <v>13.164375</v>
      </c>
      <c r="J113" s="95">
        <f>'LTS-6 Loads'!W252</f>
        <v>4.2611111111111113E-2</v>
      </c>
      <c r="K113" s="95">
        <f>'LTS-6 Loads'!X252</f>
        <v>240.11162554273</v>
      </c>
      <c r="L113" s="95">
        <f>'LTS-6 Loads'!Y252</f>
        <v>0.7772053861327084</v>
      </c>
      <c r="M113" s="197">
        <f>'LTS-6 Loads'!Z252</f>
        <v>116.25404536693848</v>
      </c>
      <c r="N113" s="201">
        <f>'LTS-6 Loads'!AA252</f>
        <v>0.3762969411192531</v>
      </c>
      <c r="S113" s="4"/>
      <c r="W113" s="4"/>
      <c r="X113" s="4"/>
    </row>
    <row r="114" spans="1:24" x14ac:dyDescent="0.2">
      <c r="A114" s="115" t="str">
        <f>'LTS-6 Loads'!A253</f>
        <v>Sign (banner)</v>
      </c>
      <c r="B114" s="95">
        <f>'LTS-6 Loads'!O253</f>
        <v>18.932547877758456</v>
      </c>
      <c r="C114" s="95">
        <f>'LTS-6 Loads'!P253</f>
        <v>6437.9999999999991</v>
      </c>
      <c r="D114" s="95">
        <f>'LTS-6 Loads'!Q253</f>
        <v>6437.9999999999991</v>
      </c>
      <c r="E114" s="95">
        <f>'LTS-6 Loads'!R253</f>
        <v>7.0833333333333331E-2</v>
      </c>
      <c r="F114" s="95">
        <f>'LTS-6 Loads'!S253</f>
        <v>7.0833333333333331E-2</v>
      </c>
      <c r="G114" s="95">
        <f>'LTS-6 Loads'!T253</f>
        <v>4029.7743363629384</v>
      </c>
      <c r="H114" s="95">
        <f>'LTS-6 Loads'!U253</f>
        <v>4029.7743363629384</v>
      </c>
      <c r="I114" s="95">
        <f>'LTS-6 Loads'!V253</f>
        <v>0</v>
      </c>
      <c r="J114" s="95">
        <f>'LTS-6 Loads'!W253</f>
        <v>0</v>
      </c>
      <c r="K114" s="95">
        <f>'LTS-6 Loads'!X253</f>
        <v>0</v>
      </c>
      <c r="L114" s="95">
        <f>'LTS-6 Loads'!Y253</f>
        <v>0</v>
      </c>
      <c r="M114" s="197">
        <f>'LTS-6 Loads'!Z253</f>
        <v>0</v>
      </c>
      <c r="N114" s="201">
        <f>'LTS-6 Loads'!AA253</f>
        <v>0</v>
      </c>
      <c r="S114" s="4"/>
      <c r="W114" s="4"/>
      <c r="X114" s="4"/>
    </row>
    <row r="115" spans="1:24" x14ac:dyDescent="0.2">
      <c r="A115" s="115" t="str">
        <f>'LTS-6 Loads'!A254</f>
        <v>Smart Meter</v>
      </c>
      <c r="B115" s="95">
        <f>'LTS-6 Loads'!O254</f>
        <v>18.23950058720828</v>
      </c>
      <c r="C115" s="95">
        <f>'LTS-6 Loads'!P254</f>
        <v>21.926460636138057</v>
      </c>
      <c r="D115" s="95">
        <f>'LTS-6 Loads'!Q254</f>
        <v>21.926460636138057</v>
      </c>
      <c r="E115" s="95">
        <f>'LTS-6 Loads'!R254</f>
        <v>39.250520833333333</v>
      </c>
      <c r="F115" s="95">
        <f>'LTS-6 Loads'!S254</f>
        <v>39.250520833333333</v>
      </c>
      <c r="G115" s="95">
        <f>'LTS-6 Loads'!T254</f>
        <v>1.2</v>
      </c>
      <c r="H115" s="95">
        <f>'LTS-6 Loads'!U254</f>
        <v>1.2</v>
      </c>
      <c r="I115" s="95">
        <f>'LTS-6 Loads'!V254</f>
        <v>5.6105156249999988</v>
      </c>
      <c r="J115" s="95">
        <f>'LTS-6 Loads'!W254</f>
        <v>5.6105156249999988</v>
      </c>
      <c r="K115" s="95">
        <f>'LTS-6 Loads'!X254</f>
        <v>102.33300303672871</v>
      </c>
      <c r="L115" s="95">
        <f>'LTS-6 Loads'!Y254</f>
        <v>102.33300303672871</v>
      </c>
      <c r="M115" s="197">
        <f>'LTS-6 Loads'!Z254</f>
        <v>117.76823099476859</v>
      </c>
      <c r="N115" s="201">
        <f>'LTS-6 Loads'!AA254</f>
        <v>117.76823099476859</v>
      </c>
      <c r="S115" s="4"/>
      <c r="W115" s="4"/>
      <c r="X115" s="4"/>
    </row>
    <row r="116" spans="1:24" x14ac:dyDescent="0.2">
      <c r="A116" s="115" t="str">
        <f>'LTS-6 Loads'!A255</f>
        <v>Radio/Antenna (1)</v>
      </c>
      <c r="B116" s="95">
        <f>'LTS-6 Loads'!O255</f>
        <v>19.993893102023318</v>
      </c>
      <c r="C116" s="95">
        <f>'LTS-6 Loads'!P255</f>
        <v>2.625</v>
      </c>
      <c r="D116" s="95">
        <f>'LTS-6 Loads'!Q255</f>
        <v>4.2</v>
      </c>
      <c r="E116" s="95">
        <f>'LTS-6 Loads'!R255</f>
        <v>35.416666666666671</v>
      </c>
      <c r="F116" s="95">
        <f>'LTS-6 Loads'!S255</f>
        <v>56.666666666666664</v>
      </c>
      <c r="G116" s="95">
        <f>'LTS-6 Loads'!T255</f>
        <v>1.2</v>
      </c>
      <c r="H116" s="95">
        <f>'LTS-6 Loads'!U255</f>
        <v>1.2</v>
      </c>
      <c r="I116" s="95">
        <f>'LTS-6 Loads'!V255</f>
        <v>1.3999999999999997</v>
      </c>
      <c r="J116" s="95">
        <f>'LTS-6 Loads'!W255</f>
        <v>0.87500000000000011</v>
      </c>
      <c r="K116" s="95">
        <f>'LTS-6 Loads'!X255</f>
        <v>27.991450342832639</v>
      </c>
      <c r="L116" s="95">
        <f>'LTS-6 Loads'!Y255</f>
        <v>17.494656464270406</v>
      </c>
      <c r="M116" s="197">
        <f>'LTS-6 Loads'!Z255</f>
        <v>459.08311183107423</v>
      </c>
      <c r="N116" s="201">
        <f>'LTS-6 Loads'!AA255</f>
        <v>286.92694489442152</v>
      </c>
      <c r="S116" s="4"/>
      <c r="W116" s="4"/>
      <c r="X116" s="4"/>
    </row>
    <row r="117" spans="1:24" ht="15" thickBot="1" x14ac:dyDescent="0.25">
      <c r="A117" s="115" t="str">
        <f>'LTS-6 Loads'!A256</f>
        <v>Disconnect</v>
      </c>
      <c r="B117" s="202">
        <f>'LTS-6 Loads'!O256</f>
        <v>18.23950058720828</v>
      </c>
      <c r="C117" s="202">
        <f>'LTS-6 Loads'!P256</f>
        <v>1.69435736677116</v>
      </c>
      <c r="D117" s="202">
        <f>'LTS-6 Loads'!Q256</f>
        <v>2.8826666666666667</v>
      </c>
      <c r="E117" s="202">
        <f>'LTS-6 Loads'!R256</f>
        <v>26.5625</v>
      </c>
      <c r="F117" s="202">
        <f>'LTS-6 Loads'!S256</f>
        <v>45.191666666666663</v>
      </c>
      <c r="G117" s="202">
        <f>'LTS-6 Loads'!T256</f>
        <v>1.2</v>
      </c>
      <c r="H117" s="202">
        <f>'LTS-6 Loads'!U256</f>
        <v>1.2</v>
      </c>
      <c r="I117" s="202">
        <f>'LTS-6 Loads'!V256</f>
        <v>0.57473166666666664</v>
      </c>
      <c r="J117" s="202">
        <f>'LTS-6 Loads'!W256</f>
        <v>0.33781249999999996</v>
      </c>
      <c r="K117" s="202">
        <f>'LTS-6 Loads'!X256</f>
        <v>10.48281857165386</v>
      </c>
      <c r="L117" s="202">
        <f>'LTS-6 Loads'!Y256</f>
        <v>6.1615312921162966</v>
      </c>
      <c r="M117" s="203">
        <f>'LTS-6 Loads'!Z256</f>
        <v>6.0319885197724803</v>
      </c>
      <c r="N117" s="204">
        <f>'LTS-6 Loads'!AA256</f>
        <v>3.5454477976719123</v>
      </c>
      <c r="S117" s="4"/>
      <c r="W117" s="4"/>
      <c r="X117" s="4"/>
    </row>
    <row r="118" spans="1:24" x14ac:dyDescent="0.2">
      <c r="B118" s="4"/>
      <c r="C118" s="4"/>
      <c r="G118" s="4"/>
      <c r="H118" s="4"/>
      <c r="I118" s="4"/>
      <c r="J118" s="4"/>
      <c r="K118" s="4"/>
      <c r="L118" s="4"/>
      <c r="M118" s="4"/>
      <c r="S118" s="4"/>
      <c r="W118" s="4"/>
      <c r="X118" s="4"/>
    </row>
    <row r="119" spans="1:24" x14ac:dyDescent="0.2">
      <c r="B119" s="4"/>
      <c r="C119" s="4"/>
      <c r="F119" s="4" t="s">
        <v>60</v>
      </c>
      <c r="G119" s="4" t="s">
        <v>61</v>
      </c>
      <c r="H119" s="3"/>
      <c r="N119" s="188"/>
      <c r="S119" s="4"/>
      <c r="W119" s="4"/>
      <c r="X119" s="4"/>
    </row>
    <row r="120" spans="1:24" ht="18.75" x14ac:dyDescent="0.35">
      <c r="A120" s="258" t="s">
        <v>934</v>
      </c>
      <c r="B120" s="258"/>
      <c r="C120" s="259" t="s">
        <v>940</v>
      </c>
      <c r="D120" s="259"/>
      <c r="E120" s="259"/>
      <c r="F120" s="42">
        <f>'LTS-6 Loads'!F330</f>
        <v>556.26023900804967</v>
      </c>
      <c r="G120" s="42">
        <f>'LTS-6 Loads'!G330</f>
        <v>559.98111782914373</v>
      </c>
      <c r="H120" s="41" t="s">
        <v>7</v>
      </c>
      <c r="I120" s="4" t="s">
        <v>939</v>
      </c>
      <c r="J120" s="4"/>
      <c r="K120" s="4"/>
      <c r="L120" s="4"/>
      <c r="M120" s="4"/>
      <c r="N120" s="188"/>
      <c r="S120" s="4"/>
      <c r="W120" s="4"/>
      <c r="X120" s="4"/>
    </row>
    <row r="121" spans="1:24" ht="18.75" x14ac:dyDescent="0.35">
      <c r="A121" s="258" t="s">
        <v>933</v>
      </c>
      <c r="B121" s="258"/>
      <c r="C121" s="259" t="s">
        <v>941</v>
      </c>
      <c r="D121" s="259"/>
      <c r="E121" s="259"/>
      <c r="F121" s="42">
        <f>'LTS-6 Loads'!F331</f>
        <v>737.43533751691211</v>
      </c>
      <c r="G121" s="42">
        <f>'LTS-6 Loads'!G331</f>
        <v>516.5805464029163</v>
      </c>
      <c r="H121" s="41" t="s">
        <v>7</v>
      </c>
      <c r="I121" s="4" t="s">
        <v>943</v>
      </c>
      <c r="J121" s="4"/>
      <c r="K121" s="4"/>
      <c r="L121" s="4"/>
      <c r="M121" s="4"/>
      <c r="N121" s="188"/>
      <c r="S121" s="4"/>
      <c r="W121" s="4"/>
      <c r="X121" s="4"/>
    </row>
    <row r="122" spans="1:24" ht="18.75" x14ac:dyDescent="0.35">
      <c r="A122" s="258" t="s">
        <v>932</v>
      </c>
      <c r="B122" s="258"/>
      <c r="C122" s="259" t="s">
        <v>942</v>
      </c>
      <c r="D122" s="259"/>
      <c r="E122" s="259"/>
      <c r="F122" s="42">
        <f>'LTS-6 Loads'!F332</f>
        <v>7604.7741972951026</v>
      </c>
      <c r="G122" s="42">
        <f>'LTS-6 Loads'!G332</f>
        <v>5809.6861098253194</v>
      </c>
      <c r="H122" s="41" t="s">
        <v>622</v>
      </c>
      <c r="I122" s="4" t="s">
        <v>943</v>
      </c>
      <c r="J122" s="4"/>
      <c r="K122" s="4"/>
      <c r="L122" s="4"/>
      <c r="M122" s="4"/>
      <c r="N122" s="188"/>
      <c r="S122" s="4"/>
      <c r="W122" s="4"/>
      <c r="X122" s="4"/>
    </row>
    <row r="123" spans="1:24" x14ac:dyDescent="0.2">
      <c r="A123" s="41"/>
      <c r="B123" s="41"/>
      <c r="D123" s="31"/>
      <c r="E123" s="31"/>
      <c r="F123" s="31"/>
      <c r="G123" s="31"/>
      <c r="H123" s="41"/>
      <c r="I123" s="4"/>
      <c r="J123" s="4"/>
      <c r="K123" s="4"/>
      <c r="L123" s="4"/>
      <c r="M123" s="4"/>
      <c r="N123" s="188"/>
      <c r="S123" s="4"/>
      <c r="W123" s="4"/>
      <c r="X123" s="4"/>
    </row>
    <row r="124" spans="1:24" ht="15" thickBot="1" x14ac:dyDescent="0.25">
      <c r="B124" s="188"/>
      <c r="C124" s="188"/>
      <c r="D124" s="188"/>
      <c r="E124" s="188"/>
      <c r="F124" s="162"/>
      <c r="G124" s="188"/>
      <c r="H124" s="162"/>
      <c r="I124" s="188"/>
      <c r="J124" s="188"/>
      <c r="K124" s="188"/>
      <c r="L124" s="188"/>
      <c r="M124" s="188"/>
      <c r="N124" s="188"/>
      <c r="S124" s="4"/>
      <c r="W124" s="4"/>
      <c r="X124" s="4"/>
    </row>
    <row r="125" spans="1:24" ht="15" x14ac:dyDescent="0.25">
      <c r="A125" s="136" t="s">
        <v>944</v>
      </c>
      <c r="B125" s="221" t="s">
        <v>601</v>
      </c>
      <c r="C125" s="221" t="s">
        <v>582</v>
      </c>
      <c r="D125" s="221" t="s">
        <v>583</v>
      </c>
      <c r="E125" s="246" t="s">
        <v>624</v>
      </c>
      <c r="F125" s="244"/>
      <c r="G125" s="246" t="s">
        <v>623</v>
      </c>
      <c r="H125" s="244"/>
      <c r="I125" s="247" t="s">
        <v>618</v>
      </c>
      <c r="J125" s="248"/>
      <c r="K125" s="246" t="s">
        <v>584</v>
      </c>
      <c r="L125" s="244"/>
      <c r="M125" s="221" t="s">
        <v>585</v>
      </c>
      <c r="N125" s="222" t="s">
        <v>594</v>
      </c>
      <c r="S125" s="4"/>
      <c r="W125" s="4"/>
      <c r="X125" s="4"/>
    </row>
    <row r="126" spans="1:24" ht="15" x14ac:dyDescent="0.25">
      <c r="A126" s="219" t="s">
        <v>1014</v>
      </c>
      <c r="B126" s="91" t="s">
        <v>49</v>
      </c>
      <c r="C126" s="91" t="s">
        <v>586</v>
      </c>
      <c r="D126" s="91" t="s">
        <v>817</v>
      </c>
      <c r="E126" s="91" t="s">
        <v>588</v>
      </c>
      <c r="F126" s="91" t="s">
        <v>589</v>
      </c>
      <c r="G126" s="91" t="s">
        <v>588</v>
      </c>
      <c r="H126" s="91" t="s">
        <v>589</v>
      </c>
      <c r="I126" s="91" t="s">
        <v>588</v>
      </c>
      <c r="J126" s="91" t="s">
        <v>589</v>
      </c>
      <c r="K126" s="91" t="s">
        <v>588</v>
      </c>
      <c r="L126" s="91" t="s">
        <v>589</v>
      </c>
      <c r="M126" s="91"/>
      <c r="N126" s="92" t="s">
        <v>602</v>
      </c>
      <c r="S126" s="4"/>
      <c r="W126" s="4"/>
      <c r="X126" s="4"/>
    </row>
    <row r="127" spans="1:24" ht="18.75" x14ac:dyDescent="0.2">
      <c r="A127" s="100"/>
      <c r="B127" s="94" t="s">
        <v>7</v>
      </c>
      <c r="C127" s="94" t="s">
        <v>590</v>
      </c>
      <c r="D127" s="94" t="s">
        <v>0</v>
      </c>
      <c r="E127" s="94" t="s">
        <v>0</v>
      </c>
      <c r="F127" s="94" t="s">
        <v>0</v>
      </c>
      <c r="G127" s="94" t="s">
        <v>622</v>
      </c>
      <c r="H127" s="94" t="s">
        <v>622</v>
      </c>
      <c r="I127" s="126" t="s">
        <v>121</v>
      </c>
      <c r="J127" s="94" t="s">
        <v>121</v>
      </c>
      <c r="K127" s="94" t="s">
        <v>0</v>
      </c>
      <c r="L127" s="94" t="s">
        <v>0</v>
      </c>
      <c r="M127" s="94"/>
      <c r="N127" s="198" t="s">
        <v>107</v>
      </c>
      <c r="S127" s="4"/>
      <c r="W127" s="4"/>
      <c r="X127" s="4"/>
    </row>
    <row r="128" spans="1:24" x14ac:dyDescent="0.2">
      <c r="A128" s="115" t="str">
        <f>'LTS-6 Loads'!A263</f>
        <v>Pole</v>
      </c>
      <c r="B128" s="95">
        <f>'LTS-6 Loads'!B263</f>
        <v>302.26242154617563</v>
      </c>
      <c r="C128" s="95" t="str">
        <f>'LTS-6 Loads'!C263</f>
        <v>E</v>
      </c>
      <c r="D128" s="95">
        <f>'LTS-6 Loads'!D263</f>
        <v>19.198807866652391</v>
      </c>
      <c r="E128" s="95">
        <f>'LTS-6 Loads'!E263</f>
        <v>0</v>
      </c>
      <c r="F128" s="95">
        <f>'LTS-6 Loads'!F263</f>
        <v>0</v>
      </c>
      <c r="G128" s="95">
        <f>'LTS-6 Loads'!G263</f>
        <v>0</v>
      </c>
      <c r="H128" s="95">
        <f>'LTS-6 Loads'!H263</f>
        <v>0</v>
      </c>
      <c r="I128" s="95">
        <f>'LTS-6 Loads'!I263</f>
        <v>6.6127620370370375</v>
      </c>
      <c r="J128" s="95">
        <f>'LTS-6 Loads'!J263</f>
        <v>8.5751620370370372</v>
      </c>
      <c r="K128" s="95">
        <f>'LTS-6 Loads'!K263</f>
        <v>0.66666666666666663</v>
      </c>
      <c r="L128" s="95">
        <f>'LTS-6 Loads'!L263</f>
        <v>0.66666666666666663</v>
      </c>
      <c r="M128" s="95" t="str">
        <f>'LTS-6 Loads'!M263</f>
        <v>Octag.</v>
      </c>
      <c r="N128" s="199">
        <f>'LTS-6 Loads'!N263</f>
        <v>0.86502821791759066</v>
      </c>
      <c r="S128" s="4"/>
      <c r="W128" s="4"/>
      <c r="X128" s="4"/>
    </row>
    <row r="129" spans="1:24" x14ac:dyDescent="0.2">
      <c r="A129" s="115" t="str">
        <f>'LTS-6 Loads'!A264</f>
        <v>Luminaire</v>
      </c>
      <c r="B129" s="95">
        <f>'LTS-6 Loads'!B264</f>
        <v>30.250000000000004</v>
      </c>
      <c r="C129" s="95" t="str">
        <f>'LTS-6 Loads'!C264</f>
        <v>E</v>
      </c>
      <c r="D129" s="95">
        <f>'LTS-6 Loads'!D264</f>
        <v>21.416666666666664</v>
      </c>
      <c r="E129" s="95">
        <f>'LTS-6 Loads'!E264</f>
        <v>0</v>
      </c>
      <c r="F129" s="95">
        <f>'LTS-6 Loads'!F264</f>
        <v>9.3791666666666664</v>
      </c>
      <c r="G129" s="95">
        <f>'LTS-6 Loads'!G264</f>
        <v>0</v>
      </c>
      <c r="H129" s="95">
        <f>'LTS-6 Loads'!H264</f>
        <v>283.71979166666671</v>
      </c>
      <c r="I129" s="95">
        <f>'LTS-6 Loads'!I264</f>
        <v>1.0803472222222221</v>
      </c>
      <c r="J129" s="95">
        <f>'LTS-6 Loads'!J264</f>
        <v>0.34597222222222218</v>
      </c>
      <c r="K129" s="95">
        <f>'LTS-6 Loads'!K264</f>
        <v>0.8833333333333333</v>
      </c>
      <c r="L129" s="95">
        <f>'LTS-6 Loads'!L264</f>
        <v>2.7583333333333333</v>
      </c>
      <c r="M129" s="95" t="str">
        <f>'LTS-6 Loads'!M264</f>
        <v>Flat</v>
      </c>
      <c r="N129" s="199">
        <f>'LTS-6 Loads'!N264</f>
        <v>0.99294599120745508</v>
      </c>
      <c r="S129" s="4"/>
      <c r="W129" s="4"/>
      <c r="X129" s="4"/>
    </row>
    <row r="130" spans="1:24" x14ac:dyDescent="0.2">
      <c r="A130" s="115" t="str">
        <f>'LTS-6 Loads'!A265</f>
        <v>Mast Arm</v>
      </c>
      <c r="B130" s="95">
        <f>'LTS-6 Loads'!B265</f>
        <v>42.226163986352546</v>
      </c>
      <c r="C130" s="95" t="str">
        <f>'LTS-6 Loads'!C265</f>
        <v>E</v>
      </c>
      <c r="D130" s="95">
        <f>'LTS-6 Loads'!D265</f>
        <v>20.793333333333329</v>
      </c>
      <c r="E130" s="95">
        <f>'LTS-6 Loads'!E265</f>
        <v>0</v>
      </c>
      <c r="F130" s="95">
        <f>'LTS-6 Loads'!F265</f>
        <v>4</v>
      </c>
      <c r="G130" s="95">
        <f>'LTS-6 Loads'!G265</f>
        <v>0</v>
      </c>
      <c r="H130" s="95">
        <f>'LTS-6 Loads'!H265</f>
        <v>168.90465594541018</v>
      </c>
      <c r="I130" s="95">
        <f>'LTS-6 Loads'!I265</f>
        <v>1.9395250000000002</v>
      </c>
      <c r="J130" s="95">
        <f>'LTS-6 Loads'!J265</f>
        <v>1.7327604166666668</v>
      </c>
      <c r="K130" s="95">
        <f>'LTS-6 Loads'!K265</f>
        <v>0.19791666666666666</v>
      </c>
      <c r="L130" s="95">
        <f>'LTS-6 Loads'!L265</f>
        <v>0.19791666666666666</v>
      </c>
      <c r="M130" s="95" t="str">
        <f>'LTS-6 Loads'!M265</f>
        <v>Round</v>
      </c>
      <c r="N130" s="199">
        <f>'LTS-6 Loads'!N265</f>
        <v>0.98878779694233587</v>
      </c>
      <c r="S130" s="4"/>
      <c r="W130" s="4"/>
      <c r="X130" s="4"/>
    </row>
    <row r="131" spans="1:24" x14ac:dyDescent="0.2">
      <c r="A131" s="115" t="str">
        <f>'LTS-6 Loads'!A266</f>
        <v>Radio/Antenna (2)</v>
      </c>
      <c r="B131" s="95">
        <f>'LTS-6 Loads'!B266</f>
        <v>50</v>
      </c>
      <c r="C131" s="95" t="str">
        <f>'LTS-6 Loads'!C266</f>
        <v>P</v>
      </c>
      <c r="D131" s="95">
        <f>'LTS-6 Loads'!D266</f>
        <v>15.208333333333334</v>
      </c>
      <c r="E131" s="95">
        <f>'LTS-6 Loads'!E266</f>
        <v>0</v>
      </c>
      <c r="F131" s="95">
        <f>'LTS-6 Loads'!F266</f>
        <v>0.72697916666666662</v>
      </c>
      <c r="G131" s="95">
        <f>'LTS-6 Loads'!G266</f>
        <v>0</v>
      </c>
      <c r="H131" s="95">
        <f>'LTS-6 Loads'!H266</f>
        <v>36.348958333333329</v>
      </c>
      <c r="I131" s="95">
        <f>'LTS-6 Loads'!I266</f>
        <v>1.2148101902594866</v>
      </c>
      <c r="J131" s="95">
        <f>'LTS-6 Loads'!J266</f>
        <v>1.3749463044151784</v>
      </c>
      <c r="K131" s="95">
        <f>'LTS-6 Loads'!K266</f>
        <v>0.66666666666666663</v>
      </c>
      <c r="L131" s="95">
        <f>'LTS-6 Loads'!L266</f>
        <v>0.41666666666666669</v>
      </c>
      <c r="M131" s="95" t="str">
        <f>'LTS-6 Loads'!M266</f>
        <v>Flat</v>
      </c>
      <c r="N131" s="199">
        <f>'LTS-6 Loads'!N266</f>
        <v>0.86502821791759066</v>
      </c>
      <c r="S131" s="4"/>
      <c r="W131" s="4"/>
      <c r="X131" s="4"/>
    </row>
    <row r="132" spans="1:24" x14ac:dyDescent="0.2">
      <c r="A132" s="115" t="str">
        <f>'LTS-6 Loads'!A267</f>
        <v>Radio/Antenna (3)</v>
      </c>
      <c r="B132" s="95">
        <f>'LTS-6 Loads'!B267</f>
        <v>50</v>
      </c>
      <c r="C132" s="95" t="str">
        <f>'LTS-6 Loads'!C267</f>
        <v>P</v>
      </c>
      <c r="D132" s="95">
        <f>'LTS-6 Loads'!D267</f>
        <v>15.208333333333334</v>
      </c>
      <c r="E132" s="95">
        <f>'LTS-6 Loads'!E267</f>
        <v>0.72697916666666662</v>
      </c>
      <c r="F132" s="95">
        <f>'LTS-6 Loads'!F267</f>
        <v>0</v>
      </c>
      <c r="G132" s="95">
        <f>'LTS-6 Loads'!G267</f>
        <v>36.348958333333329</v>
      </c>
      <c r="H132" s="95">
        <f>'LTS-6 Loads'!H267</f>
        <v>0</v>
      </c>
      <c r="I132" s="95">
        <f>'LTS-6 Loads'!I267</f>
        <v>1.2148101902594866</v>
      </c>
      <c r="J132" s="95">
        <f>'LTS-6 Loads'!J267</f>
        <v>1.3749463044151784</v>
      </c>
      <c r="K132" s="95">
        <f>'LTS-6 Loads'!K267</f>
        <v>0.41666666666666669</v>
      </c>
      <c r="L132" s="95">
        <f>'LTS-6 Loads'!L267</f>
        <v>0.66666666666666663</v>
      </c>
      <c r="M132" s="95" t="str">
        <f>'LTS-6 Loads'!M267</f>
        <v>Flat</v>
      </c>
      <c r="N132" s="199">
        <f>'LTS-6 Loads'!N267</f>
        <v>0.86502821791759066</v>
      </c>
      <c r="S132" s="4"/>
      <c r="W132" s="4"/>
      <c r="X132" s="4"/>
    </row>
    <row r="133" spans="1:24" x14ac:dyDescent="0.2">
      <c r="A133" s="115" t="str">
        <f>'LTS-6 Loads'!A268</f>
        <v>Sign (bottom)</v>
      </c>
      <c r="B133" s="95">
        <f>'LTS-6 Loads'!B268</f>
        <v>12.463750000000001</v>
      </c>
      <c r="C133" s="95" t="str">
        <f>'LTS-6 Loads'!C268</f>
        <v>E</v>
      </c>
      <c r="D133" s="95">
        <f>'LTS-6 Loads'!D268</f>
        <v>0</v>
      </c>
      <c r="E133" s="95">
        <f>'LTS-6 Loads'!E268</f>
        <v>0</v>
      </c>
      <c r="F133" s="95">
        <f>'LTS-6 Loads'!F268</f>
        <v>1.4031597222222221</v>
      </c>
      <c r="G133" s="95">
        <f>'LTS-6 Loads'!G268</f>
        <v>0</v>
      </c>
      <c r="H133" s="95">
        <f>'LTS-6 Loads'!H268</f>
        <v>17.488631987847221</v>
      </c>
      <c r="I133" s="95">
        <f>'LTS-6 Loads'!I268</f>
        <v>0</v>
      </c>
      <c r="J133" s="95">
        <f>'LTS-6 Loads'!J268</f>
        <v>0</v>
      </c>
      <c r="K133" s="95">
        <f>'LTS-6 Loads'!K268</f>
        <v>6.6666666666666671E-3</v>
      </c>
      <c r="L133" s="95">
        <f>'LTS-6 Loads'!L268</f>
        <v>2.25</v>
      </c>
      <c r="M133" s="95" t="str">
        <f>'LTS-6 Loads'!M268</f>
        <v>Flat</v>
      </c>
      <c r="N133" s="199">
        <f>'LTS-6 Loads'!N268</f>
        <v>0.86502821791759066</v>
      </c>
      <c r="S133" s="4"/>
      <c r="W133" s="4"/>
      <c r="X133" s="4"/>
    </row>
    <row r="134" spans="1:24" x14ac:dyDescent="0.2">
      <c r="A134" s="115" t="str">
        <f>'LTS-6 Loads'!A269</f>
        <v>Sign (banner)</v>
      </c>
      <c r="B134" s="95">
        <f>'LTS-6 Loads'!B269</f>
        <v>0.61614583333333339</v>
      </c>
      <c r="C134" s="95" t="str">
        <f>'LTS-6 Loads'!C269</f>
        <v>P</v>
      </c>
      <c r="D134" s="95">
        <f>'LTS-6 Loads'!D269</f>
        <v>0</v>
      </c>
      <c r="E134" s="95">
        <f>'LTS-6 Loads'!E269</f>
        <v>0</v>
      </c>
      <c r="F134" s="95">
        <f>'LTS-6 Loads'!F269</f>
        <v>7.5</v>
      </c>
      <c r="G134" s="95">
        <f>'LTS-6 Loads'!G269</f>
        <v>0</v>
      </c>
      <c r="H134" s="95">
        <f>'LTS-6 Loads'!H269</f>
        <v>4.62109375</v>
      </c>
      <c r="I134" s="95">
        <f>'LTS-6 Loads'!I269</f>
        <v>0</v>
      </c>
      <c r="J134" s="95">
        <f>'LTS-6 Loads'!J269</f>
        <v>0</v>
      </c>
      <c r="K134" s="95">
        <f>'LTS-6 Loads'!K269</f>
        <v>8.3333333333333339E-4</v>
      </c>
      <c r="L134" s="95">
        <f>'LTS-6 Loads'!L269</f>
        <v>8.3333333333333339E-4</v>
      </c>
      <c r="M134" s="95" t="str">
        <f>'LTS-6 Loads'!M269</f>
        <v>Round</v>
      </c>
      <c r="N134" s="199">
        <f>'LTS-6 Loads'!N269</f>
        <v>0.89789674191093283</v>
      </c>
      <c r="S134" s="4"/>
      <c r="W134" s="4"/>
      <c r="X134" s="4"/>
    </row>
    <row r="135" spans="1:24" x14ac:dyDescent="0.2">
      <c r="A135" s="115" t="str">
        <f>'LTS-6 Loads'!A270</f>
        <v>Smart Meter</v>
      </c>
      <c r="B135" s="95">
        <f>'LTS-6 Loads'!B270</f>
        <v>5</v>
      </c>
      <c r="C135" s="95" t="str">
        <f>'LTS-6 Loads'!C270</f>
        <v>P</v>
      </c>
      <c r="D135" s="95">
        <f>'LTS-6 Loads'!D270</f>
        <v>0</v>
      </c>
      <c r="E135" s="95">
        <f>'LTS-6 Loads'!E270</f>
        <v>0.4617708333333333</v>
      </c>
      <c r="F135" s="95">
        <f>'LTS-6 Loads'!F270</f>
        <v>0</v>
      </c>
      <c r="G135" s="95">
        <f>'LTS-6 Loads'!G270</f>
        <v>2.3088541666666664</v>
      </c>
      <c r="H135" s="95">
        <f>'LTS-6 Loads'!H270</f>
        <v>0</v>
      </c>
      <c r="I135" s="95">
        <f>'LTS-6 Loads'!I270</f>
        <v>0</v>
      </c>
      <c r="J135" s="95">
        <f>'LTS-6 Loads'!J270</f>
        <v>0</v>
      </c>
      <c r="K135" s="95">
        <f>'LTS-6 Loads'!K270</f>
        <v>0.4617708333333333</v>
      </c>
      <c r="L135" s="95">
        <f>'LTS-6 Loads'!L270</f>
        <v>0.4617708333333333</v>
      </c>
      <c r="M135" s="95" t="str">
        <f>'LTS-6 Loads'!M270</f>
        <v>Round</v>
      </c>
      <c r="N135" s="199">
        <f>'LTS-6 Loads'!N270</f>
        <v>0.86502821791759066</v>
      </c>
      <c r="S135" s="4"/>
      <c r="W135" s="4"/>
      <c r="X135" s="4"/>
    </row>
    <row r="136" spans="1:24" x14ac:dyDescent="0.2">
      <c r="A136" s="115" t="str">
        <f>'LTS-6 Loads'!A271</f>
        <v>Radio/Antenna (1)</v>
      </c>
      <c r="B136" s="95">
        <f>'LTS-6 Loads'!B271</f>
        <v>50</v>
      </c>
      <c r="C136" s="95" t="str">
        <f>'LTS-6 Loads'!C271</f>
        <v>P</v>
      </c>
      <c r="D136" s="95">
        <f>'LTS-6 Loads'!D271</f>
        <v>15.208333333333334</v>
      </c>
      <c r="E136" s="95">
        <f>'LTS-6 Loads'!E271</f>
        <v>0.72697916666666662</v>
      </c>
      <c r="F136" s="95">
        <f>'LTS-6 Loads'!F271</f>
        <v>0</v>
      </c>
      <c r="G136" s="95">
        <f>'LTS-6 Loads'!G271</f>
        <v>36.348958333333329</v>
      </c>
      <c r="H136" s="95">
        <f>'LTS-6 Loads'!H271</f>
        <v>0</v>
      </c>
      <c r="I136" s="95">
        <f>'LTS-6 Loads'!I271</f>
        <v>1.1666666666666665</v>
      </c>
      <c r="J136" s="95">
        <f>'LTS-6 Loads'!J271</f>
        <v>0.72916666666666674</v>
      </c>
      <c r="K136" s="95">
        <f>'LTS-6 Loads'!K271</f>
        <v>0.41666666666666669</v>
      </c>
      <c r="L136" s="95">
        <f>'LTS-6 Loads'!L271</f>
        <v>0.66666666666666663</v>
      </c>
      <c r="M136" s="95" t="str">
        <f>'LTS-6 Loads'!M271</f>
        <v>Flat</v>
      </c>
      <c r="N136" s="199">
        <f>'LTS-6 Loads'!N271</f>
        <v>0.94823219728985098</v>
      </c>
      <c r="S136" s="4"/>
      <c r="W136" s="4"/>
      <c r="X136" s="4"/>
    </row>
    <row r="137" spans="1:24" x14ac:dyDescent="0.2">
      <c r="A137" s="115" t="str">
        <f>'LTS-6 Loads'!A272</f>
        <v>Disconnect</v>
      </c>
      <c r="B137" s="95">
        <f>'LTS-6 Loads'!B272</f>
        <v>6</v>
      </c>
      <c r="C137" s="95" t="str">
        <f>'LTS-6 Loads'!C272</f>
        <v>P</v>
      </c>
      <c r="D137" s="95">
        <f>'LTS-6 Loads'!D272</f>
        <v>0</v>
      </c>
      <c r="E137" s="95">
        <f>'LTS-6 Loads'!E272</f>
        <v>0.43387743055555555</v>
      </c>
      <c r="F137" s="95">
        <f>'LTS-6 Loads'!F272</f>
        <v>0</v>
      </c>
      <c r="G137" s="95">
        <f>'LTS-6 Loads'!G272</f>
        <v>2.6032645833333334</v>
      </c>
      <c r="H137" s="95">
        <f>'LTS-6 Loads'!H272</f>
        <v>0</v>
      </c>
      <c r="I137" s="95">
        <f>'LTS-6 Loads'!I272</f>
        <v>0</v>
      </c>
      <c r="J137" s="95">
        <f>'LTS-6 Loads'!J272</f>
        <v>0</v>
      </c>
      <c r="K137" s="95">
        <f>'LTS-6 Loads'!K272</f>
        <v>0.3125</v>
      </c>
      <c r="L137" s="95">
        <f>'LTS-6 Loads'!L272</f>
        <v>0.53166666666666662</v>
      </c>
      <c r="M137" s="95" t="str">
        <f>'LTS-6 Loads'!M272</f>
        <v>Flat</v>
      </c>
      <c r="N137" s="199">
        <f>'LTS-6 Loads'!N272</f>
        <v>0.86502821791759066</v>
      </c>
      <c r="S137" s="4"/>
      <c r="W137" s="4"/>
      <c r="X137" s="4"/>
    </row>
    <row r="138" spans="1:24" x14ac:dyDescent="0.2">
      <c r="A138" s="100"/>
      <c r="B138" s="81"/>
      <c r="C138" s="81"/>
      <c r="D138" s="81"/>
      <c r="E138" s="81"/>
      <c r="F138" s="81"/>
      <c r="G138" s="81"/>
      <c r="H138" s="81"/>
      <c r="I138" s="81"/>
      <c r="J138" s="81"/>
      <c r="K138" s="81"/>
      <c r="L138" s="81"/>
      <c r="M138" s="81"/>
      <c r="N138" s="224"/>
      <c r="S138" s="4"/>
      <c r="W138" s="4"/>
      <c r="X138" s="4"/>
    </row>
    <row r="139" spans="1:24" ht="18.75" x14ac:dyDescent="0.35">
      <c r="A139" s="200"/>
      <c r="B139" s="91" t="s">
        <v>599</v>
      </c>
      <c r="C139" s="261" t="s">
        <v>915</v>
      </c>
      <c r="D139" s="261"/>
      <c r="E139" s="261" t="s">
        <v>628</v>
      </c>
      <c r="F139" s="261"/>
      <c r="G139" s="260" t="s">
        <v>595</v>
      </c>
      <c r="H139" s="260"/>
      <c r="I139" s="260" t="s">
        <v>617</v>
      </c>
      <c r="J139" s="260"/>
      <c r="K139" s="260" t="s">
        <v>907</v>
      </c>
      <c r="L139" s="260"/>
      <c r="M139" s="260" t="s">
        <v>908</v>
      </c>
      <c r="N139" s="267"/>
      <c r="S139" s="4"/>
      <c r="W139" s="4"/>
      <c r="X139" s="4"/>
    </row>
    <row r="140" spans="1:24" x14ac:dyDescent="0.2">
      <c r="A140" s="90"/>
      <c r="B140" s="91" t="s">
        <v>600</v>
      </c>
      <c r="C140" s="91" t="s">
        <v>588</v>
      </c>
      <c r="D140" s="91" t="s">
        <v>589</v>
      </c>
      <c r="E140" s="91" t="s">
        <v>588</v>
      </c>
      <c r="F140" s="91" t="s">
        <v>589</v>
      </c>
      <c r="G140" s="91" t="s">
        <v>588</v>
      </c>
      <c r="H140" s="91" t="s">
        <v>589</v>
      </c>
      <c r="I140" s="91" t="s">
        <v>588</v>
      </c>
      <c r="J140" s="91" t="s">
        <v>589</v>
      </c>
      <c r="K140" s="91" t="s">
        <v>588</v>
      </c>
      <c r="L140" s="118" t="s">
        <v>589</v>
      </c>
      <c r="M140" s="91" t="s">
        <v>588</v>
      </c>
      <c r="N140" s="92" t="s">
        <v>589</v>
      </c>
      <c r="S140" s="4"/>
      <c r="W140" s="4"/>
      <c r="X140" s="4"/>
    </row>
    <row r="141" spans="1:24" ht="18.75" x14ac:dyDescent="0.2">
      <c r="A141" s="100"/>
      <c r="B141" s="94" t="s">
        <v>6</v>
      </c>
      <c r="C141" s="94"/>
      <c r="D141" s="94"/>
      <c r="E141" s="94"/>
      <c r="F141" s="94"/>
      <c r="G141" s="127" t="s">
        <v>632</v>
      </c>
      <c r="H141" s="127" t="s">
        <v>632</v>
      </c>
      <c r="I141" s="94" t="s">
        <v>121</v>
      </c>
      <c r="J141" s="94" t="s">
        <v>121</v>
      </c>
      <c r="K141" s="94" t="s">
        <v>7</v>
      </c>
      <c r="L141" s="119" t="s">
        <v>7</v>
      </c>
      <c r="M141" s="94" t="s">
        <v>622</v>
      </c>
      <c r="N141" s="98" t="s">
        <v>622</v>
      </c>
      <c r="S141" s="4"/>
      <c r="W141" s="4"/>
      <c r="X141" s="4"/>
    </row>
    <row r="142" spans="1:24" x14ac:dyDescent="0.2">
      <c r="A142" s="115" t="str">
        <f>'LTS-6 Loads'!A263</f>
        <v>Pole</v>
      </c>
      <c r="B142" s="95">
        <f>'LTS-6 Loads'!O263</f>
        <v>18.23950058720828</v>
      </c>
      <c r="C142" s="95">
        <f>'LTS-6 Loads'!P263</f>
        <v>45</v>
      </c>
      <c r="D142" s="95">
        <f>'LTS-6 Loads'!Q263</f>
        <v>45</v>
      </c>
      <c r="E142" s="95">
        <f>'LTS-6 Loads'!R263</f>
        <v>56.666666666666664</v>
      </c>
      <c r="F142" s="95">
        <f>'LTS-6 Loads'!S263</f>
        <v>56.666666666666664</v>
      </c>
      <c r="G142" s="95">
        <f>'LTS-6 Loads'!T263</f>
        <v>1.2</v>
      </c>
      <c r="H142" s="95">
        <f>'LTS-6 Loads'!U263</f>
        <v>1.2</v>
      </c>
      <c r="I142" s="95">
        <f>'LTS-6 Loads'!V263</f>
        <v>7.9353144444444448</v>
      </c>
      <c r="J142" s="95">
        <f>'LTS-6 Loads'!W263</f>
        <v>10.290194444444444</v>
      </c>
      <c r="K142" s="95">
        <f>'LTS-6 Loads'!X263</f>
        <v>144.73617246912679</v>
      </c>
      <c r="L142" s="95">
        <f>'LTS-6 Loads'!Y263</f>
        <v>187.68800761193179</v>
      </c>
      <c r="M142" s="197">
        <f>'LTS-6 Loads'!Z263</f>
        <v>2778.7619665894285</v>
      </c>
      <c r="N142" s="201">
        <f>'LTS-6 Loads'!AA263</f>
        <v>3603.3859970162698</v>
      </c>
      <c r="S142" s="4"/>
      <c r="W142" s="4"/>
      <c r="X142" s="4"/>
    </row>
    <row r="143" spans="1:24" x14ac:dyDescent="0.2">
      <c r="A143" s="115" t="str">
        <f>'LTS-6 Loads'!A264</f>
        <v>Luminaire</v>
      </c>
      <c r="B143" s="95">
        <f>'LTS-6 Loads'!O264</f>
        <v>20.936703120845323</v>
      </c>
      <c r="C143" s="95">
        <f>'LTS-6 Loads'!P264</f>
        <v>7.042553191489362</v>
      </c>
      <c r="D143" s="95">
        <f>'LTS-6 Loads'!Q264</f>
        <v>2.2553191489361701</v>
      </c>
      <c r="E143" s="95">
        <f>'LTS-6 Loads'!R264</f>
        <v>75.083333333333329</v>
      </c>
      <c r="F143" s="95">
        <f>'LTS-6 Loads'!S264</f>
        <v>234.45833333333334</v>
      </c>
      <c r="G143" s="95">
        <f>'LTS-6 Loads'!T264</f>
        <v>1.2</v>
      </c>
      <c r="H143" s="95">
        <f>'LTS-6 Loads'!U264</f>
        <v>1.2</v>
      </c>
      <c r="I143" s="95">
        <f>'LTS-6 Loads'!V264</f>
        <v>1.2964166666666666</v>
      </c>
      <c r="J143" s="95">
        <f>'LTS-6 Loads'!W264</f>
        <v>0.41516666666666663</v>
      </c>
      <c r="K143" s="95">
        <f>'LTS-6 Loads'!X264</f>
        <v>27.142690870915889</v>
      </c>
      <c r="L143" s="95">
        <f>'LTS-6 Loads'!Y264</f>
        <v>8.6922212456709484</v>
      </c>
      <c r="M143" s="197">
        <f>'LTS-6 Loads'!Z264</f>
        <v>581.30596281878184</v>
      </c>
      <c r="N143" s="201">
        <f>'LTS-6 Loads'!AA264</f>
        <v>186.1584050114528</v>
      </c>
      <c r="S143" s="4"/>
      <c r="W143" s="4"/>
      <c r="X143" s="4"/>
    </row>
    <row r="144" spans="1:24" x14ac:dyDescent="0.2">
      <c r="A144" s="115" t="str">
        <f>'LTS-6 Loads'!A265</f>
        <v>Mast Arm</v>
      </c>
      <c r="B144" s="95">
        <f>'LTS-6 Loads'!O265</f>
        <v>20.849025765159805</v>
      </c>
      <c r="C144" s="95">
        <f>'LTS-6 Loads'!P265</f>
        <v>44.235789473684214</v>
      </c>
      <c r="D144" s="95">
        <f>'LTS-6 Loads'!Q265</f>
        <v>1</v>
      </c>
      <c r="E144" s="95">
        <f>'LTS-6 Loads'!R265</f>
        <v>16.822916666666664</v>
      </c>
      <c r="F144" s="95">
        <f>'LTS-6 Loads'!S265</f>
        <v>16.822916666666664</v>
      </c>
      <c r="G144" s="95">
        <f>'LTS-6 Loads'!T265</f>
        <v>1.1000000000000001</v>
      </c>
      <c r="H144" s="95">
        <f>'LTS-6 Loads'!U265</f>
        <v>1.1000000000000001</v>
      </c>
      <c r="I144" s="95">
        <f>'LTS-6 Loads'!V265</f>
        <v>2.1334775000000001</v>
      </c>
      <c r="J144" s="95">
        <f>'LTS-6 Loads'!W265</f>
        <v>1.9060364583333336</v>
      </c>
      <c r="K144" s="95">
        <f>'LTS-6 Loads'!X265</f>
        <v>44.480927366888729</v>
      </c>
      <c r="L144" s="95">
        <f>'LTS-6 Loads'!Y265</f>
        <v>39.739003229125615</v>
      </c>
      <c r="M144" s="197">
        <f>'LTS-6 Loads'!Z265</f>
        <v>924.90674971550618</v>
      </c>
      <c r="N144" s="201">
        <f>'LTS-6 Loads'!AA265</f>
        <v>338.37761249600464</v>
      </c>
      <c r="S144" s="4"/>
      <c r="W144" s="4"/>
      <c r="X144" s="4"/>
    </row>
    <row r="145" spans="1:24" x14ac:dyDescent="0.2">
      <c r="A145" s="115" t="str">
        <f>'LTS-6 Loads'!A266</f>
        <v>Radio/Antenna (2)</v>
      </c>
      <c r="B145" s="95">
        <f>'LTS-6 Loads'!O266</f>
        <v>18.23950058720828</v>
      </c>
      <c r="C145" s="95">
        <f>'LTS-6 Loads'!P266</f>
        <v>4.2</v>
      </c>
      <c r="D145" s="95">
        <f>'LTS-6 Loads'!Q266</f>
        <v>0.38095238095238093</v>
      </c>
      <c r="E145" s="95">
        <f>'LTS-6 Loads'!R266</f>
        <v>56.666666666666664</v>
      </c>
      <c r="F145" s="95">
        <f>'LTS-6 Loads'!S266</f>
        <v>35.416666666666671</v>
      </c>
      <c r="G145" s="95">
        <f>'LTS-6 Loads'!T266</f>
        <v>1.3</v>
      </c>
      <c r="H145" s="95">
        <f>'LTS-6 Loads'!U266</f>
        <v>1.2</v>
      </c>
      <c r="I145" s="95">
        <f>'LTS-6 Loads'!V266</f>
        <v>1.5792532473373326</v>
      </c>
      <c r="J145" s="95">
        <f>'LTS-6 Loads'!W266</f>
        <v>1.6499355652982139</v>
      </c>
      <c r="K145" s="95">
        <f>'LTS-6 Loads'!X266</f>
        <v>28.80479053215986</v>
      </c>
      <c r="L145" s="95">
        <f>'LTS-6 Loads'!Y266</f>
        <v>30.094000712112599</v>
      </c>
      <c r="M145" s="197">
        <f>'LTS-6 Loads'!Z266</f>
        <v>438.07285600993123</v>
      </c>
      <c r="N145" s="201">
        <f>'LTS-6 Loads'!AA266</f>
        <v>457.67959416337914</v>
      </c>
      <c r="S145" s="4"/>
      <c r="W145" s="4"/>
      <c r="X145" s="4"/>
    </row>
    <row r="146" spans="1:24" x14ac:dyDescent="0.2">
      <c r="A146" s="115" t="str">
        <f>'LTS-6 Loads'!A267</f>
        <v>Radio/Antenna (3)</v>
      </c>
      <c r="B146" s="95">
        <f>'LTS-6 Loads'!O267</f>
        <v>18.23950058720828</v>
      </c>
      <c r="C146" s="95">
        <f>'LTS-6 Loads'!P267</f>
        <v>0.38095238095238093</v>
      </c>
      <c r="D146" s="95">
        <f>'LTS-6 Loads'!Q267</f>
        <v>4.2</v>
      </c>
      <c r="E146" s="95">
        <f>'LTS-6 Loads'!R267</f>
        <v>35.416666666666671</v>
      </c>
      <c r="F146" s="95">
        <f>'LTS-6 Loads'!S267</f>
        <v>56.666666666666664</v>
      </c>
      <c r="G146" s="95">
        <f>'LTS-6 Loads'!T267</f>
        <v>1.2</v>
      </c>
      <c r="H146" s="95">
        <f>'LTS-6 Loads'!U267</f>
        <v>1.3</v>
      </c>
      <c r="I146" s="95">
        <f>'LTS-6 Loads'!V267</f>
        <v>1.4577722283113839</v>
      </c>
      <c r="J146" s="95">
        <f>'LTS-6 Loads'!W267</f>
        <v>1.7874301957397321</v>
      </c>
      <c r="K146" s="95">
        <f>'LTS-6 Loads'!X267</f>
        <v>26.589037414301409</v>
      </c>
      <c r="L146" s="95">
        <f>'LTS-6 Loads'!Y267</f>
        <v>32.601834104788651</v>
      </c>
      <c r="M146" s="197">
        <f>'LTS-6 Loads'!Z267</f>
        <v>404.37494400916728</v>
      </c>
      <c r="N146" s="201">
        <f>'LTS-6 Loads'!AA267</f>
        <v>495.81956034366073</v>
      </c>
      <c r="S146" s="4"/>
      <c r="W146" s="4"/>
      <c r="X146" s="4"/>
    </row>
    <row r="147" spans="1:24" x14ac:dyDescent="0.2">
      <c r="A147" s="115" t="str">
        <f>'LTS-6 Loads'!A268</f>
        <v>Sign (bottom)</v>
      </c>
      <c r="B147" s="95">
        <f>'LTS-6 Loads'!O268</f>
        <v>18.23950058720828</v>
      </c>
      <c r="C147" s="95">
        <f>'LTS-6 Loads'!P268</f>
        <v>2.1851851851851851</v>
      </c>
      <c r="D147" s="95">
        <f>'LTS-6 Loads'!Q268</f>
        <v>737.5</v>
      </c>
      <c r="E147" s="95">
        <f>'LTS-6 Loads'!R268</f>
        <v>0.56666666666666665</v>
      </c>
      <c r="F147" s="95">
        <f>'LTS-6 Loads'!S268</f>
        <v>191.25</v>
      </c>
      <c r="G147" s="95">
        <f>'LTS-6 Loads'!T268</f>
        <v>1.19</v>
      </c>
      <c r="H147" s="95">
        <f>'LTS-6 Loads'!U268</f>
        <v>1.3</v>
      </c>
      <c r="I147" s="95">
        <f>'LTS-6 Loads'!V268</f>
        <v>0</v>
      </c>
      <c r="J147" s="95">
        <f>'LTS-6 Loads'!W268</f>
        <v>0</v>
      </c>
      <c r="K147" s="95">
        <f>'LTS-6 Loads'!X268</f>
        <v>0</v>
      </c>
      <c r="L147" s="95">
        <f>'LTS-6 Loads'!Y268</f>
        <v>0</v>
      </c>
      <c r="M147" s="197">
        <f>'LTS-6 Loads'!Z268</f>
        <v>0</v>
      </c>
      <c r="N147" s="201">
        <f>'LTS-6 Loads'!AA268</f>
        <v>0</v>
      </c>
      <c r="S147" s="4"/>
      <c r="W147" s="4"/>
      <c r="X147" s="4"/>
    </row>
    <row r="148" spans="1:24" x14ac:dyDescent="0.2">
      <c r="A148" s="115" t="str">
        <f>'LTS-6 Loads'!A269</f>
        <v>Sign (banner)</v>
      </c>
      <c r="B148" s="95">
        <f>'LTS-6 Loads'!O269</f>
        <v>18.932547877758456</v>
      </c>
      <c r="C148" s="95">
        <f>'LTS-6 Loads'!P269</f>
        <v>6437.9999999999991</v>
      </c>
      <c r="D148" s="95">
        <f>'LTS-6 Loads'!Q269</f>
        <v>6437.9999999999991</v>
      </c>
      <c r="E148" s="95">
        <f>'LTS-6 Loads'!R269</f>
        <v>7.0833333333333331E-2</v>
      </c>
      <c r="F148" s="95">
        <f>'LTS-6 Loads'!S269</f>
        <v>7.0833333333333331E-2</v>
      </c>
      <c r="G148" s="95">
        <f>'LTS-6 Loads'!T269</f>
        <v>4029.7743363629384</v>
      </c>
      <c r="H148" s="95">
        <f>'LTS-6 Loads'!U269</f>
        <v>4029.7743363629384</v>
      </c>
      <c r="I148" s="95">
        <f>'LTS-6 Loads'!V269</f>
        <v>0</v>
      </c>
      <c r="J148" s="95">
        <f>'LTS-6 Loads'!W269</f>
        <v>0</v>
      </c>
      <c r="K148" s="95">
        <f>'LTS-6 Loads'!X269</f>
        <v>0</v>
      </c>
      <c r="L148" s="95">
        <f>'LTS-6 Loads'!Y269</f>
        <v>0</v>
      </c>
      <c r="M148" s="197">
        <f>'LTS-6 Loads'!Z269</f>
        <v>0</v>
      </c>
      <c r="N148" s="201">
        <f>'LTS-6 Loads'!AA269</f>
        <v>0</v>
      </c>
      <c r="S148" s="4"/>
      <c r="W148" s="4"/>
      <c r="X148" s="4"/>
    </row>
    <row r="149" spans="1:24" x14ac:dyDescent="0.2">
      <c r="A149" s="115" t="str">
        <f>'LTS-6 Loads'!A270</f>
        <v>Smart Meter</v>
      </c>
      <c r="B149" s="95">
        <f>'LTS-6 Loads'!O270</f>
        <v>18.23950058720828</v>
      </c>
      <c r="C149" s="95">
        <f>'LTS-6 Loads'!P270</f>
        <v>21.926460636138057</v>
      </c>
      <c r="D149" s="95">
        <f>'LTS-6 Loads'!Q270</f>
        <v>21.926460636138057</v>
      </c>
      <c r="E149" s="95">
        <f>'LTS-6 Loads'!R270</f>
        <v>39.250520833333333</v>
      </c>
      <c r="F149" s="95">
        <f>'LTS-6 Loads'!S270</f>
        <v>39.250520833333333</v>
      </c>
      <c r="G149" s="95">
        <f>'LTS-6 Loads'!T270</f>
        <v>1.0929257520305797</v>
      </c>
      <c r="H149" s="95">
        <f>'LTS-6 Loads'!U270</f>
        <v>1.0929257520305797</v>
      </c>
      <c r="I149" s="95">
        <f>'LTS-6 Loads'!V270</f>
        <v>0</v>
      </c>
      <c r="J149" s="95">
        <f>'LTS-6 Loads'!W270</f>
        <v>0</v>
      </c>
      <c r="K149" s="95">
        <f>'LTS-6 Loads'!X270</f>
        <v>0</v>
      </c>
      <c r="L149" s="95">
        <f>'LTS-6 Loads'!Y270</f>
        <v>0</v>
      </c>
      <c r="M149" s="197">
        <f>'LTS-6 Loads'!Z270</f>
        <v>0</v>
      </c>
      <c r="N149" s="201">
        <f>'LTS-6 Loads'!AA270</f>
        <v>0</v>
      </c>
      <c r="S149" s="4"/>
      <c r="W149" s="4"/>
      <c r="X149" s="4"/>
    </row>
    <row r="150" spans="1:24" x14ac:dyDescent="0.2">
      <c r="A150" s="115" t="str">
        <f>'LTS-6 Loads'!A271</f>
        <v>Radio/Antenna (1)</v>
      </c>
      <c r="B150" s="95">
        <f>'LTS-6 Loads'!O271</f>
        <v>19.993893102023318</v>
      </c>
      <c r="C150" s="95">
        <f>'LTS-6 Loads'!P271</f>
        <v>2.625</v>
      </c>
      <c r="D150" s="95">
        <f>'LTS-6 Loads'!Q271</f>
        <v>4.2</v>
      </c>
      <c r="E150" s="95">
        <f>'LTS-6 Loads'!R271</f>
        <v>35.416666666666671</v>
      </c>
      <c r="F150" s="95">
        <f>'LTS-6 Loads'!S271</f>
        <v>56.666666666666664</v>
      </c>
      <c r="G150" s="95">
        <f>'LTS-6 Loads'!T271</f>
        <v>1.7</v>
      </c>
      <c r="H150" s="95">
        <f>'LTS-6 Loads'!U271</f>
        <v>1.7</v>
      </c>
      <c r="I150" s="95">
        <f>'LTS-6 Loads'!V271</f>
        <v>1.9833333333333329</v>
      </c>
      <c r="J150" s="95">
        <f>'LTS-6 Loads'!W271</f>
        <v>1.2395833333333335</v>
      </c>
      <c r="K150" s="95">
        <f>'LTS-6 Loads'!X271</f>
        <v>39.654554652346242</v>
      </c>
      <c r="L150" s="95">
        <f>'LTS-6 Loads'!Y271</f>
        <v>24.784096657716407</v>
      </c>
      <c r="M150" s="197">
        <f>'LTS-6 Loads'!Z271</f>
        <v>603.0796853377658</v>
      </c>
      <c r="N150" s="201">
        <f>'LTS-6 Loads'!AA271</f>
        <v>376.92480333610371</v>
      </c>
      <c r="S150" s="4"/>
      <c r="W150" s="4"/>
      <c r="X150" s="4"/>
    </row>
    <row r="151" spans="1:24" ht="15" thickBot="1" x14ac:dyDescent="0.25">
      <c r="A151" s="115" t="str">
        <f>'LTS-6 Loads'!A272</f>
        <v>Disconnect</v>
      </c>
      <c r="B151" s="202">
        <f>'LTS-6 Loads'!O272</f>
        <v>18.23950058720828</v>
      </c>
      <c r="C151" s="202">
        <f>'LTS-6 Loads'!P272</f>
        <v>1.69435736677116</v>
      </c>
      <c r="D151" s="202">
        <f>'LTS-6 Loads'!Q272</f>
        <v>2.8826666666666667</v>
      </c>
      <c r="E151" s="202">
        <f>'LTS-6 Loads'!R272</f>
        <v>26.5625</v>
      </c>
      <c r="F151" s="202">
        <f>'LTS-6 Loads'!S272</f>
        <v>45.191666666666663</v>
      </c>
      <c r="G151" s="202">
        <f>'LTS-6 Loads'!T272</f>
        <v>1.2</v>
      </c>
      <c r="H151" s="202">
        <f>'LTS-6 Loads'!U272</f>
        <v>1.2</v>
      </c>
      <c r="I151" s="202">
        <f>'LTS-6 Loads'!V272</f>
        <v>0</v>
      </c>
      <c r="J151" s="202">
        <f>'LTS-6 Loads'!W272</f>
        <v>0</v>
      </c>
      <c r="K151" s="202">
        <f>'LTS-6 Loads'!X272</f>
        <v>0</v>
      </c>
      <c r="L151" s="202">
        <f>'LTS-6 Loads'!Y272</f>
        <v>0</v>
      </c>
      <c r="M151" s="203">
        <f>'LTS-6 Loads'!Z272</f>
        <v>0</v>
      </c>
      <c r="N151" s="204">
        <f>'LTS-6 Loads'!AA272</f>
        <v>0</v>
      </c>
      <c r="S151" s="4"/>
      <c r="W151" s="4"/>
      <c r="X151" s="4"/>
    </row>
    <row r="152" spans="1:24" x14ac:dyDescent="0.2">
      <c r="A152" s="150"/>
      <c r="B152" s="188"/>
      <c r="C152" s="188"/>
      <c r="D152" s="162"/>
      <c r="E152" s="162"/>
      <c r="F152" s="188"/>
      <c r="G152" s="162"/>
      <c r="H152" s="188"/>
      <c r="I152" s="162"/>
      <c r="J152" s="162"/>
      <c r="K152" s="188"/>
      <c r="L152" s="188"/>
      <c r="M152" s="188"/>
      <c r="N152" s="188"/>
      <c r="S152" s="4"/>
      <c r="W152" s="4"/>
      <c r="X152" s="4"/>
    </row>
    <row r="153" spans="1:24" x14ac:dyDescent="0.2">
      <c r="B153" s="4"/>
      <c r="C153" s="4"/>
      <c r="F153" s="4" t="s">
        <v>60</v>
      </c>
      <c r="G153" s="4" t="s">
        <v>61</v>
      </c>
      <c r="H153" s="3"/>
      <c r="N153" s="188"/>
      <c r="S153" s="4"/>
      <c r="W153" s="4"/>
      <c r="X153" s="4"/>
    </row>
    <row r="154" spans="1:24" ht="18.75" x14ac:dyDescent="0.35">
      <c r="A154" s="258" t="s">
        <v>934</v>
      </c>
      <c r="B154" s="258"/>
      <c r="C154" s="259" t="s">
        <v>940</v>
      </c>
      <c r="D154" s="259"/>
      <c r="E154" s="259"/>
      <c r="F154" s="42">
        <f>'LTS-6 Loads'!F336</f>
        <v>556.26023900804967</v>
      </c>
      <c r="G154" s="42">
        <f>'LTS-6 Loads'!G336</f>
        <v>559.98111782914373</v>
      </c>
      <c r="H154" s="41" t="s">
        <v>7</v>
      </c>
      <c r="I154" s="4" t="s">
        <v>939</v>
      </c>
      <c r="J154" s="4"/>
      <c r="K154" s="4"/>
      <c r="L154" s="4"/>
      <c r="M154" s="4"/>
      <c r="N154" s="188"/>
      <c r="S154" s="4"/>
      <c r="W154" s="4"/>
      <c r="X154" s="4"/>
    </row>
    <row r="155" spans="1:24" ht="18.75" x14ac:dyDescent="0.35">
      <c r="A155" s="258" t="s">
        <v>933</v>
      </c>
      <c r="B155" s="258"/>
      <c r="C155" s="259" t="s">
        <v>941</v>
      </c>
      <c r="D155" s="259"/>
      <c r="E155" s="259"/>
      <c r="F155" s="42">
        <f>'LTS-6 Loads'!F337</f>
        <v>370.97086448800354</v>
      </c>
      <c r="G155" s="42">
        <f>'LTS-6 Loads'!G337</f>
        <v>276.18894075684034</v>
      </c>
      <c r="H155" s="41" t="s">
        <v>7</v>
      </c>
      <c r="I155" s="4" t="s">
        <v>943</v>
      </c>
      <c r="J155" s="4"/>
      <c r="K155" s="4"/>
      <c r="L155" s="4"/>
      <c r="M155" s="4"/>
      <c r="N155" s="188"/>
      <c r="S155" s="4"/>
      <c r="W155" s="4"/>
      <c r="X155" s="4"/>
    </row>
    <row r="156" spans="1:24" ht="18.75" x14ac:dyDescent="0.35">
      <c r="A156" s="258" t="s">
        <v>932</v>
      </c>
      <c r="B156" s="258"/>
      <c r="C156" s="259" t="s">
        <v>942</v>
      </c>
      <c r="D156" s="259"/>
      <c r="E156" s="259"/>
      <c r="F156" s="42">
        <f>'LTS-6 Loads'!F338</f>
        <v>7347.8212646461834</v>
      </c>
      <c r="G156" s="42">
        <f>'LTS-6 Loads'!G338</f>
        <v>5601.454996090637</v>
      </c>
      <c r="H156" s="41" t="s">
        <v>622</v>
      </c>
      <c r="I156" s="4" t="s">
        <v>943</v>
      </c>
      <c r="J156" s="4"/>
      <c r="K156" s="4"/>
      <c r="L156" s="4"/>
      <c r="M156" s="4"/>
      <c r="N156" s="188"/>
      <c r="S156" s="4"/>
      <c r="W156" s="4"/>
      <c r="X156" s="4"/>
    </row>
    <row r="157" spans="1:24" x14ac:dyDescent="0.2">
      <c r="A157" s="132"/>
      <c r="B157" s="132"/>
      <c r="C157" s="132"/>
      <c r="D157" s="132"/>
      <c r="E157" s="132"/>
      <c r="F157" s="132"/>
      <c r="G157" s="132"/>
      <c r="H157" s="132"/>
      <c r="I157" s="132"/>
      <c r="J157" s="132"/>
      <c r="K157" s="132"/>
      <c r="L157" s="132"/>
      <c r="M157" s="132"/>
      <c r="N157" s="132"/>
      <c r="S157" s="4"/>
      <c r="W157" s="4"/>
      <c r="X157" s="4"/>
    </row>
    <row r="158" spans="1:24" ht="15" x14ac:dyDescent="0.25">
      <c r="A158" s="223"/>
      <c r="B158" s="3"/>
      <c r="C158" s="9"/>
      <c r="D158" s="9"/>
      <c r="E158" s="9"/>
      <c r="F158" s="9"/>
      <c r="G158" s="4"/>
      <c r="H158" s="4"/>
      <c r="I158" s="4"/>
      <c r="J158" s="4"/>
      <c r="K158" s="4"/>
      <c r="L158" s="4"/>
      <c r="M158" s="4"/>
      <c r="N158" s="4"/>
      <c r="S158" s="4"/>
      <c r="W158" s="4"/>
      <c r="X158" s="4"/>
    </row>
    <row r="159" spans="1:24" x14ac:dyDescent="0.2">
      <c r="B159" s="3"/>
      <c r="C159" s="3"/>
      <c r="D159" s="3"/>
      <c r="E159" s="3"/>
      <c r="F159" s="3"/>
      <c r="G159" s="3"/>
      <c r="H159" s="3"/>
      <c r="I159" s="3"/>
      <c r="K159" s="3"/>
      <c r="L159" s="3"/>
      <c r="M159" s="3"/>
      <c r="S159" s="4"/>
      <c r="W159" s="4"/>
      <c r="X159" s="4"/>
    </row>
    <row r="160" spans="1:24" x14ac:dyDescent="0.2">
      <c r="A160" s="81"/>
      <c r="B160" s="35"/>
      <c r="C160" s="35"/>
      <c r="D160" s="35"/>
      <c r="E160" s="35"/>
      <c r="F160" s="35"/>
      <c r="G160" s="34"/>
      <c r="H160" s="34"/>
      <c r="I160" s="35"/>
      <c r="J160" s="35"/>
      <c r="K160" s="35"/>
      <c r="L160" s="35"/>
      <c r="M160" s="35"/>
      <c r="N160" s="35"/>
      <c r="S160" s="4"/>
      <c r="W160" s="4"/>
      <c r="X160" s="4"/>
    </row>
    <row r="161" spans="2:24" x14ac:dyDescent="0.2">
      <c r="B161" s="4"/>
      <c r="C161" s="4"/>
      <c r="G161" s="4"/>
      <c r="H161" s="4"/>
      <c r="I161" s="4"/>
      <c r="J161" s="4"/>
      <c r="K161" s="4"/>
      <c r="L161" s="4"/>
      <c r="M161" s="4"/>
      <c r="N161" s="162"/>
      <c r="S161" s="4"/>
      <c r="W161" s="4"/>
      <c r="X161" s="4"/>
    </row>
    <row r="162" spans="2:24" x14ac:dyDescent="0.2">
      <c r="B162" s="4"/>
      <c r="C162" s="4"/>
      <c r="G162" s="4"/>
      <c r="H162" s="4"/>
      <c r="I162" s="4"/>
      <c r="J162" s="4"/>
      <c r="K162" s="4"/>
      <c r="L162" s="4"/>
      <c r="M162" s="4"/>
      <c r="N162" s="162"/>
      <c r="S162" s="4"/>
      <c r="W162" s="4"/>
      <c r="X162" s="4"/>
    </row>
    <row r="163" spans="2:24" x14ac:dyDescent="0.2">
      <c r="B163" s="4"/>
      <c r="C163" s="4"/>
      <c r="G163" s="4"/>
      <c r="H163" s="4"/>
      <c r="I163" s="4"/>
      <c r="J163" s="4"/>
      <c r="K163" s="4"/>
      <c r="L163" s="4"/>
      <c r="M163" s="4"/>
      <c r="N163" s="162"/>
      <c r="S163" s="4"/>
      <c r="W163" s="4"/>
      <c r="X163" s="4"/>
    </row>
    <row r="164" spans="2:24" x14ac:dyDescent="0.2">
      <c r="B164" s="4"/>
      <c r="C164" s="4"/>
      <c r="G164" s="4"/>
      <c r="H164" s="4"/>
      <c r="I164" s="4"/>
      <c r="J164" s="4"/>
      <c r="K164" s="4"/>
      <c r="L164" s="4"/>
      <c r="M164" s="4"/>
      <c r="N164" s="162"/>
      <c r="S164" s="4"/>
      <c r="W164" s="4"/>
      <c r="X164" s="4"/>
    </row>
    <row r="165" spans="2:24" x14ac:dyDescent="0.2">
      <c r="B165" s="188"/>
      <c r="C165" s="188"/>
      <c r="D165" s="188"/>
      <c r="E165" s="188"/>
      <c r="F165" s="188"/>
      <c r="G165" s="188"/>
      <c r="H165" s="188"/>
      <c r="I165" s="188"/>
      <c r="J165" s="188"/>
      <c r="K165" s="188"/>
      <c r="L165" s="188"/>
      <c r="M165" s="162"/>
      <c r="N165" s="162"/>
      <c r="S165" s="4"/>
      <c r="W165" s="4"/>
      <c r="X165" s="4"/>
    </row>
    <row r="166" spans="2:24" x14ac:dyDescent="0.2">
      <c r="B166" s="188"/>
      <c r="C166" s="188"/>
      <c r="D166" s="188"/>
      <c r="E166" s="188"/>
      <c r="F166" s="188"/>
      <c r="G166" s="188"/>
      <c r="H166" s="188"/>
      <c r="I166" s="188"/>
      <c r="J166" s="188"/>
      <c r="K166" s="188"/>
      <c r="L166" s="188"/>
      <c r="M166" s="162"/>
      <c r="N166" s="162"/>
      <c r="S166" s="4"/>
      <c r="W166" s="4"/>
      <c r="X166" s="4"/>
    </row>
    <row r="167" spans="2:24" x14ac:dyDescent="0.2">
      <c r="B167" s="188"/>
      <c r="C167" s="188"/>
      <c r="D167" s="188"/>
      <c r="E167" s="188"/>
      <c r="F167" s="188"/>
      <c r="G167" s="188"/>
      <c r="H167" s="188"/>
      <c r="I167" s="162"/>
      <c r="J167" s="162"/>
      <c r="K167" s="162"/>
      <c r="L167" s="162"/>
      <c r="M167" s="162"/>
      <c r="N167" s="162"/>
      <c r="S167" s="4"/>
      <c r="W167" s="4"/>
      <c r="X167" s="4"/>
    </row>
    <row r="168" spans="2:24" x14ac:dyDescent="0.2">
      <c r="B168" s="188"/>
      <c r="C168" s="188"/>
      <c r="D168" s="188"/>
      <c r="E168" s="188"/>
      <c r="F168" s="188"/>
      <c r="G168" s="188"/>
      <c r="H168" s="188"/>
      <c r="I168" s="162"/>
      <c r="J168" s="162"/>
      <c r="K168" s="162"/>
      <c r="L168" s="162"/>
      <c r="M168" s="162"/>
      <c r="N168" s="162"/>
      <c r="S168" s="4"/>
      <c r="W168" s="4"/>
      <c r="X168" s="4"/>
    </row>
    <row r="169" spans="2:24" x14ac:dyDescent="0.2">
      <c r="G169" s="4"/>
      <c r="H169" s="3"/>
      <c r="S169" s="4"/>
      <c r="W169" s="4"/>
      <c r="X169" s="4"/>
    </row>
    <row r="170" spans="2:24" x14ac:dyDescent="0.2">
      <c r="B170" s="4"/>
      <c r="C170" s="4"/>
      <c r="G170" s="4"/>
      <c r="H170" s="4"/>
      <c r="I170" s="4"/>
      <c r="J170" s="4"/>
      <c r="K170" s="4"/>
      <c r="L170" s="4"/>
      <c r="M170" s="4"/>
      <c r="S170" s="4"/>
      <c r="W170" s="4"/>
      <c r="X170" s="4"/>
    </row>
    <row r="171" spans="2:24" x14ac:dyDescent="0.2">
      <c r="B171" s="4"/>
      <c r="C171" s="4"/>
      <c r="G171" s="4"/>
      <c r="H171" s="4"/>
      <c r="I171" s="4"/>
      <c r="J171" s="4"/>
      <c r="K171" s="4"/>
      <c r="L171" s="4"/>
      <c r="M171" s="4"/>
      <c r="S171" s="4"/>
      <c r="W171" s="4"/>
      <c r="X171" s="4"/>
    </row>
    <row r="172" spans="2:24" x14ac:dyDescent="0.2">
      <c r="B172" s="4"/>
      <c r="C172" s="4"/>
      <c r="G172" s="4"/>
      <c r="H172" s="4"/>
      <c r="I172" s="4"/>
      <c r="J172" s="4"/>
      <c r="K172" s="4"/>
      <c r="L172" s="4"/>
      <c r="M172" s="4"/>
      <c r="S172" s="4"/>
      <c r="W172" s="4"/>
      <c r="X172" s="4"/>
    </row>
    <row r="173" spans="2:24" x14ac:dyDescent="0.2">
      <c r="B173" s="4"/>
      <c r="C173" s="4"/>
      <c r="G173" s="4"/>
      <c r="H173" s="4"/>
      <c r="I173" s="4"/>
      <c r="J173" s="4"/>
      <c r="K173" s="4"/>
      <c r="L173" s="4"/>
      <c r="M173" s="4"/>
      <c r="S173" s="4"/>
      <c r="W173" s="4"/>
      <c r="X173" s="4"/>
    </row>
    <row r="174" spans="2:24" x14ac:dyDescent="0.2">
      <c r="B174" s="3"/>
      <c r="C174" s="3"/>
      <c r="D174" s="41"/>
      <c r="H174" s="4"/>
      <c r="S174" s="4"/>
      <c r="W174" s="4"/>
      <c r="X174" s="4"/>
    </row>
    <row r="175" spans="2:24" x14ac:dyDescent="0.2">
      <c r="B175" s="3"/>
      <c r="C175" s="3"/>
      <c r="D175" s="41"/>
      <c r="H175" s="4"/>
      <c r="S175" s="4"/>
      <c r="W175" s="4"/>
      <c r="X175" s="4"/>
    </row>
    <row r="176" spans="2:24" x14ac:dyDescent="0.2">
      <c r="B176" s="3"/>
      <c r="C176" s="3"/>
      <c r="D176" s="41"/>
      <c r="H176" s="4"/>
      <c r="S176" s="4"/>
      <c r="W176" s="4"/>
      <c r="X176" s="4"/>
    </row>
    <row r="177" spans="1:24" x14ac:dyDescent="0.2">
      <c r="B177" s="3"/>
      <c r="C177" s="3"/>
      <c r="D177" s="41"/>
      <c r="H177" s="4"/>
      <c r="S177" s="4"/>
      <c r="W177" s="4"/>
      <c r="X177" s="4"/>
    </row>
    <row r="178" spans="1:24" x14ac:dyDescent="0.2">
      <c r="B178" s="3"/>
      <c r="C178" s="3"/>
      <c r="D178" s="41"/>
      <c r="H178" s="4"/>
      <c r="S178" s="4"/>
      <c r="W178" s="4"/>
      <c r="X178" s="4"/>
    </row>
    <row r="179" spans="1:24" x14ac:dyDescent="0.2">
      <c r="B179" s="3"/>
      <c r="C179" s="3"/>
      <c r="D179" s="41"/>
      <c r="H179" s="4"/>
      <c r="S179" s="4"/>
      <c r="W179" s="4"/>
      <c r="X179" s="4"/>
    </row>
    <row r="180" spans="1:24" x14ac:dyDescent="0.2">
      <c r="B180" s="3"/>
      <c r="C180" s="3"/>
      <c r="H180" s="4"/>
      <c r="S180" s="4"/>
      <c r="W180" s="4"/>
      <c r="X180" s="4"/>
    </row>
    <row r="181" spans="1:24" x14ac:dyDescent="0.2">
      <c r="B181" s="3"/>
      <c r="C181" s="3"/>
      <c r="H181" s="4"/>
      <c r="S181" s="4"/>
      <c r="W181" s="4"/>
      <c r="X181" s="4"/>
    </row>
    <row r="182" spans="1:24" x14ac:dyDescent="0.2">
      <c r="B182" s="41"/>
      <c r="C182" s="3"/>
      <c r="H182" s="4"/>
      <c r="S182" s="4"/>
      <c r="W182" s="4"/>
      <c r="X182" s="4"/>
    </row>
    <row r="183" spans="1:24" x14ac:dyDescent="0.2">
      <c r="B183" s="3"/>
      <c r="C183" s="3"/>
      <c r="H183" s="4"/>
      <c r="S183" s="4"/>
      <c r="W183" s="4"/>
      <c r="X183" s="4"/>
    </row>
    <row r="184" spans="1:24" ht="15" thickBot="1" x14ac:dyDescent="0.25">
      <c r="B184" s="3"/>
      <c r="C184" s="3"/>
      <c r="H184" s="4"/>
      <c r="S184" s="4"/>
      <c r="W184" s="4"/>
      <c r="X184" s="4"/>
    </row>
    <row r="185" spans="1:24" ht="15" x14ac:dyDescent="0.25">
      <c r="A185" s="136" t="s">
        <v>944</v>
      </c>
      <c r="B185" s="221" t="s">
        <v>601</v>
      </c>
      <c r="C185" s="221" t="s">
        <v>582</v>
      </c>
      <c r="D185" s="221" t="s">
        <v>583</v>
      </c>
      <c r="E185" s="246" t="s">
        <v>624</v>
      </c>
      <c r="F185" s="244"/>
      <c r="G185" s="246" t="s">
        <v>623</v>
      </c>
      <c r="H185" s="244"/>
      <c r="I185" s="247" t="s">
        <v>618</v>
      </c>
      <c r="J185" s="248"/>
      <c r="K185" s="246" t="s">
        <v>584</v>
      </c>
      <c r="L185" s="244"/>
      <c r="M185" s="221" t="s">
        <v>585</v>
      </c>
      <c r="N185" s="222" t="s">
        <v>594</v>
      </c>
      <c r="S185" s="4"/>
      <c r="W185" s="4"/>
      <c r="X185" s="4"/>
    </row>
    <row r="186" spans="1:24" ht="15" x14ac:dyDescent="0.25">
      <c r="A186" s="219" t="s">
        <v>1015</v>
      </c>
      <c r="B186" s="91" t="s">
        <v>49</v>
      </c>
      <c r="C186" s="91" t="s">
        <v>586</v>
      </c>
      <c r="D186" s="91" t="s">
        <v>817</v>
      </c>
      <c r="E186" s="91" t="s">
        <v>588</v>
      </c>
      <c r="F186" s="91" t="s">
        <v>589</v>
      </c>
      <c r="G186" s="91" t="s">
        <v>588</v>
      </c>
      <c r="H186" s="91" t="s">
        <v>589</v>
      </c>
      <c r="I186" s="91" t="s">
        <v>588</v>
      </c>
      <c r="J186" s="91" t="s">
        <v>589</v>
      </c>
      <c r="K186" s="91" t="s">
        <v>588</v>
      </c>
      <c r="L186" s="91" t="s">
        <v>589</v>
      </c>
      <c r="M186" s="91"/>
      <c r="N186" s="92" t="s">
        <v>602</v>
      </c>
      <c r="Q186" s="4"/>
      <c r="R186" s="4"/>
      <c r="S186" s="4"/>
      <c r="W186" s="4"/>
      <c r="X186" s="4"/>
    </row>
    <row r="187" spans="1:24" ht="18.75" x14ac:dyDescent="0.2">
      <c r="A187" s="100"/>
      <c r="B187" s="94" t="s">
        <v>7</v>
      </c>
      <c r="C187" s="94" t="s">
        <v>590</v>
      </c>
      <c r="D187" s="94" t="s">
        <v>0</v>
      </c>
      <c r="E187" s="94" t="s">
        <v>0</v>
      </c>
      <c r="F187" s="94" t="s">
        <v>0</v>
      </c>
      <c r="G187" s="94" t="s">
        <v>622</v>
      </c>
      <c r="H187" s="94" t="s">
        <v>622</v>
      </c>
      <c r="I187" s="126" t="s">
        <v>121</v>
      </c>
      <c r="J187" s="94" t="s">
        <v>121</v>
      </c>
      <c r="K187" s="94" t="s">
        <v>0</v>
      </c>
      <c r="L187" s="94" t="s">
        <v>0</v>
      </c>
      <c r="M187" s="94"/>
      <c r="N187" s="198" t="s">
        <v>107</v>
      </c>
      <c r="Q187" s="4"/>
      <c r="R187" s="4"/>
      <c r="S187" s="4"/>
      <c r="W187" s="4"/>
      <c r="X187" s="4"/>
    </row>
    <row r="188" spans="1:24" x14ac:dyDescent="0.2">
      <c r="A188" s="115" t="str">
        <f>'LTS-6 Loads'!A279</f>
        <v>Pole</v>
      </c>
      <c r="B188" s="95">
        <f>'LTS-6 Loads'!B279</f>
        <v>302.26242154617563</v>
      </c>
      <c r="C188" s="95" t="str">
        <f>'LTS-6 Loads'!C279</f>
        <v>E</v>
      </c>
      <c r="D188" s="95">
        <f>'LTS-6 Loads'!D279</f>
        <v>27.341832421127577</v>
      </c>
      <c r="E188" s="95">
        <f>'LTS-6 Loads'!E279</f>
        <v>0</v>
      </c>
      <c r="F188" s="95">
        <f>'LTS-6 Loads'!F279</f>
        <v>0</v>
      </c>
      <c r="G188" s="95">
        <f>'LTS-6 Loads'!G279</f>
        <v>0</v>
      </c>
      <c r="H188" s="95">
        <f>'LTS-6 Loads'!H279</f>
        <v>0</v>
      </c>
      <c r="I188" s="95">
        <f>'LTS-6 Loads'!I279</f>
        <v>1.0027287037037036</v>
      </c>
      <c r="J188" s="95">
        <f>'LTS-6 Loads'!J279</f>
        <v>1.7918287037037035</v>
      </c>
      <c r="K188" s="95">
        <f>'LTS-6 Loads'!K279</f>
        <v>0.66666666666666663</v>
      </c>
      <c r="L188" s="95">
        <f>'LTS-6 Loads'!L279</f>
        <v>0.66666666666666663</v>
      </c>
      <c r="M188" s="95" t="str">
        <f>'LTS-6 Loads'!M279</f>
        <v>Octag.</v>
      </c>
      <c r="N188" s="199">
        <f>'LTS-6 Loads'!N279</f>
        <v>0.86502821791759066</v>
      </c>
      <c r="Q188" s="4"/>
      <c r="R188" s="4"/>
      <c r="S188" s="4"/>
      <c r="W188" s="4"/>
      <c r="X188" s="4"/>
    </row>
    <row r="189" spans="1:24" x14ac:dyDescent="0.2">
      <c r="A189" s="115" t="str">
        <f>'LTS-6 Loads'!A280</f>
        <v>Luminaire</v>
      </c>
      <c r="B189" s="95">
        <f>'LTS-6 Loads'!B280</f>
        <v>30.250000000000004</v>
      </c>
      <c r="C189" s="95" t="str">
        <f>'LTS-6 Loads'!C280</f>
        <v>E</v>
      </c>
      <c r="D189" s="95">
        <f>'LTS-6 Loads'!D280</f>
        <v>6.75</v>
      </c>
      <c r="E189" s="95">
        <f>'LTS-6 Loads'!E280</f>
        <v>0</v>
      </c>
      <c r="F189" s="95">
        <f>'LTS-6 Loads'!F280</f>
        <v>9.3791666666666664</v>
      </c>
      <c r="G189" s="95">
        <f>'LTS-6 Loads'!G280</f>
        <v>0</v>
      </c>
      <c r="H189" s="95">
        <f>'LTS-6 Loads'!H280</f>
        <v>283.71979166666671</v>
      </c>
      <c r="I189" s="95">
        <f>'LTS-6 Loads'!I280</f>
        <v>1.0803472222222221</v>
      </c>
      <c r="J189" s="95">
        <f>'LTS-6 Loads'!J280</f>
        <v>0.34597222222222218</v>
      </c>
      <c r="K189" s="95">
        <f>'LTS-6 Loads'!K280</f>
        <v>0.8833333333333333</v>
      </c>
      <c r="L189" s="95">
        <f>'LTS-6 Loads'!L280</f>
        <v>2.7583333333333333</v>
      </c>
      <c r="M189" s="95" t="str">
        <f>'LTS-6 Loads'!M280</f>
        <v>Flat</v>
      </c>
      <c r="N189" s="199">
        <f>'LTS-6 Loads'!N280</f>
        <v>0.99294599120745508</v>
      </c>
      <c r="Q189" s="4"/>
      <c r="R189" s="4"/>
      <c r="S189" s="4"/>
      <c r="W189" s="4"/>
      <c r="X189" s="4"/>
    </row>
    <row r="190" spans="1:24" x14ac:dyDescent="0.2">
      <c r="A190" s="115" t="str">
        <f>'LTS-6 Loads'!A281</f>
        <v>Mast Arm</v>
      </c>
      <c r="B190" s="95">
        <f>'LTS-6 Loads'!B281</f>
        <v>42.226163986352546</v>
      </c>
      <c r="C190" s="95" t="str">
        <f>'LTS-6 Loads'!C281</f>
        <v>E</v>
      </c>
      <c r="D190" s="95">
        <f>'LTS-6 Loads'!D281</f>
        <v>6.1266666666666652</v>
      </c>
      <c r="E190" s="95">
        <f>'LTS-6 Loads'!E281</f>
        <v>0</v>
      </c>
      <c r="F190" s="95">
        <f>'LTS-6 Loads'!F281</f>
        <v>4</v>
      </c>
      <c r="G190" s="95">
        <f>'LTS-6 Loads'!G281</f>
        <v>0</v>
      </c>
      <c r="H190" s="95">
        <f>'LTS-6 Loads'!H281</f>
        <v>168.90465594541018</v>
      </c>
      <c r="I190" s="95">
        <f>'LTS-6 Loads'!I281</f>
        <v>1.9395250000000002</v>
      </c>
      <c r="J190" s="95">
        <f>'LTS-6 Loads'!J281</f>
        <v>1.7327604166666668</v>
      </c>
      <c r="K190" s="95">
        <f>'LTS-6 Loads'!K281</f>
        <v>0.19791666666666666</v>
      </c>
      <c r="L190" s="95">
        <f>'LTS-6 Loads'!L281</f>
        <v>0.19791666666666666</v>
      </c>
      <c r="M190" s="95" t="str">
        <f>'LTS-6 Loads'!M281</f>
        <v>Round</v>
      </c>
      <c r="N190" s="199">
        <f>'LTS-6 Loads'!N281</f>
        <v>0.98878779694233587</v>
      </c>
      <c r="Q190" s="4"/>
      <c r="R190" s="4"/>
      <c r="S190" s="4"/>
      <c r="W190" s="4"/>
      <c r="X190" s="4"/>
    </row>
    <row r="191" spans="1:24" x14ac:dyDescent="0.2">
      <c r="A191" s="115" t="str">
        <f>'LTS-6 Loads'!A282</f>
        <v>Radio/Antenna (2)</v>
      </c>
      <c r="B191" s="95">
        <f>'LTS-6 Loads'!B282</f>
        <v>50</v>
      </c>
      <c r="C191" s="95" t="str">
        <f>'LTS-6 Loads'!C282</f>
        <v>P</v>
      </c>
      <c r="D191" s="95">
        <f>'LTS-6 Loads'!D282</f>
        <v>0.54166666666666785</v>
      </c>
      <c r="E191" s="95">
        <f>'LTS-6 Loads'!E282</f>
        <v>0</v>
      </c>
      <c r="F191" s="95">
        <f>'LTS-6 Loads'!F282</f>
        <v>0.72697916666666662</v>
      </c>
      <c r="G191" s="95">
        <f>'LTS-6 Loads'!G282</f>
        <v>0</v>
      </c>
      <c r="H191" s="95">
        <f>'LTS-6 Loads'!H282</f>
        <v>36.348958333333329</v>
      </c>
      <c r="I191" s="95">
        <f>'LTS-6 Loads'!I282</f>
        <v>1.2148101902594866</v>
      </c>
      <c r="J191" s="95">
        <f>'LTS-6 Loads'!J282</f>
        <v>1.3749463044151784</v>
      </c>
      <c r="K191" s="95">
        <f>'LTS-6 Loads'!K282</f>
        <v>0.66666666666666663</v>
      </c>
      <c r="L191" s="95">
        <f>'LTS-6 Loads'!L282</f>
        <v>0.41666666666666669</v>
      </c>
      <c r="M191" s="95" t="str">
        <f>'LTS-6 Loads'!M282</f>
        <v>Flat</v>
      </c>
      <c r="N191" s="199">
        <f>'LTS-6 Loads'!N282</f>
        <v>0.98878779694233587</v>
      </c>
      <c r="Q191" s="4"/>
      <c r="R191" s="4"/>
      <c r="S191" s="4"/>
      <c r="W191" s="4"/>
      <c r="X191" s="4"/>
    </row>
    <row r="192" spans="1:24" x14ac:dyDescent="0.2">
      <c r="A192" s="115" t="str">
        <f>'LTS-6 Loads'!A283</f>
        <v>Radio/Antenna (3)</v>
      </c>
      <c r="B192" s="95">
        <f>'LTS-6 Loads'!B283</f>
        <v>50</v>
      </c>
      <c r="C192" s="95" t="str">
        <f>'LTS-6 Loads'!C283</f>
        <v>P</v>
      </c>
      <c r="D192" s="95">
        <f>'LTS-6 Loads'!D283</f>
        <v>0.54166666666666785</v>
      </c>
      <c r="E192" s="95">
        <f>'LTS-6 Loads'!E283</f>
        <v>0.72697916666666662</v>
      </c>
      <c r="F192" s="95">
        <f>'LTS-6 Loads'!F283</f>
        <v>0</v>
      </c>
      <c r="G192" s="95">
        <f>'LTS-6 Loads'!G283</f>
        <v>36.348958333333329</v>
      </c>
      <c r="H192" s="95">
        <f>'LTS-6 Loads'!H283</f>
        <v>0</v>
      </c>
      <c r="I192" s="95">
        <f>'LTS-6 Loads'!I283</f>
        <v>1.2148101902594866</v>
      </c>
      <c r="J192" s="95">
        <f>'LTS-6 Loads'!J283</f>
        <v>1.3749463044151784</v>
      </c>
      <c r="K192" s="95">
        <f>'LTS-6 Loads'!K283</f>
        <v>0.41666666666666669</v>
      </c>
      <c r="L192" s="95">
        <f>'LTS-6 Loads'!L283</f>
        <v>0.66666666666666663</v>
      </c>
      <c r="M192" s="95" t="str">
        <f>'LTS-6 Loads'!M283</f>
        <v>Flat</v>
      </c>
      <c r="N192" s="199">
        <f>'LTS-6 Loads'!N283</f>
        <v>0.98878779694233587</v>
      </c>
      <c r="Q192" s="4"/>
      <c r="R192" s="4"/>
      <c r="S192" s="4"/>
      <c r="W192" s="4"/>
      <c r="X192" s="4"/>
    </row>
    <row r="193" spans="1:24" x14ac:dyDescent="0.2">
      <c r="A193" s="115" t="str">
        <f>'LTS-6 Loads'!A284</f>
        <v>Sign (bottom)</v>
      </c>
      <c r="B193" s="95">
        <f>'LTS-6 Loads'!B284</f>
        <v>12.463750000000001</v>
      </c>
      <c r="C193" s="95" t="str">
        <f>'LTS-6 Loads'!C284</f>
        <v>E</v>
      </c>
      <c r="D193" s="95">
        <f>'LTS-6 Loads'!D284</f>
        <v>0</v>
      </c>
      <c r="E193" s="95">
        <f>'LTS-6 Loads'!E284</f>
        <v>0</v>
      </c>
      <c r="F193" s="95">
        <f>'LTS-6 Loads'!F284</f>
        <v>1.4031597222222221</v>
      </c>
      <c r="G193" s="95">
        <f>'LTS-6 Loads'!G284</f>
        <v>0</v>
      </c>
      <c r="H193" s="95">
        <f>'LTS-6 Loads'!H284</f>
        <v>17.488631987847221</v>
      </c>
      <c r="I193" s="95">
        <f>'LTS-6 Loads'!I284</f>
        <v>0</v>
      </c>
      <c r="J193" s="95">
        <f>'LTS-6 Loads'!J284</f>
        <v>0</v>
      </c>
      <c r="K193" s="95">
        <f>'LTS-6 Loads'!K284</f>
        <v>6.6666666666666671E-3</v>
      </c>
      <c r="L193" s="95">
        <f>'LTS-6 Loads'!L284</f>
        <v>2.25</v>
      </c>
      <c r="M193" s="95" t="str">
        <f>'LTS-6 Loads'!M284</f>
        <v>Flat</v>
      </c>
      <c r="N193" s="199">
        <f>'LTS-6 Loads'!N284</f>
        <v>0.86502821791759066</v>
      </c>
      <c r="Q193" s="4"/>
      <c r="R193" s="4"/>
      <c r="S193" s="4"/>
      <c r="W193" s="4"/>
      <c r="X193" s="4"/>
    </row>
    <row r="194" spans="1:24" x14ac:dyDescent="0.2">
      <c r="A194" s="115" t="str">
        <f>'LTS-6 Loads'!A285</f>
        <v>Sign (banner)</v>
      </c>
      <c r="B194" s="95">
        <f>'LTS-6 Loads'!B285</f>
        <v>2.9166666666666665</v>
      </c>
      <c r="C194" s="95" t="str">
        <f>'LTS-6 Loads'!C285</f>
        <v>P</v>
      </c>
      <c r="D194" s="95">
        <f>'LTS-6 Loads'!D285</f>
        <v>0</v>
      </c>
      <c r="E194" s="95">
        <f>'LTS-6 Loads'!E285</f>
        <v>0</v>
      </c>
      <c r="F194" s="95">
        <f>'LTS-6 Loads'!F285</f>
        <v>7.5</v>
      </c>
      <c r="G194" s="95">
        <f>'LTS-6 Loads'!G285</f>
        <v>0</v>
      </c>
      <c r="H194" s="95">
        <f>'LTS-6 Loads'!H285</f>
        <v>4.62109375</v>
      </c>
      <c r="I194" s="95">
        <f>'LTS-6 Loads'!I285</f>
        <v>0</v>
      </c>
      <c r="J194" s="95">
        <f>'LTS-6 Loads'!J285</f>
        <v>0</v>
      </c>
      <c r="K194" s="95">
        <f>'LTS-6 Loads'!K285</f>
        <v>8.3333333333333339E-4</v>
      </c>
      <c r="L194" s="95">
        <f>'LTS-6 Loads'!L285</f>
        <v>8.3333333333333339E-4</v>
      </c>
      <c r="M194" s="95" t="str">
        <f>'LTS-6 Loads'!M285</f>
        <v>Round</v>
      </c>
      <c r="N194" s="199">
        <f>'LTS-6 Loads'!N285</f>
        <v>0.89789674191093283</v>
      </c>
      <c r="Q194" s="4"/>
      <c r="R194" s="4"/>
      <c r="S194" s="4"/>
      <c r="W194" s="4"/>
      <c r="X194" s="4"/>
    </row>
    <row r="195" spans="1:24" x14ac:dyDescent="0.2">
      <c r="A195" s="115" t="str">
        <f>'LTS-6 Loads'!A286</f>
        <v>Smart Meter</v>
      </c>
      <c r="B195" s="95">
        <f>'LTS-6 Loads'!B286</f>
        <v>5</v>
      </c>
      <c r="C195" s="95" t="str">
        <f>'LTS-6 Loads'!C286</f>
        <v>P</v>
      </c>
      <c r="D195" s="95">
        <f>'LTS-6 Loads'!D286</f>
        <v>0</v>
      </c>
      <c r="E195" s="95">
        <f>'LTS-6 Loads'!E286</f>
        <v>0.4617708333333333</v>
      </c>
      <c r="F195" s="95">
        <f>'LTS-6 Loads'!F286</f>
        <v>0</v>
      </c>
      <c r="G195" s="95">
        <f>'LTS-6 Loads'!G286</f>
        <v>2.3088541666666664</v>
      </c>
      <c r="H195" s="95">
        <f>'LTS-6 Loads'!H286</f>
        <v>0</v>
      </c>
      <c r="I195" s="95">
        <f>'LTS-6 Loads'!I286</f>
        <v>0</v>
      </c>
      <c r="J195" s="95">
        <f>'LTS-6 Loads'!J286</f>
        <v>0</v>
      </c>
      <c r="K195" s="95">
        <f>'LTS-6 Loads'!K286</f>
        <v>0.4617708333333333</v>
      </c>
      <c r="L195" s="95">
        <f>'LTS-6 Loads'!L286</f>
        <v>0.4617708333333333</v>
      </c>
      <c r="M195" s="95" t="str">
        <f>'LTS-6 Loads'!M286</f>
        <v>Round</v>
      </c>
      <c r="N195" s="199">
        <f>'LTS-6 Loads'!N286</f>
        <v>0.86502821791759066</v>
      </c>
      <c r="Q195" s="4"/>
      <c r="R195" s="4"/>
      <c r="S195" s="4"/>
      <c r="W195" s="4"/>
      <c r="X195" s="4"/>
    </row>
    <row r="196" spans="1:24" x14ac:dyDescent="0.2">
      <c r="A196" s="115" t="str">
        <f>'LTS-6 Loads'!A287</f>
        <v>Radio/Antenna (1)</v>
      </c>
      <c r="B196" s="95">
        <f>'LTS-6 Loads'!B287</f>
        <v>50</v>
      </c>
      <c r="C196" s="95" t="str">
        <f>'LTS-6 Loads'!C287</f>
        <v>P</v>
      </c>
      <c r="D196" s="95">
        <f>'LTS-6 Loads'!D287</f>
        <v>0.54166666666666785</v>
      </c>
      <c r="E196" s="95">
        <f>'LTS-6 Loads'!E287</f>
        <v>0.72697916666666662</v>
      </c>
      <c r="F196" s="95">
        <f>'LTS-6 Loads'!F287</f>
        <v>0</v>
      </c>
      <c r="G196" s="95">
        <f>'LTS-6 Loads'!G287</f>
        <v>36.348958333333329</v>
      </c>
      <c r="H196" s="95">
        <f>'LTS-6 Loads'!H287</f>
        <v>0</v>
      </c>
      <c r="I196" s="95">
        <f>'LTS-6 Loads'!I287</f>
        <v>1.1666666666666665</v>
      </c>
      <c r="J196" s="95">
        <f>'LTS-6 Loads'!J287</f>
        <v>0.72916666666666674</v>
      </c>
      <c r="K196" s="95">
        <f>'LTS-6 Loads'!K287</f>
        <v>0.41666666666666669</v>
      </c>
      <c r="L196" s="95">
        <f>'LTS-6 Loads'!L287</f>
        <v>0.66666666666666663</v>
      </c>
      <c r="M196" s="95" t="str">
        <f>'LTS-6 Loads'!M287</f>
        <v>Flat</v>
      </c>
      <c r="N196" s="199">
        <f>'LTS-6 Loads'!N287</f>
        <v>0.94823219728985098</v>
      </c>
      <c r="Q196" s="4"/>
      <c r="R196" s="4"/>
      <c r="S196" s="4"/>
      <c r="W196" s="4"/>
      <c r="X196" s="4"/>
    </row>
    <row r="197" spans="1:24" x14ac:dyDescent="0.2">
      <c r="A197" s="115" t="str">
        <f>'LTS-6 Loads'!A288</f>
        <v>Disconnect</v>
      </c>
      <c r="B197" s="95">
        <f>'LTS-6 Loads'!B288</f>
        <v>6</v>
      </c>
      <c r="C197" s="95" t="str">
        <f>'LTS-6 Loads'!C288</f>
        <v>P</v>
      </c>
      <c r="D197" s="95">
        <f>'LTS-6 Loads'!D288</f>
        <v>0</v>
      </c>
      <c r="E197" s="95">
        <f>'LTS-6 Loads'!E288</f>
        <v>0.43387743055555555</v>
      </c>
      <c r="F197" s="95">
        <f>'LTS-6 Loads'!F288</f>
        <v>0</v>
      </c>
      <c r="G197" s="95">
        <f>'LTS-6 Loads'!G288</f>
        <v>2.6032645833333334</v>
      </c>
      <c r="H197" s="95">
        <f>'LTS-6 Loads'!H288</f>
        <v>0</v>
      </c>
      <c r="I197" s="95">
        <f>'LTS-6 Loads'!I288</f>
        <v>0</v>
      </c>
      <c r="J197" s="95">
        <f>'LTS-6 Loads'!J288</f>
        <v>0</v>
      </c>
      <c r="K197" s="95">
        <f>'LTS-6 Loads'!K288</f>
        <v>0.3125</v>
      </c>
      <c r="L197" s="95">
        <f>'LTS-6 Loads'!L288</f>
        <v>0.53166666666666662</v>
      </c>
      <c r="M197" s="95" t="str">
        <f>'LTS-6 Loads'!M288</f>
        <v>Flat</v>
      </c>
      <c r="N197" s="199">
        <f>'LTS-6 Loads'!N288</f>
        <v>0.86502821791759066</v>
      </c>
      <c r="Q197" s="4"/>
      <c r="R197" s="4"/>
      <c r="S197" s="4"/>
      <c r="W197" s="4"/>
      <c r="X197" s="4"/>
    </row>
    <row r="198" spans="1:24" x14ac:dyDescent="0.2">
      <c r="A198" s="100"/>
      <c r="B198" s="81"/>
      <c r="C198" s="81"/>
      <c r="D198" s="81"/>
      <c r="E198" s="81"/>
      <c r="F198" s="81"/>
      <c r="G198" s="81"/>
      <c r="H198" s="81"/>
      <c r="I198" s="81"/>
      <c r="J198" s="81"/>
      <c r="K198" s="81"/>
      <c r="L198" s="81"/>
      <c r="M198" s="81"/>
      <c r="N198" s="224"/>
      <c r="Q198" s="4"/>
      <c r="R198" s="4"/>
      <c r="S198" s="4"/>
      <c r="W198" s="4"/>
      <c r="X198" s="4"/>
    </row>
    <row r="199" spans="1:24" ht="18.75" x14ac:dyDescent="0.35">
      <c r="A199" s="200"/>
      <c r="B199" s="91" t="s">
        <v>599</v>
      </c>
      <c r="C199" s="261" t="s">
        <v>915</v>
      </c>
      <c r="D199" s="261"/>
      <c r="E199" s="261" t="s">
        <v>628</v>
      </c>
      <c r="F199" s="261"/>
      <c r="G199" s="260" t="s">
        <v>595</v>
      </c>
      <c r="H199" s="260"/>
      <c r="I199" s="260" t="s">
        <v>617</v>
      </c>
      <c r="J199" s="260"/>
      <c r="K199" s="260" t="s">
        <v>907</v>
      </c>
      <c r="L199" s="260"/>
      <c r="M199" s="260" t="s">
        <v>908</v>
      </c>
      <c r="N199" s="267"/>
      <c r="Q199" s="4"/>
      <c r="R199" s="4"/>
      <c r="S199" s="4"/>
      <c r="W199" s="4"/>
      <c r="X199" s="4"/>
    </row>
    <row r="200" spans="1:24" x14ac:dyDescent="0.2">
      <c r="A200" s="90"/>
      <c r="B200" s="91" t="s">
        <v>600</v>
      </c>
      <c r="C200" s="91" t="s">
        <v>588</v>
      </c>
      <c r="D200" s="91" t="s">
        <v>589</v>
      </c>
      <c r="E200" s="91" t="s">
        <v>588</v>
      </c>
      <c r="F200" s="91" t="s">
        <v>589</v>
      </c>
      <c r="G200" s="91" t="s">
        <v>588</v>
      </c>
      <c r="H200" s="91" t="s">
        <v>589</v>
      </c>
      <c r="I200" s="91" t="s">
        <v>588</v>
      </c>
      <c r="J200" s="91" t="s">
        <v>589</v>
      </c>
      <c r="K200" s="91" t="s">
        <v>588</v>
      </c>
      <c r="L200" s="118" t="s">
        <v>589</v>
      </c>
      <c r="M200" s="91" t="s">
        <v>588</v>
      </c>
      <c r="N200" s="92" t="s">
        <v>589</v>
      </c>
      <c r="Q200" s="4"/>
      <c r="R200" s="4"/>
      <c r="S200" s="4"/>
      <c r="W200" s="4"/>
      <c r="X200" s="4"/>
    </row>
    <row r="201" spans="1:24" ht="18.75" x14ac:dyDescent="0.2">
      <c r="A201" s="100"/>
      <c r="B201" s="94" t="s">
        <v>6</v>
      </c>
      <c r="C201" s="94"/>
      <c r="D201" s="94"/>
      <c r="E201" s="94"/>
      <c r="F201" s="94"/>
      <c r="G201" s="127" t="s">
        <v>632</v>
      </c>
      <c r="H201" s="127" t="s">
        <v>632</v>
      </c>
      <c r="I201" s="94" t="s">
        <v>121</v>
      </c>
      <c r="J201" s="94" t="s">
        <v>121</v>
      </c>
      <c r="K201" s="94" t="s">
        <v>7</v>
      </c>
      <c r="L201" s="119" t="s">
        <v>7</v>
      </c>
      <c r="M201" s="94" t="s">
        <v>622</v>
      </c>
      <c r="N201" s="98" t="s">
        <v>622</v>
      </c>
      <c r="Q201" s="4"/>
      <c r="R201" s="4"/>
      <c r="S201" s="4"/>
      <c r="W201" s="4"/>
      <c r="X201" s="4"/>
    </row>
    <row r="202" spans="1:24" x14ac:dyDescent="0.2">
      <c r="A202" s="115" t="str">
        <f>'LTS-6 Loads'!A279</f>
        <v>Pole</v>
      </c>
      <c r="B202" s="95">
        <f>'LTS-6 Loads'!O279</f>
        <v>18.23950058720828</v>
      </c>
      <c r="C202" s="95">
        <f>'LTS-6 Loads'!P279</f>
        <v>45</v>
      </c>
      <c r="D202" s="95">
        <f>'LTS-6 Loads'!Q279</f>
        <v>45</v>
      </c>
      <c r="E202" s="95">
        <f>'LTS-6 Loads'!R279</f>
        <v>56.666666666666664</v>
      </c>
      <c r="F202" s="95">
        <f>'LTS-6 Loads'!S279</f>
        <v>56.666666666666664</v>
      </c>
      <c r="G202" s="95">
        <f>'LTS-6 Loads'!T279</f>
        <v>1.2</v>
      </c>
      <c r="H202" s="95">
        <f>'LTS-6 Loads'!U279</f>
        <v>1.2</v>
      </c>
      <c r="I202" s="95">
        <f>'LTS-6 Loads'!V279</f>
        <v>1.2032744444444443</v>
      </c>
      <c r="J202" s="95">
        <f>'LTS-6 Loads'!W279</f>
        <v>2.1501944444444443</v>
      </c>
      <c r="K202" s="95">
        <f>'LTS-6 Loads'!X279</f>
        <v>21.947124936017158</v>
      </c>
      <c r="L202" s="95">
        <f>'LTS-6 Loads'!Y279</f>
        <v>39.21847283205642</v>
      </c>
      <c r="M202" s="197">
        <f>'LTS-6 Loads'!Z279</f>
        <v>600.07461212613146</v>
      </c>
      <c r="N202" s="201">
        <f>'LTS-6 Loads'!AA279</f>
        <v>1072.3049119866314</v>
      </c>
      <c r="Q202" s="4"/>
      <c r="R202" s="4"/>
      <c r="S202" s="4"/>
      <c r="W202" s="4"/>
      <c r="X202" s="4"/>
    </row>
    <row r="203" spans="1:24" x14ac:dyDescent="0.2">
      <c r="A203" s="115" t="str">
        <f>'LTS-6 Loads'!A280</f>
        <v>Luminaire</v>
      </c>
      <c r="B203" s="95">
        <f>'LTS-6 Loads'!O280</f>
        <v>20.936703120845323</v>
      </c>
      <c r="C203" s="95">
        <f>'LTS-6 Loads'!P280</f>
        <v>7.042553191489362</v>
      </c>
      <c r="D203" s="95">
        <f>'LTS-6 Loads'!Q280</f>
        <v>2.2553191489361701</v>
      </c>
      <c r="E203" s="95">
        <f>'LTS-6 Loads'!R280</f>
        <v>75.083333333333329</v>
      </c>
      <c r="F203" s="95">
        <f>'LTS-6 Loads'!S280</f>
        <v>234.45833333333334</v>
      </c>
      <c r="G203" s="95">
        <f>'LTS-6 Loads'!T280</f>
        <v>1.2</v>
      </c>
      <c r="H203" s="95">
        <f>'LTS-6 Loads'!U280</f>
        <v>1.2</v>
      </c>
      <c r="I203" s="95">
        <f>'LTS-6 Loads'!V280</f>
        <v>1.2964166666666666</v>
      </c>
      <c r="J203" s="95">
        <f>'LTS-6 Loads'!W280</f>
        <v>0.41516666666666663</v>
      </c>
      <c r="K203" s="95">
        <f>'LTS-6 Loads'!X280</f>
        <v>27.142690870915889</v>
      </c>
      <c r="L203" s="95">
        <f>'LTS-6 Loads'!Y280</f>
        <v>8.6922212456709484</v>
      </c>
      <c r="M203" s="197">
        <f>'LTS-6 Loads'!Z280</f>
        <v>183.21316337868225</v>
      </c>
      <c r="N203" s="201">
        <f>'LTS-6 Loads'!AA280</f>
        <v>58.672493408278903</v>
      </c>
      <c r="Q203" s="4"/>
      <c r="R203" s="4"/>
      <c r="S203" s="4"/>
      <c r="W203" s="4"/>
      <c r="X203" s="4"/>
    </row>
    <row r="204" spans="1:24" x14ac:dyDescent="0.2">
      <c r="A204" s="115" t="str">
        <f>'LTS-6 Loads'!A281</f>
        <v>Mast Arm</v>
      </c>
      <c r="B204" s="95">
        <f>'LTS-6 Loads'!O281</f>
        <v>20.849025765159805</v>
      </c>
      <c r="C204" s="95">
        <f>'LTS-6 Loads'!P281</f>
        <v>44.235789473684214</v>
      </c>
      <c r="D204" s="95">
        <f>'LTS-6 Loads'!Q281</f>
        <v>1</v>
      </c>
      <c r="E204" s="95">
        <f>'LTS-6 Loads'!R281</f>
        <v>16.822916666666664</v>
      </c>
      <c r="F204" s="95">
        <f>'LTS-6 Loads'!S281</f>
        <v>16.822916666666664</v>
      </c>
      <c r="G204" s="95">
        <f>'LTS-6 Loads'!T281</f>
        <v>1.1000000000000001</v>
      </c>
      <c r="H204" s="95">
        <f>'LTS-6 Loads'!U281</f>
        <v>1.1000000000000001</v>
      </c>
      <c r="I204" s="95">
        <f>'LTS-6 Loads'!V281</f>
        <v>2.1334775000000001</v>
      </c>
      <c r="J204" s="95">
        <f>'LTS-6 Loads'!W281</f>
        <v>1.9060364583333336</v>
      </c>
      <c r="K204" s="95">
        <f>'LTS-6 Loads'!X281</f>
        <v>44.480927366888729</v>
      </c>
      <c r="L204" s="95">
        <f>'LTS-6 Loads'!Y281</f>
        <v>39.739003229125615</v>
      </c>
      <c r="M204" s="197">
        <f>'LTS-6 Loads'!Z281</f>
        <v>272.51981500113823</v>
      </c>
      <c r="N204" s="201">
        <f>'LTS-6 Loads'!AA281</f>
        <v>320.92556691121365</v>
      </c>
      <c r="Q204" s="4"/>
      <c r="R204" s="4"/>
      <c r="S204" s="4"/>
      <c r="W204" s="4"/>
      <c r="X204" s="4"/>
    </row>
    <row r="205" spans="1:24" x14ac:dyDescent="0.2">
      <c r="A205" s="115" t="str">
        <f>'LTS-6 Loads'!A282</f>
        <v>Radio/Antenna (2)</v>
      </c>
      <c r="B205" s="95">
        <f>'LTS-6 Loads'!O282</f>
        <v>20.849025765159805</v>
      </c>
      <c r="C205" s="95">
        <f>'LTS-6 Loads'!P282</f>
        <v>4.2</v>
      </c>
      <c r="D205" s="95">
        <f>'LTS-6 Loads'!Q282</f>
        <v>0.38095238095238093</v>
      </c>
      <c r="E205" s="95">
        <f>'LTS-6 Loads'!R282</f>
        <v>56.666666666666664</v>
      </c>
      <c r="F205" s="95">
        <f>'LTS-6 Loads'!S282</f>
        <v>35.416666666666671</v>
      </c>
      <c r="G205" s="95">
        <f>'LTS-6 Loads'!T282</f>
        <v>1.3</v>
      </c>
      <c r="H205" s="95">
        <f>'LTS-6 Loads'!U282</f>
        <v>1.2</v>
      </c>
      <c r="I205" s="95">
        <f>'LTS-6 Loads'!V282</f>
        <v>1.5792532473373326</v>
      </c>
      <c r="J205" s="95">
        <f>'LTS-6 Loads'!W282</f>
        <v>1.6499355652982139</v>
      </c>
      <c r="K205" s="95">
        <f>'LTS-6 Loads'!X282</f>
        <v>32.925891643448338</v>
      </c>
      <c r="L205" s="95">
        <f>'LTS-6 Loads'!Y282</f>
        <v>34.399549111755974</v>
      </c>
      <c r="M205" s="197">
        <f>'LTS-6 Loads'!Z282</f>
        <v>17.834857973534554</v>
      </c>
      <c r="N205" s="201">
        <f>'LTS-6 Loads'!AA282</f>
        <v>18.633089102201193</v>
      </c>
      <c r="Q205" s="4"/>
      <c r="R205" s="4"/>
      <c r="S205" s="4"/>
      <c r="W205" s="4"/>
      <c r="X205" s="4"/>
    </row>
    <row r="206" spans="1:24" x14ac:dyDescent="0.2">
      <c r="A206" s="115" t="str">
        <f>'LTS-6 Loads'!A283</f>
        <v>Radio/Antenna (3)</v>
      </c>
      <c r="B206" s="95">
        <f>'LTS-6 Loads'!O283</f>
        <v>20.849025765159805</v>
      </c>
      <c r="C206" s="95">
        <f>'LTS-6 Loads'!P283</f>
        <v>0.38095238095238093</v>
      </c>
      <c r="D206" s="95">
        <f>'LTS-6 Loads'!Q283</f>
        <v>4.2</v>
      </c>
      <c r="E206" s="95">
        <f>'LTS-6 Loads'!R283</f>
        <v>35.416666666666671</v>
      </c>
      <c r="F206" s="95">
        <f>'LTS-6 Loads'!S283</f>
        <v>56.666666666666664</v>
      </c>
      <c r="G206" s="95">
        <f>'LTS-6 Loads'!T283</f>
        <v>1.2</v>
      </c>
      <c r="H206" s="95">
        <f>'LTS-6 Loads'!U283</f>
        <v>1.3</v>
      </c>
      <c r="I206" s="95">
        <f>'LTS-6 Loads'!V283</f>
        <v>1.4577722283113839</v>
      </c>
      <c r="J206" s="95">
        <f>'LTS-6 Loads'!W283</f>
        <v>1.7874301957397321</v>
      </c>
      <c r="K206" s="95">
        <f>'LTS-6 Loads'!X283</f>
        <v>30.393130747798462</v>
      </c>
      <c r="L206" s="95">
        <f>'LTS-6 Loads'!Y283</f>
        <v>37.266178204402308</v>
      </c>
      <c r="M206" s="197">
        <f>'LTS-6 Loads'!Z283</f>
        <v>16.462945821724205</v>
      </c>
      <c r="N206" s="201">
        <f>'LTS-6 Loads'!AA283</f>
        <v>20.185846527384626</v>
      </c>
      <c r="Q206" s="4"/>
      <c r="R206" s="4"/>
      <c r="S206" s="4"/>
      <c r="W206" s="4"/>
      <c r="X206" s="4"/>
    </row>
    <row r="207" spans="1:24" x14ac:dyDescent="0.2">
      <c r="A207" s="115" t="str">
        <f>'LTS-6 Loads'!A284</f>
        <v>Sign (bottom)</v>
      </c>
      <c r="B207" s="95">
        <f>'LTS-6 Loads'!O284</f>
        <v>18.23950058720828</v>
      </c>
      <c r="C207" s="95">
        <f>'LTS-6 Loads'!P284</f>
        <v>2.1851851851851851</v>
      </c>
      <c r="D207" s="95">
        <f>'LTS-6 Loads'!Q284</f>
        <v>737.5</v>
      </c>
      <c r="E207" s="95">
        <f>'LTS-6 Loads'!R284</f>
        <v>0.56666666666666665</v>
      </c>
      <c r="F207" s="95">
        <f>'LTS-6 Loads'!S284</f>
        <v>191.25</v>
      </c>
      <c r="G207" s="95">
        <f>'LTS-6 Loads'!T284</f>
        <v>1.19</v>
      </c>
      <c r="H207" s="95">
        <f>'LTS-6 Loads'!U284</f>
        <v>1.3</v>
      </c>
      <c r="I207" s="95">
        <f>'LTS-6 Loads'!V284</f>
        <v>0</v>
      </c>
      <c r="J207" s="95">
        <f>'LTS-6 Loads'!W284</f>
        <v>0</v>
      </c>
      <c r="K207" s="95">
        <f>'LTS-6 Loads'!X284</f>
        <v>0</v>
      </c>
      <c r="L207" s="95">
        <f>'LTS-6 Loads'!Y284</f>
        <v>0</v>
      </c>
      <c r="M207" s="197">
        <f>'LTS-6 Loads'!Z284</f>
        <v>0</v>
      </c>
      <c r="N207" s="201">
        <f>'LTS-6 Loads'!AA284</f>
        <v>0</v>
      </c>
      <c r="Q207" s="4"/>
      <c r="R207" s="4"/>
      <c r="S207" s="4"/>
      <c r="W207" s="4"/>
      <c r="X207" s="4"/>
    </row>
    <row r="208" spans="1:24" x14ac:dyDescent="0.2">
      <c r="A208" s="115" t="str">
        <f>'LTS-6 Loads'!A285</f>
        <v>Sign (banner)</v>
      </c>
      <c r="B208" s="95">
        <f>'LTS-6 Loads'!O285</f>
        <v>18.932547877758456</v>
      </c>
      <c r="C208" s="95">
        <f>'LTS-6 Loads'!P285</f>
        <v>6437.9999999999991</v>
      </c>
      <c r="D208" s="95">
        <f>'LTS-6 Loads'!Q285</f>
        <v>6437.9999999999991</v>
      </c>
      <c r="E208" s="95">
        <f>'LTS-6 Loads'!R285</f>
        <v>7.0833333333333331E-2</v>
      </c>
      <c r="F208" s="95">
        <f>'LTS-6 Loads'!S285</f>
        <v>7.0833333333333331E-2</v>
      </c>
      <c r="G208" s="95">
        <f>'LTS-6 Loads'!T285</f>
        <v>4029.7743363629384</v>
      </c>
      <c r="H208" s="95">
        <f>'LTS-6 Loads'!U285</f>
        <v>4029.7743363629384</v>
      </c>
      <c r="I208" s="95">
        <f>'LTS-6 Loads'!V285</f>
        <v>0</v>
      </c>
      <c r="J208" s="95">
        <f>'LTS-6 Loads'!W285</f>
        <v>0</v>
      </c>
      <c r="K208" s="95">
        <f>'LTS-6 Loads'!X285</f>
        <v>0</v>
      </c>
      <c r="L208" s="95">
        <f>'LTS-6 Loads'!Y285</f>
        <v>0</v>
      </c>
      <c r="M208" s="197">
        <f>'LTS-6 Loads'!Z285</f>
        <v>0</v>
      </c>
      <c r="N208" s="201">
        <f>'LTS-6 Loads'!AA285</f>
        <v>0</v>
      </c>
      <c r="Q208" s="4"/>
      <c r="R208" s="4"/>
      <c r="S208" s="4"/>
      <c r="W208" s="4"/>
      <c r="X208" s="4"/>
    </row>
    <row r="209" spans="1:24" x14ac:dyDescent="0.2">
      <c r="A209" s="115" t="str">
        <f>'LTS-6 Loads'!A286</f>
        <v>Smart Meter</v>
      </c>
      <c r="B209" s="95">
        <f>'LTS-6 Loads'!O286</f>
        <v>18.23950058720828</v>
      </c>
      <c r="C209" s="95">
        <f>'LTS-6 Loads'!P286</f>
        <v>21.926460636138057</v>
      </c>
      <c r="D209" s="95">
        <f>'LTS-6 Loads'!Q286</f>
        <v>21.926460636138057</v>
      </c>
      <c r="E209" s="95">
        <f>'LTS-6 Loads'!R286</f>
        <v>39.250520833333333</v>
      </c>
      <c r="F209" s="95">
        <f>'LTS-6 Loads'!S286</f>
        <v>39.250520833333333</v>
      </c>
      <c r="G209" s="95">
        <f>'LTS-6 Loads'!T286</f>
        <v>1.0929257520305797</v>
      </c>
      <c r="H209" s="95">
        <f>'LTS-6 Loads'!U286</f>
        <v>1.0929257520305797</v>
      </c>
      <c r="I209" s="95">
        <f>'LTS-6 Loads'!V286</f>
        <v>0</v>
      </c>
      <c r="J209" s="95">
        <f>'LTS-6 Loads'!W286</f>
        <v>0</v>
      </c>
      <c r="K209" s="95">
        <f>'LTS-6 Loads'!X286</f>
        <v>0</v>
      </c>
      <c r="L209" s="95">
        <f>'LTS-6 Loads'!Y286</f>
        <v>0</v>
      </c>
      <c r="M209" s="197">
        <f>'LTS-6 Loads'!Z286</f>
        <v>0</v>
      </c>
      <c r="N209" s="201">
        <f>'LTS-6 Loads'!AA286</f>
        <v>0</v>
      </c>
      <c r="Q209" s="4"/>
      <c r="R209" s="4"/>
      <c r="S209" s="4"/>
      <c r="W209" s="4"/>
      <c r="X209" s="4"/>
    </row>
    <row r="210" spans="1:24" x14ac:dyDescent="0.2">
      <c r="A210" s="115" t="str">
        <f>'LTS-6 Loads'!A287</f>
        <v>Radio/Antenna (1)</v>
      </c>
      <c r="B210" s="95">
        <f>'LTS-6 Loads'!O287</f>
        <v>19.993893102023318</v>
      </c>
      <c r="C210" s="95">
        <f>'LTS-6 Loads'!P287</f>
        <v>2.625</v>
      </c>
      <c r="D210" s="95">
        <f>'LTS-6 Loads'!Q287</f>
        <v>4.2</v>
      </c>
      <c r="E210" s="95">
        <f>'LTS-6 Loads'!R287</f>
        <v>35.416666666666671</v>
      </c>
      <c r="F210" s="95">
        <f>'LTS-6 Loads'!S287</f>
        <v>56.666666666666664</v>
      </c>
      <c r="G210" s="95">
        <f>'LTS-6 Loads'!T287</f>
        <v>1.7</v>
      </c>
      <c r="H210" s="95">
        <f>'LTS-6 Loads'!U287</f>
        <v>1.7</v>
      </c>
      <c r="I210" s="95">
        <f>'LTS-6 Loads'!V287</f>
        <v>1.9833333333333329</v>
      </c>
      <c r="J210" s="95">
        <f>'LTS-6 Loads'!W287</f>
        <v>1.2395833333333335</v>
      </c>
      <c r="K210" s="95">
        <f>'LTS-6 Loads'!X287</f>
        <v>39.654554652346242</v>
      </c>
      <c r="L210" s="95">
        <f>'LTS-6 Loads'!Y287</f>
        <v>24.784096657716407</v>
      </c>
      <c r="M210" s="197">
        <f>'LTS-6 Loads'!Z287</f>
        <v>21.479550436687596</v>
      </c>
      <c r="N210" s="201">
        <f>'LTS-6 Loads'!AA287</f>
        <v>13.42471902292975</v>
      </c>
      <c r="Q210" s="4"/>
      <c r="R210" s="4"/>
      <c r="S210" s="4"/>
      <c r="W210" s="4"/>
      <c r="X210" s="4"/>
    </row>
    <row r="211" spans="1:24" ht="15" thickBot="1" x14ac:dyDescent="0.25">
      <c r="A211" s="115" t="str">
        <f>'LTS-6 Loads'!A288</f>
        <v>Disconnect</v>
      </c>
      <c r="B211" s="202">
        <f>'LTS-6 Loads'!O288</f>
        <v>18.23950058720828</v>
      </c>
      <c r="C211" s="202">
        <f>'LTS-6 Loads'!P288</f>
        <v>1.69435736677116</v>
      </c>
      <c r="D211" s="202">
        <f>'LTS-6 Loads'!Q288</f>
        <v>2.8826666666666667</v>
      </c>
      <c r="E211" s="202">
        <f>'LTS-6 Loads'!R288</f>
        <v>26.5625</v>
      </c>
      <c r="F211" s="202">
        <f>'LTS-6 Loads'!S288</f>
        <v>45.191666666666663</v>
      </c>
      <c r="G211" s="202">
        <f>'LTS-6 Loads'!T288</f>
        <v>1.2</v>
      </c>
      <c r="H211" s="202">
        <f>'LTS-6 Loads'!U288</f>
        <v>1.2</v>
      </c>
      <c r="I211" s="202">
        <f>'LTS-6 Loads'!V288</f>
        <v>0</v>
      </c>
      <c r="J211" s="202">
        <f>'LTS-6 Loads'!W288</f>
        <v>0</v>
      </c>
      <c r="K211" s="202">
        <f>'LTS-6 Loads'!X288</f>
        <v>0</v>
      </c>
      <c r="L211" s="202">
        <f>'LTS-6 Loads'!Y288</f>
        <v>0</v>
      </c>
      <c r="M211" s="203">
        <f>'LTS-6 Loads'!Z288</f>
        <v>0</v>
      </c>
      <c r="N211" s="204">
        <f>'LTS-6 Loads'!AA288</f>
        <v>0</v>
      </c>
      <c r="Q211" s="4"/>
      <c r="R211" s="4"/>
      <c r="S211" s="4"/>
      <c r="W211" s="4"/>
      <c r="X211" s="4"/>
    </row>
    <row r="212" spans="1:24" ht="15" x14ac:dyDescent="0.25">
      <c r="B212" s="57"/>
      <c r="C212" s="154"/>
      <c r="D212" s="39"/>
      <c r="E212" s="2"/>
      <c r="G212" s="4"/>
      <c r="H212" s="2"/>
      <c r="Q212" s="4"/>
      <c r="R212" s="4"/>
      <c r="S212" s="4"/>
      <c r="W212" s="4"/>
      <c r="X212" s="4"/>
    </row>
    <row r="213" spans="1:24" x14ac:dyDescent="0.2">
      <c r="B213" s="4"/>
      <c r="C213" s="4"/>
      <c r="F213" s="4" t="s">
        <v>60</v>
      </c>
      <c r="G213" s="4" t="s">
        <v>61</v>
      </c>
      <c r="H213" s="3"/>
      <c r="Q213" s="4"/>
      <c r="R213" s="4"/>
      <c r="S213" s="4"/>
      <c r="W213" s="4"/>
      <c r="X213" s="4"/>
    </row>
    <row r="214" spans="1:24" ht="18.75" x14ac:dyDescent="0.35">
      <c r="A214" s="258" t="s">
        <v>934</v>
      </c>
      <c r="B214" s="258"/>
      <c r="C214" s="259" t="s">
        <v>940</v>
      </c>
      <c r="D214" s="259"/>
      <c r="E214" s="259"/>
      <c r="F214" s="42">
        <f>'LTS-6 Loads'!F342</f>
        <v>556.26023900804967</v>
      </c>
      <c r="G214" s="42">
        <f>'LTS-6 Loads'!G342</f>
        <v>559.98111782914373</v>
      </c>
      <c r="H214" s="41" t="s">
        <v>7</v>
      </c>
      <c r="I214" s="4" t="s">
        <v>939</v>
      </c>
      <c r="J214" s="4"/>
      <c r="K214" s="4"/>
      <c r="L214" s="4"/>
      <c r="M214" s="4"/>
      <c r="Q214" s="4"/>
      <c r="R214" s="4"/>
      <c r="S214" s="4"/>
      <c r="W214" s="4"/>
      <c r="X214" s="4"/>
    </row>
    <row r="215" spans="1:24" ht="18.75" x14ac:dyDescent="0.35">
      <c r="A215" s="258" t="s">
        <v>933</v>
      </c>
      <c r="B215" s="258"/>
      <c r="C215" s="259" t="s">
        <v>941</v>
      </c>
      <c r="D215" s="259"/>
      <c r="E215" s="259"/>
      <c r="F215" s="42">
        <f>'LTS-6 Loads'!F343</f>
        <v>228.20708294355578</v>
      </c>
      <c r="G215" s="42">
        <f>'LTS-6 Loads'!G343</f>
        <v>165.42073621966034</v>
      </c>
      <c r="H215" s="41" t="s">
        <v>7</v>
      </c>
      <c r="I215" s="4" t="s">
        <v>943</v>
      </c>
      <c r="J215" s="4"/>
      <c r="K215" s="4"/>
      <c r="L215" s="4"/>
      <c r="M215" s="4"/>
      <c r="Q215" s="4"/>
      <c r="R215" s="4"/>
      <c r="S215" s="4"/>
      <c r="W215" s="4"/>
      <c r="X215" s="4"/>
    </row>
    <row r="216" spans="1:24" ht="18.75" x14ac:dyDescent="0.35">
      <c r="A216" s="258" t="s">
        <v>932</v>
      </c>
      <c r="B216" s="258"/>
      <c r="C216" s="259" t="s">
        <v>942</v>
      </c>
      <c r="D216" s="259"/>
      <c r="E216" s="259"/>
      <c r="F216" s="42">
        <f>'LTS-6 Loads'!F344</f>
        <v>1938.0641758218533</v>
      </c>
      <c r="G216" s="42">
        <f>'LTS-6 Loads'!G344</f>
        <v>1643.8448606225581</v>
      </c>
      <c r="H216" s="41" t="s">
        <v>622</v>
      </c>
      <c r="I216" s="4" t="s">
        <v>943</v>
      </c>
      <c r="J216" s="4"/>
      <c r="K216" s="4"/>
      <c r="L216" s="4"/>
      <c r="M216" s="4"/>
      <c r="Q216" s="4"/>
      <c r="R216" s="4"/>
      <c r="S216" s="4"/>
      <c r="W216" s="4"/>
      <c r="X216" s="4"/>
    </row>
    <row r="217" spans="1:24" x14ac:dyDescent="0.2">
      <c r="C217" s="47"/>
      <c r="E217" s="2"/>
      <c r="F217" s="8"/>
      <c r="G217" s="8"/>
      <c r="H217" s="8"/>
      <c r="Q217" s="4"/>
      <c r="R217" s="4"/>
      <c r="S217" s="4"/>
      <c r="W217" s="4"/>
      <c r="X217" s="4"/>
    </row>
    <row r="218" spans="1:24" x14ac:dyDescent="0.2">
      <c r="E218" s="2"/>
      <c r="F218" s="8"/>
      <c r="G218" s="8"/>
      <c r="H218" s="8"/>
      <c r="Q218" s="4"/>
      <c r="R218" s="4"/>
      <c r="S218" s="4"/>
      <c r="W218" s="4"/>
      <c r="X218" s="4"/>
    </row>
    <row r="219" spans="1:24" x14ac:dyDescent="0.2">
      <c r="E219" s="2"/>
      <c r="F219" s="8"/>
      <c r="G219" s="8"/>
      <c r="H219" s="8"/>
      <c r="Q219" s="4"/>
      <c r="R219" s="4"/>
      <c r="S219" s="4"/>
      <c r="W219" s="4"/>
      <c r="X219" s="4"/>
    </row>
    <row r="220" spans="1:24" x14ac:dyDescent="0.2">
      <c r="E220" s="2"/>
      <c r="F220" s="8"/>
      <c r="G220" s="8"/>
      <c r="H220" s="8"/>
      <c r="Q220" s="4"/>
      <c r="R220" s="4"/>
      <c r="S220" s="4"/>
      <c r="W220" s="4"/>
      <c r="X220" s="4"/>
    </row>
    <row r="221" spans="1:24" x14ac:dyDescent="0.2">
      <c r="E221" s="2"/>
      <c r="F221" s="8"/>
      <c r="G221" s="8"/>
      <c r="H221" s="8"/>
      <c r="Q221" s="4"/>
      <c r="R221" s="4"/>
      <c r="S221" s="4"/>
      <c r="W221" s="4"/>
      <c r="X221" s="4"/>
    </row>
    <row r="222" spans="1:24" ht="15" x14ac:dyDescent="0.25">
      <c r="B222" s="1"/>
      <c r="E222" s="2"/>
      <c r="F222" s="8"/>
      <c r="G222" s="8"/>
      <c r="H222" s="8"/>
      <c r="Q222" s="4"/>
      <c r="R222" s="4"/>
      <c r="S222" s="4"/>
      <c r="W222" s="4"/>
      <c r="X222" s="4"/>
    </row>
    <row r="223" spans="1:24" x14ac:dyDescent="0.2">
      <c r="E223" s="2"/>
      <c r="F223" s="8"/>
      <c r="G223" s="8"/>
      <c r="H223" s="8"/>
      <c r="Q223" s="4"/>
      <c r="R223" s="4"/>
      <c r="S223" s="4"/>
      <c r="W223" s="4"/>
      <c r="X223" s="4"/>
    </row>
    <row r="224" spans="1:24" x14ac:dyDescent="0.2">
      <c r="E224" s="2"/>
      <c r="F224" s="8"/>
      <c r="G224" s="8"/>
      <c r="H224" s="8"/>
      <c r="Q224" s="4"/>
      <c r="R224" s="4"/>
      <c r="S224" s="4"/>
      <c r="W224" s="4"/>
      <c r="X224" s="4"/>
    </row>
    <row r="225" spans="2:24" x14ac:dyDescent="0.2">
      <c r="E225" s="2"/>
      <c r="F225" s="8"/>
      <c r="G225" s="8"/>
      <c r="H225" s="8"/>
      <c r="Q225" s="4"/>
      <c r="R225" s="4"/>
      <c r="S225" s="4"/>
      <c r="W225" s="4"/>
      <c r="X225" s="4"/>
    </row>
    <row r="226" spans="2:24" x14ac:dyDescent="0.2">
      <c r="E226" s="2"/>
      <c r="F226" s="8"/>
      <c r="G226" s="8"/>
      <c r="H226" s="8"/>
      <c r="Q226" s="4"/>
      <c r="R226" s="4"/>
      <c r="S226" s="4"/>
      <c r="W226" s="4"/>
      <c r="X226" s="4"/>
    </row>
    <row r="227" spans="2:24" x14ac:dyDescent="0.2">
      <c r="E227" s="2"/>
      <c r="F227" s="8"/>
      <c r="G227" s="8"/>
      <c r="H227" s="8"/>
      <c r="Q227" s="4"/>
      <c r="R227" s="4"/>
      <c r="S227" s="4"/>
      <c r="W227" s="4"/>
      <c r="X227" s="4"/>
    </row>
    <row r="228" spans="2:24" x14ac:dyDescent="0.2">
      <c r="E228" s="2"/>
      <c r="F228" s="8"/>
      <c r="G228" s="8"/>
      <c r="H228" s="8"/>
      <c r="Q228" s="4"/>
      <c r="R228" s="4"/>
      <c r="S228" s="4"/>
      <c r="W228" s="4"/>
      <c r="X228" s="4"/>
    </row>
    <row r="229" spans="2:24" x14ac:dyDescent="0.2">
      <c r="E229" s="2"/>
      <c r="F229" s="8"/>
      <c r="G229" s="8"/>
      <c r="H229" s="8"/>
      <c r="Q229" s="4"/>
      <c r="R229" s="4"/>
      <c r="S229" s="4"/>
      <c r="W229" s="4"/>
      <c r="X229" s="4"/>
    </row>
    <row r="230" spans="2:24" x14ac:dyDescent="0.2">
      <c r="E230" s="2"/>
      <c r="F230" s="8"/>
      <c r="G230" s="8"/>
      <c r="H230" s="8"/>
      <c r="Q230" s="4"/>
      <c r="R230" s="4"/>
      <c r="S230" s="4"/>
      <c r="W230" s="4"/>
      <c r="X230" s="4"/>
    </row>
    <row r="231" spans="2:24" x14ac:dyDescent="0.2">
      <c r="E231" s="2"/>
      <c r="F231" s="8"/>
      <c r="G231" s="8"/>
      <c r="H231" s="8"/>
      <c r="Q231" s="4"/>
      <c r="R231" s="4"/>
      <c r="S231" s="4"/>
      <c r="W231" s="4"/>
      <c r="X231" s="4"/>
    </row>
    <row r="232" spans="2:24" x14ac:dyDescent="0.2">
      <c r="E232" s="2"/>
      <c r="F232" s="8"/>
      <c r="G232" s="8"/>
      <c r="H232" s="8"/>
      <c r="Q232" s="4"/>
      <c r="R232" s="4"/>
      <c r="S232" s="4"/>
      <c r="W232" s="4"/>
      <c r="X232" s="4"/>
    </row>
    <row r="233" spans="2:24" x14ac:dyDescent="0.2">
      <c r="E233" s="2"/>
      <c r="F233" s="8"/>
      <c r="G233" s="8"/>
      <c r="H233" s="8"/>
      <c r="Q233" s="4"/>
      <c r="R233" s="4"/>
      <c r="S233" s="4"/>
      <c r="W233" s="4"/>
      <c r="X233" s="4"/>
    </row>
    <row r="234" spans="2:24" x14ac:dyDescent="0.2">
      <c r="E234" s="2"/>
      <c r="F234" s="8"/>
      <c r="G234" s="8"/>
      <c r="H234" s="8"/>
      <c r="Q234" s="4"/>
      <c r="R234" s="4"/>
      <c r="S234" s="4"/>
      <c r="W234" s="4"/>
      <c r="X234" s="4"/>
    </row>
    <row r="235" spans="2:24" x14ac:dyDescent="0.2">
      <c r="E235" s="2"/>
      <c r="F235" s="8"/>
      <c r="G235" s="8"/>
      <c r="H235" s="8"/>
      <c r="Q235" s="4"/>
      <c r="R235" s="4"/>
      <c r="S235" s="4"/>
      <c r="W235" s="4"/>
      <c r="X235" s="4"/>
    </row>
    <row r="236" spans="2:24" x14ac:dyDescent="0.2">
      <c r="E236" s="2"/>
      <c r="F236" s="8"/>
      <c r="G236" s="8"/>
      <c r="H236" s="8"/>
      <c r="Q236" s="4"/>
      <c r="R236" s="4"/>
      <c r="S236" s="4"/>
      <c r="W236" s="4"/>
      <c r="X236" s="4"/>
    </row>
    <row r="237" spans="2:24" x14ac:dyDescent="0.2">
      <c r="E237" s="2"/>
      <c r="F237" s="8"/>
      <c r="G237" s="8"/>
      <c r="H237" s="8"/>
      <c r="Q237" s="4"/>
      <c r="R237" s="4"/>
      <c r="S237" s="4"/>
      <c r="W237" s="4"/>
      <c r="X237" s="4"/>
    </row>
    <row r="238" spans="2:24" ht="15" x14ac:dyDescent="0.25">
      <c r="B238" s="84"/>
      <c r="E238" s="2"/>
      <c r="F238" s="8"/>
      <c r="G238" s="8"/>
      <c r="H238" s="8"/>
      <c r="Q238" s="4"/>
      <c r="R238" s="4"/>
      <c r="S238" s="4"/>
      <c r="W238" s="4"/>
      <c r="X238" s="4"/>
    </row>
    <row r="239" spans="2:24" x14ac:dyDescent="0.2">
      <c r="B239" s="4"/>
      <c r="C239" s="4"/>
      <c r="G239" s="4"/>
      <c r="H239" s="8"/>
      <c r="Q239" s="4"/>
      <c r="R239" s="4"/>
      <c r="S239" s="4"/>
      <c r="W239" s="4"/>
      <c r="X239" s="4"/>
    </row>
    <row r="240" spans="2:24" x14ac:dyDescent="0.2">
      <c r="B240" s="4"/>
      <c r="C240" s="4"/>
      <c r="D240" s="3"/>
      <c r="G240" s="4"/>
      <c r="H240" s="8"/>
      <c r="Q240" s="4"/>
      <c r="R240" s="4"/>
      <c r="S240" s="4"/>
      <c r="W240" s="4"/>
      <c r="X240" s="4"/>
    </row>
    <row r="241" spans="1:24" x14ac:dyDescent="0.2">
      <c r="B241" s="4"/>
      <c r="C241" s="4"/>
      <c r="D241" s="3"/>
      <c r="G241" s="4"/>
      <c r="H241" s="8"/>
      <c r="Q241" s="4"/>
      <c r="R241" s="4"/>
      <c r="S241" s="4"/>
      <c r="W241" s="4"/>
      <c r="X241" s="4"/>
    </row>
    <row r="242" spans="1:24" x14ac:dyDescent="0.2">
      <c r="B242" s="4"/>
      <c r="C242" s="4"/>
      <c r="D242" s="3"/>
      <c r="G242" s="4"/>
      <c r="H242" s="8"/>
      <c r="Q242" s="4"/>
      <c r="R242" s="4"/>
      <c r="S242" s="4"/>
      <c r="W242" s="4"/>
      <c r="X242" s="4"/>
    </row>
    <row r="243" spans="1:24" x14ac:dyDescent="0.2">
      <c r="B243" s="4"/>
      <c r="C243" s="4"/>
      <c r="D243" s="3"/>
      <c r="G243" s="4"/>
      <c r="H243" s="8"/>
      <c r="Q243" s="4"/>
      <c r="R243" s="4"/>
      <c r="S243" s="4"/>
      <c r="W243" s="4"/>
      <c r="X243" s="4"/>
    </row>
    <row r="244" spans="1:24" x14ac:dyDescent="0.2">
      <c r="B244" s="4"/>
      <c r="C244" s="4"/>
      <c r="D244" s="3"/>
      <c r="G244" s="4"/>
      <c r="H244" s="8"/>
      <c r="Q244" s="4"/>
      <c r="R244" s="4"/>
      <c r="S244" s="4"/>
      <c r="W244" s="4"/>
      <c r="X244" s="4"/>
    </row>
    <row r="245" spans="1:24" x14ac:dyDescent="0.2">
      <c r="B245" s="4"/>
      <c r="C245" s="4"/>
      <c r="D245" s="3"/>
      <c r="G245" s="4"/>
      <c r="H245" s="8"/>
      <c r="Q245" s="4"/>
      <c r="R245" s="4"/>
      <c r="S245" s="4"/>
      <c r="W245" s="4"/>
      <c r="X245" s="4"/>
    </row>
    <row r="246" spans="1:24" x14ac:dyDescent="0.2">
      <c r="B246" s="4"/>
      <c r="C246" s="4"/>
      <c r="G246" s="4"/>
      <c r="H246" s="8"/>
      <c r="Q246" s="4"/>
      <c r="R246" s="4"/>
      <c r="S246" s="4"/>
      <c r="W246" s="4"/>
      <c r="X246" s="4"/>
    </row>
    <row r="247" spans="1:24" x14ac:dyDescent="0.2">
      <c r="B247" s="4"/>
      <c r="C247" s="4"/>
      <c r="G247" s="4"/>
      <c r="H247" s="8"/>
      <c r="Q247" s="4"/>
      <c r="R247" s="4"/>
      <c r="S247" s="4"/>
      <c r="W247" s="4"/>
      <c r="X247" s="4"/>
    </row>
    <row r="248" spans="1:24" x14ac:dyDescent="0.2">
      <c r="B248" s="4"/>
      <c r="C248" s="4"/>
      <c r="G248" s="4"/>
      <c r="H248" s="8"/>
      <c r="Q248" s="4"/>
      <c r="R248" s="4"/>
      <c r="S248" s="4"/>
      <c r="W248" s="4"/>
      <c r="X248" s="4"/>
    </row>
    <row r="249" spans="1:24" x14ac:dyDescent="0.2">
      <c r="B249" s="4"/>
      <c r="C249" s="4"/>
      <c r="G249" s="4"/>
      <c r="H249" s="8"/>
      <c r="Q249" s="4"/>
      <c r="R249" s="4"/>
      <c r="S249" s="4"/>
      <c r="W249" s="4"/>
      <c r="X249" s="4"/>
    </row>
    <row r="250" spans="1:24" x14ac:dyDescent="0.2">
      <c r="B250" s="4"/>
      <c r="C250" s="4"/>
      <c r="G250" s="4"/>
      <c r="H250" s="8"/>
      <c r="Q250" s="4"/>
      <c r="R250" s="4"/>
      <c r="S250" s="4"/>
      <c r="W250" s="4"/>
      <c r="X250" s="4"/>
    </row>
    <row r="251" spans="1:24" x14ac:dyDescent="0.2">
      <c r="B251" s="4"/>
      <c r="C251" s="4"/>
      <c r="G251" s="4"/>
      <c r="H251" s="4"/>
      <c r="Q251" s="4"/>
      <c r="R251" s="4"/>
      <c r="S251" s="4"/>
      <c r="W251" s="4"/>
      <c r="X251" s="4"/>
    </row>
    <row r="252" spans="1:24" x14ac:dyDescent="0.2">
      <c r="E252" s="2"/>
      <c r="F252" s="8"/>
      <c r="G252" s="8"/>
      <c r="H252" s="4"/>
      <c r="Q252" s="4"/>
      <c r="R252" s="4"/>
      <c r="S252" s="4"/>
      <c r="W252" s="4"/>
      <c r="X252" s="4"/>
    </row>
    <row r="253" spans="1:24" x14ac:dyDescent="0.2">
      <c r="A253" s="66"/>
      <c r="C253" s="47"/>
      <c r="E253" s="2"/>
      <c r="G253" s="4"/>
      <c r="H253" s="4"/>
      <c r="Q253" s="4"/>
      <c r="R253" s="4"/>
      <c r="S253" s="4"/>
      <c r="W253" s="4"/>
      <c r="X253" s="4"/>
    </row>
    <row r="254" spans="1:24" ht="18.75" x14ac:dyDescent="0.35">
      <c r="B254" s="63"/>
      <c r="C254" s="47"/>
      <c r="E254" s="2"/>
      <c r="G254" s="4"/>
      <c r="H254" s="4"/>
      <c r="Q254" s="4"/>
      <c r="R254" s="4"/>
      <c r="S254" s="4"/>
      <c r="W254" s="4"/>
      <c r="X254" s="4"/>
    </row>
    <row r="255" spans="1:24" ht="18.75" x14ac:dyDescent="0.35">
      <c r="B255" s="63"/>
      <c r="C255" s="47"/>
      <c r="E255" s="2"/>
      <c r="G255" s="4"/>
      <c r="H255" s="4"/>
      <c r="Q255" s="4"/>
      <c r="R255" s="4"/>
      <c r="S255" s="4"/>
      <c r="W255" s="4"/>
      <c r="X255" s="4"/>
    </row>
    <row r="256" spans="1:24" x14ac:dyDescent="0.2">
      <c r="C256" s="47"/>
      <c r="E256" s="2"/>
      <c r="G256" s="4"/>
      <c r="H256" s="4"/>
      <c r="Q256" s="4"/>
      <c r="R256" s="4"/>
      <c r="S256" s="4"/>
      <c r="W256" s="4"/>
      <c r="X256" s="4"/>
    </row>
    <row r="257" spans="2:24" ht="18.75" x14ac:dyDescent="0.35">
      <c r="B257" s="63"/>
      <c r="C257" s="47"/>
      <c r="E257" s="2"/>
      <c r="G257" s="4"/>
      <c r="H257" s="4"/>
      <c r="Q257" s="4"/>
      <c r="R257" s="4"/>
      <c r="S257" s="4"/>
      <c r="W257" s="4"/>
      <c r="X257" s="4"/>
    </row>
    <row r="258" spans="2:24" ht="15" x14ac:dyDescent="0.25">
      <c r="B258" s="57"/>
      <c r="C258" s="154"/>
      <c r="D258" s="39"/>
      <c r="E258" s="2"/>
      <c r="G258" s="4"/>
      <c r="H258" s="4"/>
      <c r="Q258" s="4"/>
      <c r="R258" s="4"/>
      <c r="S258" s="4"/>
      <c r="W258" s="4"/>
      <c r="X258" s="4"/>
    </row>
    <row r="259" spans="2:24" ht="18.75" x14ac:dyDescent="0.35">
      <c r="B259" s="63"/>
      <c r="C259" s="47"/>
      <c r="E259" s="2"/>
      <c r="G259" s="4"/>
      <c r="H259" s="4"/>
      <c r="Q259" s="4"/>
      <c r="R259" s="4"/>
      <c r="S259" s="4"/>
      <c r="W259" s="4"/>
      <c r="X259" s="4"/>
    </row>
    <row r="260" spans="2:24" ht="18.75" x14ac:dyDescent="0.35">
      <c r="B260" s="63"/>
      <c r="C260" s="160"/>
      <c r="E260" s="2"/>
      <c r="G260" s="4"/>
      <c r="H260" s="4"/>
      <c r="Q260" s="4"/>
      <c r="R260" s="4"/>
      <c r="S260" s="4"/>
      <c r="W260" s="4"/>
      <c r="X260" s="4"/>
    </row>
    <row r="261" spans="2:24" x14ac:dyDescent="0.2">
      <c r="C261" s="47"/>
      <c r="E261" s="2"/>
      <c r="G261" s="4"/>
      <c r="H261" s="4"/>
      <c r="Q261" s="4"/>
      <c r="R261" s="4"/>
      <c r="S261" s="4"/>
      <c r="W261" s="4"/>
      <c r="X261" s="4"/>
    </row>
    <row r="262" spans="2:24" ht="15" x14ac:dyDescent="0.25">
      <c r="B262" s="57"/>
      <c r="C262" s="154"/>
      <c r="D262" s="39"/>
      <c r="E262" s="2"/>
      <c r="G262" s="4"/>
      <c r="H262" s="4"/>
      <c r="Q262" s="4"/>
      <c r="R262" s="4"/>
      <c r="S262" s="4"/>
      <c r="W262" s="4"/>
      <c r="X262" s="4"/>
    </row>
    <row r="263" spans="2:24" ht="18.75" x14ac:dyDescent="0.35">
      <c r="B263" s="63"/>
      <c r="C263" s="47"/>
      <c r="E263" s="2"/>
      <c r="G263" s="4"/>
      <c r="H263" s="4"/>
      <c r="Q263" s="4"/>
      <c r="R263" s="4"/>
      <c r="S263" s="4"/>
      <c r="W263" s="4"/>
      <c r="X263" s="4"/>
    </row>
    <row r="264" spans="2:24" ht="18.75" x14ac:dyDescent="0.35">
      <c r="B264" s="63"/>
      <c r="C264" s="160"/>
      <c r="E264" s="2"/>
      <c r="G264" s="4"/>
      <c r="H264" s="4"/>
      <c r="Q264" s="4"/>
      <c r="R264" s="4"/>
      <c r="S264" s="4"/>
      <c r="W264" s="4"/>
      <c r="X264" s="4"/>
    </row>
    <row r="265" spans="2:24" x14ac:dyDescent="0.2">
      <c r="C265" s="47"/>
      <c r="E265" s="2"/>
      <c r="G265" s="4"/>
      <c r="H265" s="4"/>
      <c r="Q265" s="4"/>
      <c r="R265" s="4"/>
      <c r="S265" s="4"/>
      <c r="W265" s="4"/>
      <c r="X265" s="4"/>
    </row>
    <row r="266" spans="2:24" ht="15" x14ac:dyDescent="0.25">
      <c r="B266" s="57"/>
      <c r="C266" s="154"/>
      <c r="D266" s="39"/>
      <c r="E266" s="2"/>
      <c r="G266" s="4"/>
      <c r="H266" s="4"/>
      <c r="Q266" s="4"/>
      <c r="R266" s="4"/>
      <c r="S266" s="4"/>
      <c r="W266" s="4"/>
      <c r="X266" s="4"/>
    </row>
    <row r="267" spans="2:24" ht="18.75" x14ac:dyDescent="0.35">
      <c r="B267" s="63"/>
      <c r="C267" s="47"/>
      <c r="E267" s="2"/>
      <c r="G267" s="4"/>
      <c r="H267" s="4"/>
      <c r="Q267" s="4"/>
      <c r="R267" s="4"/>
      <c r="S267" s="4"/>
      <c r="W267" s="4"/>
      <c r="X267" s="4"/>
    </row>
    <row r="268" spans="2:24" x14ac:dyDescent="0.2">
      <c r="C268" s="160"/>
      <c r="E268" s="2"/>
      <c r="G268" s="4"/>
      <c r="H268" s="4"/>
      <c r="Q268" s="4"/>
      <c r="R268" s="4"/>
      <c r="S268" s="4"/>
      <c r="W268" s="4"/>
      <c r="X268" s="4"/>
    </row>
    <row r="269" spans="2:24" x14ac:dyDescent="0.2">
      <c r="C269" s="47"/>
      <c r="E269" s="2"/>
      <c r="G269" s="4"/>
      <c r="H269" s="4"/>
      <c r="Q269" s="4"/>
      <c r="R269" s="4"/>
      <c r="S269" s="4"/>
      <c r="W269" s="4"/>
      <c r="X269" s="4"/>
    </row>
    <row r="270" spans="2:24" ht="15" x14ac:dyDescent="0.25">
      <c r="B270" s="57"/>
      <c r="C270" s="154"/>
      <c r="D270" s="39"/>
      <c r="E270" s="2"/>
      <c r="G270" s="4"/>
      <c r="H270" s="4"/>
      <c r="Q270" s="4"/>
      <c r="R270" s="4"/>
      <c r="S270" s="4"/>
      <c r="W270" s="4"/>
      <c r="X270" s="4"/>
    </row>
    <row r="271" spans="2:24" x14ac:dyDescent="0.2">
      <c r="C271" s="47"/>
      <c r="E271" s="2"/>
      <c r="G271" s="4"/>
      <c r="H271" s="4"/>
      <c r="Q271" s="4"/>
      <c r="R271" s="4"/>
      <c r="S271" s="4"/>
      <c r="W271" s="4"/>
      <c r="X271" s="4"/>
    </row>
    <row r="272" spans="2:24" x14ac:dyDescent="0.2">
      <c r="C272" s="160"/>
      <c r="E272" s="2"/>
      <c r="G272" s="4"/>
      <c r="H272" s="4"/>
      <c r="Q272" s="4"/>
      <c r="R272" s="4"/>
      <c r="S272" s="4"/>
      <c r="W272" s="4"/>
      <c r="X272" s="4"/>
    </row>
    <row r="273" spans="2:24" x14ac:dyDescent="0.2">
      <c r="C273" s="47"/>
      <c r="E273" s="2"/>
      <c r="G273" s="4"/>
      <c r="H273" s="4"/>
      <c r="Q273" s="4"/>
      <c r="R273" s="4"/>
      <c r="S273" s="4"/>
      <c r="W273" s="4"/>
      <c r="X273" s="4"/>
    </row>
    <row r="274" spans="2:24" ht="15" x14ac:dyDescent="0.25">
      <c r="B274" s="57"/>
      <c r="C274" s="154"/>
      <c r="D274" s="39"/>
      <c r="E274" s="2"/>
      <c r="G274" s="4"/>
      <c r="H274" s="4"/>
      <c r="Q274" s="4"/>
      <c r="R274" s="4"/>
      <c r="S274" s="4"/>
      <c r="W274" s="4"/>
      <c r="X274" s="4"/>
    </row>
    <row r="275" spans="2:24" x14ac:dyDescent="0.2">
      <c r="C275" s="47"/>
      <c r="E275" s="2"/>
      <c r="G275" s="4"/>
      <c r="H275" s="4"/>
      <c r="Q275" s="4"/>
      <c r="R275" s="4"/>
      <c r="S275" s="4"/>
      <c r="W275" s="4"/>
      <c r="X275" s="4"/>
    </row>
    <row r="276" spans="2:24" ht="18.75" x14ac:dyDescent="0.35">
      <c r="B276" s="63"/>
      <c r="C276" s="160"/>
      <c r="E276" s="2"/>
      <c r="G276" s="4"/>
      <c r="H276" s="4"/>
      <c r="Q276" s="4"/>
      <c r="R276" s="4"/>
      <c r="S276" s="4"/>
      <c r="W276" s="4"/>
      <c r="X276" s="4"/>
    </row>
    <row r="277" spans="2:24" ht="18.75" x14ac:dyDescent="0.35">
      <c r="B277" s="63"/>
      <c r="C277" s="47"/>
      <c r="E277" s="2"/>
      <c r="G277" s="4"/>
      <c r="H277" s="4"/>
      <c r="Q277" s="4"/>
      <c r="R277" s="4"/>
      <c r="S277" s="4"/>
      <c r="W277" s="4"/>
      <c r="X277" s="4"/>
    </row>
    <row r="278" spans="2:24" ht="17.25" x14ac:dyDescent="0.3">
      <c r="B278" s="64"/>
      <c r="C278" s="154"/>
      <c r="D278" s="39"/>
      <c r="E278" s="2"/>
      <c r="F278" s="47"/>
      <c r="G278" s="4"/>
      <c r="H278" s="4"/>
      <c r="Q278" s="4"/>
      <c r="R278" s="4"/>
      <c r="S278" s="4"/>
      <c r="W278" s="4"/>
      <c r="X278" s="4"/>
    </row>
    <row r="279" spans="2:24" ht="18.75" x14ac:dyDescent="0.35">
      <c r="B279" s="63"/>
      <c r="C279" s="47"/>
      <c r="E279" s="2"/>
      <c r="G279" s="4"/>
      <c r="H279" s="4"/>
      <c r="Q279" s="4"/>
      <c r="R279" s="4"/>
      <c r="S279" s="4"/>
      <c r="W279" s="4"/>
      <c r="X279" s="4"/>
    </row>
    <row r="280" spans="2:24" ht="18.75" x14ac:dyDescent="0.35">
      <c r="B280" s="63"/>
      <c r="C280" s="160"/>
      <c r="E280" s="2"/>
      <c r="G280" s="4"/>
      <c r="H280" s="4"/>
      <c r="Q280" s="4"/>
      <c r="R280" s="4"/>
      <c r="S280" s="4"/>
      <c r="W280" s="4"/>
      <c r="X280" s="4"/>
    </row>
    <row r="281" spans="2:24" ht="18.75" x14ac:dyDescent="0.35">
      <c r="B281" s="63"/>
      <c r="C281" s="47"/>
      <c r="E281" s="2"/>
      <c r="G281" s="4"/>
      <c r="H281" s="4"/>
      <c r="Q281" s="4"/>
      <c r="R281" s="4"/>
      <c r="S281" s="4"/>
      <c r="W281" s="4"/>
      <c r="X281" s="4"/>
    </row>
    <row r="282" spans="2:24" ht="17.25" x14ac:dyDescent="0.3">
      <c r="B282" s="64"/>
      <c r="C282" s="154"/>
      <c r="D282" s="39"/>
      <c r="E282" s="2"/>
      <c r="G282" s="4"/>
      <c r="H282" s="4"/>
      <c r="Q282" s="4"/>
      <c r="R282" s="4"/>
      <c r="S282" s="4"/>
      <c r="W282" s="4"/>
      <c r="X282" s="4"/>
    </row>
    <row r="283" spans="2:24" ht="18.75" x14ac:dyDescent="0.35">
      <c r="B283" s="63"/>
      <c r="C283" s="47"/>
      <c r="E283" s="2"/>
      <c r="G283" s="4"/>
      <c r="H283" s="4"/>
      <c r="Q283" s="4"/>
      <c r="R283" s="4"/>
      <c r="S283" s="4"/>
      <c r="W283" s="4"/>
      <c r="X283" s="4"/>
    </row>
    <row r="284" spans="2:24" x14ac:dyDescent="0.2">
      <c r="E284" s="2"/>
      <c r="G284" s="4"/>
      <c r="H284" s="4"/>
      <c r="Q284" s="4"/>
      <c r="R284" s="4"/>
      <c r="S284" s="4"/>
      <c r="W284" s="4"/>
      <c r="X284" s="4"/>
    </row>
    <row r="285" spans="2:24" x14ac:dyDescent="0.2">
      <c r="E285" s="2"/>
      <c r="G285" s="4"/>
      <c r="H285" s="4"/>
      <c r="Q285" s="4"/>
      <c r="R285" s="4"/>
      <c r="S285" s="4"/>
      <c r="W285" s="4"/>
      <c r="X285" s="4"/>
    </row>
    <row r="286" spans="2:24" x14ac:dyDescent="0.2">
      <c r="E286" s="2"/>
      <c r="G286" s="4"/>
      <c r="H286" s="4"/>
      <c r="Q286" s="4"/>
      <c r="R286" s="4"/>
      <c r="S286" s="4"/>
      <c r="W286" s="4"/>
      <c r="X286" s="4"/>
    </row>
    <row r="287" spans="2:24" x14ac:dyDescent="0.2">
      <c r="E287" s="2"/>
      <c r="G287" s="4"/>
      <c r="H287" s="4"/>
      <c r="Q287" s="4"/>
      <c r="R287" s="4"/>
      <c r="S287" s="4"/>
      <c r="W287" s="4"/>
      <c r="X287" s="4"/>
    </row>
    <row r="288" spans="2:24" x14ac:dyDescent="0.2">
      <c r="C288" s="2"/>
      <c r="D288" s="2"/>
      <c r="E288" s="2"/>
      <c r="F288" s="2"/>
      <c r="G288" s="4"/>
      <c r="H288" s="4"/>
      <c r="Q288" s="4"/>
      <c r="R288" s="4"/>
      <c r="S288" s="4"/>
      <c r="W288" s="4"/>
      <c r="X288" s="4"/>
    </row>
    <row r="289" spans="1:24" x14ac:dyDescent="0.2">
      <c r="B289" s="3"/>
      <c r="C289" s="3"/>
      <c r="D289" s="3"/>
      <c r="E289" s="3"/>
      <c r="F289" s="3"/>
      <c r="G289" s="4"/>
      <c r="H289" s="4"/>
      <c r="Q289" s="4"/>
      <c r="R289" s="4"/>
      <c r="S289" s="4"/>
      <c r="W289" s="4"/>
      <c r="X289" s="4"/>
    </row>
    <row r="290" spans="1:24" x14ac:dyDescent="0.2">
      <c r="A290" s="2"/>
      <c r="B290" s="33"/>
      <c r="C290" s="33"/>
      <c r="D290" s="33"/>
      <c r="E290" s="33"/>
      <c r="F290" s="33"/>
      <c r="G290" s="4"/>
      <c r="H290" s="4"/>
      <c r="Q290" s="4"/>
      <c r="R290" s="4"/>
      <c r="S290" s="4"/>
      <c r="W290" s="4"/>
      <c r="X290" s="4"/>
    </row>
    <row r="291" spans="1:24" x14ac:dyDescent="0.2">
      <c r="A291" s="2"/>
      <c r="B291" s="33"/>
      <c r="C291" s="33"/>
      <c r="D291" s="33"/>
      <c r="E291" s="33"/>
      <c r="F291" s="33"/>
      <c r="G291" s="4"/>
      <c r="H291" s="4"/>
      <c r="Q291" s="4"/>
      <c r="R291" s="4"/>
      <c r="S291" s="4"/>
      <c r="W291" s="4"/>
      <c r="X291" s="4"/>
    </row>
    <row r="292" spans="1:24" x14ac:dyDescent="0.2">
      <c r="A292" s="2"/>
      <c r="B292" s="33"/>
      <c r="C292" s="33"/>
      <c r="D292" s="33"/>
      <c r="E292" s="33"/>
      <c r="F292" s="33"/>
      <c r="G292" s="4"/>
      <c r="H292" s="4"/>
      <c r="Q292" s="4"/>
      <c r="R292" s="4"/>
      <c r="S292" s="4"/>
      <c r="W292" s="4"/>
      <c r="X292" s="4"/>
    </row>
    <row r="293" spans="1:24" x14ac:dyDescent="0.2">
      <c r="A293" s="2"/>
      <c r="B293" s="33"/>
      <c r="C293" s="33"/>
      <c r="D293" s="33"/>
      <c r="E293" s="33"/>
      <c r="F293" s="33"/>
      <c r="G293" s="4"/>
      <c r="H293" s="4"/>
    </row>
    <row r="294" spans="1:24" x14ac:dyDescent="0.2">
      <c r="A294" s="2"/>
      <c r="B294" s="33"/>
      <c r="C294" s="33"/>
      <c r="D294" s="33"/>
      <c r="E294" s="33"/>
      <c r="F294" s="33"/>
      <c r="G294" s="4"/>
      <c r="H294" s="4"/>
    </row>
    <row r="302" spans="1:24" x14ac:dyDescent="0.2">
      <c r="H302" s="4"/>
    </row>
    <row r="303" spans="1:24" x14ac:dyDescent="0.2">
      <c r="H303" s="4"/>
    </row>
    <row r="304" spans="1:24" x14ac:dyDescent="0.2">
      <c r="H304" s="4"/>
    </row>
    <row r="305" spans="1:33" x14ac:dyDescent="0.2">
      <c r="H305" s="4"/>
    </row>
    <row r="306" spans="1:33" x14ac:dyDescent="0.2">
      <c r="H306" s="4"/>
    </row>
    <row r="307" spans="1:33" x14ac:dyDescent="0.2">
      <c r="H307" s="4"/>
    </row>
    <row r="308" spans="1:33" x14ac:dyDescent="0.2">
      <c r="H308" s="4"/>
    </row>
    <row r="309" spans="1:33" x14ac:dyDescent="0.2">
      <c r="H309" s="4"/>
    </row>
    <row r="310" spans="1:33" x14ac:dyDescent="0.2">
      <c r="H310" s="4"/>
    </row>
    <row r="311" spans="1:33" x14ac:dyDescent="0.2">
      <c r="H311" s="4"/>
    </row>
    <row r="312" spans="1:33" x14ac:dyDescent="0.2">
      <c r="H312" s="4"/>
    </row>
    <row r="313" spans="1:33" x14ac:dyDescent="0.2">
      <c r="H313" s="4"/>
    </row>
    <row r="314" spans="1:33" x14ac:dyDescent="0.2">
      <c r="H314" s="4"/>
    </row>
    <row r="315" spans="1:33" x14ac:dyDescent="0.2">
      <c r="H315" s="4"/>
    </row>
    <row r="316" spans="1:33" x14ac:dyDescent="0.2">
      <c r="H316" s="4"/>
    </row>
    <row r="317" spans="1:33" x14ac:dyDescent="0.2">
      <c r="H317" s="4"/>
    </row>
    <row r="320" spans="1:33" s="47" customFormat="1" x14ac:dyDescent="0.2">
      <c r="A320" s="4"/>
      <c r="B320" s="2"/>
      <c r="C320" s="31"/>
      <c r="D320" s="4"/>
      <c r="E320" s="4"/>
      <c r="F320" s="4"/>
      <c r="G320" s="2"/>
      <c r="I320" s="41"/>
      <c r="J320" s="3"/>
      <c r="K320" s="41"/>
      <c r="L320" s="41"/>
      <c r="M320" s="41"/>
      <c r="N320" s="3"/>
      <c r="O320" s="41"/>
      <c r="P320" s="41"/>
      <c r="Q320" s="3"/>
      <c r="R320" s="3"/>
      <c r="S320" s="3"/>
      <c r="T320" s="3"/>
      <c r="U320" s="3"/>
      <c r="V320" s="41"/>
      <c r="W320" s="3"/>
      <c r="X320" s="3"/>
      <c r="Y320" s="4"/>
      <c r="Z320" s="4"/>
      <c r="AA320" s="4"/>
      <c r="AB320" s="4"/>
      <c r="AC320" s="4"/>
      <c r="AD320" s="4"/>
      <c r="AE320" s="4"/>
      <c r="AF320" s="4"/>
      <c r="AG320" s="4"/>
    </row>
    <row r="343" spans="1:24" x14ac:dyDescent="0.2">
      <c r="I343" s="132"/>
      <c r="J343" s="35"/>
      <c r="K343" s="132"/>
      <c r="L343" s="132"/>
    </row>
    <row r="344" spans="1:24" s="81" customFormat="1" ht="36.75" customHeight="1" x14ac:dyDescent="0.25">
      <c r="A344" s="1"/>
      <c r="B344" s="2"/>
      <c r="C344" s="31"/>
      <c r="D344" s="4"/>
      <c r="E344" s="4"/>
      <c r="F344" s="4"/>
      <c r="G344" s="2"/>
      <c r="H344" s="47"/>
      <c r="I344" s="41"/>
      <c r="J344" s="3"/>
      <c r="K344" s="41"/>
      <c r="L344" s="41"/>
      <c r="M344" s="41"/>
      <c r="N344" s="3"/>
      <c r="O344" s="41"/>
      <c r="P344" s="41"/>
      <c r="Q344" s="3"/>
      <c r="R344" s="3"/>
      <c r="S344" s="35"/>
      <c r="T344" s="35"/>
      <c r="U344" s="35"/>
      <c r="V344" s="132"/>
      <c r="W344" s="35"/>
      <c r="X344" s="35"/>
    </row>
    <row r="345" spans="1:24" x14ac:dyDescent="0.2">
      <c r="H345" s="83"/>
      <c r="M345" s="132"/>
      <c r="N345" s="35"/>
      <c r="O345" s="132"/>
      <c r="P345" s="132"/>
      <c r="Q345" s="35"/>
      <c r="R345" s="35"/>
    </row>
    <row r="346" spans="1:24" ht="15" x14ac:dyDescent="0.25">
      <c r="B346" s="74"/>
      <c r="C346" s="161"/>
    </row>
    <row r="347" spans="1:24" x14ac:dyDescent="0.2">
      <c r="A347" s="81"/>
      <c r="B347" s="34"/>
      <c r="C347" s="162"/>
      <c r="D347" s="81"/>
      <c r="E347" s="266"/>
      <c r="F347" s="266"/>
      <c r="G347" s="266"/>
    </row>
    <row r="348" spans="1:24" x14ac:dyDescent="0.2">
      <c r="C348" s="47"/>
      <c r="D348" s="3"/>
    </row>
    <row r="349" spans="1:24" x14ac:dyDescent="0.2">
      <c r="C349" s="47"/>
      <c r="I349" s="132"/>
      <c r="J349" s="35"/>
      <c r="K349" s="132"/>
      <c r="L349" s="132"/>
    </row>
    <row r="350" spans="1:24" s="81" customFormat="1" ht="30.75" customHeight="1" x14ac:dyDescent="0.25">
      <c r="A350" s="1"/>
      <c r="B350" s="2"/>
      <c r="C350" s="31"/>
      <c r="D350" s="4"/>
      <c r="E350" s="4"/>
      <c r="F350" s="4"/>
      <c r="G350" s="2"/>
      <c r="H350" s="47"/>
      <c r="I350" s="41"/>
      <c r="J350" s="3"/>
      <c r="K350" s="41"/>
      <c r="L350" s="41"/>
      <c r="M350" s="41"/>
      <c r="N350" s="3"/>
      <c r="O350" s="41"/>
      <c r="P350" s="41"/>
      <c r="Q350" s="3"/>
      <c r="R350" s="3"/>
      <c r="S350" s="35"/>
      <c r="T350" s="35"/>
      <c r="U350" s="35"/>
      <c r="V350" s="132"/>
      <c r="W350" s="35"/>
      <c r="X350" s="35"/>
    </row>
    <row r="351" spans="1:24" x14ac:dyDescent="0.2">
      <c r="B351" s="56"/>
      <c r="H351" s="83"/>
      <c r="M351" s="132"/>
      <c r="N351" s="35"/>
      <c r="O351" s="132"/>
      <c r="P351" s="132"/>
      <c r="Q351" s="35"/>
      <c r="R351" s="35"/>
    </row>
    <row r="352" spans="1:24" x14ac:dyDescent="0.2">
      <c r="B352" s="56"/>
    </row>
    <row r="353" spans="1:7" x14ac:dyDescent="0.2">
      <c r="A353" s="81"/>
      <c r="B353" s="34"/>
      <c r="C353" s="149"/>
      <c r="D353" s="81"/>
      <c r="E353" s="266"/>
      <c r="F353" s="266"/>
      <c r="G353" s="266"/>
    </row>
    <row r="355" spans="1:7" ht="31.5" customHeight="1" x14ac:dyDescent="0.25">
      <c r="C355" s="47"/>
      <c r="D355" s="41"/>
      <c r="E355" s="79"/>
      <c r="F355" s="79"/>
      <c r="G355" s="80"/>
    </row>
    <row r="358" spans="1:7" x14ac:dyDescent="0.2">
      <c r="C358" s="8"/>
    </row>
    <row r="360" spans="1:7" x14ac:dyDescent="0.2">
      <c r="C360" s="47"/>
    </row>
    <row r="361" spans="1:7" ht="36.75" customHeight="1" x14ac:dyDescent="0.2">
      <c r="C361" s="76"/>
    </row>
    <row r="362" spans="1:7" x14ac:dyDescent="0.2">
      <c r="C362" s="76"/>
    </row>
  </sheetData>
  <mergeCells count="91">
    <mergeCell ref="M139:N139"/>
    <mergeCell ref="M199:N199"/>
    <mergeCell ref="C19:E19"/>
    <mergeCell ref="E185:F185"/>
    <mergeCell ref="G185:H185"/>
    <mergeCell ref="I185:J185"/>
    <mergeCell ref="K185:L185"/>
    <mergeCell ref="C199:D199"/>
    <mergeCell ref="E199:F199"/>
    <mergeCell ref="G199:H199"/>
    <mergeCell ref="I199:J199"/>
    <mergeCell ref="K199:L199"/>
    <mergeCell ref="M105:N105"/>
    <mergeCell ref="E125:F125"/>
    <mergeCell ref="G125:H125"/>
    <mergeCell ref="I125:J125"/>
    <mergeCell ref="K91:L91"/>
    <mergeCell ref="C105:D105"/>
    <mergeCell ref="E105:F105"/>
    <mergeCell ref="G105:H105"/>
    <mergeCell ref="I105:J105"/>
    <mergeCell ref="K105:L105"/>
    <mergeCell ref="A77:B77"/>
    <mergeCell ref="C77:E77"/>
    <mergeCell ref="A78:B78"/>
    <mergeCell ref="C78:E78"/>
    <mergeCell ref="C65:D65"/>
    <mergeCell ref="C66:D66"/>
    <mergeCell ref="C67:D67"/>
    <mergeCell ref="C68:D68"/>
    <mergeCell ref="A76:B76"/>
    <mergeCell ref="C76:E76"/>
    <mergeCell ref="C15:E15"/>
    <mergeCell ref="C14:E14"/>
    <mergeCell ref="C13:E13"/>
    <mergeCell ref="C12:E12"/>
    <mergeCell ref="C33:E33"/>
    <mergeCell ref="C32:E32"/>
    <mergeCell ref="C31:E31"/>
    <mergeCell ref="C21:E21"/>
    <mergeCell ref="C20:E20"/>
    <mergeCell ref="C18:E18"/>
    <mergeCell ref="C17:E17"/>
    <mergeCell ref="C16:E16"/>
    <mergeCell ref="C25:E25"/>
    <mergeCell ref="C24:E24"/>
    <mergeCell ref="C23:E23"/>
    <mergeCell ref="C22:E22"/>
    <mergeCell ref="M49:N49"/>
    <mergeCell ref="C49:D49"/>
    <mergeCell ref="E49:F49"/>
    <mergeCell ref="G49:H49"/>
    <mergeCell ref="I49:J49"/>
    <mergeCell ref="K49:L49"/>
    <mergeCell ref="E347:G347"/>
    <mergeCell ref="E353:G353"/>
    <mergeCell ref="E35:F35"/>
    <mergeCell ref="G35:H35"/>
    <mergeCell ref="I35:J35"/>
    <mergeCell ref="E91:F91"/>
    <mergeCell ref="G91:H91"/>
    <mergeCell ref="I91:J91"/>
    <mergeCell ref="E139:F139"/>
    <mergeCell ref="G139:H139"/>
    <mergeCell ref="I139:J139"/>
    <mergeCell ref="K35:L35"/>
    <mergeCell ref="C30:E30"/>
    <mergeCell ref="C29:E29"/>
    <mergeCell ref="C27:E27"/>
    <mergeCell ref="C26:E26"/>
    <mergeCell ref="A120:B120"/>
    <mergeCell ref="C120:E120"/>
    <mergeCell ref="A121:B121"/>
    <mergeCell ref="C121:E121"/>
    <mergeCell ref="A122:B122"/>
    <mergeCell ref="C122:E122"/>
    <mergeCell ref="K125:L125"/>
    <mergeCell ref="A154:B154"/>
    <mergeCell ref="C154:E154"/>
    <mergeCell ref="A155:B155"/>
    <mergeCell ref="C155:E155"/>
    <mergeCell ref="K139:L139"/>
    <mergeCell ref="C139:D139"/>
    <mergeCell ref="A156:B156"/>
    <mergeCell ref="C156:E156"/>
    <mergeCell ref="A216:B216"/>
    <mergeCell ref="C216:E216"/>
    <mergeCell ref="A214:B214"/>
    <mergeCell ref="C214:E214"/>
    <mergeCell ref="A215:B215"/>
    <mergeCell ref="C215:E215"/>
  </mergeCells>
  <conditionalFormatting sqref="D348">
    <cfRule type="containsText" dxfId="57" priority="17" operator="containsText" text="NG">
      <formula>NOT(ISERROR(SEARCH("NG",D348)))</formula>
    </cfRule>
    <cfRule type="containsText" dxfId="56" priority="18" operator="containsText" text="OK">
      <formula>NOT(ISERROR(SEARCH("OK",D348)))</formula>
    </cfRule>
  </conditionalFormatting>
  <conditionalFormatting sqref="D355:F355">
    <cfRule type="containsText" dxfId="55" priority="16" operator="containsText" text="Torsion">
      <formula>NOT(ISERROR(SEARCH("Torsion",D355)))</formula>
    </cfRule>
  </conditionalFormatting>
  <conditionalFormatting sqref="D355">
    <cfRule type="containsText" dxfId="54" priority="15" operator="containsText" text="NG">
      <formula>NOT(ISERROR(SEARCH("NG",D355)))</formula>
    </cfRule>
  </conditionalFormatting>
  <conditionalFormatting sqref="F76:G76">
    <cfRule type="top10" dxfId="53" priority="14" rank="1"/>
  </conditionalFormatting>
  <conditionalFormatting sqref="F77:G77">
    <cfRule type="top10" dxfId="52" priority="13" rank="1"/>
  </conditionalFormatting>
  <conditionalFormatting sqref="F78:G78">
    <cfRule type="top10" dxfId="51" priority="12" rank="1"/>
  </conditionalFormatting>
  <conditionalFormatting sqref="F120:G123">
    <cfRule type="top10" dxfId="50" priority="11" rank="1"/>
  </conditionalFormatting>
  <conditionalFormatting sqref="F121:G121">
    <cfRule type="top10" dxfId="49" priority="8" rank="1"/>
  </conditionalFormatting>
  <conditionalFormatting sqref="F120:G120">
    <cfRule type="top10" dxfId="48" priority="7" rank="1"/>
  </conditionalFormatting>
  <conditionalFormatting sqref="F154:G156">
    <cfRule type="top10" dxfId="47" priority="6" rank="1"/>
  </conditionalFormatting>
  <conditionalFormatting sqref="F155:G155">
    <cfRule type="top10" dxfId="46" priority="5" rank="1"/>
  </conditionalFormatting>
  <conditionalFormatting sqref="F154:G154">
    <cfRule type="top10" dxfId="45" priority="4" rank="1"/>
  </conditionalFormatting>
  <conditionalFormatting sqref="F214:G216">
    <cfRule type="top10" dxfId="44" priority="3" rank="1"/>
  </conditionalFormatting>
  <conditionalFormatting sqref="F215:G215">
    <cfRule type="top10" dxfId="43" priority="2" rank="1"/>
  </conditionalFormatting>
  <conditionalFormatting sqref="F214:G214">
    <cfRule type="top10" dxfId="42" priority="1" rank="1"/>
  </conditionalFormatting>
  <pageMargins left="0.7" right="0.7" top="0.8666666666666667" bottom="0.75" header="0.3" footer="0.3"/>
  <pageSetup scale="49" fitToHeight="0" orientation="portrait" r:id="rId1"/>
  <headerFooter>
    <oddHeader>&amp;L&amp;"Arial,Bold"&amp;20CBR
Street Light Pole Analysis</oddHeader>
  </headerFooter>
  <rowBreaks count="4" manualBreakCount="4">
    <brk id="90" max="13" man="1"/>
    <brk id="184" max="13" man="1"/>
    <brk id="283" max="16383" man="1"/>
    <brk id="352"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82-6CE9-4BEC-8E21-DE7CBC4D50ED}">
  <sheetPr>
    <pageSetUpPr fitToPage="1"/>
  </sheetPr>
  <dimension ref="A1:AC377"/>
  <sheetViews>
    <sheetView view="pageBreakPreview" topLeftCell="A56" zoomScaleNormal="100" zoomScaleSheetLayoutView="100" workbookViewId="0">
      <selection activeCell="D28" sqref="D28"/>
    </sheetView>
  </sheetViews>
  <sheetFormatPr defaultColWidth="9.140625" defaultRowHeight="14.25" x14ac:dyDescent="0.2"/>
  <cols>
    <col min="1" max="1" width="45.28515625" style="4" bestFit="1" customWidth="1"/>
    <col min="2" max="2" width="38.7109375" style="2" bestFit="1" customWidth="1"/>
    <col min="3" max="3" width="17.85546875" style="31" bestFit="1" customWidth="1"/>
    <col min="4" max="5" width="9.140625" style="4"/>
    <col min="6" max="6" width="10.42578125" style="4" customWidth="1"/>
    <col min="7" max="7" width="15.28515625" style="2" customWidth="1"/>
    <col min="8" max="8" width="11.28515625" style="47" customWidth="1"/>
    <col min="9" max="9" width="27.140625" style="41" customWidth="1"/>
    <col min="10" max="10" width="11.28515625" style="3" bestFit="1" customWidth="1"/>
    <col min="11" max="11" width="12.42578125" style="41" bestFit="1" customWidth="1"/>
    <col min="12" max="12" width="12.42578125" style="41" customWidth="1"/>
    <col min="13" max="13" width="18.85546875" style="41" customWidth="1"/>
    <col min="14" max="14" width="13" style="3" customWidth="1"/>
    <col min="15" max="15" width="10.7109375" style="41" bestFit="1" customWidth="1"/>
    <col min="16" max="16" width="11.28515625" style="41" bestFit="1" customWidth="1"/>
    <col min="17" max="17" width="12.42578125" style="3" bestFit="1" customWidth="1"/>
    <col min="18" max="18" width="10.42578125" style="3" bestFit="1" customWidth="1"/>
    <col min="19" max="21" width="10.42578125" style="3" customWidth="1"/>
    <col min="22" max="22" width="10.42578125" style="41" customWidth="1"/>
    <col min="23" max="24" width="10.42578125" style="3" customWidth="1"/>
    <col min="25" max="25" width="9.140625" style="4"/>
    <col min="26" max="26" width="22" style="4" bestFit="1" customWidth="1"/>
    <col min="27" max="28" width="9.140625" style="4"/>
    <col min="29" max="29" width="10.7109375" style="4" bestFit="1" customWidth="1"/>
    <col min="30" max="30" width="9.140625" style="4"/>
    <col min="31" max="31" width="12.42578125" style="4" bestFit="1" customWidth="1"/>
    <col min="32" max="32" width="9.140625" style="4"/>
    <col min="33" max="33" width="10.42578125" style="4" bestFit="1" customWidth="1"/>
    <col min="34" max="16384" width="9.140625" style="4"/>
  </cols>
  <sheetData>
    <row r="1" spans="1:29" ht="18.75" x14ac:dyDescent="0.2">
      <c r="A1" s="81" t="s">
        <v>633</v>
      </c>
      <c r="B1" s="86" t="s">
        <v>911</v>
      </c>
      <c r="C1" s="225">
        <f>MAX('LTS-6 Loads'!F324:G324)</f>
        <v>559.98111782914373</v>
      </c>
      <c r="D1" s="81" t="s">
        <v>7</v>
      </c>
      <c r="E1" s="183"/>
      <c r="F1" s="183"/>
      <c r="G1" s="183"/>
      <c r="R1" s="3">
        <v>18</v>
      </c>
      <c r="W1" s="4"/>
      <c r="X1" s="4"/>
    </row>
    <row r="2" spans="1:29" x14ac:dyDescent="0.2">
      <c r="A2" s="275" t="s">
        <v>913</v>
      </c>
      <c r="B2" s="280" t="s">
        <v>912</v>
      </c>
      <c r="C2" s="225">
        <f>MAX('LTS-6 Loads'!F326:G326)</f>
        <v>12626.207306060645</v>
      </c>
      <c r="D2" s="81" t="s">
        <v>622</v>
      </c>
      <c r="E2" s="183"/>
      <c r="F2" s="183"/>
      <c r="G2" s="183"/>
      <c r="W2" s="4"/>
      <c r="X2" s="4"/>
    </row>
    <row r="3" spans="1:29" ht="15" customHeight="1" x14ac:dyDescent="0.2">
      <c r="A3" s="275"/>
      <c r="B3" s="280"/>
      <c r="C3" s="42">
        <f>C2*12</f>
        <v>151514.48767272773</v>
      </c>
      <c r="D3" s="41" t="s">
        <v>716</v>
      </c>
      <c r="E3" s="183"/>
      <c r="F3" s="183"/>
      <c r="G3" s="183"/>
      <c r="W3" s="4"/>
      <c r="X3" s="4"/>
    </row>
    <row r="4" spans="1:29" x14ac:dyDescent="0.2">
      <c r="A4" s="81" t="s">
        <v>928</v>
      </c>
      <c r="B4" s="86"/>
      <c r="C4" s="225">
        <f>MAX('LTS-6 Loads'!F325:G325)</f>
        <v>778.14639561303034</v>
      </c>
      <c r="D4" s="81" t="s">
        <v>7</v>
      </c>
      <c r="E4" s="218"/>
      <c r="F4" s="183"/>
      <c r="G4" s="183"/>
      <c r="Q4" s="4"/>
      <c r="R4" s="4"/>
      <c r="S4" s="4"/>
      <c r="W4" s="4"/>
      <c r="X4" s="4"/>
    </row>
    <row r="5" spans="1:29" x14ac:dyDescent="0.2">
      <c r="A5" s="81"/>
      <c r="B5" s="86"/>
      <c r="C5" s="184"/>
      <c r="D5" s="81"/>
      <c r="E5" s="183"/>
      <c r="F5" s="183"/>
      <c r="G5" s="183"/>
      <c r="Q5" s="4"/>
      <c r="R5" s="4"/>
      <c r="S5" s="4"/>
      <c r="W5" s="4"/>
      <c r="X5" s="4"/>
    </row>
    <row r="6" spans="1:29" x14ac:dyDescent="0.2">
      <c r="B6" s="56" t="s">
        <v>1048</v>
      </c>
      <c r="C6" s="8"/>
      <c r="I6" s="167" t="s">
        <v>755</v>
      </c>
      <c r="Q6" s="4"/>
      <c r="R6" s="4"/>
      <c r="S6" s="4"/>
      <c r="T6" s="167" t="s">
        <v>754</v>
      </c>
      <c r="U6" s="168"/>
      <c r="V6" s="169"/>
      <c r="W6" s="169"/>
      <c r="X6" s="169"/>
      <c r="Y6" s="170"/>
      <c r="Z6" s="169"/>
      <c r="AA6" s="143"/>
      <c r="AB6" s="170"/>
      <c r="AC6" s="171"/>
    </row>
    <row r="7" spans="1:29" x14ac:dyDescent="0.2">
      <c r="B7" s="56"/>
      <c r="C7" s="8"/>
      <c r="H7" s="3"/>
      <c r="M7" s="133" t="s">
        <v>715</v>
      </c>
      <c r="S7" s="4"/>
      <c r="T7" s="172"/>
      <c r="W7" s="41"/>
      <c r="X7" s="41"/>
      <c r="Y7" s="3"/>
      <c r="Z7" s="41"/>
      <c r="AB7" s="3"/>
      <c r="AC7" s="173"/>
    </row>
    <row r="8" spans="1:29" x14ac:dyDescent="0.2">
      <c r="B8" s="56"/>
      <c r="C8" s="8"/>
      <c r="H8" s="3"/>
      <c r="M8" s="255" t="s">
        <v>303</v>
      </c>
      <c r="N8" s="255"/>
      <c r="O8" s="255"/>
      <c r="Q8" s="41"/>
      <c r="R8" s="150"/>
      <c r="S8" s="150"/>
      <c r="T8" s="172"/>
      <c r="W8" s="41"/>
      <c r="X8" s="133" t="s">
        <v>715</v>
      </c>
      <c r="Y8" s="3"/>
      <c r="Z8" s="41"/>
      <c r="AB8" s="3"/>
      <c r="AC8" s="173"/>
    </row>
    <row r="9" spans="1:29" ht="18.75" x14ac:dyDescent="0.35">
      <c r="B9" s="56"/>
      <c r="C9" s="8"/>
      <c r="H9" s="3"/>
      <c r="I9" s="41" t="s">
        <v>193</v>
      </c>
      <c r="J9" s="2" t="s">
        <v>722</v>
      </c>
      <c r="K9" s="8">
        <f>2*O9</f>
        <v>2.9373999999999998</v>
      </c>
      <c r="L9" s="41" t="s">
        <v>120</v>
      </c>
      <c r="M9" s="150" t="s">
        <v>89</v>
      </c>
      <c r="O9" s="151">
        <v>1.4686999999999999</v>
      </c>
      <c r="P9" s="151"/>
      <c r="Q9" s="41"/>
      <c r="R9" s="4"/>
      <c r="S9" s="4"/>
      <c r="T9" s="172"/>
      <c r="W9" s="41"/>
      <c r="X9" s="41" t="s">
        <v>717</v>
      </c>
      <c r="Y9" s="3"/>
      <c r="Z9" s="41"/>
      <c r="AB9" s="3"/>
      <c r="AC9" s="173"/>
    </row>
    <row r="10" spans="1:29" ht="18.75" x14ac:dyDescent="0.35">
      <c r="B10" s="56"/>
      <c r="C10" s="8"/>
      <c r="H10" s="3"/>
      <c r="I10" s="41" t="s">
        <v>662</v>
      </c>
      <c r="J10" s="2" t="s">
        <v>668</v>
      </c>
      <c r="K10" s="8">
        <f>O15*2</f>
        <v>18.391200000000001</v>
      </c>
      <c r="L10" s="41" t="s">
        <v>225</v>
      </c>
      <c r="M10" s="41" t="s">
        <v>648</v>
      </c>
      <c r="O10" s="41">
        <v>24.803799999999999</v>
      </c>
      <c r="Q10" s="41"/>
      <c r="R10" s="4"/>
      <c r="S10" s="4"/>
      <c r="T10" s="172" t="s">
        <v>193</v>
      </c>
      <c r="U10" s="2" t="s">
        <v>722</v>
      </c>
      <c r="V10" s="54">
        <f>2*Z10</f>
        <v>2.8818000000000001</v>
      </c>
      <c r="W10" s="41" t="s">
        <v>120</v>
      </c>
      <c r="X10" s="41" t="s">
        <v>193</v>
      </c>
      <c r="Y10" s="3"/>
      <c r="Z10" s="41">
        <v>1.4409000000000001</v>
      </c>
      <c r="AB10" s="3"/>
      <c r="AC10" s="173"/>
    </row>
    <row r="11" spans="1:29" ht="18.75" customHeight="1" x14ac:dyDescent="0.35">
      <c r="B11" s="56"/>
      <c r="C11" s="8"/>
      <c r="H11" s="3"/>
      <c r="I11" s="4" t="s">
        <v>672</v>
      </c>
      <c r="J11" s="2" t="s">
        <v>728</v>
      </c>
      <c r="K11" s="152">
        <v>3.6955</v>
      </c>
      <c r="L11" s="41" t="s">
        <v>21</v>
      </c>
      <c r="M11" s="41" t="s">
        <v>649</v>
      </c>
      <c r="N11" s="3" t="s">
        <v>677</v>
      </c>
      <c r="O11" s="41">
        <v>-3.6955</v>
      </c>
      <c r="P11" s="41">
        <v>3.6955</v>
      </c>
      <c r="Q11" s="41"/>
      <c r="R11" s="4"/>
      <c r="S11" s="4"/>
      <c r="T11" s="172" t="s">
        <v>662</v>
      </c>
      <c r="U11" s="2" t="s">
        <v>668</v>
      </c>
      <c r="V11" s="54">
        <f>2*Z16</f>
        <v>20.141200000000001</v>
      </c>
      <c r="W11" s="41" t="s">
        <v>225</v>
      </c>
      <c r="X11" s="41" t="s">
        <v>194</v>
      </c>
      <c r="Y11" s="3"/>
      <c r="Z11" s="41">
        <v>24.334599999999998</v>
      </c>
      <c r="AB11" s="3"/>
      <c r="AC11" s="173"/>
    </row>
    <row r="12" spans="1:29" ht="18.75" x14ac:dyDescent="0.35">
      <c r="B12" s="56"/>
      <c r="C12" s="8"/>
      <c r="H12" s="3"/>
      <c r="I12" s="41" t="s">
        <v>720</v>
      </c>
      <c r="J12" s="2" t="s">
        <v>714</v>
      </c>
      <c r="K12" s="8">
        <f>K10/K11</f>
        <v>4.9766472737112712</v>
      </c>
      <c r="L12" s="41" t="s">
        <v>664</v>
      </c>
      <c r="N12" s="3" t="s">
        <v>675</v>
      </c>
      <c r="O12" s="41">
        <v>0</v>
      </c>
      <c r="P12" s="41">
        <v>3.6955</v>
      </c>
      <c r="Q12" s="41"/>
      <c r="R12" s="4"/>
      <c r="S12" s="4"/>
      <c r="T12" s="17" t="s">
        <v>672</v>
      </c>
      <c r="U12" s="2" t="s">
        <v>728</v>
      </c>
      <c r="V12" s="178">
        <v>3.6955</v>
      </c>
      <c r="W12" s="41" t="s">
        <v>21</v>
      </c>
      <c r="X12" s="41" t="s">
        <v>655</v>
      </c>
      <c r="Y12" s="3" t="s">
        <v>198</v>
      </c>
      <c r="Z12" s="41">
        <v>-3.6955</v>
      </c>
      <c r="AA12" s="3">
        <v>3.6955</v>
      </c>
      <c r="AB12" s="3"/>
      <c r="AC12" s="173"/>
    </row>
    <row r="13" spans="1:29" ht="18.75" x14ac:dyDescent="0.35">
      <c r="B13" s="56"/>
      <c r="C13" s="8"/>
      <c r="H13" s="3"/>
      <c r="I13" s="41" t="s">
        <v>721</v>
      </c>
      <c r="J13" s="2" t="s">
        <v>729</v>
      </c>
      <c r="K13" s="8">
        <f>2*O9*O14</f>
        <v>6.6341178999999997</v>
      </c>
      <c r="L13" s="41" t="s">
        <v>664</v>
      </c>
      <c r="M13" s="41" t="s">
        <v>583</v>
      </c>
      <c r="N13" s="3" t="s">
        <v>677</v>
      </c>
      <c r="O13" s="41">
        <v>0</v>
      </c>
      <c r="Q13" s="41"/>
      <c r="R13" s="4"/>
      <c r="S13" s="4"/>
      <c r="T13" s="172" t="s">
        <v>720</v>
      </c>
      <c r="U13" s="2" t="s">
        <v>714</v>
      </c>
      <c r="V13" s="54">
        <f>V11/V12</f>
        <v>5.4501961845487763</v>
      </c>
      <c r="W13" s="41" t="s">
        <v>664</v>
      </c>
      <c r="X13" s="41"/>
      <c r="Y13" s="3" t="s">
        <v>199</v>
      </c>
      <c r="Z13" s="41">
        <v>0</v>
      </c>
      <c r="AA13" s="3">
        <v>3.6955</v>
      </c>
      <c r="AB13" s="3"/>
      <c r="AC13" s="173"/>
    </row>
    <row r="14" spans="1:29" ht="18.75" x14ac:dyDescent="0.35">
      <c r="B14" s="56"/>
      <c r="C14" s="8"/>
      <c r="H14" s="3"/>
      <c r="I14" s="41" t="s">
        <v>663</v>
      </c>
      <c r="J14" s="2" t="s">
        <v>723</v>
      </c>
      <c r="K14" s="8">
        <f>SQRT(K10/K9)</f>
        <v>2.5022084614566005</v>
      </c>
      <c r="L14" s="41" t="s">
        <v>21</v>
      </c>
      <c r="N14" s="3" t="s">
        <v>675</v>
      </c>
      <c r="O14" s="41">
        <v>2.2585000000000002</v>
      </c>
      <c r="Q14" s="41"/>
      <c r="R14" s="4"/>
      <c r="S14" s="4"/>
      <c r="T14" s="172" t="s">
        <v>721</v>
      </c>
      <c r="U14" s="2" t="s">
        <v>729</v>
      </c>
      <c r="V14" s="54">
        <f>2*Z15*Z10</f>
        <v>6.8667530400000008</v>
      </c>
      <c r="W14" s="41" t="s">
        <v>664</v>
      </c>
      <c r="X14" s="41" t="s">
        <v>656</v>
      </c>
      <c r="Y14" s="3" t="s">
        <v>198</v>
      </c>
      <c r="Z14" s="41">
        <v>0</v>
      </c>
      <c r="AB14" s="3"/>
      <c r="AC14" s="173"/>
    </row>
    <row r="15" spans="1:29" ht="18.75" x14ac:dyDescent="0.35">
      <c r="B15" s="56"/>
      <c r="C15" s="8"/>
      <c r="H15" s="3"/>
      <c r="K15" s="8"/>
      <c r="M15" s="41" t="s">
        <v>650</v>
      </c>
      <c r="N15" s="3" t="s">
        <v>677</v>
      </c>
      <c r="O15" s="41">
        <v>9.1956000000000007</v>
      </c>
      <c r="Q15" s="41"/>
      <c r="R15" s="4"/>
      <c r="S15" s="4"/>
      <c r="T15" s="172" t="s">
        <v>663</v>
      </c>
      <c r="U15" s="2" t="s">
        <v>723</v>
      </c>
      <c r="V15" s="54">
        <f>SQRT(V11/V10)</f>
        <v>2.6436913647780629</v>
      </c>
      <c r="W15" s="41" t="s">
        <v>21</v>
      </c>
      <c r="X15" s="41"/>
      <c r="Y15" s="3" t="s">
        <v>199</v>
      </c>
      <c r="Z15" s="41">
        <v>2.3828</v>
      </c>
      <c r="AB15" s="3"/>
      <c r="AC15" s="173"/>
    </row>
    <row r="16" spans="1:29" x14ac:dyDescent="0.2">
      <c r="B16" s="56"/>
      <c r="C16" s="8"/>
      <c r="H16" s="3"/>
      <c r="I16" s="41" t="s">
        <v>665</v>
      </c>
      <c r="J16" s="264" t="s">
        <v>730</v>
      </c>
      <c r="K16" s="31">
        <f>0.64*C27*K12</f>
        <v>175177.98403463676</v>
      </c>
      <c r="L16" s="41" t="s">
        <v>716</v>
      </c>
      <c r="N16" s="3" t="s">
        <v>675</v>
      </c>
      <c r="O16" s="41">
        <v>9.1956000000000007</v>
      </c>
      <c r="Q16" s="41"/>
      <c r="R16" s="4"/>
      <c r="S16" s="4"/>
      <c r="T16" s="172"/>
      <c r="W16" s="41"/>
      <c r="X16" s="41" t="s">
        <v>657</v>
      </c>
      <c r="Y16" s="3" t="s">
        <v>198</v>
      </c>
      <c r="Z16" s="41">
        <v>10.070600000000001</v>
      </c>
      <c r="AB16" s="3"/>
      <c r="AC16" s="173"/>
    </row>
    <row r="17" spans="1:29" ht="15" x14ac:dyDescent="0.25">
      <c r="B17" s="56"/>
      <c r="C17" s="8"/>
      <c r="H17" s="3"/>
      <c r="J17" s="264"/>
      <c r="K17" s="154">
        <f>K16/12</f>
        <v>14598.16533621973</v>
      </c>
      <c r="L17" s="155" t="s">
        <v>622</v>
      </c>
      <c r="M17" s="41" t="s">
        <v>651</v>
      </c>
      <c r="N17" s="3" t="s">
        <v>678</v>
      </c>
      <c r="O17" s="41">
        <v>0</v>
      </c>
      <c r="Q17" s="41"/>
      <c r="R17" s="4"/>
      <c r="S17" s="4"/>
      <c r="T17" s="172" t="s">
        <v>665</v>
      </c>
      <c r="U17" s="264" t="s">
        <v>730</v>
      </c>
      <c r="V17" s="179">
        <f>0.64*C27*V13</f>
        <v>191846.90569611691</v>
      </c>
      <c r="W17" s="41" t="s">
        <v>716</v>
      </c>
      <c r="X17" s="41"/>
      <c r="Y17" s="3" t="s">
        <v>199</v>
      </c>
      <c r="Z17" s="41">
        <v>10.070600000000001</v>
      </c>
      <c r="AB17" s="3"/>
      <c r="AC17" s="173"/>
    </row>
    <row r="18" spans="1:29" s="81" customFormat="1" ht="18.75" customHeight="1" x14ac:dyDescent="0.25">
      <c r="A18" s="81" t="s">
        <v>633</v>
      </c>
      <c r="B18" s="86" t="s">
        <v>911</v>
      </c>
      <c r="C18" s="225">
        <f>MAX('LTS-6 Loads'!F324:G324)</f>
        <v>559.98111782914373</v>
      </c>
      <c r="D18" s="81" t="s">
        <v>7</v>
      </c>
      <c r="E18" s="4"/>
      <c r="F18" s="4"/>
      <c r="G18" s="2"/>
      <c r="I18" s="81" t="s">
        <v>666</v>
      </c>
      <c r="J18" s="264" t="s">
        <v>731</v>
      </c>
      <c r="K18" s="149">
        <f>C3*1000</f>
        <v>151514487.67272773</v>
      </c>
      <c r="L18" s="81" t="s">
        <v>716</v>
      </c>
      <c r="M18" s="81" t="s">
        <v>652</v>
      </c>
      <c r="N18" s="35" t="s">
        <v>677</v>
      </c>
      <c r="O18" s="132">
        <v>2.5022000000000002</v>
      </c>
      <c r="P18" s="132"/>
      <c r="T18" s="172"/>
      <c r="U18" s="264"/>
      <c r="V18" s="180">
        <f>V17/12</f>
        <v>15987.242141343077</v>
      </c>
      <c r="W18" s="155" t="s">
        <v>622</v>
      </c>
      <c r="X18" s="41" t="s">
        <v>661</v>
      </c>
      <c r="Y18" s="3" t="s">
        <v>742</v>
      </c>
      <c r="Z18" s="41">
        <v>0</v>
      </c>
      <c r="AA18" s="4"/>
      <c r="AB18" s="3"/>
      <c r="AC18" s="173"/>
    </row>
    <row r="19" spans="1:29" ht="15" x14ac:dyDescent="0.25">
      <c r="A19" s="275" t="s">
        <v>913</v>
      </c>
      <c r="B19" s="280" t="s">
        <v>912</v>
      </c>
      <c r="C19" s="225">
        <f>MAX('LTS-6 Loads'!F326:G326)</f>
        <v>12626.207306060645</v>
      </c>
      <c r="D19" s="81" t="s">
        <v>622</v>
      </c>
      <c r="H19" s="3"/>
      <c r="J19" s="264"/>
      <c r="K19" s="154">
        <f>K18/12</f>
        <v>12626207.306060644</v>
      </c>
      <c r="L19" s="155" t="s">
        <v>622</v>
      </c>
      <c r="N19" s="3" t="s">
        <v>675</v>
      </c>
      <c r="O19" s="41">
        <v>2.5022000000000002</v>
      </c>
      <c r="Q19" s="41"/>
      <c r="R19" s="4"/>
      <c r="S19" s="4"/>
      <c r="T19" s="172" t="s">
        <v>666</v>
      </c>
      <c r="U19" s="264" t="s">
        <v>731</v>
      </c>
      <c r="V19" s="179">
        <f>C3*1000</f>
        <v>151514487.67272773</v>
      </c>
      <c r="W19" s="41" t="s">
        <v>716</v>
      </c>
      <c r="X19" s="41" t="s">
        <v>658</v>
      </c>
      <c r="Y19" s="3" t="s">
        <v>198</v>
      </c>
      <c r="Z19" s="41">
        <v>2.6436999999999999</v>
      </c>
      <c r="AB19" s="3"/>
      <c r="AC19" s="173"/>
    </row>
    <row r="20" spans="1:29" ht="15" x14ac:dyDescent="0.25">
      <c r="A20" s="275"/>
      <c r="B20" s="280"/>
      <c r="C20" s="225"/>
      <c r="D20" s="81"/>
      <c r="H20" s="3"/>
      <c r="J20" s="34"/>
      <c r="K20" s="154"/>
      <c r="L20" s="155"/>
      <c r="Q20" s="41"/>
      <c r="R20" s="4"/>
      <c r="S20" s="4"/>
      <c r="T20" s="172"/>
      <c r="U20" s="264"/>
      <c r="V20" s="179"/>
      <c r="W20" s="41"/>
      <c r="X20" s="41"/>
      <c r="Y20" s="3"/>
      <c r="Z20" s="41"/>
      <c r="AB20" s="3"/>
      <c r="AC20" s="173"/>
    </row>
    <row r="21" spans="1:29" s="81" customFormat="1" ht="15" x14ac:dyDescent="0.25">
      <c r="A21" s="275"/>
      <c r="B21" s="280"/>
      <c r="C21" s="42">
        <f>C19*12</f>
        <v>151514.48767272773</v>
      </c>
      <c r="D21" s="41" t="s">
        <v>716</v>
      </c>
      <c r="E21" s="4"/>
      <c r="F21" s="4"/>
      <c r="G21" s="2"/>
      <c r="H21" s="35"/>
      <c r="I21" s="132"/>
      <c r="J21" s="35"/>
      <c r="K21" s="35"/>
      <c r="L21" s="132"/>
      <c r="M21" s="132" t="s">
        <v>653</v>
      </c>
      <c r="N21" s="35"/>
      <c r="O21" s="132"/>
      <c r="P21" s="132"/>
      <c r="Q21" s="132"/>
      <c r="T21" s="172"/>
      <c r="U21" s="264"/>
      <c r="V21" s="180">
        <f>V19/12</f>
        <v>12626207.306060644</v>
      </c>
      <c r="W21" s="155" t="s">
        <v>622</v>
      </c>
      <c r="X21" s="41"/>
      <c r="Y21" s="3" t="s">
        <v>199</v>
      </c>
      <c r="Z21" s="41">
        <v>2.6436999999999999</v>
      </c>
      <c r="AA21" s="4"/>
      <c r="AB21" s="3"/>
      <c r="AC21" s="173"/>
    </row>
    <row r="22" spans="1:29" ht="18.75" x14ac:dyDescent="0.35">
      <c r="A22" s="81" t="s">
        <v>928</v>
      </c>
      <c r="B22" s="86" t="s">
        <v>914</v>
      </c>
      <c r="C22" s="225">
        <f>MAX('LTS-6 Loads'!F325:G325)</f>
        <v>778.14639561303034</v>
      </c>
      <c r="D22" s="81" t="s">
        <v>7</v>
      </c>
      <c r="G22" s="4"/>
      <c r="H22" s="3"/>
      <c r="I22" s="41" t="s">
        <v>732</v>
      </c>
      <c r="J22" s="2" t="s">
        <v>713</v>
      </c>
      <c r="K22" s="31">
        <f>C27</f>
        <v>55000</v>
      </c>
      <c r="L22" s="41" t="s">
        <v>23</v>
      </c>
      <c r="N22" s="3" t="s">
        <v>260</v>
      </c>
      <c r="O22" s="41" t="s">
        <v>718</v>
      </c>
      <c r="Q22" s="41"/>
      <c r="R22" s="4"/>
      <c r="S22" s="4"/>
      <c r="T22" s="172"/>
      <c r="W22" s="41"/>
      <c r="X22" s="41" t="s">
        <v>747</v>
      </c>
      <c r="Y22" s="3"/>
      <c r="Z22" s="41"/>
      <c r="AB22" s="3"/>
      <c r="AC22" s="173"/>
    </row>
    <row r="23" spans="1:29" ht="18.75" x14ac:dyDescent="0.35">
      <c r="B23" s="182"/>
      <c r="G23" s="4"/>
      <c r="H23" s="3"/>
      <c r="I23" s="41" t="s">
        <v>734</v>
      </c>
      <c r="J23" s="264" t="s">
        <v>241</v>
      </c>
      <c r="K23" s="31">
        <f>K22*K12</f>
        <v>273715.60005411995</v>
      </c>
      <c r="L23" s="41" t="s">
        <v>716</v>
      </c>
      <c r="N23" s="3" t="s">
        <v>676</v>
      </c>
      <c r="O23" s="41" t="s">
        <v>719</v>
      </c>
      <c r="Q23" s="41"/>
      <c r="R23" s="4"/>
      <c r="S23" s="4"/>
      <c r="T23" s="172" t="s">
        <v>732</v>
      </c>
      <c r="U23" s="2" t="s">
        <v>713</v>
      </c>
      <c r="V23" s="179">
        <f>$C$27</f>
        <v>55000</v>
      </c>
      <c r="W23" s="41" t="s">
        <v>23</v>
      </c>
      <c r="X23" s="41"/>
      <c r="Y23" s="3" t="s">
        <v>659</v>
      </c>
      <c r="Z23" s="41">
        <v>1.8895</v>
      </c>
      <c r="AA23" s="4" t="s">
        <v>654</v>
      </c>
      <c r="AB23" s="3" t="s">
        <v>743</v>
      </c>
      <c r="AC23" s="173" t="s">
        <v>744</v>
      </c>
    </row>
    <row r="24" spans="1:29" s="35" customFormat="1" ht="15" x14ac:dyDescent="0.2">
      <c r="A24" s="4"/>
      <c r="C24" s="31"/>
      <c r="D24" s="4"/>
      <c r="E24" s="4"/>
      <c r="F24" s="4"/>
      <c r="G24" s="4"/>
      <c r="J24" s="264"/>
      <c r="K24" s="153">
        <f>K23/12</f>
        <v>22809.63333784333</v>
      </c>
      <c r="L24" s="156" t="s">
        <v>622</v>
      </c>
      <c r="O24" s="132"/>
      <c r="P24" s="132"/>
      <c r="T24" s="172" t="s">
        <v>734</v>
      </c>
      <c r="U24" s="264" t="s">
        <v>241</v>
      </c>
      <c r="V24" s="179">
        <f>V23*V13</f>
        <v>299760.79015018267</v>
      </c>
      <c r="W24" s="41" t="s">
        <v>716</v>
      </c>
      <c r="X24" s="41"/>
      <c r="Y24" s="3" t="s">
        <v>660</v>
      </c>
      <c r="Z24" s="41">
        <v>10.070600000000001</v>
      </c>
      <c r="AA24" s="4" t="s">
        <v>654</v>
      </c>
      <c r="AB24" s="3" t="s">
        <v>745</v>
      </c>
      <c r="AC24" s="173" t="s">
        <v>746</v>
      </c>
    </row>
    <row r="25" spans="1:29" s="3" customFormat="1" ht="18.75" x14ac:dyDescent="0.35">
      <c r="A25" s="4"/>
      <c r="B25" s="2"/>
      <c r="C25" s="31"/>
      <c r="D25" s="4"/>
      <c r="E25" s="4"/>
      <c r="F25" s="4"/>
      <c r="G25" s="4"/>
      <c r="I25" s="41" t="s">
        <v>740</v>
      </c>
      <c r="J25" s="2" t="s">
        <v>741</v>
      </c>
      <c r="K25" s="3">
        <v>0.9</v>
      </c>
      <c r="L25" s="41" t="s">
        <v>22</v>
      </c>
      <c r="O25" s="41"/>
      <c r="P25" s="41"/>
      <c r="T25" s="174"/>
      <c r="U25" s="264"/>
      <c r="V25" s="181">
        <f>V24/12</f>
        <v>24980.065845848556</v>
      </c>
      <c r="W25" s="155" t="s">
        <v>622</v>
      </c>
      <c r="X25" s="41"/>
      <c r="Z25" s="41"/>
      <c r="AA25" s="4"/>
      <c r="AC25" s="173"/>
    </row>
    <row r="26" spans="1:29" s="81" customFormat="1" ht="18.75" x14ac:dyDescent="0.35">
      <c r="A26" s="4" t="s">
        <v>182</v>
      </c>
      <c r="B26" s="2" t="s">
        <v>248</v>
      </c>
      <c r="C26" s="42">
        <f>ModulusElasticity</f>
        <v>29000000</v>
      </c>
      <c r="D26" s="4" t="s">
        <v>23</v>
      </c>
      <c r="E26" s="4"/>
      <c r="F26" s="4"/>
      <c r="G26" s="4"/>
      <c r="H26" s="35"/>
      <c r="I26" s="132" t="s">
        <v>733</v>
      </c>
      <c r="J26" s="264" t="s">
        <v>751</v>
      </c>
      <c r="K26" s="149">
        <f>K25*K23</f>
        <v>246344.04004870795</v>
      </c>
      <c r="L26" s="132" t="s">
        <v>716</v>
      </c>
      <c r="M26" s="132"/>
      <c r="N26" s="35"/>
      <c r="O26" s="132"/>
      <c r="P26" s="132"/>
      <c r="Q26" s="132"/>
      <c r="R26" s="132"/>
      <c r="S26" s="132"/>
      <c r="T26" s="172" t="s">
        <v>740</v>
      </c>
      <c r="U26" s="2" t="s">
        <v>741</v>
      </c>
      <c r="V26" s="41">
        <v>0.9</v>
      </c>
      <c r="W26" s="41" t="s">
        <v>22</v>
      </c>
      <c r="X26" s="41"/>
      <c r="Y26" s="3"/>
      <c r="Z26" s="41"/>
      <c r="AA26" s="4"/>
      <c r="AB26" s="3"/>
      <c r="AC26" s="173"/>
    </row>
    <row r="27" spans="1:29" ht="18.75" x14ac:dyDescent="0.35">
      <c r="A27" s="4" t="s">
        <v>1062</v>
      </c>
      <c r="B27" s="2" t="s">
        <v>644</v>
      </c>
      <c r="C27" s="191">
        <f>'LTS-6 Loads'!S4</f>
        <v>55000</v>
      </c>
      <c r="E27" s="4" t="s">
        <v>1063</v>
      </c>
      <c r="G27" s="4"/>
      <c r="H27" s="3"/>
      <c r="J27" s="264"/>
      <c r="K27" s="154">
        <f>0.9*K24</f>
        <v>20528.670004058997</v>
      </c>
      <c r="L27" s="155" t="s">
        <v>622</v>
      </c>
      <c r="R27" s="41"/>
      <c r="S27" s="41"/>
      <c r="T27" s="172" t="s">
        <v>733</v>
      </c>
      <c r="U27" s="264" t="s">
        <v>253</v>
      </c>
      <c r="V27" s="179">
        <f>V26*V24</f>
        <v>269784.71113516443</v>
      </c>
      <c r="W27" s="41" t="s">
        <v>716</v>
      </c>
      <c r="X27" s="41"/>
      <c r="Y27" s="3"/>
      <c r="Z27" s="41"/>
      <c r="AB27" s="3"/>
      <c r="AC27" s="173"/>
    </row>
    <row r="28" spans="1:29" ht="18.75" x14ac:dyDescent="0.35">
      <c r="A28" s="4" t="s">
        <v>688</v>
      </c>
      <c r="B28" s="2" t="s">
        <v>118</v>
      </c>
      <c r="C28" s="163">
        <f>'LTS-6 Loads'!C14</f>
        <v>0.1196</v>
      </c>
      <c r="D28" s="4" t="s">
        <v>21</v>
      </c>
      <c r="G28" s="4"/>
      <c r="H28" s="3"/>
      <c r="R28" s="150"/>
      <c r="S28" s="150"/>
      <c r="T28" s="172"/>
      <c r="U28" s="264"/>
      <c r="V28" s="180">
        <f>0.9*V25</f>
        <v>22482.059261263701</v>
      </c>
      <c r="W28" s="155" t="s">
        <v>622</v>
      </c>
      <c r="X28" s="133" t="s">
        <v>679</v>
      </c>
      <c r="Y28" s="3"/>
      <c r="Z28" s="41"/>
      <c r="AB28" s="3"/>
      <c r="AC28" s="173"/>
    </row>
    <row r="29" spans="1:29" x14ac:dyDescent="0.2">
      <c r="A29" s="275" t="s">
        <v>646</v>
      </c>
      <c r="B29" s="264" t="s">
        <v>647</v>
      </c>
      <c r="C29" s="43">
        <f>'LTS-6 Loads'!$C$8</f>
        <v>30</v>
      </c>
      <c r="D29" s="4" t="s">
        <v>0</v>
      </c>
      <c r="G29" s="4"/>
      <c r="H29" s="3"/>
      <c r="M29" s="133" t="s">
        <v>778</v>
      </c>
      <c r="R29" s="41"/>
      <c r="T29" s="172"/>
      <c r="W29" s="41"/>
      <c r="X29" s="41" t="s">
        <v>717</v>
      </c>
      <c r="Y29" s="3"/>
      <c r="Z29" s="41"/>
      <c r="AB29" s="3"/>
      <c r="AC29" s="173"/>
    </row>
    <row r="30" spans="1:29" x14ac:dyDescent="0.2">
      <c r="A30" s="275"/>
      <c r="B30" s="264"/>
      <c r="C30" s="43">
        <f>C29*12</f>
        <v>360</v>
      </c>
      <c r="D30" s="4" t="s">
        <v>21</v>
      </c>
      <c r="G30" s="4"/>
      <c r="H30" s="3"/>
      <c r="M30" s="41" t="s">
        <v>303</v>
      </c>
      <c r="O30" s="3"/>
      <c r="R30" s="41"/>
      <c r="T30" s="172"/>
      <c r="W30" s="41"/>
      <c r="X30" s="41" t="s">
        <v>193</v>
      </c>
      <c r="Y30" s="3"/>
      <c r="Z30" s="41">
        <v>0.67200000000000004</v>
      </c>
      <c r="AB30" s="3"/>
      <c r="AC30" s="173"/>
    </row>
    <row r="31" spans="1:29" ht="18.75" x14ac:dyDescent="0.35">
      <c r="A31" s="4" t="s">
        <v>826</v>
      </c>
      <c r="B31" s="2" t="s">
        <v>685</v>
      </c>
      <c r="C31" s="164">
        <f>'LTS-6 Loads'!C11</f>
        <v>8</v>
      </c>
      <c r="D31" s="4" t="s">
        <v>21</v>
      </c>
      <c r="G31" s="4"/>
      <c r="H31" s="3"/>
      <c r="I31" s="41" t="s">
        <v>193</v>
      </c>
      <c r="J31" s="2" t="s">
        <v>783</v>
      </c>
      <c r="K31" s="8">
        <f>O31</f>
        <v>2.3008999999999999</v>
      </c>
      <c r="L31" s="41" t="s">
        <v>120</v>
      </c>
      <c r="M31" s="41" t="s">
        <v>193</v>
      </c>
      <c r="O31" s="41">
        <v>2.3008999999999999</v>
      </c>
      <c r="R31" s="41"/>
      <c r="T31" s="172"/>
      <c r="W31" s="41"/>
      <c r="X31" s="41" t="s">
        <v>194</v>
      </c>
      <c r="Y31" s="3"/>
      <c r="Z31" s="41">
        <v>11.4765</v>
      </c>
      <c r="AB31" s="3"/>
      <c r="AC31" s="173"/>
    </row>
    <row r="32" spans="1:29" ht="18.75" x14ac:dyDescent="0.35">
      <c r="A32" s="4" t="s">
        <v>827</v>
      </c>
      <c r="B32" s="2" t="s">
        <v>722</v>
      </c>
      <c r="C32" s="43">
        <f>K9</f>
        <v>2.9373999999999998</v>
      </c>
      <c r="D32" s="41" t="s">
        <v>120</v>
      </c>
      <c r="G32" s="4"/>
      <c r="H32" s="3"/>
      <c r="I32" s="41" t="s">
        <v>662</v>
      </c>
      <c r="J32" s="2" t="s">
        <v>784</v>
      </c>
      <c r="K32" s="8">
        <f>O37</f>
        <v>9.2706999999999997</v>
      </c>
      <c r="L32" s="41" t="s">
        <v>225</v>
      </c>
      <c r="M32" s="41" t="s">
        <v>194</v>
      </c>
      <c r="O32" s="41">
        <v>38.728299999999997</v>
      </c>
      <c r="T32" s="172"/>
      <c r="W32" s="41"/>
      <c r="X32" s="41" t="s">
        <v>655</v>
      </c>
      <c r="Y32" s="3" t="s">
        <v>198</v>
      </c>
      <c r="Z32" s="41">
        <v>-1.7554000000000001</v>
      </c>
      <c r="AA32" s="3">
        <v>1.7554000000000001</v>
      </c>
      <c r="AB32" s="3"/>
      <c r="AC32" s="173"/>
    </row>
    <row r="33" spans="1:29" ht="18.75" x14ac:dyDescent="0.35">
      <c r="A33" s="132" t="s">
        <v>866</v>
      </c>
      <c r="B33" s="2" t="s">
        <v>668</v>
      </c>
      <c r="C33" s="165">
        <f>K10</f>
        <v>18.391200000000001</v>
      </c>
      <c r="D33" s="132" t="s">
        <v>225</v>
      </c>
      <c r="H33" s="3"/>
      <c r="I33" s="4" t="s">
        <v>757</v>
      </c>
      <c r="J33" s="2" t="s">
        <v>785</v>
      </c>
      <c r="K33" s="19">
        <v>2.92</v>
      </c>
      <c r="L33" s="41" t="s">
        <v>21</v>
      </c>
      <c r="M33" s="41" t="s">
        <v>655</v>
      </c>
      <c r="N33" s="3" t="s">
        <v>198</v>
      </c>
      <c r="O33" s="41">
        <v>-3.0324</v>
      </c>
      <c r="P33" s="41">
        <v>3.0324</v>
      </c>
      <c r="Q33" s="4"/>
      <c r="R33" s="41"/>
      <c r="T33" s="172"/>
      <c r="W33" s="41"/>
      <c r="X33" s="41"/>
      <c r="Y33" s="3" t="s">
        <v>199</v>
      </c>
      <c r="Z33" s="41">
        <v>0</v>
      </c>
      <c r="AA33" s="3">
        <v>1.7554000000000001</v>
      </c>
      <c r="AB33" s="3"/>
      <c r="AC33" s="173"/>
    </row>
    <row r="34" spans="1:29" ht="18.75" x14ac:dyDescent="0.35">
      <c r="A34" s="132" t="s">
        <v>828</v>
      </c>
      <c r="B34" s="2" t="s">
        <v>714</v>
      </c>
      <c r="C34" s="165">
        <f>C33/K11</f>
        <v>4.9766472737112712</v>
      </c>
      <c r="D34" s="132" t="s">
        <v>664</v>
      </c>
      <c r="H34" s="3"/>
      <c r="I34" s="4" t="s">
        <v>758</v>
      </c>
      <c r="J34" s="2" t="s">
        <v>785</v>
      </c>
      <c r="K34" s="19">
        <v>3.15</v>
      </c>
      <c r="L34" s="41" t="s">
        <v>21</v>
      </c>
      <c r="N34" s="3" t="s">
        <v>199</v>
      </c>
      <c r="O34" s="41">
        <v>-3.1480000000000001</v>
      </c>
      <c r="P34" s="41">
        <v>2.9167999999999998</v>
      </c>
      <c r="Q34" s="4"/>
      <c r="T34" s="172"/>
      <c r="W34" s="41"/>
      <c r="X34" s="41" t="s">
        <v>656</v>
      </c>
      <c r="Y34" s="3" t="s">
        <v>198</v>
      </c>
      <c r="Z34" s="41">
        <v>0</v>
      </c>
      <c r="AB34" s="3"/>
      <c r="AC34" s="173"/>
    </row>
    <row r="35" spans="1:29" ht="18.75" x14ac:dyDescent="0.35">
      <c r="A35" s="4" t="s">
        <v>829</v>
      </c>
      <c r="B35" s="2" t="s">
        <v>753</v>
      </c>
      <c r="C35" s="43">
        <f>SQRT(C33/C32)</f>
        <v>2.5022084614566005</v>
      </c>
      <c r="D35" s="4" t="s">
        <v>21</v>
      </c>
      <c r="G35" s="4"/>
      <c r="H35" s="3"/>
      <c r="I35" s="41" t="s">
        <v>756</v>
      </c>
      <c r="J35" s="2" t="s">
        <v>787</v>
      </c>
      <c r="K35" s="8">
        <f>K32/K33</f>
        <v>3.1748972602739727</v>
      </c>
      <c r="L35" s="41" t="s">
        <v>664</v>
      </c>
      <c r="M35" s="41" t="s">
        <v>656</v>
      </c>
      <c r="N35" s="3" t="s">
        <v>198</v>
      </c>
      <c r="O35" s="41">
        <v>0</v>
      </c>
      <c r="R35" s="41"/>
      <c r="T35" s="172"/>
      <c r="W35" s="41"/>
      <c r="X35" s="41"/>
      <c r="Y35" s="3" t="s">
        <v>199</v>
      </c>
      <c r="Z35" s="41">
        <v>1.1115999999999999</v>
      </c>
      <c r="AB35" s="3"/>
      <c r="AC35" s="173"/>
    </row>
    <row r="36" spans="1:29" ht="18.75" x14ac:dyDescent="0.35">
      <c r="A36" s="4" t="s">
        <v>830</v>
      </c>
      <c r="B36" s="2" t="s">
        <v>686</v>
      </c>
      <c r="C36" s="164">
        <f>'LTS-6 Loads'!C13</f>
        <v>3.8</v>
      </c>
      <c r="D36" s="4" t="s">
        <v>21</v>
      </c>
      <c r="E36" s="81"/>
      <c r="F36" s="81"/>
      <c r="G36" s="81"/>
      <c r="H36" s="3"/>
      <c r="I36" s="41" t="s">
        <v>841</v>
      </c>
      <c r="J36" s="2" t="s">
        <v>788</v>
      </c>
      <c r="K36" s="8">
        <f>K32/K34</f>
        <v>2.943079365079365</v>
      </c>
      <c r="L36" s="41" t="s">
        <v>664</v>
      </c>
      <c r="N36" s="3" t="s">
        <v>199</v>
      </c>
      <c r="O36" s="41">
        <v>0</v>
      </c>
      <c r="T36" s="172"/>
      <c r="W36" s="41"/>
      <c r="X36" s="41" t="s">
        <v>657</v>
      </c>
      <c r="Y36" s="3" t="s">
        <v>198</v>
      </c>
      <c r="Z36" s="41">
        <v>1.0225</v>
      </c>
      <c r="AB36" s="3"/>
      <c r="AC36" s="173"/>
    </row>
    <row r="37" spans="1:29" ht="18.75" x14ac:dyDescent="0.35">
      <c r="A37" s="4" t="s">
        <v>831</v>
      </c>
      <c r="B37" s="2" t="s">
        <v>735</v>
      </c>
      <c r="C37" s="43">
        <f>K45</f>
        <v>1.8178000000000001</v>
      </c>
      <c r="D37" s="41" t="s">
        <v>120</v>
      </c>
      <c r="G37" s="4"/>
      <c r="H37" s="3"/>
      <c r="I37" s="41" t="s">
        <v>663</v>
      </c>
      <c r="J37" s="2" t="s">
        <v>786</v>
      </c>
      <c r="K37" s="8">
        <f>SQRT(K32/K31)</f>
        <v>2.0072773853231638</v>
      </c>
      <c r="L37" s="41" t="s">
        <v>21</v>
      </c>
      <c r="M37" s="41" t="s">
        <v>657</v>
      </c>
      <c r="N37" s="3" t="s">
        <v>198</v>
      </c>
      <c r="O37" s="41">
        <v>9.2706999999999997</v>
      </c>
      <c r="R37" s="41"/>
      <c r="T37" s="172"/>
      <c r="W37" s="41"/>
      <c r="X37" s="41"/>
      <c r="Y37" s="3" t="s">
        <v>199</v>
      </c>
      <c r="Z37" s="41">
        <v>1.0225</v>
      </c>
      <c r="AB37" s="3"/>
      <c r="AC37" s="173"/>
    </row>
    <row r="38" spans="1:29" ht="18.75" x14ac:dyDescent="0.2">
      <c r="A38" s="132" t="s">
        <v>832</v>
      </c>
      <c r="B38" s="34" t="s">
        <v>669</v>
      </c>
      <c r="C38" s="165">
        <f>K74</f>
        <v>1.8438000000000001</v>
      </c>
      <c r="D38" s="132" t="s">
        <v>225</v>
      </c>
      <c r="E38" s="81"/>
      <c r="F38" s="81"/>
      <c r="G38" s="81"/>
      <c r="H38" s="3"/>
      <c r="N38" s="3" t="s">
        <v>199</v>
      </c>
      <c r="O38" s="41">
        <v>10.0228</v>
      </c>
      <c r="R38" s="41"/>
      <c r="T38" s="172"/>
      <c r="W38" s="41"/>
      <c r="X38" s="41" t="s">
        <v>661</v>
      </c>
      <c r="Y38" s="3" t="s">
        <v>742</v>
      </c>
      <c r="Z38" s="41">
        <v>0</v>
      </c>
      <c r="AB38" s="3"/>
      <c r="AC38" s="173"/>
    </row>
    <row r="39" spans="1:29" x14ac:dyDescent="0.2">
      <c r="A39" s="81" t="s">
        <v>667</v>
      </c>
      <c r="B39" s="34" t="s">
        <v>530</v>
      </c>
      <c r="C39" s="166">
        <v>2.1</v>
      </c>
      <c r="D39" s="81" t="s">
        <v>22</v>
      </c>
      <c r="G39" s="4"/>
      <c r="H39" s="3"/>
      <c r="M39" s="41" t="s">
        <v>661</v>
      </c>
      <c r="N39" s="3" t="s">
        <v>742</v>
      </c>
      <c r="O39" s="41">
        <v>0</v>
      </c>
      <c r="T39" s="172"/>
      <c r="W39" s="41"/>
      <c r="X39" s="41" t="s">
        <v>658</v>
      </c>
      <c r="Y39" s="3" t="s">
        <v>198</v>
      </c>
      <c r="Z39" s="41">
        <v>1.2335</v>
      </c>
      <c r="AB39" s="3"/>
      <c r="AC39" s="173"/>
    </row>
    <row r="40" spans="1:29" ht="18.75" x14ac:dyDescent="0.35">
      <c r="A40" s="4" t="s">
        <v>724</v>
      </c>
      <c r="B40" s="2" t="s">
        <v>725</v>
      </c>
      <c r="C40" s="42">
        <f>C39*C30/C35</f>
        <v>302.13310027730972</v>
      </c>
      <c r="D40" s="4" t="s">
        <v>22</v>
      </c>
      <c r="G40" s="4"/>
      <c r="H40" s="3"/>
      <c r="M40" s="41" t="s">
        <v>658</v>
      </c>
      <c r="N40" s="3" t="s">
        <v>198</v>
      </c>
      <c r="O40" s="41">
        <v>2.0072999999999999</v>
      </c>
      <c r="R40" s="41"/>
      <c r="S40" s="41"/>
      <c r="T40" s="172"/>
      <c r="W40" s="41"/>
      <c r="X40" s="41"/>
      <c r="Y40" s="3" t="s">
        <v>199</v>
      </c>
      <c r="Z40" s="41">
        <v>1.2335</v>
      </c>
      <c r="AB40" s="3"/>
      <c r="AC40" s="173"/>
    </row>
    <row r="41" spans="1:29" ht="18.75" x14ac:dyDescent="0.2">
      <c r="A41" s="81" t="s">
        <v>683</v>
      </c>
      <c r="B41" s="34" t="s">
        <v>684</v>
      </c>
      <c r="C41" s="165">
        <f>SQRT(2*PI()^2*C26/C27)</f>
        <v>102.01934355469356</v>
      </c>
      <c r="D41" s="132" t="s">
        <v>22</v>
      </c>
      <c r="E41" s="35"/>
      <c r="F41" s="35"/>
      <c r="G41" s="35"/>
      <c r="H41" s="3"/>
      <c r="I41" s="48"/>
      <c r="J41" s="47"/>
      <c r="N41" s="3" t="s">
        <v>199</v>
      </c>
      <c r="O41" s="41">
        <v>2.0871</v>
      </c>
      <c r="T41" s="172"/>
      <c r="W41" s="41"/>
      <c r="X41" s="41" t="s">
        <v>747</v>
      </c>
      <c r="Y41" s="3"/>
      <c r="Z41" s="41"/>
      <c r="AB41" s="3"/>
      <c r="AC41" s="173"/>
    </row>
    <row r="42" spans="1:29" ht="18.75" x14ac:dyDescent="0.35">
      <c r="A42" s="4" t="s">
        <v>671</v>
      </c>
      <c r="B42" s="2" t="s">
        <v>670</v>
      </c>
      <c r="C42" s="42">
        <f>'LTS-6 Loads'!E324</f>
        <v>37.208788210940796</v>
      </c>
      <c r="D42" s="4" t="s">
        <v>7</v>
      </c>
      <c r="E42" s="3"/>
      <c r="F42" s="3"/>
      <c r="G42" s="3"/>
      <c r="H42" s="3"/>
      <c r="T42" s="172"/>
      <c r="W42" s="41"/>
      <c r="X42" s="41"/>
      <c r="Y42" s="3" t="s">
        <v>659</v>
      </c>
      <c r="Z42" s="41">
        <v>0.19209999999999999</v>
      </c>
      <c r="AA42" s="4" t="s">
        <v>654</v>
      </c>
      <c r="AB42" s="3" t="s">
        <v>743</v>
      </c>
      <c r="AC42" s="173" t="s">
        <v>744</v>
      </c>
    </row>
    <row r="43" spans="1:29" ht="18.75" x14ac:dyDescent="0.2">
      <c r="A43" s="81" t="s">
        <v>673</v>
      </c>
      <c r="B43" s="34" t="s">
        <v>674</v>
      </c>
      <c r="C43" s="82">
        <f>'LTS-6 Loads'!C324</f>
        <v>548.81848136586154</v>
      </c>
      <c r="D43" s="81" t="s">
        <v>7</v>
      </c>
      <c r="E43" s="81"/>
      <c r="F43" s="81"/>
      <c r="G43" s="81"/>
      <c r="H43" s="3"/>
      <c r="M43" s="133" t="s">
        <v>779</v>
      </c>
      <c r="Q43" s="4"/>
      <c r="S43" s="4"/>
      <c r="T43" s="175"/>
      <c r="U43" s="29"/>
      <c r="V43" s="176"/>
      <c r="W43" s="176"/>
      <c r="X43" s="176"/>
      <c r="Y43" s="29" t="s">
        <v>660</v>
      </c>
      <c r="Z43" s="176">
        <v>1.0225</v>
      </c>
      <c r="AA43" s="147" t="s">
        <v>654</v>
      </c>
      <c r="AB43" s="29" t="s">
        <v>745</v>
      </c>
      <c r="AC43" s="177" t="s">
        <v>746</v>
      </c>
    </row>
    <row r="44" spans="1:29" x14ac:dyDescent="0.2">
      <c r="A44" s="275" t="s">
        <v>642</v>
      </c>
      <c r="B44" s="263"/>
      <c r="C44" s="281">
        <f>1-(((C33/C38)^(1/3)*C42+0.38*C43)/(2.46*C26*C33/C30^2))</f>
        <v>0.97148791714346416</v>
      </c>
      <c r="D44" s="282" t="s">
        <v>22</v>
      </c>
      <c r="E44" s="275" t="s">
        <v>945</v>
      </c>
      <c r="F44" s="275"/>
      <c r="G44" s="275"/>
      <c r="H44" s="3"/>
      <c r="M44" s="4" t="s">
        <v>780</v>
      </c>
      <c r="N44" s="4" t="s">
        <v>781</v>
      </c>
      <c r="O44" s="4" t="s">
        <v>780</v>
      </c>
      <c r="Q44" s="4"/>
      <c r="S44" s="4"/>
      <c r="W44" s="4"/>
      <c r="X44" s="4"/>
    </row>
    <row r="45" spans="1:29" ht="18.75" x14ac:dyDescent="0.35">
      <c r="A45" s="275"/>
      <c r="B45" s="263"/>
      <c r="C45" s="281"/>
      <c r="D45" s="282"/>
      <c r="E45" s="275"/>
      <c r="F45" s="275"/>
      <c r="G45" s="275"/>
      <c r="H45" s="3"/>
      <c r="I45" s="41" t="s">
        <v>193</v>
      </c>
      <c r="J45" s="2" t="s">
        <v>789</v>
      </c>
      <c r="K45" s="8">
        <f>O45</f>
        <v>1.8178000000000001</v>
      </c>
      <c r="L45" s="41" t="s">
        <v>120</v>
      </c>
      <c r="M45" s="41" t="s">
        <v>193</v>
      </c>
      <c r="O45" s="41">
        <v>1.8178000000000001</v>
      </c>
      <c r="Q45" s="41"/>
      <c r="R45" s="4"/>
      <c r="T45" s="4"/>
      <c r="W45" s="4"/>
      <c r="X45" s="4"/>
    </row>
    <row r="46" spans="1:29" ht="18.75" x14ac:dyDescent="0.35">
      <c r="A46" s="275"/>
      <c r="B46" s="263"/>
      <c r="C46" s="281"/>
      <c r="D46" s="282"/>
      <c r="E46" s="275"/>
      <c r="F46" s="275"/>
      <c r="G46" s="275"/>
      <c r="H46" s="3"/>
      <c r="I46" s="41" t="s">
        <v>662</v>
      </c>
      <c r="J46" s="2" t="s">
        <v>790</v>
      </c>
      <c r="K46" s="8">
        <f>O51</f>
        <v>4.7805</v>
      </c>
      <c r="L46" s="41" t="s">
        <v>225</v>
      </c>
      <c r="M46" s="41" t="s">
        <v>194</v>
      </c>
      <c r="O46" s="41">
        <v>30.681000000000001</v>
      </c>
      <c r="Q46" s="41"/>
      <c r="T46" s="4"/>
      <c r="W46" s="4"/>
      <c r="X46" s="4"/>
    </row>
    <row r="47" spans="1:29" ht="18.75" x14ac:dyDescent="0.35">
      <c r="A47" s="275"/>
      <c r="B47" s="263"/>
      <c r="C47" s="281"/>
      <c r="D47" s="282"/>
      <c r="E47" s="275"/>
      <c r="F47" s="275"/>
      <c r="G47" s="275"/>
      <c r="H47" s="3"/>
      <c r="I47" s="4" t="s">
        <v>757</v>
      </c>
      <c r="J47" s="2" t="s">
        <v>791</v>
      </c>
      <c r="K47" s="19">
        <v>2.29</v>
      </c>
      <c r="L47" s="41" t="s">
        <v>21</v>
      </c>
      <c r="M47" s="41" t="s">
        <v>655</v>
      </c>
      <c r="N47" s="3" t="s">
        <v>198</v>
      </c>
      <c r="O47" s="41">
        <v>-2.6286</v>
      </c>
      <c r="P47" s="41">
        <v>2.6286</v>
      </c>
      <c r="T47" s="4"/>
      <c r="W47" s="4"/>
      <c r="X47" s="4"/>
    </row>
    <row r="48" spans="1:29" ht="21.75" customHeight="1" x14ac:dyDescent="0.35">
      <c r="A48" s="132" t="s">
        <v>727</v>
      </c>
      <c r="B48" s="2" t="s">
        <v>774</v>
      </c>
      <c r="C48" s="165">
        <v>2.7309000000000001</v>
      </c>
      <c r="D48" s="132" t="s">
        <v>21</v>
      </c>
      <c r="G48" s="4"/>
      <c r="H48" s="3"/>
      <c r="I48" s="4" t="s">
        <v>758</v>
      </c>
      <c r="J48" s="2" t="s">
        <v>791</v>
      </c>
      <c r="K48" s="19">
        <v>2.96</v>
      </c>
      <c r="L48" s="41" t="s">
        <v>21</v>
      </c>
      <c r="N48" s="3" t="s">
        <v>199</v>
      </c>
      <c r="O48" s="41">
        <v>-2.9638</v>
      </c>
      <c r="P48" s="41">
        <v>2.2934000000000001</v>
      </c>
      <c r="W48" s="4"/>
      <c r="X48" s="4"/>
    </row>
    <row r="49" spans="1:27" ht="18.75" x14ac:dyDescent="0.35">
      <c r="A49" s="4" t="s">
        <v>726</v>
      </c>
      <c r="B49" s="2" t="s">
        <v>687</v>
      </c>
      <c r="C49" s="42">
        <f>C48/C28</f>
        <v>22.833612040133779</v>
      </c>
      <c r="D49" s="4" t="s">
        <v>22</v>
      </c>
      <c r="G49" s="4"/>
      <c r="H49" s="3"/>
      <c r="I49" s="41" t="s">
        <v>756</v>
      </c>
      <c r="J49" s="2" t="s">
        <v>792</v>
      </c>
      <c r="K49" s="8">
        <f>K46/K47</f>
        <v>2.0875545851528385</v>
      </c>
      <c r="L49" s="41" t="s">
        <v>664</v>
      </c>
      <c r="M49" s="41" t="s">
        <v>656</v>
      </c>
      <c r="N49" s="3" t="s">
        <v>198</v>
      </c>
      <c r="O49" s="41">
        <v>0</v>
      </c>
      <c r="Q49" s="41"/>
      <c r="W49" s="4"/>
      <c r="X49" s="4"/>
    </row>
    <row r="50" spans="1:27" ht="18.75" x14ac:dyDescent="0.35">
      <c r="A50" s="4" t="s">
        <v>689</v>
      </c>
      <c r="B50" s="2" t="s">
        <v>691</v>
      </c>
      <c r="C50" s="42">
        <f>1.12*SQRT(C26/C27)</f>
        <v>25.717910278459819</v>
      </c>
      <c r="D50" s="4" t="s">
        <v>22</v>
      </c>
      <c r="E50" s="4" t="s">
        <v>946</v>
      </c>
      <c r="G50" s="4"/>
      <c r="H50" s="3"/>
      <c r="I50" s="41" t="s">
        <v>841</v>
      </c>
      <c r="J50" s="2" t="s">
        <v>793</v>
      </c>
      <c r="K50" s="8">
        <f>K46/K48</f>
        <v>1.6150337837837838</v>
      </c>
      <c r="L50" s="41" t="s">
        <v>664</v>
      </c>
      <c r="N50" s="3" t="s">
        <v>199</v>
      </c>
      <c r="O50" s="41">
        <v>0</v>
      </c>
      <c r="Q50" s="41"/>
      <c r="W50" s="4"/>
      <c r="X50" s="4"/>
    </row>
    <row r="51" spans="1:27" ht="18.75" x14ac:dyDescent="0.35">
      <c r="A51" s="4" t="s">
        <v>690</v>
      </c>
      <c r="B51" s="2" t="s">
        <v>692</v>
      </c>
      <c r="C51" s="42">
        <f>1.53*SQRT(C26/C27)</f>
        <v>35.132502433967424</v>
      </c>
      <c r="D51" s="4" t="s">
        <v>22</v>
      </c>
      <c r="E51" s="4" t="s">
        <v>946</v>
      </c>
      <c r="G51" s="4"/>
      <c r="H51" s="3"/>
      <c r="I51" s="41" t="s">
        <v>663</v>
      </c>
      <c r="J51" s="2" t="s">
        <v>794</v>
      </c>
      <c r="K51" s="8">
        <f>SQRT(K46/K45)</f>
        <v>1.6216742162732261</v>
      </c>
      <c r="L51" s="41" t="s">
        <v>21</v>
      </c>
      <c r="M51" s="41" t="s">
        <v>657</v>
      </c>
      <c r="N51" s="3" t="s">
        <v>198</v>
      </c>
      <c r="O51" s="41">
        <v>4.7805</v>
      </c>
      <c r="Q51" s="41"/>
      <c r="X51" s="4"/>
    </row>
    <row r="52" spans="1:27" ht="18.75" x14ac:dyDescent="0.35">
      <c r="A52" s="4" t="s">
        <v>833</v>
      </c>
      <c r="B52" s="2" t="s">
        <v>820</v>
      </c>
      <c r="C52" s="42">
        <f>2.14*SQRT(C26/C27)</f>
        <v>49.139578567771437</v>
      </c>
      <c r="D52" s="4" t="s">
        <v>22</v>
      </c>
      <c r="E52" s="4" t="s">
        <v>946</v>
      </c>
      <c r="G52" s="4"/>
      <c r="H52" s="3"/>
      <c r="N52" s="3" t="s">
        <v>199</v>
      </c>
      <c r="O52" s="41">
        <v>6.3669000000000002</v>
      </c>
      <c r="Q52" s="41"/>
      <c r="X52" s="4"/>
    </row>
    <row r="53" spans="1:27" x14ac:dyDescent="0.2">
      <c r="G53" s="4"/>
      <c r="H53" s="3"/>
      <c r="M53" s="41" t="s">
        <v>661</v>
      </c>
      <c r="N53" s="3" t="s">
        <v>742</v>
      </c>
      <c r="O53" s="41">
        <v>0</v>
      </c>
      <c r="Q53" s="41"/>
    </row>
    <row r="54" spans="1:27" x14ac:dyDescent="0.2">
      <c r="G54" s="4"/>
      <c r="H54" s="3"/>
      <c r="M54" s="41" t="s">
        <v>658</v>
      </c>
      <c r="N54" s="3" t="s">
        <v>198</v>
      </c>
      <c r="O54" s="41">
        <v>1.6216999999999999</v>
      </c>
      <c r="Q54" s="41"/>
    </row>
    <row r="55" spans="1:27" x14ac:dyDescent="0.2">
      <c r="G55" s="4"/>
      <c r="H55" s="3"/>
      <c r="N55" s="3" t="s">
        <v>199</v>
      </c>
      <c r="O55" s="41">
        <v>1.8714999999999999</v>
      </c>
      <c r="Q55" s="41"/>
    </row>
    <row r="56" spans="1:27" x14ac:dyDescent="0.2">
      <c r="G56" s="4"/>
      <c r="H56" s="3"/>
    </row>
    <row r="57" spans="1:27" x14ac:dyDescent="0.2">
      <c r="G57" s="4"/>
      <c r="H57" s="3"/>
      <c r="M57" s="133" t="s">
        <v>782</v>
      </c>
    </row>
    <row r="58" spans="1:27" ht="15" x14ac:dyDescent="0.25">
      <c r="A58" s="1" t="s">
        <v>752</v>
      </c>
      <c r="C58" s="42"/>
      <c r="G58" s="4"/>
      <c r="H58" s="3"/>
      <c r="M58" s="41" t="s">
        <v>303</v>
      </c>
      <c r="P58" s="4"/>
    </row>
    <row r="59" spans="1:27" s="81" customFormat="1" ht="50.25" customHeight="1" x14ac:dyDescent="0.25">
      <c r="A59" s="81" t="s">
        <v>696</v>
      </c>
      <c r="B59" s="34" t="s">
        <v>869</v>
      </c>
      <c r="C59" s="82">
        <f>0.64*$C$27*(4/3)</f>
        <v>46933.333333333328</v>
      </c>
      <c r="D59" s="81" t="s">
        <v>23</v>
      </c>
      <c r="E59" s="266" t="s">
        <v>870</v>
      </c>
      <c r="F59" s="266"/>
      <c r="G59" s="266"/>
      <c r="H59" s="35"/>
      <c r="I59" s="132" t="s">
        <v>193</v>
      </c>
      <c r="J59" s="34" t="s">
        <v>795</v>
      </c>
      <c r="K59" s="188">
        <f>O59</f>
        <v>1.9067000000000001</v>
      </c>
      <c r="L59" s="132" t="s">
        <v>120</v>
      </c>
      <c r="M59" s="132" t="s">
        <v>193</v>
      </c>
      <c r="N59" s="35"/>
      <c r="O59" s="132">
        <v>1.9067000000000001</v>
      </c>
      <c r="P59" s="35"/>
      <c r="Q59" s="35"/>
      <c r="R59" s="35"/>
      <c r="S59" s="35"/>
      <c r="T59" s="35"/>
      <c r="U59" s="35"/>
      <c r="V59" s="132"/>
      <c r="W59" s="35"/>
      <c r="X59" s="35"/>
      <c r="Z59" s="132"/>
      <c r="AA59" s="132"/>
    </row>
    <row r="60" spans="1:27" s="81" customFormat="1" ht="50.25" customHeight="1" x14ac:dyDescent="0.25">
      <c r="A60" s="81" t="s">
        <v>697</v>
      </c>
      <c r="B60" s="34" t="s">
        <v>871</v>
      </c>
      <c r="C60" s="82">
        <f>0.33*$C$27*(4/3)</f>
        <v>24200</v>
      </c>
      <c r="D60" s="81" t="s">
        <v>23</v>
      </c>
      <c r="E60" s="266" t="s">
        <v>870</v>
      </c>
      <c r="F60" s="266"/>
      <c r="G60" s="266"/>
      <c r="H60" s="35"/>
      <c r="I60" s="132" t="s">
        <v>662</v>
      </c>
      <c r="J60" s="34" t="s">
        <v>796</v>
      </c>
      <c r="K60" s="188">
        <f>O65</f>
        <v>5.3268000000000004</v>
      </c>
      <c r="L60" s="132" t="s">
        <v>225</v>
      </c>
      <c r="M60" s="132" t="s">
        <v>194</v>
      </c>
      <c r="N60" s="35"/>
      <c r="O60" s="132">
        <v>32.138399999999997</v>
      </c>
      <c r="P60" s="35"/>
      <c r="Q60" s="35"/>
      <c r="R60" s="35"/>
      <c r="S60" s="35"/>
      <c r="T60" s="35"/>
      <c r="U60" s="35"/>
      <c r="V60" s="132"/>
      <c r="W60" s="35"/>
      <c r="X60" s="35"/>
      <c r="Z60" s="132"/>
      <c r="AA60" s="132"/>
    </row>
    <row r="61" spans="1:27" s="81" customFormat="1" ht="50.25" customHeight="1" x14ac:dyDescent="0.25">
      <c r="A61" s="81" t="s">
        <v>873</v>
      </c>
      <c r="B61" s="34" t="s">
        <v>872</v>
      </c>
      <c r="C61" s="82">
        <f>0.6*$C$27*(4/3)</f>
        <v>44000</v>
      </c>
      <c r="D61" s="81" t="s">
        <v>23</v>
      </c>
      <c r="E61" s="266" t="s">
        <v>870</v>
      </c>
      <c r="F61" s="266"/>
      <c r="G61" s="266"/>
      <c r="H61" s="35"/>
      <c r="I61" s="81" t="s">
        <v>757</v>
      </c>
      <c r="J61" s="34" t="s">
        <v>797</v>
      </c>
      <c r="K61" s="189">
        <v>2.4300000000000002</v>
      </c>
      <c r="L61" s="132" t="s">
        <v>21</v>
      </c>
      <c r="M61" s="132" t="s">
        <v>655</v>
      </c>
      <c r="N61" s="35" t="s">
        <v>198</v>
      </c>
      <c r="O61" s="132">
        <v>-2.5476000000000001</v>
      </c>
      <c r="P61" s="132">
        <v>2.5476000000000001</v>
      </c>
      <c r="Q61" s="35"/>
      <c r="R61" s="35"/>
      <c r="S61" s="35"/>
      <c r="T61" s="35"/>
      <c r="U61" s="35"/>
      <c r="V61" s="132"/>
      <c r="W61" s="35"/>
      <c r="X61" s="35"/>
      <c r="AA61" s="132"/>
    </row>
    <row r="62" spans="1:27" ht="18.75" x14ac:dyDescent="0.35">
      <c r="C62" s="42"/>
      <c r="G62" s="4"/>
      <c r="H62" s="3"/>
      <c r="I62" s="4" t="s">
        <v>758</v>
      </c>
      <c r="J62" s="2" t="s">
        <v>797</v>
      </c>
      <c r="K62" s="19">
        <v>2.66</v>
      </c>
      <c r="L62" s="41" t="s">
        <v>21</v>
      </c>
      <c r="N62" s="3" t="s">
        <v>199</v>
      </c>
      <c r="O62" s="41">
        <v>-2.6646000000000001</v>
      </c>
      <c r="P62" s="41">
        <v>2.4306000000000001</v>
      </c>
      <c r="Q62" s="41"/>
      <c r="AA62" s="41"/>
    </row>
    <row r="63" spans="1:27" ht="18.75" x14ac:dyDescent="0.35">
      <c r="A63" s="4" t="s">
        <v>693</v>
      </c>
      <c r="B63" s="2" t="s">
        <v>775</v>
      </c>
      <c r="C63" s="42">
        <f>C1/C32</f>
        <v>190.63835971578393</v>
      </c>
      <c r="D63" s="4" t="s">
        <v>23</v>
      </c>
      <c r="G63" s="4"/>
      <c r="H63" s="3"/>
      <c r="I63" s="41" t="s">
        <v>756</v>
      </c>
      <c r="J63" s="2" t="s">
        <v>798</v>
      </c>
      <c r="K63" s="8">
        <f>K60/K61</f>
        <v>2.1920987654320987</v>
      </c>
      <c r="L63" s="41" t="s">
        <v>664</v>
      </c>
      <c r="M63" s="41" t="s">
        <v>656</v>
      </c>
      <c r="N63" s="3" t="s">
        <v>198</v>
      </c>
      <c r="O63" s="41">
        <v>0</v>
      </c>
      <c r="P63" s="3"/>
      <c r="Z63" s="41"/>
      <c r="AA63" s="41"/>
    </row>
    <row r="64" spans="1:27" ht="18.75" x14ac:dyDescent="0.35">
      <c r="A64" s="4" t="s">
        <v>695</v>
      </c>
      <c r="B64" s="2" t="s">
        <v>776</v>
      </c>
      <c r="C64" s="42">
        <f>C3/K12</f>
        <v>30445.092717961048</v>
      </c>
      <c r="D64" s="4" t="s">
        <v>23</v>
      </c>
      <c r="G64" s="4"/>
      <c r="H64" s="3"/>
      <c r="I64" s="41" t="s">
        <v>841</v>
      </c>
      <c r="J64" s="2" t="s">
        <v>799</v>
      </c>
      <c r="K64" s="8">
        <f>K60/K62</f>
        <v>2.0025563909774435</v>
      </c>
      <c r="L64" s="41" t="s">
        <v>664</v>
      </c>
      <c r="N64" s="3" t="s">
        <v>199</v>
      </c>
      <c r="O64" s="41">
        <v>0</v>
      </c>
      <c r="P64" s="3"/>
      <c r="T64" s="41"/>
      <c r="U64" s="41"/>
      <c r="X64" s="41"/>
      <c r="Z64" s="41"/>
      <c r="AA64" s="41"/>
    </row>
    <row r="65" spans="1:27" ht="19.5" thickBot="1" x14ac:dyDescent="0.4">
      <c r="A65" s="4" t="s">
        <v>694</v>
      </c>
      <c r="B65" s="2" t="s">
        <v>777</v>
      </c>
      <c r="C65" s="42">
        <f>2*C4/C32</f>
        <v>529.81983768845259</v>
      </c>
      <c r="D65" s="4" t="s">
        <v>23</v>
      </c>
      <c r="E65" s="4" t="s">
        <v>948</v>
      </c>
      <c r="G65" s="4"/>
      <c r="H65" s="3"/>
      <c r="I65" s="41" t="s">
        <v>663</v>
      </c>
      <c r="J65" s="2" t="s">
        <v>800</v>
      </c>
      <c r="K65" s="8">
        <f>SQRT(K60/K59)</f>
        <v>1.6714446991714742</v>
      </c>
      <c r="L65" s="41" t="s">
        <v>21</v>
      </c>
      <c r="M65" s="41" t="s">
        <v>657</v>
      </c>
      <c r="N65" s="3" t="s">
        <v>198</v>
      </c>
      <c r="O65" s="41">
        <v>5.3268000000000004</v>
      </c>
      <c r="P65" s="3"/>
      <c r="S65" s="41"/>
      <c r="T65" s="41"/>
      <c r="U65" s="41"/>
      <c r="X65" s="41"/>
      <c r="Z65" s="41"/>
      <c r="AA65" s="41"/>
    </row>
    <row r="66" spans="1:27" x14ac:dyDescent="0.2">
      <c r="A66" s="275" t="s">
        <v>698</v>
      </c>
      <c r="B66" s="255"/>
      <c r="C66" s="277">
        <f>C63/(C61)+C64/($C$44*C59)+(C65/C60)^2</f>
        <v>0.67253833348315906</v>
      </c>
      <c r="D66" s="275" t="s">
        <v>22</v>
      </c>
      <c r="E66" s="275" t="s">
        <v>947</v>
      </c>
      <c r="F66" s="275"/>
      <c r="G66" s="275"/>
      <c r="H66" s="3"/>
      <c r="N66" s="3" t="s">
        <v>199</v>
      </c>
      <c r="O66" s="41">
        <v>5.8579999999999997</v>
      </c>
      <c r="P66" s="3"/>
      <c r="S66" s="41"/>
      <c r="T66" s="41"/>
      <c r="U66" s="41"/>
      <c r="V66" s="4"/>
      <c r="X66" s="4"/>
      <c r="Z66" s="41"/>
      <c r="AA66" s="41"/>
    </row>
    <row r="67" spans="1:27" x14ac:dyDescent="0.2">
      <c r="A67" s="275"/>
      <c r="B67" s="255"/>
      <c r="C67" s="278"/>
      <c r="D67" s="275"/>
      <c r="E67" s="275"/>
      <c r="F67" s="275"/>
      <c r="G67" s="275"/>
      <c r="H67" s="3"/>
      <c r="M67" s="41" t="s">
        <v>661</v>
      </c>
      <c r="N67" s="3" t="s">
        <v>742</v>
      </c>
      <c r="O67" s="41">
        <v>0</v>
      </c>
      <c r="P67" s="3"/>
      <c r="S67" s="41"/>
      <c r="U67" s="41"/>
      <c r="V67" s="4"/>
      <c r="Z67" s="41"/>
      <c r="AA67" s="41"/>
    </row>
    <row r="68" spans="1:27" ht="15" thickBot="1" x14ac:dyDescent="0.25">
      <c r="A68" s="275"/>
      <c r="B68" s="255"/>
      <c r="C68" s="279"/>
      <c r="D68" s="275"/>
      <c r="E68" s="275"/>
      <c r="F68" s="275"/>
      <c r="G68" s="275"/>
      <c r="H68" s="3"/>
      <c r="M68" s="41" t="s">
        <v>658</v>
      </c>
      <c r="N68" s="3" t="s">
        <v>198</v>
      </c>
      <c r="O68" s="41">
        <v>1.6714</v>
      </c>
      <c r="P68" s="3"/>
      <c r="R68" s="4"/>
      <c r="S68" s="41"/>
      <c r="U68" s="41"/>
      <c r="V68" s="4"/>
    </row>
    <row r="69" spans="1:27" x14ac:dyDescent="0.2">
      <c r="G69" s="4"/>
      <c r="H69" s="3"/>
      <c r="N69" s="3" t="s">
        <v>199</v>
      </c>
      <c r="O69" s="41">
        <v>1.7527999999999999</v>
      </c>
      <c r="P69" s="3"/>
      <c r="R69" s="4"/>
      <c r="S69" s="41"/>
      <c r="U69" s="41"/>
      <c r="V69" s="4"/>
      <c r="X69" s="4"/>
    </row>
    <row r="70" spans="1:27" ht="15" x14ac:dyDescent="0.25">
      <c r="A70" s="1" t="s">
        <v>1010</v>
      </c>
      <c r="G70" s="4"/>
      <c r="H70" s="3"/>
      <c r="R70" s="4"/>
      <c r="S70" s="41"/>
      <c r="U70" s="41"/>
      <c r="V70" s="4"/>
      <c r="X70" s="4"/>
    </row>
    <row r="71" spans="1:27" ht="18.75" x14ac:dyDescent="0.35">
      <c r="A71" s="4" t="s">
        <v>1025</v>
      </c>
      <c r="B71" s="2" t="s">
        <v>822</v>
      </c>
      <c r="C71" s="194">
        <f>'LTS-6 Loads'!C6-('LTS-6 Loads'!C6-'LTS-6 Loads'!C13)/'LTS-6 Loads'!C9*('LTS-6 Loads'!C143-'LTS-6 Loads'!C148-1.5)</f>
        <v>6.7436166666666661</v>
      </c>
      <c r="D71" s="4" t="s">
        <v>21</v>
      </c>
      <c r="G71" s="4"/>
      <c r="M71" s="133" t="s">
        <v>679</v>
      </c>
      <c r="R71" s="4"/>
      <c r="S71" s="41"/>
      <c r="U71" s="41"/>
      <c r="V71" s="3"/>
      <c r="X71" s="4"/>
    </row>
    <row r="72" spans="1:27" ht="18.75" x14ac:dyDescent="0.35">
      <c r="A72" s="4" t="s">
        <v>1026</v>
      </c>
      <c r="B72" s="2" t="s">
        <v>783</v>
      </c>
      <c r="C72" s="43">
        <f>K31</f>
        <v>2.3008999999999999</v>
      </c>
      <c r="D72" s="41" t="s">
        <v>120</v>
      </c>
      <c r="G72" s="4"/>
      <c r="H72" s="3"/>
      <c r="M72" s="150" t="s">
        <v>303</v>
      </c>
      <c r="N72" s="134"/>
      <c r="O72" s="151"/>
      <c r="P72" s="151"/>
      <c r="R72" s="4"/>
      <c r="S72" s="41"/>
      <c r="U72" s="41"/>
      <c r="V72" s="4"/>
      <c r="X72" s="4"/>
    </row>
    <row r="73" spans="1:27" ht="18.75" x14ac:dyDescent="0.35">
      <c r="A73" s="132" t="s">
        <v>1027</v>
      </c>
      <c r="B73" s="2" t="s">
        <v>784</v>
      </c>
      <c r="C73" s="43">
        <f>K46</f>
        <v>4.7805</v>
      </c>
      <c r="D73" s="132" t="s">
        <v>225</v>
      </c>
      <c r="H73" s="3"/>
      <c r="I73" s="41" t="s">
        <v>193</v>
      </c>
      <c r="J73" s="2" t="s">
        <v>735</v>
      </c>
      <c r="K73" s="8">
        <f>2*O73</f>
        <v>1.3604000000000001</v>
      </c>
      <c r="L73" s="41" t="s">
        <v>120</v>
      </c>
      <c r="M73" s="41" t="s">
        <v>89</v>
      </c>
      <c r="O73" s="41">
        <v>0.68020000000000003</v>
      </c>
      <c r="R73" s="4"/>
      <c r="S73" s="41"/>
      <c r="U73" s="41"/>
      <c r="V73" s="3"/>
      <c r="X73" s="4"/>
    </row>
    <row r="74" spans="1:27" ht="18.75" x14ac:dyDescent="0.35">
      <c r="A74" s="132" t="s">
        <v>1028</v>
      </c>
      <c r="B74" s="2" t="s">
        <v>840</v>
      </c>
      <c r="C74" s="43">
        <f>K36</f>
        <v>2.943079365079365</v>
      </c>
      <c r="D74" s="132" t="s">
        <v>664</v>
      </c>
      <c r="G74" s="4"/>
      <c r="H74" s="3"/>
      <c r="I74" s="41" t="s">
        <v>662</v>
      </c>
      <c r="J74" s="2" t="s">
        <v>669</v>
      </c>
      <c r="K74" s="8">
        <f>2*O80</f>
        <v>1.8438000000000001</v>
      </c>
      <c r="L74" s="41" t="s">
        <v>225</v>
      </c>
      <c r="M74" s="41" t="s">
        <v>648</v>
      </c>
      <c r="O74" s="41">
        <v>11.6225</v>
      </c>
      <c r="R74" s="4"/>
      <c r="S74" s="41"/>
      <c r="U74" s="41"/>
      <c r="V74" s="3"/>
      <c r="X74" s="4"/>
    </row>
    <row r="75" spans="1:27" ht="18.75" x14ac:dyDescent="0.35">
      <c r="A75" s="4" t="s">
        <v>1029</v>
      </c>
      <c r="B75" s="2" t="s">
        <v>821</v>
      </c>
      <c r="C75" s="43">
        <f>SQRT(C73/C72)</f>
        <v>1.4414108579511411</v>
      </c>
      <c r="D75" s="4" t="s">
        <v>21</v>
      </c>
      <c r="G75" s="4"/>
      <c r="H75" s="3"/>
      <c r="I75" s="4" t="s">
        <v>672</v>
      </c>
      <c r="J75" s="2" t="s">
        <v>736</v>
      </c>
      <c r="K75" s="8">
        <f>1.7554</f>
        <v>1.7554000000000001</v>
      </c>
      <c r="L75" s="41" t="s">
        <v>21</v>
      </c>
      <c r="M75" s="41" t="s">
        <v>649</v>
      </c>
      <c r="N75" s="3" t="s">
        <v>677</v>
      </c>
      <c r="O75" s="41">
        <v>-1.7554000000000001</v>
      </c>
      <c r="P75" s="41">
        <v>1.7554000000000001</v>
      </c>
      <c r="R75" s="4"/>
      <c r="S75" s="41"/>
      <c r="U75" s="41"/>
      <c r="V75" s="4"/>
      <c r="X75" s="4"/>
    </row>
    <row r="76" spans="1:27" ht="18.75" x14ac:dyDescent="0.35">
      <c r="C76" s="43"/>
      <c r="G76" s="4"/>
      <c r="H76" s="3"/>
      <c r="I76" s="41" t="s">
        <v>720</v>
      </c>
      <c r="J76" s="2" t="s">
        <v>737</v>
      </c>
      <c r="K76" s="8">
        <f>K74/K75</f>
        <v>1.0503588925601002</v>
      </c>
      <c r="L76" s="41" t="s">
        <v>664</v>
      </c>
      <c r="N76" s="3" t="s">
        <v>675</v>
      </c>
      <c r="O76" s="41">
        <v>0</v>
      </c>
      <c r="P76" s="41">
        <v>1.7554000000000001</v>
      </c>
      <c r="R76" s="4"/>
      <c r="S76" s="4"/>
      <c r="T76" s="4"/>
      <c r="W76" s="4"/>
      <c r="X76" s="4"/>
    </row>
    <row r="77" spans="1:27" s="81" customFormat="1" ht="50.25" customHeight="1" x14ac:dyDescent="0.25">
      <c r="A77" s="81" t="s">
        <v>696</v>
      </c>
      <c r="B77" s="34" t="s">
        <v>869</v>
      </c>
      <c r="C77" s="82">
        <f>0.64*C27*(4/3)</f>
        <v>46933.333333333328</v>
      </c>
      <c r="D77" s="81" t="s">
        <v>23</v>
      </c>
      <c r="E77" s="266" t="s">
        <v>870</v>
      </c>
      <c r="F77" s="266"/>
      <c r="G77" s="266"/>
      <c r="H77" s="35"/>
      <c r="I77" s="132" t="s">
        <v>721</v>
      </c>
      <c r="J77" s="34" t="s">
        <v>738</v>
      </c>
      <c r="K77" s="188">
        <f>2*K73*O79</f>
        <v>2.8582003999999999</v>
      </c>
      <c r="L77" s="132" t="s">
        <v>664</v>
      </c>
      <c r="M77" s="132" t="s">
        <v>583</v>
      </c>
      <c r="N77" s="35" t="s">
        <v>677</v>
      </c>
      <c r="O77" s="132">
        <v>0</v>
      </c>
      <c r="P77" s="132"/>
      <c r="Q77" s="35"/>
      <c r="U77" s="35"/>
      <c r="V77" s="132"/>
    </row>
    <row r="78" spans="1:27" s="81" customFormat="1" ht="50.25" customHeight="1" x14ac:dyDescent="0.25">
      <c r="A78" s="81" t="s">
        <v>697</v>
      </c>
      <c r="B78" s="34" t="s">
        <v>871</v>
      </c>
      <c r="C78" s="82">
        <f>0.33*C27*(4/3)</f>
        <v>24200</v>
      </c>
      <c r="D78" s="81" t="s">
        <v>23</v>
      </c>
      <c r="E78" s="266" t="s">
        <v>870</v>
      </c>
      <c r="F78" s="266"/>
      <c r="G78" s="266"/>
      <c r="H78" s="35"/>
      <c r="I78" s="132"/>
      <c r="J78" s="34"/>
      <c r="K78" s="188"/>
      <c r="L78" s="132"/>
      <c r="M78" s="132"/>
      <c r="N78" s="35"/>
      <c r="O78" s="132"/>
      <c r="P78" s="132"/>
      <c r="Q78" s="35"/>
      <c r="U78" s="35"/>
      <c r="V78" s="132"/>
    </row>
    <row r="79" spans="1:27" ht="50.25" customHeight="1" x14ac:dyDescent="0.35">
      <c r="A79" s="81" t="s">
        <v>873</v>
      </c>
      <c r="B79" s="34" t="s">
        <v>872</v>
      </c>
      <c r="C79" s="82">
        <f>0.6*$C$27*(4/3)</f>
        <v>44000</v>
      </c>
      <c r="D79" s="81" t="s">
        <v>23</v>
      </c>
      <c r="E79" s="266" t="s">
        <v>870</v>
      </c>
      <c r="F79" s="266"/>
      <c r="G79" s="266"/>
      <c r="H79" s="3"/>
      <c r="I79" s="41" t="s">
        <v>663</v>
      </c>
      <c r="J79" s="2" t="s">
        <v>739</v>
      </c>
      <c r="K79" s="8">
        <f>SQRT(K74/K73)</f>
        <v>1.164189273995669</v>
      </c>
      <c r="L79" s="41" t="s">
        <v>21</v>
      </c>
      <c r="N79" s="3" t="s">
        <v>675</v>
      </c>
      <c r="O79" s="41">
        <v>1.0505</v>
      </c>
      <c r="Q79" s="4"/>
      <c r="R79" s="4"/>
      <c r="S79" s="4"/>
      <c r="W79" s="4"/>
      <c r="X79" s="4"/>
    </row>
    <row r="80" spans="1:27" x14ac:dyDescent="0.2">
      <c r="C80" s="43"/>
      <c r="G80" s="4"/>
      <c r="H80" s="3"/>
      <c r="M80" s="41" t="s">
        <v>650</v>
      </c>
      <c r="N80" s="3" t="s">
        <v>677</v>
      </c>
      <c r="O80" s="41">
        <v>0.92190000000000005</v>
      </c>
      <c r="Q80" s="41"/>
      <c r="R80" s="4"/>
      <c r="S80" s="4"/>
      <c r="W80" s="4"/>
      <c r="X80" s="4"/>
    </row>
    <row r="81" spans="1:24" ht="18.75" x14ac:dyDescent="0.35">
      <c r="A81" s="4" t="s">
        <v>693</v>
      </c>
      <c r="B81" s="2" t="s">
        <v>823</v>
      </c>
      <c r="C81" s="42">
        <f>C1/C72</f>
        <v>243.37481760578197</v>
      </c>
      <c r="D81" s="4" t="s">
        <v>23</v>
      </c>
      <c r="G81" s="4"/>
      <c r="H81" s="3"/>
      <c r="N81" s="3" t="s">
        <v>675</v>
      </c>
      <c r="O81" s="41">
        <v>0.92190000000000005</v>
      </c>
      <c r="R81" s="4"/>
      <c r="S81" s="4"/>
      <c r="W81" s="4"/>
      <c r="X81" s="4"/>
    </row>
    <row r="82" spans="1:24" ht="18.75" x14ac:dyDescent="0.35">
      <c r="A82" s="4" t="s">
        <v>847</v>
      </c>
      <c r="B82" s="2" t="s">
        <v>824</v>
      </c>
      <c r="C82" s="42">
        <f>'LTS-6 Loads'!F332*12/K36</f>
        <v>31007.417418075751</v>
      </c>
      <c r="D82" s="4" t="s">
        <v>23</v>
      </c>
      <c r="G82" s="4"/>
      <c r="H82" s="3"/>
      <c r="M82" s="41" t="s">
        <v>651</v>
      </c>
      <c r="N82" s="3" t="s">
        <v>678</v>
      </c>
      <c r="O82" s="41">
        <v>0</v>
      </c>
      <c r="R82" s="4"/>
      <c r="S82" s="4"/>
      <c r="W82" s="4"/>
      <c r="X82" s="4"/>
    </row>
    <row r="83" spans="1:24" ht="18.75" x14ac:dyDescent="0.35">
      <c r="A83" s="4" t="s">
        <v>694</v>
      </c>
      <c r="B83" s="2" t="s">
        <v>825</v>
      </c>
      <c r="C83" s="42">
        <f>2*'LTS-6 Loads'!F331/K31</f>
        <v>640.99729455162083</v>
      </c>
      <c r="D83" s="4" t="s">
        <v>23</v>
      </c>
      <c r="E83" s="4" t="s">
        <v>948</v>
      </c>
      <c r="G83" s="4"/>
      <c r="H83" s="3"/>
      <c r="M83" s="41" t="s">
        <v>652</v>
      </c>
      <c r="N83" s="3" t="s">
        <v>677</v>
      </c>
      <c r="O83" s="41">
        <v>1.1641999999999999</v>
      </c>
      <c r="R83" s="4"/>
      <c r="S83" s="4"/>
      <c r="W83" s="4"/>
      <c r="X83" s="4"/>
    </row>
    <row r="84" spans="1:24" ht="18.75" customHeight="1" x14ac:dyDescent="0.2">
      <c r="A84" s="275" t="s">
        <v>698</v>
      </c>
      <c r="B84" s="255"/>
      <c r="C84" s="276">
        <f>C81/(C79)+C82/(C44*C77)+(C83/C78)^2</f>
        <v>0.68629214574651543</v>
      </c>
      <c r="D84" s="275" t="s">
        <v>22</v>
      </c>
      <c r="E84" s="275" t="s">
        <v>947</v>
      </c>
      <c r="F84" s="275"/>
      <c r="G84" s="275"/>
      <c r="H84" s="3"/>
      <c r="N84" s="3" t="s">
        <v>675</v>
      </c>
      <c r="O84" s="41">
        <v>1.1641999999999999</v>
      </c>
      <c r="R84" s="4"/>
      <c r="S84" s="4"/>
      <c r="W84" s="4"/>
      <c r="X84" s="4"/>
    </row>
    <row r="85" spans="1:24" x14ac:dyDescent="0.2">
      <c r="A85" s="275"/>
      <c r="B85" s="255"/>
      <c r="C85" s="276"/>
      <c r="D85" s="275"/>
      <c r="E85" s="275"/>
      <c r="F85" s="275"/>
      <c r="G85" s="275"/>
      <c r="H85" s="3"/>
      <c r="I85" s="4"/>
      <c r="J85" s="4"/>
      <c r="K85" s="4"/>
      <c r="L85" s="4"/>
      <c r="M85" s="4"/>
      <c r="N85" s="4"/>
      <c r="O85" s="4"/>
      <c r="R85" s="4"/>
      <c r="S85" s="4"/>
      <c r="W85" s="4"/>
      <c r="X85" s="4"/>
    </row>
    <row r="86" spans="1:24" x14ac:dyDescent="0.2">
      <c r="A86" s="275"/>
      <c r="B86" s="255"/>
      <c r="C86" s="276"/>
      <c r="D86" s="275"/>
      <c r="E86" s="275"/>
      <c r="F86" s="275"/>
      <c r="G86" s="275"/>
      <c r="H86" s="3"/>
      <c r="I86" s="4"/>
      <c r="J86" s="4"/>
      <c r="K86" s="4"/>
      <c r="L86" s="4"/>
      <c r="M86" s="4"/>
      <c r="N86" s="4"/>
      <c r="O86" s="4"/>
      <c r="R86" s="4"/>
      <c r="S86" s="4"/>
      <c r="W86" s="4"/>
      <c r="X86" s="4"/>
    </row>
    <row r="87" spans="1:24" ht="18.75" customHeight="1" x14ac:dyDescent="0.2">
      <c r="G87" s="4"/>
      <c r="H87" s="3"/>
      <c r="I87" s="4"/>
      <c r="J87" s="4"/>
      <c r="K87" s="4"/>
      <c r="L87" s="4"/>
      <c r="M87" s="4"/>
      <c r="N87" s="4"/>
      <c r="O87" s="4"/>
      <c r="R87" s="4"/>
      <c r="S87" s="4"/>
      <c r="W87" s="4"/>
      <c r="X87" s="4"/>
    </row>
    <row r="88" spans="1:24" ht="15" x14ac:dyDescent="0.25">
      <c r="A88" s="1" t="s">
        <v>1011</v>
      </c>
      <c r="G88" s="4"/>
      <c r="H88" s="3"/>
      <c r="I88" s="4"/>
      <c r="J88" s="4"/>
      <c r="K88" s="4"/>
      <c r="L88" s="4"/>
      <c r="M88" s="4"/>
      <c r="N88" s="4"/>
      <c r="O88" s="4"/>
      <c r="R88" s="4"/>
      <c r="S88" s="4"/>
      <c r="W88" s="4"/>
      <c r="X88" s="4"/>
    </row>
    <row r="89" spans="1:24" ht="18.75" x14ac:dyDescent="0.35">
      <c r="A89" s="4" t="s">
        <v>848</v>
      </c>
      <c r="B89" s="2" t="s">
        <v>835</v>
      </c>
      <c r="C89" s="45">
        <v>6</v>
      </c>
      <c r="D89" s="4" t="s">
        <v>21</v>
      </c>
      <c r="G89" s="4"/>
      <c r="H89" s="3"/>
      <c r="I89" s="4"/>
      <c r="J89" s="4"/>
      <c r="K89" s="4"/>
      <c r="L89" s="4"/>
      <c r="M89" s="4"/>
      <c r="N89" s="4"/>
      <c r="O89" s="4"/>
      <c r="R89" s="4"/>
      <c r="S89" s="4"/>
      <c r="W89" s="4"/>
      <c r="X89" s="4"/>
    </row>
    <row r="90" spans="1:24" ht="18.75" x14ac:dyDescent="0.35">
      <c r="A90" s="4" t="s">
        <v>849</v>
      </c>
      <c r="B90" s="2" t="s">
        <v>789</v>
      </c>
      <c r="C90" s="43">
        <f>K45</f>
        <v>1.8178000000000001</v>
      </c>
      <c r="D90" s="41" t="s">
        <v>120</v>
      </c>
      <c r="G90" s="4"/>
      <c r="H90" s="3"/>
      <c r="I90" s="4"/>
      <c r="J90" s="4"/>
      <c r="K90" s="4"/>
      <c r="L90" s="4"/>
      <c r="M90" s="4"/>
      <c r="N90" s="4"/>
      <c r="O90" s="4"/>
      <c r="R90" s="4"/>
      <c r="S90" s="4"/>
      <c r="W90" s="4"/>
      <c r="X90" s="4"/>
    </row>
    <row r="91" spans="1:24" ht="18.75" x14ac:dyDescent="0.35">
      <c r="A91" s="132" t="s">
        <v>850</v>
      </c>
      <c r="B91" s="2" t="s">
        <v>790</v>
      </c>
      <c r="C91" s="43">
        <f>K46</f>
        <v>4.7805</v>
      </c>
      <c r="D91" s="132" t="s">
        <v>225</v>
      </c>
      <c r="G91" s="4"/>
      <c r="H91" s="3"/>
      <c r="I91" s="4"/>
      <c r="J91" s="4"/>
      <c r="K91" s="4"/>
      <c r="L91" s="4"/>
      <c r="M91" s="4"/>
      <c r="N91" s="4"/>
      <c r="O91" s="4"/>
      <c r="R91" s="4"/>
      <c r="S91" s="4"/>
      <c r="W91" s="4"/>
      <c r="X91" s="4"/>
    </row>
    <row r="92" spans="1:24" ht="18.75" x14ac:dyDescent="0.35">
      <c r="A92" s="132" t="s">
        <v>857</v>
      </c>
      <c r="B92" s="2" t="s">
        <v>853</v>
      </c>
      <c r="C92" s="43">
        <f>$K$50</f>
        <v>1.6150337837837838</v>
      </c>
      <c r="D92" s="132" t="s">
        <v>664</v>
      </c>
      <c r="G92" s="4"/>
      <c r="H92" s="3"/>
      <c r="I92" s="4"/>
      <c r="J92" s="4"/>
      <c r="K92" s="4"/>
      <c r="L92" s="4"/>
      <c r="M92" s="4"/>
      <c r="N92" s="4"/>
      <c r="O92" s="4"/>
      <c r="R92" s="4"/>
      <c r="S92" s="4"/>
      <c r="W92" s="4"/>
      <c r="X92" s="4"/>
    </row>
    <row r="93" spans="1:24" ht="18.75" x14ac:dyDescent="0.35">
      <c r="A93" s="4" t="s">
        <v>858</v>
      </c>
      <c r="B93" s="2" t="s">
        <v>836</v>
      </c>
      <c r="C93" s="43">
        <f>SQRT(C91/C90)</f>
        <v>1.6216742162732261</v>
      </c>
      <c r="D93" s="4" t="s">
        <v>21</v>
      </c>
      <c r="G93" s="4"/>
      <c r="H93" s="3"/>
      <c r="I93" s="4"/>
      <c r="J93" s="4"/>
      <c r="K93" s="4"/>
      <c r="L93" s="4"/>
      <c r="M93" s="4"/>
      <c r="N93" s="4"/>
      <c r="O93" s="4"/>
      <c r="R93" s="4"/>
      <c r="S93" s="4"/>
      <c r="W93" s="4"/>
      <c r="X93" s="4"/>
    </row>
    <row r="94" spans="1:24" s="81" customFormat="1" x14ac:dyDescent="0.2">
      <c r="A94" s="4"/>
      <c r="B94" s="2"/>
      <c r="C94" s="43"/>
      <c r="D94" s="4"/>
      <c r="E94" s="4"/>
      <c r="F94" s="4"/>
      <c r="G94" s="4"/>
      <c r="H94" s="35"/>
      <c r="I94" s="132"/>
      <c r="J94" s="35"/>
      <c r="K94" s="132"/>
      <c r="L94" s="132"/>
      <c r="M94" s="132"/>
      <c r="N94" s="35"/>
      <c r="O94" s="132"/>
      <c r="P94" s="132"/>
      <c r="Q94" s="35"/>
      <c r="T94" s="35"/>
      <c r="U94" s="35"/>
      <c r="V94" s="132"/>
    </row>
    <row r="95" spans="1:24" s="81" customFormat="1" ht="50.25" customHeight="1" x14ac:dyDescent="0.25">
      <c r="A95" s="81" t="s">
        <v>696</v>
      </c>
      <c r="B95" s="34" t="s">
        <v>869</v>
      </c>
      <c r="C95" s="82">
        <f>0.64*$C$27*(4/3)</f>
        <v>46933.333333333328</v>
      </c>
      <c r="D95" s="81" t="s">
        <v>23</v>
      </c>
      <c r="E95" s="266" t="s">
        <v>870</v>
      </c>
      <c r="F95" s="266"/>
      <c r="G95" s="266"/>
      <c r="H95" s="35"/>
      <c r="I95" s="132"/>
      <c r="J95" s="35"/>
      <c r="K95" s="132"/>
      <c r="L95" s="132"/>
      <c r="M95" s="132"/>
      <c r="N95" s="35"/>
      <c r="O95" s="132"/>
      <c r="P95" s="132"/>
      <c r="Q95" s="35"/>
      <c r="T95" s="35"/>
      <c r="U95" s="35"/>
      <c r="V95" s="132"/>
    </row>
    <row r="96" spans="1:24" s="81" customFormat="1" ht="50.25" customHeight="1" x14ac:dyDescent="0.25">
      <c r="A96" s="81" t="s">
        <v>697</v>
      </c>
      <c r="B96" s="34" t="s">
        <v>871</v>
      </c>
      <c r="C96" s="82">
        <f>0.33*$C$27*(4/3)</f>
        <v>24200</v>
      </c>
      <c r="D96" s="81" t="s">
        <v>23</v>
      </c>
      <c r="E96" s="266" t="s">
        <v>870</v>
      </c>
      <c r="F96" s="266"/>
      <c r="G96" s="266"/>
      <c r="H96" s="35"/>
      <c r="K96" s="132"/>
      <c r="L96" s="132"/>
      <c r="M96" s="132"/>
      <c r="N96" s="35"/>
      <c r="P96" s="132"/>
      <c r="T96" s="35"/>
      <c r="U96" s="35"/>
      <c r="V96" s="132"/>
    </row>
    <row r="97" spans="1:24" ht="50.25" customHeight="1" x14ac:dyDescent="0.2">
      <c r="A97" s="81" t="s">
        <v>873</v>
      </c>
      <c r="B97" s="34" t="s">
        <v>872</v>
      </c>
      <c r="C97" s="82">
        <f>0.6*$C$27*(4/3)</f>
        <v>44000</v>
      </c>
      <c r="D97" s="81" t="s">
        <v>23</v>
      </c>
      <c r="E97" s="266" t="s">
        <v>870</v>
      </c>
      <c r="F97" s="266"/>
      <c r="G97" s="266"/>
      <c r="H97" s="3"/>
      <c r="I97" s="4"/>
      <c r="J97" s="4"/>
      <c r="O97" s="4"/>
      <c r="Q97" s="4"/>
      <c r="R97" s="4"/>
      <c r="S97" s="4"/>
      <c r="W97" s="4"/>
      <c r="X97" s="4"/>
    </row>
    <row r="98" spans="1:24" x14ac:dyDescent="0.2">
      <c r="C98" s="43"/>
      <c r="G98" s="4"/>
      <c r="H98" s="3"/>
      <c r="I98" s="4"/>
      <c r="J98" s="4"/>
      <c r="O98" s="4"/>
      <c r="Q98" s="4"/>
      <c r="R98" s="4"/>
      <c r="S98" s="4"/>
      <c r="W98" s="4"/>
      <c r="X98" s="4"/>
    </row>
    <row r="99" spans="1:24" ht="18.75" x14ac:dyDescent="0.35">
      <c r="A99" s="4" t="s">
        <v>693</v>
      </c>
      <c r="B99" s="2" t="s">
        <v>837</v>
      </c>
      <c r="C99" s="42">
        <f>$C$1/C90</f>
        <v>308.05430621033321</v>
      </c>
      <c r="D99" s="4" t="s">
        <v>23</v>
      </c>
      <c r="G99" s="4"/>
      <c r="H99" s="3"/>
      <c r="I99" s="4"/>
      <c r="J99" s="4"/>
      <c r="O99" s="4"/>
      <c r="Q99" s="4"/>
      <c r="R99" s="4"/>
      <c r="S99" s="4"/>
      <c r="W99" s="4"/>
      <c r="X99" s="4"/>
    </row>
    <row r="100" spans="1:24" ht="18.75" x14ac:dyDescent="0.35">
      <c r="A100" s="4" t="s">
        <v>695</v>
      </c>
      <c r="B100" s="2" t="s">
        <v>838</v>
      </c>
      <c r="C100" s="42">
        <f>'LTS-6 Loads'!$F$338*12/C92</f>
        <v>54595.672277007099</v>
      </c>
      <c r="D100" s="4" t="s">
        <v>23</v>
      </c>
      <c r="G100" s="4"/>
      <c r="H100" s="3"/>
      <c r="I100" s="4"/>
      <c r="J100" s="4"/>
      <c r="O100" s="4"/>
      <c r="Q100" s="4"/>
      <c r="R100" s="4"/>
      <c r="S100" s="4"/>
      <c r="W100" s="4"/>
      <c r="X100" s="4"/>
    </row>
    <row r="101" spans="1:24" ht="18.75" x14ac:dyDescent="0.35">
      <c r="A101" s="4" t="s">
        <v>694</v>
      </c>
      <c r="B101" s="2" t="s">
        <v>839</v>
      </c>
      <c r="C101" s="42">
        <f>2*'LTS-6 Loads'!$F$337/K49</f>
        <v>355.41189401841984</v>
      </c>
      <c r="D101" s="4" t="s">
        <v>23</v>
      </c>
      <c r="E101" s="4" t="s">
        <v>948</v>
      </c>
      <c r="G101" s="4"/>
      <c r="H101" s="3"/>
      <c r="I101" s="4"/>
      <c r="J101" s="4"/>
      <c r="O101" s="4"/>
      <c r="Q101" s="4"/>
      <c r="R101" s="4"/>
      <c r="S101" s="4"/>
      <c r="W101" s="4"/>
      <c r="X101" s="4"/>
    </row>
    <row r="102" spans="1:24" x14ac:dyDescent="0.2">
      <c r="A102" s="275" t="s">
        <v>698</v>
      </c>
      <c r="B102" s="255"/>
      <c r="C102" s="276">
        <f>C99/(C97)+C100/($C$44*C95)+(C101/C96)^2</f>
        <v>1.2046173691820434</v>
      </c>
      <c r="D102" s="275" t="s">
        <v>22</v>
      </c>
      <c r="E102" s="275" t="s">
        <v>947</v>
      </c>
      <c r="F102" s="275"/>
      <c r="G102" s="275"/>
      <c r="H102" s="3"/>
      <c r="I102" s="4"/>
      <c r="J102" s="4"/>
      <c r="O102" s="4"/>
      <c r="Q102" s="4"/>
      <c r="R102" s="4"/>
      <c r="S102" s="4"/>
      <c r="W102" s="4"/>
      <c r="X102" s="4"/>
    </row>
    <row r="103" spans="1:24" x14ac:dyDescent="0.2">
      <c r="A103" s="275"/>
      <c r="B103" s="255"/>
      <c r="C103" s="276"/>
      <c r="D103" s="275"/>
      <c r="E103" s="275"/>
      <c r="F103" s="275"/>
      <c r="G103" s="275"/>
      <c r="H103" s="3"/>
      <c r="M103" s="4"/>
      <c r="N103" s="4"/>
      <c r="O103" s="4"/>
      <c r="Q103" s="4"/>
      <c r="R103" s="4"/>
      <c r="S103" s="4"/>
      <c r="W103" s="4"/>
      <c r="X103" s="4"/>
    </row>
    <row r="104" spans="1:24" x14ac:dyDescent="0.2">
      <c r="A104" s="275"/>
      <c r="B104" s="255"/>
      <c r="C104" s="276"/>
      <c r="D104" s="275"/>
      <c r="E104" s="275"/>
      <c r="F104" s="275"/>
      <c r="G104" s="275"/>
      <c r="H104" s="3"/>
      <c r="M104" s="4"/>
      <c r="N104" s="4"/>
      <c r="O104" s="4"/>
      <c r="Q104" s="4"/>
      <c r="R104" s="4"/>
      <c r="S104" s="4"/>
      <c r="W104" s="4"/>
      <c r="X104" s="4"/>
    </row>
    <row r="105" spans="1:24" x14ac:dyDescent="0.2">
      <c r="G105" s="4"/>
      <c r="H105" s="3"/>
      <c r="S105" s="4"/>
      <c r="W105" s="4"/>
      <c r="X105" s="4"/>
    </row>
    <row r="106" spans="1:24" ht="15" x14ac:dyDescent="0.25">
      <c r="A106" s="1" t="s">
        <v>1012</v>
      </c>
      <c r="G106" s="4"/>
      <c r="H106" s="3"/>
      <c r="S106" s="4"/>
      <c r="W106" s="4"/>
      <c r="X106" s="4"/>
    </row>
    <row r="107" spans="1:24" ht="18.75" x14ac:dyDescent="0.35">
      <c r="A107" s="4" t="s">
        <v>854</v>
      </c>
      <c r="B107" s="2" t="s">
        <v>859</v>
      </c>
      <c r="C107" s="45">
        <v>5.62</v>
      </c>
      <c r="D107" s="4" t="s">
        <v>21</v>
      </c>
      <c r="G107" s="4"/>
      <c r="H107" s="3"/>
      <c r="S107" s="4"/>
      <c r="W107" s="4"/>
      <c r="X107" s="4"/>
    </row>
    <row r="108" spans="1:24" ht="18.75" x14ac:dyDescent="0.35">
      <c r="A108" s="4" t="s">
        <v>855</v>
      </c>
      <c r="B108" s="2" t="s">
        <v>795</v>
      </c>
      <c r="C108" s="43">
        <f>K59</f>
        <v>1.9067000000000001</v>
      </c>
      <c r="D108" s="41" t="s">
        <v>120</v>
      </c>
      <c r="G108" s="4"/>
      <c r="H108" s="3"/>
      <c r="S108" s="4"/>
      <c r="W108" s="4"/>
      <c r="X108" s="4"/>
    </row>
    <row r="109" spans="1:24" ht="18.75" x14ac:dyDescent="0.35">
      <c r="A109" s="132" t="s">
        <v>856</v>
      </c>
      <c r="B109" s="2" t="s">
        <v>796</v>
      </c>
      <c r="C109" s="43">
        <f>K60</f>
        <v>5.3268000000000004</v>
      </c>
      <c r="D109" s="132" t="s">
        <v>225</v>
      </c>
      <c r="G109" s="4"/>
      <c r="H109" s="3"/>
      <c r="S109" s="4"/>
      <c r="W109" s="4"/>
      <c r="X109" s="4"/>
    </row>
    <row r="110" spans="1:24" ht="18.75" x14ac:dyDescent="0.35">
      <c r="A110" s="132" t="s">
        <v>857</v>
      </c>
      <c r="B110" s="2" t="s">
        <v>860</v>
      </c>
      <c r="C110" s="43">
        <f>K64</f>
        <v>2.0025563909774435</v>
      </c>
      <c r="D110" s="132" t="s">
        <v>664</v>
      </c>
      <c r="G110" s="4"/>
      <c r="H110" s="3"/>
      <c r="S110" s="4"/>
      <c r="W110" s="4"/>
      <c r="X110" s="4"/>
    </row>
    <row r="111" spans="1:24" ht="18.75" x14ac:dyDescent="0.35">
      <c r="A111" s="4" t="s">
        <v>858</v>
      </c>
      <c r="B111" s="2" t="s">
        <v>861</v>
      </c>
      <c r="C111" s="43">
        <f>SQRT(C109/C108)</f>
        <v>1.6714446991714742</v>
      </c>
      <c r="D111" s="4" t="s">
        <v>21</v>
      </c>
      <c r="G111" s="4"/>
      <c r="H111" s="3"/>
      <c r="S111" s="4"/>
      <c r="W111" s="4"/>
      <c r="X111" s="4"/>
    </row>
    <row r="112" spans="1:24" x14ac:dyDescent="0.2">
      <c r="C112" s="43"/>
      <c r="G112" s="4"/>
      <c r="H112" s="3"/>
      <c r="S112" s="4"/>
      <c r="W112" s="4"/>
      <c r="X112" s="4"/>
    </row>
    <row r="113" spans="1:24" ht="50.25" customHeight="1" x14ac:dyDescent="0.2">
      <c r="A113" s="81" t="s">
        <v>696</v>
      </c>
      <c r="B113" s="34" t="s">
        <v>869</v>
      </c>
      <c r="C113" s="82">
        <f>0.64*$C$27*(4/3)</f>
        <v>46933.333333333328</v>
      </c>
      <c r="D113" s="81" t="s">
        <v>23</v>
      </c>
      <c r="E113" s="266" t="s">
        <v>870</v>
      </c>
      <c r="F113" s="266"/>
      <c r="G113" s="266"/>
      <c r="H113" s="3"/>
      <c r="S113" s="4"/>
      <c r="W113" s="4"/>
      <c r="X113" s="4"/>
    </row>
    <row r="114" spans="1:24" ht="50.25" customHeight="1" x14ac:dyDescent="0.2">
      <c r="A114" s="81" t="s">
        <v>697</v>
      </c>
      <c r="B114" s="34" t="s">
        <v>871</v>
      </c>
      <c r="C114" s="82">
        <f>0.33*$C$27*(4/3)</f>
        <v>24200</v>
      </c>
      <c r="D114" s="81" t="s">
        <v>23</v>
      </c>
      <c r="E114" s="266" t="s">
        <v>870</v>
      </c>
      <c r="F114" s="266"/>
      <c r="G114" s="266"/>
      <c r="H114" s="3"/>
      <c r="S114" s="4"/>
      <c r="W114" s="4"/>
      <c r="X114" s="4"/>
    </row>
    <row r="115" spans="1:24" ht="50.25" customHeight="1" x14ac:dyDescent="0.2">
      <c r="A115" s="81" t="s">
        <v>873</v>
      </c>
      <c r="B115" s="34" t="s">
        <v>872</v>
      </c>
      <c r="C115" s="82">
        <f>0.6*$C$27*(4/3)</f>
        <v>44000</v>
      </c>
      <c r="D115" s="81" t="s">
        <v>23</v>
      </c>
      <c r="E115" s="266" t="s">
        <v>870</v>
      </c>
      <c r="F115" s="266"/>
      <c r="G115" s="266"/>
      <c r="H115" s="3"/>
      <c r="S115" s="4"/>
      <c r="W115" s="4"/>
      <c r="X115" s="4"/>
    </row>
    <row r="116" spans="1:24" x14ac:dyDescent="0.2">
      <c r="C116" s="43"/>
      <c r="G116" s="4"/>
      <c r="H116" s="3"/>
      <c r="S116" s="4"/>
      <c r="W116" s="4"/>
      <c r="X116" s="4"/>
    </row>
    <row r="117" spans="1:24" ht="18.75" x14ac:dyDescent="0.35">
      <c r="A117" s="4" t="s">
        <v>693</v>
      </c>
      <c r="B117" s="2" t="s">
        <v>862</v>
      </c>
      <c r="C117" s="42">
        <f>$C$1/C108</f>
        <v>293.69125600731303</v>
      </c>
      <c r="D117" s="4" t="s">
        <v>23</v>
      </c>
      <c r="G117" s="4"/>
      <c r="H117" s="3"/>
      <c r="S117" s="4"/>
      <c r="W117" s="4"/>
      <c r="X117" s="4"/>
    </row>
    <row r="118" spans="1:24" ht="18.75" x14ac:dyDescent="0.35">
      <c r="A118" s="4" t="s">
        <v>695</v>
      </c>
      <c r="B118" s="2" t="s">
        <v>863</v>
      </c>
      <c r="C118" s="42">
        <f>'LTS-6 Loads'!F344*12/C110</f>
        <v>11613.540679626334</v>
      </c>
      <c r="D118" s="4" t="s">
        <v>23</v>
      </c>
      <c r="G118" s="4"/>
      <c r="H118" s="3"/>
      <c r="S118" s="4"/>
      <c r="W118" s="4"/>
      <c r="X118" s="4"/>
    </row>
    <row r="119" spans="1:24" ht="18.75" x14ac:dyDescent="0.35">
      <c r="A119" s="4" t="s">
        <v>694</v>
      </c>
      <c r="B119" s="2" t="s">
        <v>864</v>
      </c>
      <c r="C119" s="42">
        <f>2*'LTS-6 Loads'!$F$343/C108</f>
        <v>239.37387417376175</v>
      </c>
      <c r="D119" s="4" t="s">
        <v>23</v>
      </c>
      <c r="E119" s="4" t="s">
        <v>948</v>
      </c>
      <c r="G119" s="4"/>
      <c r="H119" s="3"/>
      <c r="S119" s="4"/>
      <c r="W119" s="4"/>
      <c r="X119" s="4"/>
    </row>
    <row r="120" spans="1:24" x14ac:dyDescent="0.2">
      <c r="A120" s="275" t="s">
        <v>698</v>
      </c>
      <c r="B120" s="255"/>
      <c r="C120" s="276">
        <f>C117/(C115)+C118/($C$44*C113)+(C119/C114)^2</f>
        <v>0.2614825524564276</v>
      </c>
      <c r="D120" s="275" t="s">
        <v>22</v>
      </c>
      <c r="E120" s="275" t="s">
        <v>947</v>
      </c>
      <c r="F120" s="275"/>
      <c r="G120" s="275"/>
      <c r="H120" s="3"/>
      <c r="S120" s="4"/>
      <c r="W120" s="4"/>
      <c r="X120" s="4"/>
    </row>
    <row r="121" spans="1:24" x14ac:dyDescent="0.2">
      <c r="A121" s="275"/>
      <c r="B121" s="255"/>
      <c r="C121" s="276"/>
      <c r="D121" s="275"/>
      <c r="E121" s="275"/>
      <c r="F121" s="275"/>
      <c r="G121" s="275"/>
      <c r="H121" s="3"/>
      <c r="S121" s="4"/>
      <c r="W121" s="4"/>
      <c r="X121" s="4"/>
    </row>
    <row r="122" spans="1:24" x14ac:dyDescent="0.2">
      <c r="A122" s="275"/>
      <c r="B122" s="255"/>
      <c r="C122" s="276"/>
      <c r="D122" s="275"/>
      <c r="E122" s="275"/>
      <c r="F122" s="275"/>
      <c r="G122" s="275"/>
      <c r="H122" s="3"/>
      <c r="S122" s="4"/>
      <c r="W122" s="4"/>
      <c r="X122" s="4"/>
    </row>
    <row r="123" spans="1:24" x14ac:dyDescent="0.2">
      <c r="G123" s="4"/>
      <c r="H123" s="3"/>
      <c r="S123" s="4"/>
      <c r="W123" s="4"/>
      <c r="X123" s="4"/>
    </row>
    <row r="124" spans="1:24" x14ac:dyDescent="0.2">
      <c r="G124" s="4"/>
      <c r="H124" s="3"/>
      <c r="S124" s="4"/>
      <c r="W124" s="4"/>
      <c r="X124" s="4"/>
    </row>
    <row r="125" spans="1:24" x14ac:dyDescent="0.2">
      <c r="G125" s="4"/>
      <c r="H125" s="3"/>
      <c r="S125" s="4"/>
      <c r="W125" s="4"/>
      <c r="X125" s="4"/>
    </row>
    <row r="126" spans="1:24" x14ac:dyDescent="0.2">
      <c r="G126" s="4"/>
      <c r="H126" s="3"/>
      <c r="S126" s="4"/>
      <c r="W126" s="4"/>
      <c r="X126" s="4"/>
    </row>
    <row r="127" spans="1:24" x14ac:dyDescent="0.2">
      <c r="G127" s="4"/>
      <c r="H127" s="3"/>
      <c r="S127" s="4"/>
      <c r="W127" s="4"/>
      <c r="X127" s="4"/>
    </row>
    <row r="128" spans="1:24" x14ac:dyDescent="0.2">
      <c r="G128" s="4"/>
      <c r="H128" s="3"/>
      <c r="S128" s="4"/>
      <c r="W128" s="4"/>
      <c r="X128" s="4"/>
    </row>
    <row r="129" spans="2:24" x14ac:dyDescent="0.2">
      <c r="G129" s="4"/>
      <c r="H129" s="3"/>
      <c r="S129" s="4"/>
      <c r="W129" s="4"/>
      <c r="X129" s="4"/>
    </row>
    <row r="130" spans="2:24" x14ac:dyDescent="0.2">
      <c r="G130" s="4"/>
      <c r="H130" s="3"/>
      <c r="S130" s="4"/>
      <c r="W130" s="4"/>
      <c r="X130" s="4"/>
    </row>
    <row r="131" spans="2:24" x14ac:dyDescent="0.2">
      <c r="G131" s="4"/>
      <c r="H131" s="3"/>
      <c r="S131" s="4"/>
      <c r="W131" s="4"/>
      <c r="X131" s="4"/>
    </row>
    <row r="132" spans="2:24" x14ac:dyDescent="0.2">
      <c r="G132" s="4"/>
      <c r="H132" s="3"/>
      <c r="S132" s="4"/>
      <c r="W132" s="4"/>
      <c r="X132" s="4"/>
    </row>
    <row r="133" spans="2:24" x14ac:dyDescent="0.2">
      <c r="G133" s="4"/>
      <c r="H133" s="3"/>
      <c r="S133" s="4"/>
      <c r="W133" s="4"/>
      <c r="X133" s="4"/>
    </row>
    <row r="134" spans="2:24" x14ac:dyDescent="0.2">
      <c r="G134" s="4"/>
      <c r="H134" s="3"/>
      <c r="S134" s="4"/>
      <c r="W134" s="4"/>
      <c r="X134" s="4"/>
    </row>
    <row r="135" spans="2:24" x14ac:dyDescent="0.2">
      <c r="G135" s="4"/>
      <c r="H135" s="3"/>
      <c r="S135" s="4"/>
      <c r="W135" s="4"/>
      <c r="X135" s="4"/>
    </row>
    <row r="136" spans="2:24" x14ac:dyDescent="0.2">
      <c r="G136" s="4"/>
      <c r="H136" s="3"/>
      <c r="S136" s="4"/>
      <c r="W136" s="4"/>
      <c r="X136" s="4"/>
    </row>
    <row r="137" spans="2:24" x14ac:dyDescent="0.2">
      <c r="B137" s="4"/>
      <c r="G137" s="4"/>
      <c r="H137" s="3"/>
      <c r="S137" s="4"/>
      <c r="W137" s="4"/>
      <c r="X137" s="4"/>
    </row>
    <row r="138" spans="2:24" x14ac:dyDescent="0.2">
      <c r="B138" s="4"/>
      <c r="G138" s="4"/>
      <c r="H138" s="3"/>
      <c r="S138" s="4"/>
      <c r="W138" s="4"/>
      <c r="X138" s="4"/>
    </row>
    <row r="139" spans="2:24" x14ac:dyDescent="0.2">
      <c r="B139" s="3"/>
      <c r="C139" s="3"/>
      <c r="G139" s="4"/>
      <c r="H139" s="3"/>
      <c r="S139" s="4"/>
      <c r="W139" s="4"/>
      <c r="X139" s="4"/>
    </row>
    <row r="140" spans="2:24" x14ac:dyDescent="0.2">
      <c r="C140" s="3"/>
      <c r="G140" s="4"/>
      <c r="H140" s="3"/>
      <c r="S140" s="4"/>
      <c r="W140" s="4"/>
      <c r="X140" s="4"/>
    </row>
    <row r="141" spans="2:24" x14ac:dyDescent="0.2">
      <c r="C141" s="3"/>
      <c r="G141" s="4"/>
      <c r="H141" s="3"/>
      <c r="S141" s="4"/>
      <c r="W141" s="4"/>
      <c r="X141" s="4"/>
    </row>
    <row r="142" spans="2:24" x14ac:dyDescent="0.2">
      <c r="C142" s="3"/>
      <c r="G142" s="4"/>
      <c r="H142" s="3"/>
      <c r="S142" s="4"/>
      <c r="W142" s="4"/>
      <c r="X142" s="4"/>
    </row>
    <row r="143" spans="2:24" x14ac:dyDescent="0.2">
      <c r="C143" s="3"/>
      <c r="H143" s="3"/>
      <c r="S143" s="4"/>
      <c r="W143" s="4"/>
      <c r="X143" s="4"/>
    </row>
    <row r="144" spans="2:24" x14ac:dyDescent="0.2">
      <c r="C144" s="3"/>
      <c r="H144" s="3"/>
      <c r="S144" s="4"/>
      <c r="W144" s="4"/>
      <c r="X144" s="4"/>
    </row>
    <row r="145" spans="2:24" x14ac:dyDescent="0.2">
      <c r="B145" s="4"/>
      <c r="C145" s="4"/>
      <c r="H145" s="4"/>
      <c r="S145" s="4"/>
      <c r="W145" s="4"/>
      <c r="X145" s="4"/>
    </row>
    <row r="146" spans="2:24" x14ac:dyDescent="0.2">
      <c r="C146" s="152"/>
      <c r="H146" s="4"/>
      <c r="S146" s="4"/>
      <c r="W146" s="4"/>
      <c r="X146" s="4"/>
    </row>
    <row r="147" spans="2:24" x14ac:dyDescent="0.2">
      <c r="H147" s="4"/>
      <c r="S147" s="4"/>
      <c r="W147" s="4"/>
      <c r="X147" s="4"/>
    </row>
    <row r="148" spans="2:24" x14ac:dyDescent="0.2">
      <c r="C148" s="6"/>
      <c r="H148" s="4"/>
      <c r="S148" s="4"/>
      <c r="W148" s="4"/>
      <c r="X148" s="4"/>
    </row>
    <row r="149" spans="2:24" x14ac:dyDescent="0.2">
      <c r="C149" s="6"/>
      <c r="H149" s="4"/>
      <c r="S149" s="4"/>
      <c r="W149" s="4"/>
      <c r="X149" s="4"/>
    </row>
    <row r="150" spans="2:24" x14ac:dyDescent="0.2">
      <c r="C150" s="159"/>
      <c r="H150" s="4"/>
      <c r="S150" s="4"/>
      <c r="W150" s="4"/>
      <c r="X150" s="4"/>
    </row>
    <row r="151" spans="2:24" x14ac:dyDescent="0.2">
      <c r="C151" s="47"/>
      <c r="H151" s="4"/>
      <c r="S151" s="4"/>
      <c r="W151" s="4"/>
      <c r="X151" s="4"/>
    </row>
    <row r="152" spans="2:24" x14ac:dyDescent="0.2">
      <c r="C152" s="159"/>
      <c r="H152" s="31"/>
      <c r="S152" s="4"/>
      <c r="W152" s="4"/>
      <c r="X152" s="4"/>
    </row>
    <row r="153" spans="2:24" x14ac:dyDescent="0.2">
      <c r="B153" s="4"/>
      <c r="C153" s="12"/>
      <c r="H153" s="31"/>
      <c r="S153" s="4"/>
      <c r="W153" s="4"/>
      <c r="X153" s="4"/>
    </row>
    <row r="154" spans="2:24" x14ac:dyDescent="0.2">
      <c r="C154" s="6"/>
      <c r="H154" s="31"/>
      <c r="S154" s="4"/>
      <c r="W154" s="4"/>
      <c r="X154" s="4"/>
    </row>
    <row r="155" spans="2:24" x14ac:dyDescent="0.2">
      <c r="C155" s="159"/>
      <c r="H155" s="31"/>
      <c r="S155" s="4"/>
      <c r="W155" s="4"/>
      <c r="X155" s="4"/>
    </row>
    <row r="156" spans="2:24" x14ac:dyDescent="0.2">
      <c r="C156" s="6"/>
      <c r="H156" s="2"/>
      <c r="S156" s="4"/>
      <c r="W156" s="4"/>
      <c r="X156" s="4"/>
    </row>
    <row r="157" spans="2:24" x14ac:dyDescent="0.2">
      <c r="C157" s="47"/>
      <c r="H157" s="2"/>
      <c r="S157" s="4"/>
      <c r="W157" s="4"/>
      <c r="X157" s="4"/>
    </row>
    <row r="158" spans="2:24" x14ac:dyDescent="0.2">
      <c r="C158" s="47"/>
      <c r="H158" s="2"/>
      <c r="S158" s="4"/>
      <c r="W158" s="4"/>
      <c r="X158" s="4"/>
    </row>
    <row r="159" spans="2:24" x14ac:dyDescent="0.2">
      <c r="H159" s="4"/>
      <c r="S159" s="4"/>
      <c r="W159" s="4"/>
      <c r="X159" s="4"/>
    </row>
    <row r="160" spans="2:24" x14ac:dyDescent="0.2">
      <c r="C160" s="152"/>
      <c r="H160" s="4"/>
      <c r="S160" s="4"/>
      <c r="W160" s="4"/>
      <c r="X160" s="4"/>
    </row>
    <row r="161" spans="2:24" x14ac:dyDescent="0.2">
      <c r="C161" s="47"/>
      <c r="H161" s="4"/>
      <c r="S161" s="4"/>
      <c r="W161" s="4"/>
      <c r="X161" s="4"/>
    </row>
    <row r="162" spans="2:24" x14ac:dyDescent="0.2">
      <c r="C162" s="152"/>
      <c r="H162" s="4"/>
      <c r="S162" s="4"/>
      <c r="W162" s="4"/>
      <c r="X162" s="4"/>
    </row>
    <row r="163" spans="2:24" x14ac:dyDescent="0.2">
      <c r="C163" s="47"/>
      <c r="H163" s="4"/>
      <c r="S163" s="4"/>
      <c r="W163" s="4"/>
      <c r="X163" s="4"/>
    </row>
    <row r="164" spans="2:24" x14ac:dyDescent="0.2">
      <c r="C164" s="47"/>
      <c r="H164" s="4"/>
      <c r="S164" s="4"/>
      <c r="W164" s="4"/>
      <c r="X164" s="4"/>
    </row>
    <row r="165" spans="2:24" x14ac:dyDescent="0.2">
      <c r="C165" s="47"/>
      <c r="H165" s="4"/>
      <c r="S165" s="4"/>
      <c r="W165" s="4"/>
      <c r="X165" s="4"/>
    </row>
    <row r="166" spans="2:24" x14ac:dyDescent="0.2">
      <c r="C166" s="47"/>
      <c r="H166" s="4"/>
      <c r="S166" s="4"/>
      <c r="W166" s="4"/>
      <c r="X166" s="4"/>
    </row>
    <row r="167" spans="2:24" x14ac:dyDescent="0.2">
      <c r="H167" s="4"/>
      <c r="S167" s="4"/>
      <c r="W167" s="4"/>
      <c r="X167" s="4"/>
    </row>
    <row r="168" spans="2:24" x14ac:dyDescent="0.2">
      <c r="H168" s="4"/>
      <c r="S168" s="4"/>
      <c r="W168" s="4"/>
      <c r="X168" s="4"/>
    </row>
    <row r="169" spans="2:24" x14ac:dyDescent="0.2">
      <c r="H169" s="4"/>
      <c r="S169" s="4"/>
      <c r="W169" s="4"/>
      <c r="X169" s="4"/>
    </row>
    <row r="170" spans="2:24" x14ac:dyDescent="0.2">
      <c r="C170" s="47"/>
      <c r="H170" s="4"/>
      <c r="S170" s="4"/>
      <c r="W170" s="4"/>
      <c r="X170" s="4"/>
    </row>
    <row r="171" spans="2:24" ht="15" x14ac:dyDescent="0.25">
      <c r="B171" s="1"/>
      <c r="C171" s="4"/>
      <c r="H171" s="4"/>
      <c r="S171" s="4"/>
      <c r="W171" s="4"/>
      <c r="X171" s="4"/>
    </row>
    <row r="172" spans="2:24" x14ac:dyDescent="0.2">
      <c r="B172" s="4"/>
      <c r="C172" s="4"/>
      <c r="H172" s="4"/>
      <c r="S172" s="4"/>
      <c r="W172" s="4"/>
      <c r="X172" s="4"/>
    </row>
    <row r="173" spans="2:24" x14ac:dyDescent="0.2">
      <c r="B173" s="4"/>
      <c r="C173" s="4"/>
      <c r="H173" s="4"/>
      <c r="S173" s="4"/>
      <c r="W173" s="4"/>
      <c r="X173" s="4"/>
    </row>
    <row r="174" spans="2:24" x14ac:dyDescent="0.2">
      <c r="B174" s="4"/>
      <c r="C174" s="4"/>
      <c r="H174" s="4"/>
      <c r="S174" s="4"/>
      <c r="W174" s="4"/>
      <c r="X174" s="4"/>
    </row>
    <row r="175" spans="2:24" x14ac:dyDescent="0.2">
      <c r="B175" s="4"/>
      <c r="C175" s="4"/>
      <c r="H175" s="4"/>
      <c r="S175" s="4"/>
      <c r="W175" s="4"/>
      <c r="X175" s="4"/>
    </row>
    <row r="176" spans="2:24" x14ac:dyDescent="0.2">
      <c r="B176" s="4"/>
      <c r="C176" s="4"/>
      <c r="H176" s="4"/>
      <c r="S176" s="4"/>
      <c r="W176" s="4"/>
      <c r="X176" s="4"/>
    </row>
    <row r="177" spans="2:24" x14ac:dyDescent="0.2">
      <c r="B177" s="4"/>
      <c r="C177" s="4"/>
      <c r="H177" s="4"/>
      <c r="S177" s="4"/>
      <c r="W177" s="4"/>
      <c r="X177" s="4"/>
    </row>
    <row r="178" spans="2:24" x14ac:dyDescent="0.2">
      <c r="B178" s="4"/>
      <c r="C178" s="4"/>
      <c r="H178" s="4"/>
      <c r="S178" s="4"/>
      <c r="W178" s="4"/>
      <c r="X178" s="4"/>
    </row>
    <row r="179" spans="2:24" x14ac:dyDescent="0.2">
      <c r="B179" s="4"/>
      <c r="C179" s="4"/>
      <c r="H179" s="4"/>
      <c r="S179" s="4"/>
      <c r="W179" s="4"/>
      <c r="X179" s="4"/>
    </row>
    <row r="180" spans="2:24" x14ac:dyDescent="0.2">
      <c r="B180" s="4"/>
      <c r="C180" s="4"/>
      <c r="H180" s="4"/>
      <c r="S180" s="4"/>
      <c r="W180" s="4"/>
      <c r="X180" s="4"/>
    </row>
    <row r="181" spans="2:24" x14ac:dyDescent="0.2">
      <c r="B181" s="4"/>
      <c r="C181" s="4"/>
      <c r="H181" s="4"/>
      <c r="S181" s="4"/>
      <c r="W181" s="4"/>
      <c r="X181" s="4"/>
    </row>
    <row r="182" spans="2:24" x14ac:dyDescent="0.2">
      <c r="B182" s="4"/>
      <c r="C182" s="4"/>
      <c r="H182" s="4"/>
      <c r="S182" s="4"/>
      <c r="W182" s="4"/>
      <c r="X182" s="4"/>
    </row>
    <row r="183" spans="2:24" x14ac:dyDescent="0.2">
      <c r="B183" s="4"/>
      <c r="C183" s="4"/>
      <c r="H183" s="4"/>
      <c r="S183" s="4"/>
      <c r="W183" s="4"/>
      <c r="X183" s="4"/>
    </row>
    <row r="184" spans="2:24" x14ac:dyDescent="0.2">
      <c r="B184" s="4"/>
      <c r="C184" s="4"/>
      <c r="H184" s="4"/>
      <c r="S184" s="4"/>
      <c r="W184" s="4"/>
      <c r="X184" s="4"/>
    </row>
    <row r="185" spans="2:24" x14ac:dyDescent="0.2">
      <c r="B185" s="4"/>
      <c r="C185" s="4"/>
      <c r="H185" s="4"/>
      <c r="S185" s="4"/>
      <c r="W185" s="4"/>
      <c r="X185" s="4"/>
    </row>
    <row r="186" spans="2:24" ht="15" x14ac:dyDescent="0.25">
      <c r="B186" s="84"/>
      <c r="C186" s="4"/>
      <c r="H186" s="4"/>
      <c r="S186" s="4"/>
      <c r="W186" s="4"/>
      <c r="X186" s="4"/>
    </row>
    <row r="187" spans="2:24" x14ac:dyDescent="0.2">
      <c r="B187" s="3"/>
      <c r="C187" s="3"/>
      <c r="H187" s="4"/>
      <c r="S187" s="4"/>
      <c r="W187" s="4"/>
      <c r="X187" s="4"/>
    </row>
    <row r="188" spans="2:24" x14ac:dyDescent="0.2">
      <c r="B188" s="3"/>
      <c r="C188" s="3"/>
      <c r="D188" s="41"/>
      <c r="H188" s="4"/>
      <c r="S188" s="4"/>
      <c r="W188" s="4"/>
      <c r="X188" s="4"/>
    </row>
    <row r="189" spans="2:24" x14ac:dyDescent="0.2">
      <c r="B189" s="3"/>
      <c r="C189" s="3"/>
      <c r="D189" s="41"/>
      <c r="H189" s="4"/>
      <c r="S189" s="4"/>
      <c r="W189" s="4"/>
      <c r="X189" s="4"/>
    </row>
    <row r="190" spans="2:24" x14ac:dyDescent="0.2">
      <c r="B190" s="3"/>
      <c r="C190" s="3"/>
      <c r="D190" s="41"/>
      <c r="H190" s="4"/>
      <c r="S190" s="4"/>
      <c r="W190" s="4"/>
      <c r="X190" s="4"/>
    </row>
    <row r="191" spans="2:24" x14ac:dyDescent="0.2">
      <c r="B191" s="3"/>
      <c r="C191" s="3"/>
      <c r="D191" s="41"/>
      <c r="H191" s="4"/>
      <c r="S191" s="4"/>
      <c r="W191" s="4"/>
      <c r="X191" s="4"/>
    </row>
    <row r="192" spans="2:24" x14ac:dyDescent="0.2">
      <c r="B192" s="3"/>
      <c r="C192" s="3"/>
      <c r="D192" s="41"/>
      <c r="H192" s="4"/>
      <c r="S192" s="4"/>
      <c r="W192" s="4"/>
      <c r="X192" s="4"/>
    </row>
    <row r="193" spans="1:24" x14ac:dyDescent="0.2">
      <c r="B193" s="3"/>
      <c r="C193" s="3"/>
      <c r="D193" s="41"/>
      <c r="H193" s="4"/>
      <c r="S193" s="4"/>
      <c r="W193" s="4"/>
      <c r="X193" s="4"/>
    </row>
    <row r="194" spans="1:24" x14ac:dyDescent="0.2">
      <c r="B194" s="3"/>
      <c r="C194" s="3"/>
      <c r="H194" s="4"/>
      <c r="S194" s="4"/>
      <c r="W194" s="4"/>
      <c r="X194" s="4"/>
    </row>
    <row r="195" spans="1:24" x14ac:dyDescent="0.2">
      <c r="B195" s="3"/>
      <c r="C195" s="3"/>
      <c r="H195" s="4"/>
      <c r="S195" s="4"/>
      <c r="W195" s="4"/>
      <c r="X195" s="4"/>
    </row>
    <row r="196" spans="1:24" x14ac:dyDescent="0.2">
      <c r="B196" s="3"/>
      <c r="C196" s="3"/>
      <c r="H196" s="4"/>
      <c r="S196" s="4"/>
      <c r="W196" s="4"/>
      <c r="X196" s="4"/>
    </row>
    <row r="197" spans="1:24" ht="15" customHeight="1" x14ac:dyDescent="0.2">
      <c r="B197" s="41"/>
      <c r="C197" s="3"/>
      <c r="H197" s="4"/>
      <c r="S197" s="4"/>
      <c r="W197" s="4"/>
      <c r="X197" s="4"/>
    </row>
    <row r="198" spans="1:24" x14ac:dyDescent="0.2">
      <c r="B198" s="3"/>
      <c r="C198" s="3"/>
      <c r="H198" s="4"/>
      <c r="S198" s="4"/>
      <c r="W198" s="4"/>
      <c r="X198" s="4"/>
    </row>
    <row r="199" spans="1:24" x14ac:dyDescent="0.2">
      <c r="B199" s="3"/>
      <c r="C199" s="3"/>
      <c r="H199" s="4"/>
      <c r="S199" s="4"/>
      <c r="W199" s="4"/>
      <c r="X199" s="4"/>
    </row>
    <row r="200" spans="1:24" x14ac:dyDescent="0.2">
      <c r="C200" s="3"/>
      <c r="H200" s="4"/>
      <c r="S200" s="4"/>
      <c r="W200" s="4"/>
      <c r="X200" s="4"/>
    </row>
    <row r="201" spans="1:24" ht="15" x14ac:dyDescent="0.25">
      <c r="A201" s="1"/>
      <c r="C201" s="4"/>
      <c r="H201" s="4"/>
      <c r="S201" s="4"/>
      <c r="W201" s="4"/>
      <c r="X201" s="4"/>
    </row>
    <row r="202" spans="1:24" x14ac:dyDescent="0.2">
      <c r="A202" s="66"/>
      <c r="C202" s="47"/>
      <c r="H202" s="4"/>
      <c r="Q202" s="4"/>
      <c r="R202" s="4"/>
      <c r="S202" s="4"/>
      <c r="W202" s="4"/>
      <c r="X202" s="4"/>
    </row>
    <row r="203" spans="1:24" x14ac:dyDescent="0.2">
      <c r="C203" s="47"/>
      <c r="E203" s="2"/>
      <c r="G203" s="4"/>
      <c r="H203" s="4"/>
      <c r="Q203" s="4"/>
      <c r="R203" s="4"/>
      <c r="S203" s="4"/>
      <c r="W203" s="4"/>
      <c r="X203" s="4"/>
    </row>
    <row r="204" spans="1:24" x14ac:dyDescent="0.2">
      <c r="C204" s="47"/>
      <c r="E204" s="2"/>
      <c r="G204" s="4"/>
      <c r="H204" s="4"/>
      <c r="Q204" s="4"/>
      <c r="R204" s="4"/>
      <c r="S204" s="4"/>
      <c r="W204" s="4"/>
      <c r="X204" s="4"/>
    </row>
    <row r="205" spans="1:24" x14ac:dyDescent="0.2">
      <c r="C205" s="47"/>
      <c r="E205" s="2"/>
      <c r="G205" s="4"/>
      <c r="H205" s="4"/>
      <c r="Q205" s="4"/>
      <c r="R205" s="4"/>
      <c r="S205" s="4"/>
      <c r="W205" s="4"/>
      <c r="X205" s="4"/>
    </row>
    <row r="206" spans="1:24" x14ac:dyDescent="0.2">
      <c r="C206" s="47"/>
      <c r="E206" s="2"/>
      <c r="G206" s="4"/>
      <c r="H206" s="4"/>
      <c r="Q206" s="4"/>
      <c r="R206" s="4"/>
      <c r="S206" s="4"/>
      <c r="W206" s="4"/>
      <c r="X206" s="4"/>
    </row>
    <row r="207" spans="1:24" ht="15" x14ac:dyDescent="0.25">
      <c r="A207" s="39"/>
      <c r="B207" s="57"/>
      <c r="C207" s="154"/>
      <c r="D207" s="39"/>
      <c r="E207" s="2"/>
      <c r="G207" s="4"/>
      <c r="H207" s="4"/>
      <c r="Q207" s="4"/>
      <c r="R207" s="4"/>
      <c r="S207" s="4"/>
      <c r="W207" s="4"/>
      <c r="X207" s="4"/>
    </row>
    <row r="208" spans="1:24" x14ac:dyDescent="0.2">
      <c r="C208" s="47"/>
      <c r="E208" s="2"/>
      <c r="G208" s="4"/>
      <c r="H208" s="4"/>
      <c r="Q208" s="4"/>
      <c r="R208" s="4"/>
      <c r="S208" s="4"/>
      <c r="W208" s="4"/>
      <c r="X208" s="4"/>
    </row>
    <row r="209" spans="2:24" x14ac:dyDescent="0.2">
      <c r="C209" s="160"/>
      <c r="E209" s="2"/>
      <c r="G209" s="4"/>
      <c r="H209" s="4"/>
      <c r="Q209" s="4"/>
      <c r="R209" s="4"/>
      <c r="S209" s="4"/>
      <c r="W209" s="4"/>
      <c r="X209" s="4"/>
    </row>
    <row r="210" spans="2:24" x14ac:dyDescent="0.2">
      <c r="C210" s="47"/>
      <c r="E210" s="2"/>
      <c r="G210" s="4"/>
      <c r="H210" s="4"/>
      <c r="Q210" s="4"/>
      <c r="R210" s="4"/>
      <c r="S210" s="4"/>
      <c r="W210" s="4"/>
      <c r="X210" s="4"/>
    </row>
    <row r="211" spans="2:24" ht="15" x14ac:dyDescent="0.25">
      <c r="B211" s="57"/>
      <c r="C211" s="154"/>
      <c r="D211" s="39"/>
      <c r="E211" s="2"/>
      <c r="G211" s="4"/>
      <c r="H211" s="4"/>
      <c r="Q211" s="4"/>
      <c r="R211" s="4"/>
      <c r="S211" s="4"/>
      <c r="W211" s="4"/>
      <c r="X211" s="4"/>
    </row>
    <row r="212" spans="2:24" x14ac:dyDescent="0.2">
      <c r="C212" s="47"/>
      <c r="E212" s="2"/>
      <c r="G212" s="4"/>
      <c r="H212" s="4"/>
      <c r="Q212" s="4"/>
      <c r="R212" s="4"/>
      <c r="S212" s="4"/>
      <c r="W212" s="4"/>
      <c r="X212" s="4"/>
    </row>
    <row r="213" spans="2:24" x14ac:dyDescent="0.2">
      <c r="C213" s="160"/>
      <c r="E213" s="2"/>
      <c r="G213" s="4"/>
      <c r="H213" s="4"/>
      <c r="Q213" s="4"/>
      <c r="R213" s="4"/>
      <c r="S213" s="4"/>
      <c r="W213" s="4"/>
      <c r="X213" s="4"/>
    </row>
    <row r="214" spans="2:24" x14ac:dyDescent="0.2">
      <c r="C214" s="47"/>
      <c r="E214" s="2"/>
      <c r="G214" s="4"/>
      <c r="H214" s="4"/>
      <c r="Q214" s="4"/>
      <c r="R214" s="4"/>
      <c r="S214" s="4"/>
      <c r="W214" s="4"/>
      <c r="X214" s="4"/>
    </row>
    <row r="215" spans="2:24" ht="15" x14ac:dyDescent="0.25">
      <c r="B215" s="57"/>
      <c r="C215" s="154"/>
      <c r="D215" s="39"/>
      <c r="E215" s="2"/>
      <c r="G215" s="4"/>
      <c r="H215" s="4"/>
      <c r="Q215" s="4"/>
      <c r="R215" s="4"/>
      <c r="S215" s="4"/>
      <c r="W215" s="4"/>
      <c r="X215" s="4"/>
    </row>
    <row r="216" spans="2:24" x14ac:dyDescent="0.2">
      <c r="C216" s="47"/>
      <c r="E216" s="2"/>
      <c r="G216" s="4"/>
      <c r="H216" s="4"/>
      <c r="Q216" s="4"/>
      <c r="R216" s="4"/>
      <c r="S216" s="4"/>
      <c r="W216" s="4"/>
      <c r="X216" s="4"/>
    </row>
    <row r="217" spans="2:24" x14ac:dyDescent="0.2">
      <c r="C217" s="160"/>
      <c r="E217" s="2"/>
      <c r="G217" s="4"/>
      <c r="H217" s="4"/>
      <c r="Q217" s="4"/>
      <c r="R217" s="4"/>
      <c r="S217" s="4"/>
      <c r="W217" s="4"/>
      <c r="X217" s="4"/>
    </row>
    <row r="218" spans="2:24" x14ac:dyDescent="0.2">
      <c r="C218" s="47"/>
      <c r="E218" s="2"/>
      <c r="G218" s="4"/>
      <c r="H218" s="4"/>
      <c r="Q218" s="4"/>
      <c r="R218" s="4"/>
      <c r="S218" s="4"/>
      <c r="W218" s="4"/>
      <c r="X218" s="4"/>
    </row>
    <row r="219" spans="2:24" ht="15" x14ac:dyDescent="0.25">
      <c r="B219" s="57"/>
      <c r="C219" s="154"/>
      <c r="D219" s="39"/>
      <c r="E219" s="2"/>
      <c r="G219" s="4"/>
      <c r="H219" s="4"/>
      <c r="Q219" s="4"/>
      <c r="R219" s="4"/>
      <c r="S219" s="4"/>
      <c r="W219" s="4"/>
      <c r="X219" s="4"/>
    </row>
    <row r="220" spans="2:24" x14ac:dyDescent="0.2">
      <c r="C220" s="47"/>
      <c r="E220" s="2"/>
      <c r="G220" s="4"/>
      <c r="H220" s="4"/>
      <c r="Q220" s="4"/>
      <c r="R220" s="4"/>
      <c r="S220" s="4"/>
      <c r="W220" s="4"/>
      <c r="X220" s="4"/>
    </row>
    <row r="221" spans="2:24" x14ac:dyDescent="0.2">
      <c r="C221" s="160"/>
      <c r="E221" s="2"/>
      <c r="G221" s="4"/>
      <c r="H221" s="4"/>
      <c r="Q221" s="4"/>
      <c r="R221" s="4"/>
      <c r="S221" s="4"/>
      <c r="W221" s="4"/>
      <c r="X221" s="4"/>
    </row>
    <row r="222" spans="2:24" x14ac:dyDescent="0.2">
      <c r="C222" s="47"/>
      <c r="E222" s="2"/>
      <c r="G222" s="4"/>
      <c r="H222" s="4"/>
      <c r="Q222" s="4"/>
      <c r="R222" s="4"/>
      <c r="S222" s="4"/>
      <c r="W222" s="4"/>
      <c r="X222" s="4"/>
    </row>
    <row r="223" spans="2:24" ht="15" x14ac:dyDescent="0.25">
      <c r="B223" s="57"/>
      <c r="C223" s="154"/>
      <c r="D223" s="39"/>
      <c r="E223" s="2"/>
      <c r="G223" s="4"/>
      <c r="H223" s="4"/>
      <c r="Q223" s="4"/>
      <c r="R223" s="4"/>
      <c r="S223" s="4"/>
      <c r="W223" s="4"/>
      <c r="X223" s="4"/>
    </row>
    <row r="224" spans="2:24" x14ac:dyDescent="0.2">
      <c r="C224" s="47"/>
      <c r="E224" s="2"/>
      <c r="G224" s="4"/>
      <c r="H224" s="4"/>
      <c r="Q224" s="4"/>
      <c r="R224" s="4"/>
      <c r="S224" s="4"/>
      <c r="W224" s="4"/>
      <c r="X224" s="4"/>
    </row>
    <row r="225" spans="2:24" x14ac:dyDescent="0.2">
      <c r="C225" s="160"/>
      <c r="E225" s="2"/>
      <c r="G225" s="4"/>
      <c r="H225" s="4"/>
      <c r="Q225" s="4"/>
      <c r="R225" s="4"/>
      <c r="S225" s="4"/>
      <c r="W225" s="4"/>
      <c r="X225" s="4"/>
    </row>
    <row r="226" spans="2:24" x14ac:dyDescent="0.2">
      <c r="C226" s="47"/>
      <c r="E226" s="2"/>
      <c r="G226" s="4"/>
      <c r="H226" s="4"/>
      <c r="Q226" s="4"/>
      <c r="R226" s="4"/>
      <c r="S226" s="4"/>
      <c r="W226" s="4"/>
      <c r="X226" s="4"/>
    </row>
    <row r="227" spans="2:24" ht="15" x14ac:dyDescent="0.25">
      <c r="B227" s="57"/>
      <c r="C227" s="154"/>
      <c r="D227" s="39"/>
      <c r="E227" s="2"/>
      <c r="G227" s="4"/>
      <c r="H227" s="3"/>
      <c r="Q227" s="4"/>
      <c r="R227" s="4"/>
      <c r="S227" s="4"/>
      <c r="W227" s="4"/>
      <c r="X227" s="4"/>
    </row>
    <row r="228" spans="2:24" x14ac:dyDescent="0.2">
      <c r="C228" s="47"/>
      <c r="E228" s="2"/>
      <c r="G228" s="3"/>
      <c r="H228" s="2"/>
      <c r="Q228" s="4"/>
      <c r="R228" s="4"/>
      <c r="S228" s="4"/>
      <c r="W228" s="4"/>
      <c r="X228" s="4"/>
    </row>
    <row r="229" spans="2:24" x14ac:dyDescent="0.2">
      <c r="C229" s="160"/>
      <c r="E229" s="2"/>
      <c r="F229" s="2"/>
      <c r="H229" s="3"/>
      <c r="Q229" s="4"/>
      <c r="R229" s="4"/>
      <c r="S229" s="4"/>
      <c r="W229" s="4"/>
      <c r="X229" s="4"/>
    </row>
    <row r="230" spans="2:24" x14ac:dyDescent="0.2">
      <c r="C230" s="47"/>
      <c r="E230" s="2"/>
      <c r="F230" s="3"/>
      <c r="G230" s="3"/>
      <c r="H230" s="8"/>
      <c r="Q230" s="4"/>
      <c r="R230" s="4"/>
      <c r="S230" s="4"/>
      <c r="W230" s="4"/>
      <c r="X230" s="4"/>
    </row>
    <row r="231" spans="2:24" ht="15" x14ac:dyDescent="0.25">
      <c r="B231" s="57"/>
      <c r="C231" s="154"/>
      <c r="D231" s="39"/>
      <c r="E231" s="2"/>
      <c r="F231" s="8"/>
      <c r="G231" s="8"/>
      <c r="H231" s="8"/>
      <c r="Q231" s="4"/>
      <c r="R231" s="4"/>
      <c r="S231" s="4"/>
      <c r="W231" s="4"/>
      <c r="X231" s="4"/>
    </row>
    <row r="232" spans="2:24" x14ac:dyDescent="0.2">
      <c r="C232" s="47"/>
      <c r="E232" s="2"/>
      <c r="F232" s="8"/>
      <c r="G232" s="8"/>
      <c r="H232" s="8"/>
      <c r="Q232" s="4"/>
      <c r="R232" s="4"/>
      <c r="S232" s="4"/>
      <c r="W232" s="4"/>
      <c r="X232" s="4"/>
    </row>
    <row r="233" spans="2:24" x14ac:dyDescent="0.2">
      <c r="E233" s="2"/>
      <c r="F233" s="8"/>
      <c r="G233" s="8"/>
      <c r="H233" s="8"/>
      <c r="Q233" s="4"/>
      <c r="R233" s="4"/>
      <c r="S233" s="4"/>
      <c r="W233" s="4"/>
      <c r="X233" s="4"/>
    </row>
    <row r="234" spans="2:24" x14ac:dyDescent="0.2">
      <c r="E234" s="2"/>
      <c r="F234" s="8"/>
      <c r="G234" s="8"/>
      <c r="H234" s="8"/>
      <c r="Q234" s="4"/>
      <c r="R234" s="4"/>
      <c r="S234" s="4"/>
      <c r="W234" s="4"/>
      <c r="X234" s="4"/>
    </row>
    <row r="235" spans="2:24" x14ac:dyDescent="0.2">
      <c r="E235" s="2"/>
      <c r="F235" s="8"/>
      <c r="G235" s="8"/>
      <c r="H235" s="8"/>
      <c r="Q235" s="4"/>
      <c r="R235" s="4"/>
      <c r="S235" s="4"/>
      <c r="W235" s="4"/>
      <c r="X235" s="4"/>
    </row>
    <row r="236" spans="2:24" x14ac:dyDescent="0.2">
      <c r="E236" s="2"/>
      <c r="F236" s="8"/>
      <c r="G236" s="8"/>
      <c r="H236" s="8"/>
      <c r="Q236" s="4"/>
      <c r="R236" s="4"/>
      <c r="S236" s="4"/>
      <c r="W236" s="4"/>
      <c r="X236" s="4"/>
    </row>
    <row r="237" spans="2:24" ht="15" x14ac:dyDescent="0.25">
      <c r="B237" s="1"/>
      <c r="E237" s="2"/>
      <c r="F237" s="8"/>
      <c r="G237" s="8"/>
      <c r="H237" s="8"/>
      <c r="Q237" s="4"/>
      <c r="R237" s="4"/>
      <c r="S237" s="4"/>
      <c r="W237" s="4"/>
      <c r="X237" s="4"/>
    </row>
    <row r="238" spans="2:24" x14ac:dyDescent="0.2">
      <c r="E238" s="2"/>
      <c r="F238" s="8"/>
      <c r="G238" s="8"/>
      <c r="H238" s="8"/>
      <c r="Q238" s="4"/>
      <c r="R238" s="4"/>
      <c r="S238" s="4"/>
      <c r="W238" s="4"/>
      <c r="X238" s="4"/>
    </row>
    <row r="239" spans="2:24" x14ac:dyDescent="0.2">
      <c r="E239" s="2"/>
      <c r="F239" s="8"/>
      <c r="G239" s="8"/>
      <c r="H239" s="8"/>
      <c r="Q239" s="4"/>
      <c r="R239" s="4"/>
      <c r="S239" s="4"/>
      <c r="W239" s="4"/>
      <c r="X239" s="4"/>
    </row>
    <row r="240" spans="2:24" x14ac:dyDescent="0.2">
      <c r="E240" s="2"/>
      <c r="F240" s="8"/>
      <c r="G240" s="8"/>
      <c r="H240" s="8"/>
      <c r="Q240" s="4"/>
      <c r="R240" s="4"/>
      <c r="S240" s="4"/>
      <c r="W240" s="4"/>
      <c r="X240" s="4"/>
    </row>
    <row r="241" spans="2:24" x14ac:dyDescent="0.2">
      <c r="E241" s="2"/>
      <c r="F241" s="8"/>
      <c r="G241" s="8"/>
      <c r="H241" s="8"/>
      <c r="Q241" s="4"/>
      <c r="R241" s="4"/>
      <c r="S241" s="4"/>
      <c r="W241" s="4"/>
      <c r="X241" s="4"/>
    </row>
    <row r="242" spans="2:24" x14ac:dyDescent="0.2">
      <c r="E242" s="2"/>
      <c r="F242" s="8"/>
      <c r="G242" s="8"/>
      <c r="H242" s="8"/>
      <c r="Q242" s="4"/>
      <c r="R242" s="4"/>
      <c r="S242" s="4"/>
      <c r="W242" s="4"/>
      <c r="X242" s="4"/>
    </row>
    <row r="243" spans="2:24" x14ac:dyDescent="0.2">
      <c r="E243" s="2"/>
      <c r="F243" s="8"/>
      <c r="G243" s="8"/>
      <c r="H243" s="8"/>
      <c r="Q243" s="4"/>
      <c r="R243" s="4"/>
      <c r="S243" s="4"/>
      <c r="W243" s="4"/>
      <c r="X243" s="4"/>
    </row>
    <row r="244" spans="2:24" x14ac:dyDescent="0.2">
      <c r="E244" s="2"/>
      <c r="F244" s="8"/>
      <c r="G244" s="8"/>
      <c r="H244" s="8"/>
      <c r="Q244" s="4"/>
      <c r="R244" s="4"/>
      <c r="S244" s="4"/>
      <c r="W244" s="4"/>
      <c r="X244" s="4"/>
    </row>
    <row r="245" spans="2:24" x14ac:dyDescent="0.2">
      <c r="E245" s="2"/>
      <c r="F245" s="8"/>
      <c r="G245" s="8"/>
      <c r="H245" s="8"/>
      <c r="Q245" s="4"/>
      <c r="R245" s="4"/>
      <c r="S245" s="4"/>
      <c r="W245" s="4"/>
      <c r="X245" s="4"/>
    </row>
    <row r="246" spans="2:24" x14ac:dyDescent="0.2">
      <c r="E246" s="2"/>
      <c r="F246" s="8"/>
      <c r="G246" s="8"/>
      <c r="H246" s="8"/>
      <c r="Q246" s="4"/>
      <c r="R246" s="4"/>
      <c r="S246" s="4"/>
      <c r="W246" s="4"/>
      <c r="X246" s="4"/>
    </row>
    <row r="247" spans="2:24" x14ac:dyDescent="0.2">
      <c r="E247" s="2"/>
      <c r="F247" s="8"/>
      <c r="G247" s="8"/>
      <c r="H247" s="8"/>
      <c r="Q247" s="4"/>
      <c r="R247" s="4"/>
      <c r="S247" s="4"/>
      <c r="W247" s="4"/>
      <c r="X247" s="4"/>
    </row>
    <row r="248" spans="2:24" x14ac:dyDescent="0.2">
      <c r="E248" s="2"/>
      <c r="F248" s="8"/>
      <c r="G248" s="8"/>
      <c r="H248" s="8"/>
      <c r="Q248" s="4"/>
      <c r="R248" s="4"/>
      <c r="S248" s="4"/>
      <c r="W248" s="4"/>
      <c r="X248" s="4"/>
    </row>
    <row r="249" spans="2:24" x14ac:dyDescent="0.2">
      <c r="E249" s="2"/>
      <c r="F249" s="8"/>
      <c r="G249" s="8"/>
      <c r="H249" s="8"/>
      <c r="Q249" s="4"/>
      <c r="R249" s="4"/>
      <c r="S249" s="4"/>
      <c r="W249" s="4"/>
      <c r="X249" s="4"/>
    </row>
    <row r="250" spans="2:24" x14ac:dyDescent="0.2">
      <c r="E250" s="2"/>
      <c r="F250" s="8"/>
      <c r="G250" s="8"/>
      <c r="H250" s="8"/>
      <c r="Q250" s="4"/>
      <c r="R250" s="4"/>
      <c r="S250" s="4"/>
      <c r="W250" s="4"/>
      <c r="X250" s="4"/>
    </row>
    <row r="251" spans="2:24" x14ac:dyDescent="0.2">
      <c r="E251" s="2"/>
      <c r="F251" s="8"/>
      <c r="G251" s="8"/>
      <c r="H251" s="8"/>
      <c r="Q251" s="4"/>
      <c r="R251" s="4"/>
      <c r="S251" s="4"/>
      <c r="W251" s="4"/>
      <c r="X251" s="4"/>
    </row>
    <row r="252" spans="2:24" x14ac:dyDescent="0.2">
      <c r="E252" s="2"/>
      <c r="F252" s="8"/>
      <c r="G252" s="8"/>
      <c r="H252" s="8"/>
      <c r="Q252" s="4"/>
      <c r="R252" s="4"/>
      <c r="S252" s="4"/>
      <c r="W252" s="4"/>
      <c r="X252" s="4"/>
    </row>
    <row r="253" spans="2:24" ht="15" x14ac:dyDescent="0.25">
      <c r="B253" s="84"/>
      <c r="E253" s="2"/>
      <c r="F253" s="8"/>
      <c r="G253" s="8"/>
      <c r="H253" s="8"/>
      <c r="Q253" s="4"/>
      <c r="R253" s="4"/>
      <c r="S253" s="4"/>
      <c r="W253" s="4"/>
      <c r="X253" s="4"/>
    </row>
    <row r="254" spans="2:24" x14ac:dyDescent="0.2">
      <c r="B254" s="4"/>
      <c r="C254" s="4"/>
      <c r="G254" s="4"/>
      <c r="H254" s="8"/>
      <c r="Q254" s="4"/>
      <c r="R254" s="4"/>
      <c r="S254" s="4"/>
      <c r="W254" s="4"/>
      <c r="X254" s="4"/>
    </row>
    <row r="255" spans="2:24" x14ac:dyDescent="0.2">
      <c r="B255" s="4"/>
      <c r="C255" s="4"/>
      <c r="D255" s="3"/>
      <c r="G255" s="4"/>
      <c r="H255" s="8"/>
      <c r="Q255" s="4"/>
      <c r="R255" s="4"/>
      <c r="S255" s="4"/>
      <c r="W255" s="4"/>
      <c r="X255" s="4"/>
    </row>
    <row r="256" spans="2:24" x14ac:dyDescent="0.2">
      <c r="B256" s="4"/>
      <c r="C256" s="4"/>
      <c r="D256" s="3"/>
      <c r="G256" s="4"/>
      <c r="H256" s="8"/>
      <c r="Q256" s="4"/>
      <c r="R256" s="4"/>
      <c r="S256" s="4"/>
      <c r="W256" s="4"/>
      <c r="X256" s="4"/>
    </row>
    <row r="257" spans="1:24" x14ac:dyDescent="0.2">
      <c r="B257" s="4"/>
      <c r="C257" s="4"/>
      <c r="D257" s="3"/>
      <c r="G257" s="4"/>
      <c r="H257" s="8"/>
      <c r="Q257" s="4"/>
      <c r="R257" s="4"/>
      <c r="S257" s="4"/>
      <c r="W257" s="4"/>
      <c r="X257" s="4"/>
    </row>
    <row r="258" spans="1:24" x14ac:dyDescent="0.2">
      <c r="B258" s="4"/>
      <c r="C258" s="4"/>
      <c r="D258" s="3"/>
      <c r="G258" s="4"/>
      <c r="H258" s="8"/>
      <c r="Q258" s="4"/>
      <c r="R258" s="4"/>
      <c r="S258" s="4"/>
      <c r="W258" s="4"/>
      <c r="X258" s="4"/>
    </row>
    <row r="259" spans="1:24" x14ac:dyDescent="0.2">
      <c r="B259" s="4"/>
      <c r="C259" s="4"/>
      <c r="D259" s="3"/>
      <c r="G259" s="4"/>
      <c r="H259" s="8"/>
      <c r="Q259" s="4"/>
      <c r="R259" s="4"/>
      <c r="S259" s="4"/>
      <c r="W259" s="4"/>
      <c r="X259" s="4"/>
    </row>
    <row r="260" spans="1:24" x14ac:dyDescent="0.2">
      <c r="B260" s="4"/>
      <c r="C260" s="4"/>
      <c r="D260" s="3"/>
      <c r="G260" s="4"/>
      <c r="H260" s="8"/>
      <c r="Q260" s="4"/>
      <c r="R260" s="4"/>
      <c r="S260" s="4"/>
      <c r="W260" s="4"/>
      <c r="X260" s="4"/>
    </row>
    <row r="261" spans="1:24" x14ac:dyDescent="0.2">
      <c r="B261" s="4"/>
      <c r="C261" s="4"/>
      <c r="G261" s="4"/>
      <c r="H261" s="8"/>
      <c r="Q261" s="4"/>
      <c r="R261" s="4"/>
      <c r="S261" s="4"/>
      <c r="W261" s="4"/>
      <c r="X261" s="4"/>
    </row>
    <row r="262" spans="1:24" x14ac:dyDescent="0.2">
      <c r="B262" s="4"/>
      <c r="C262" s="4"/>
      <c r="G262" s="4"/>
      <c r="H262" s="8"/>
      <c r="Q262" s="4"/>
      <c r="R262" s="4"/>
      <c r="S262" s="4"/>
      <c r="W262" s="4"/>
      <c r="X262" s="4"/>
    </row>
    <row r="263" spans="1:24" x14ac:dyDescent="0.2">
      <c r="B263" s="4"/>
      <c r="C263" s="4"/>
      <c r="G263" s="4"/>
      <c r="H263" s="8"/>
      <c r="Q263" s="4"/>
      <c r="R263" s="4"/>
      <c r="S263" s="4"/>
      <c r="W263" s="4"/>
      <c r="X263" s="4"/>
    </row>
    <row r="264" spans="1:24" x14ac:dyDescent="0.2">
      <c r="B264" s="4"/>
      <c r="C264" s="4"/>
      <c r="G264" s="4"/>
      <c r="H264" s="8"/>
      <c r="Q264" s="4"/>
      <c r="R264" s="4"/>
      <c r="S264" s="4"/>
      <c r="W264" s="4"/>
      <c r="X264" s="4"/>
    </row>
    <row r="265" spans="1:24" x14ac:dyDescent="0.2">
      <c r="B265" s="4"/>
      <c r="C265" s="4"/>
      <c r="G265" s="4"/>
      <c r="H265" s="8"/>
      <c r="Q265" s="4"/>
      <c r="R265" s="4"/>
      <c r="S265" s="4"/>
      <c r="W265" s="4"/>
      <c r="X265" s="4"/>
    </row>
    <row r="266" spans="1:24" x14ac:dyDescent="0.2">
      <c r="B266" s="4"/>
      <c r="C266" s="4"/>
      <c r="G266" s="4"/>
      <c r="H266" s="8"/>
      <c r="Q266" s="4"/>
      <c r="R266" s="4"/>
      <c r="S266" s="4"/>
      <c r="W266" s="4"/>
      <c r="X266" s="4"/>
    </row>
    <row r="267" spans="1:24" x14ac:dyDescent="0.2">
      <c r="E267" s="2"/>
      <c r="F267" s="8"/>
      <c r="G267" s="8"/>
      <c r="H267" s="4"/>
      <c r="Q267" s="4"/>
      <c r="R267" s="4"/>
      <c r="S267" s="4"/>
      <c r="W267" s="4"/>
      <c r="X267" s="4"/>
    </row>
    <row r="268" spans="1:24" x14ac:dyDescent="0.2">
      <c r="A268" s="66"/>
      <c r="C268" s="47"/>
      <c r="E268" s="2"/>
      <c r="G268" s="4"/>
      <c r="H268" s="4"/>
      <c r="Q268" s="4"/>
      <c r="R268" s="4"/>
      <c r="S268" s="4"/>
      <c r="W268" s="4"/>
      <c r="X268" s="4"/>
    </row>
    <row r="269" spans="1:24" ht="18.75" x14ac:dyDescent="0.35">
      <c r="B269" s="63"/>
      <c r="C269" s="47"/>
      <c r="E269" s="2"/>
      <c r="G269" s="4"/>
      <c r="H269" s="4"/>
      <c r="Q269" s="4"/>
      <c r="R269" s="4"/>
      <c r="S269" s="4"/>
      <c r="W269" s="4"/>
      <c r="X269" s="4"/>
    </row>
    <row r="270" spans="1:24" ht="18.75" x14ac:dyDescent="0.35">
      <c r="B270" s="63"/>
      <c r="C270" s="47"/>
      <c r="E270" s="2"/>
      <c r="G270" s="4"/>
      <c r="H270" s="4"/>
      <c r="Q270" s="4"/>
      <c r="R270" s="4"/>
      <c r="S270" s="4"/>
      <c r="W270" s="4"/>
      <c r="X270" s="4"/>
    </row>
    <row r="271" spans="1:24" x14ac:dyDescent="0.2">
      <c r="C271" s="47"/>
      <c r="E271" s="2"/>
      <c r="G271" s="4"/>
      <c r="H271" s="4"/>
      <c r="Q271" s="4"/>
      <c r="R271" s="4"/>
      <c r="S271" s="4"/>
      <c r="W271" s="4"/>
      <c r="X271" s="4"/>
    </row>
    <row r="272" spans="1:24" ht="18.75" x14ac:dyDescent="0.35">
      <c r="B272" s="63"/>
      <c r="C272" s="47"/>
      <c r="E272" s="2"/>
      <c r="G272" s="4"/>
      <c r="H272" s="4"/>
      <c r="Q272" s="4"/>
      <c r="R272" s="4"/>
      <c r="S272" s="4"/>
      <c r="W272" s="4"/>
      <c r="X272" s="4"/>
    </row>
    <row r="273" spans="2:24" ht="15" x14ac:dyDescent="0.25">
      <c r="B273" s="57"/>
      <c r="C273" s="154"/>
      <c r="D273" s="39"/>
      <c r="E273" s="2"/>
      <c r="G273" s="4"/>
      <c r="H273" s="4"/>
      <c r="Q273" s="4"/>
      <c r="R273" s="4"/>
      <c r="S273" s="4"/>
      <c r="W273" s="4"/>
      <c r="X273" s="4"/>
    </row>
    <row r="274" spans="2:24" ht="18.75" x14ac:dyDescent="0.35">
      <c r="B274" s="63"/>
      <c r="C274" s="47"/>
      <c r="E274" s="2"/>
      <c r="G274" s="4"/>
      <c r="H274" s="4"/>
      <c r="Q274" s="4"/>
      <c r="R274" s="4"/>
      <c r="S274" s="4"/>
      <c r="W274" s="4"/>
      <c r="X274" s="4"/>
    </row>
    <row r="275" spans="2:24" ht="18.75" x14ac:dyDescent="0.35">
      <c r="B275" s="63"/>
      <c r="C275" s="160"/>
      <c r="E275" s="2"/>
      <c r="G275" s="4"/>
      <c r="H275" s="4"/>
      <c r="Q275" s="4"/>
      <c r="R275" s="4"/>
      <c r="S275" s="4"/>
      <c r="W275" s="4"/>
      <c r="X275" s="4"/>
    </row>
    <row r="276" spans="2:24" x14ac:dyDescent="0.2">
      <c r="C276" s="47"/>
      <c r="E276" s="2"/>
      <c r="G276" s="4"/>
      <c r="H276" s="4"/>
      <c r="Q276" s="4"/>
      <c r="R276" s="4"/>
      <c r="S276" s="4"/>
      <c r="W276" s="4"/>
      <c r="X276" s="4"/>
    </row>
    <row r="277" spans="2:24" ht="15" x14ac:dyDescent="0.25">
      <c r="B277" s="57"/>
      <c r="C277" s="154"/>
      <c r="D277" s="39"/>
      <c r="E277" s="2"/>
      <c r="G277" s="4"/>
      <c r="H277" s="4"/>
      <c r="Q277" s="4"/>
      <c r="R277" s="4"/>
      <c r="S277" s="4"/>
      <c r="W277" s="4"/>
      <c r="X277" s="4"/>
    </row>
    <row r="278" spans="2:24" ht="18.75" x14ac:dyDescent="0.35">
      <c r="B278" s="63"/>
      <c r="C278" s="47"/>
      <c r="E278" s="2"/>
      <c r="G278" s="4"/>
      <c r="H278" s="4"/>
      <c r="Q278" s="4"/>
      <c r="R278" s="4"/>
      <c r="S278" s="4"/>
      <c r="W278" s="4"/>
      <c r="X278" s="4"/>
    </row>
    <row r="279" spans="2:24" ht="18.75" x14ac:dyDescent="0.35">
      <c r="B279" s="63"/>
      <c r="C279" s="160"/>
      <c r="E279" s="2"/>
      <c r="G279" s="4"/>
      <c r="H279" s="4"/>
      <c r="Q279" s="4"/>
      <c r="R279" s="4"/>
      <c r="S279" s="4"/>
      <c r="W279" s="4"/>
      <c r="X279" s="4"/>
    </row>
    <row r="280" spans="2:24" x14ac:dyDescent="0.2">
      <c r="C280" s="47"/>
      <c r="E280" s="2"/>
      <c r="G280" s="4"/>
      <c r="H280" s="4"/>
      <c r="Q280" s="4"/>
      <c r="R280" s="4"/>
      <c r="S280" s="4"/>
      <c r="W280" s="4"/>
      <c r="X280" s="4"/>
    </row>
    <row r="281" spans="2:24" ht="15" x14ac:dyDescent="0.25">
      <c r="B281" s="57"/>
      <c r="C281" s="154"/>
      <c r="D281" s="39"/>
      <c r="E281" s="2"/>
      <c r="G281" s="4"/>
      <c r="H281" s="4"/>
      <c r="Q281" s="4"/>
      <c r="R281" s="4"/>
      <c r="S281" s="4"/>
      <c r="W281" s="4"/>
      <c r="X281" s="4"/>
    </row>
    <row r="282" spans="2:24" ht="18.75" x14ac:dyDescent="0.35">
      <c r="B282" s="63"/>
      <c r="C282" s="47"/>
      <c r="E282" s="2"/>
      <c r="G282" s="4"/>
      <c r="H282" s="4"/>
      <c r="Q282" s="4"/>
      <c r="R282" s="4"/>
      <c r="S282" s="4"/>
      <c r="W282" s="4"/>
      <c r="X282" s="4"/>
    </row>
    <row r="283" spans="2:24" x14ac:dyDescent="0.2">
      <c r="C283" s="160"/>
      <c r="E283" s="2"/>
      <c r="G283" s="4"/>
      <c r="H283" s="4"/>
      <c r="Q283" s="4"/>
      <c r="R283" s="4"/>
      <c r="S283" s="4"/>
      <c r="W283" s="4"/>
      <c r="X283" s="4"/>
    </row>
    <row r="284" spans="2:24" x14ac:dyDescent="0.2">
      <c r="C284" s="47"/>
      <c r="E284" s="2"/>
      <c r="G284" s="4"/>
      <c r="H284" s="4"/>
      <c r="Q284" s="4"/>
      <c r="R284" s="4"/>
      <c r="S284" s="4"/>
      <c r="W284" s="4"/>
      <c r="X284" s="4"/>
    </row>
    <row r="285" spans="2:24" ht="15" x14ac:dyDescent="0.25">
      <c r="B285" s="57"/>
      <c r="C285" s="154"/>
      <c r="D285" s="39"/>
      <c r="E285" s="2"/>
      <c r="G285" s="4"/>
      <c r="H285" s="4"/>
      <c r="Q285" s="4"/>
      <c r="R285" s="4"/>
      <c r="S285" s="4"/>
      <c r="W285" s="4"/>
      <c r="X285" s="4"/>
    </row>
    <row r="286" spans="2:24" x14ac:dyDescent="0.2">
      <c r="C286" s="47"/>
      <c r="E286" s="2"/>
      <c r="G286" s="4"/>
      <c r="H286" s="4"/>
      <c r="Q286" s="4"/>
      <c r="R286" s="4"/>
      <c r="S286" s="4"/>
      <c r="W286" s="4"/>
      <c r="X286" s="4"/>
    </row>
    <row r="287" spans="2:24" x14ac:dyDescent="0.2">
      <c r="C287" s="160"/>
      <c r="E287" s="2"/>
      <c r="G287" s="4"/>
      <c r="H287" s="4"/>
      <c r="Q287" s="4"/>
      <c r="R287" s="4"/>
      <c r="S287" s="4"/>
      <c r="W287" s="4"/>
      <c r="X287" s="4"/>
    </row>
    <row r="288" spans="2:24" x14ac:dyDescent="0.2">
      <c r="C288" s="47"/>
      <c r="E288" s="2"/>
      <c r="G288" s="4"/>
      <c r="H288" s="4"/>
      <c r="Q288" s="4"/>
      <c r="R288" s="4"/>
      <c r="S288" s="4"/>
      <c r="W288" s="4"/>
      <c r="X288" s="4"/>
    </row>
    <row r="289" spans="2:24" ht="15" x14ac:dyDescent="0.25">
      <c r="B289" s="57"/>
      <c r="C289" s="154"/>
      <c r="D289" s="39"/>
      <c r="E289" s="2"/>
      <c r="G289" s="4"/>
      <c r="H289" s="4"/>
      <c r="Q289" s="4"/>
      <c r="R289" s="4"/>
      <c r="S289" s="4"/>
      <c r="W289" s="4"/>
      <c r="X289" s="4"/>
    </row>
    <row r="290" spans="2:24" x14ac:dyDescent="0.2">
      <c r="C290" s="47"/>
      <c r="E290" s="2"/>
      <c r="G290" s="4"/>
      <c r="H290" s="4"/>
      <c r="Q290" s="4"/>
      <c r="R290" s="4"/>
      <c r="S290" s="4"/>
      <c r="W290" s="4"/>
      <c r="X290" s="4"/>
    </row>
    <row r="291" spans="2:24" ht="18.75" x14ac:dyDescent="0.35">
      <c r="B291" s="63"/>
      <c r="C291" s="160"/>
      <c r="E291" s="2"/>
      <c r="G291" s="4"/>
      <c r="H291" s="4"/>
      <c r="Q291" s="4"/>
      <c r="R291" s="4"/>
      <c r="S291" s="4"/>
      <c r="W291" s="4"/>
      <c r="X291" s="4"/>
    </row>
    <row r="292" spans="2:24" ht="18.75" x14ac:dyDescent="0.35">
      <c r="B292" s="63"/>
      <c r="C292" s="47"/>
      <c r="E292" s="2"/>
      <c r="G292" s="4"/>
      <c r="H292" s="4"/>
      <c r="Q292" s="4"/>
      <c r="R292" s="4"/>
      <c r="S292" s="4"/>
      <c r="W292" s="4"/>
      <c r="X292" s="4"/>
    </row>
    <row r="293" spans="2:24" ht="17.25" x14ac:dyDescent="0.3">
      <c r="B293" s="64"/>
      <c r="C293" s="154"/>
      <c r="D293" s="39"/>
      <c r="E293" s="2"/>
      <c r="F293" s="47"/>
      <c r="G293" s="4"/>
      <c r="H293" s="4"/>
      <c r="Q293" s="4"/>
      <c r="R293" s="4"/>
      <c r="S293" s="4"/>
      <c r="W293" s="4"/>
      <c r="X293" s="4"/>
    </row>
    <row r="294" spans="2:24" ht="18.75" x14ac:dyDescent="0.35">
      <c r="B294" s="63"/>
      <c r="C294" s="47"/>
      <c r="E294" s="2"/>
      <c r="G294" s="4"/>
      <c r="H294" s="4"/>
      <c r="Q294" s="4"/>
      <c r="R294" s="4"/>
      <c r="S294" s="4"/>
      <c r="W294" s="4"/>
      <c r="X294" s="4"/>
    </row>
    <row r="295" spans="2:24" ht="18.75" x14ac:dyDescent="0.35">
      <c r="B295" s="63"/>
      <c r="C295" s="160"/>
      <c r="E295" s="2"/>
      <c r="G295" s="4"/>
      <c r="H295" s="4"/>
      <c r="Q295" s="4"/>
      <c r="R295" s="4"/>
      <c r="S295" s="4"/>
      <c r="W295" s="4"/>
      <c r="X295" s="4"/>
    </row>
    <row r="296" spans="2:24" ht="18.75" x14ac:dyDescent="0.35">
      <c r="B296" s="63"/>
      <c r="C296" s="47"/>
      <c r="E296" s="2"/>
      <c r="G296" s="4"/>
      <c r="H296" s="4"/>
      <c r="Q296" s="4"/>
      <c r="R296" s="4"/>
      <c r="S296" s="4"/>
      <c r="W296" s="4"/>
      <c r="X296" s="4"/>
    </row>
    <row r="297" spans="2:24" ht="17.25" x14ac:dyDescent="0.3">
      <c r="B297" s="64"/>
      <c r="C297" s="154"/>
      <c r="D297" s="39"/>
      <c r="E297" s="2"/>
      <c r="G297" s="4"/>
      <c r="H297" s="4"/>
      <c r="Q297" s="4"/>
      <c r="R297" s="4"/>
      <c r="S297" s="4"/>
      <c r="W297" s="4"/>
      <c r="X297" s="4"/>
    </row>
    <row r="298" spans="2:24" ht="18.75" x14ac:dyDescent="0.35">
      <c r="B298" s="63"/>
      <c r="C298" s="47"/>
      <c r="E298" s="2"/>
      <c r="G298" s="4"/>
      <c r="H298" s="4"/>
      <c r="Q298" s="4"/>
      <c r="R298" s="4"/>
      <c r="S298" s="4"/>
      <c r="W298" s="4"/>
      <c r="X298" s="4"/>
    </row>
    <row r="299" spans="2:24" x14ac:dyDescent="0.2">
      <c r="E299" s="2"/>
      <c r="G299" s="4"/>
      <c r="H299" s="4"/>
      <c r="Q299" s="4"/>
      <c r="R299" s="4"/>
      <c r="S299" s="4"/>
      <c r="W299" s="4"/>
      <c r="X299" s="4"/>
    </row>
    <row r="300" spans="2:24" x14ac:dyDescent="0.2">
      <c r="E300" s="2"/>
      <c r="G300" s="4"/>
      <c r="H300" s="4"/>
      <c r="Q300" s="4"/>
      <c r="R300" s="4"/>
      <c r="S300" s="4"/>
      <c r="W300" s="4"/>
      <c r="X300" s="4"/>
    </row>
    <row r="301" spans="2:24" x14ac:dyDescent="0.2">
      <c r="E301" s="2"/>
      <c r="G301" s="4"/>
      <c r="H301" s="4"/>
      <c r="Q301" s="4"/>
      <c r="R301" s="4"/>
      <c r="S301" s="4"/>
      <c r="W301" s="4"/>
      <c r="X301" s="4"/>
    </row>
    <row r="302" spans="2:24" x14ac:dyDescent="0.2">
      <c r="E302" s="2"/>
      <c r="G302" s="4"/>
      <c r="H302" s="4"/>
      <c r="Q302" s="4"/>
      <c r="R302" s="4"/>
      <c r="S302" s="4"/>
      <c r="W302" s="4"/>
      <c r="X302" s="4"/>
    </row>
    <row r="303" spans="2:24" x14ac:dyDescent="0.2">
      <c r="C303" s="2"/>
      <c r="D303" s="2"/>
      <c r="E303" s="2"/>
      <c r="F303" s="2"/>
      <c r="G303" s="4"/>
      <c r="H303" s="4"/>
      <c r="Q303" s="4"/>
      <c r="R303" s="4"/>
      <c r="S303" s="4"/>
      <c r="W303" s="4"/>
      <c r="X303" s="4"/>
    </row>
    <row r="304" spans="2:24" x14ac:dyDescent="0.2">
      <c r="B304" s="3"/>
      <c r="C304" s="3"/>
      <c r="D304" s="3"/>
      <c r="E304" s="3"/>
      <c r="F304" s="3"/>
      <c r="G304" s="4"/>
      <c r="H304" s="4"/>
      <c r="Q304" s="4"/>
      <c r="R304" s="4"/>
      <c r="S304" s="4"/>
      <c r="W304" s="4"/>
      <c r="X304" s="4"/>
    </row>
    <row r="305" spans="1:24" x14ac:dyDescent="0.2">
      <c r="A305" s="2"/>
      <c r="B305" s="33"/>
      <c r="C305" s="33"/>
      <c r="D305" s="33"/>
      <c r="E305" s="33"/>
      <c r="F305" s="33"/>
      <c r="G305" s="4"/>
      <c r="H305" s="4"/>
      <c r="Q305" s="4"/>
      <c r="R305" s="4"/>
      <c r="S305" s="4"/>
      <c r="W305" s="4"/>
      <c r="X305" s="4"/>
    </row>
    <row r="306" spans="1:24" x14ac:dyDescent="0.2">
      <c r="A306" s="2"/>
      <c r="B306" s="33"/>
      <c r="C306" s="33"/>
      <c r="D306" s="33"/>
      <c r="E306" s="33"/>
      <c r="F306" s="33"/>
      <c r="G306" s="4"/>
      <c r="H306" s="4"/>
      <c r="Q306" s="4"/>
      <c r="R306" s="4"/>
      <c r="S306" s="4"/>
      <c r="W306" s="4"/>
      <c r="X306" s="4"/>
    </row>
    <row r="307" spans="1:24" x14ac:dyDescent="0.2">
      <c r="A307" s="2"/>
      <c r="B307" s="33"/>
      <c r="C307" s="33"/>
      <c r="D307" s="33"/>
      <c r="E307" s="33"/>
      <c r="F307" s="33"/>
      <c r="G307" s="4"/>
      <c r="H307" s="4"/>
      <c r="Q307" s="4"/>
      <c r="R307" s="4"/>
      <c r="S307" s="4"/>
      <c r="W307" s="4"/>
      <c r="X307" s="4"/>
    </row>
    <row r="308" spans="1:24" x14ac:dyDescent="0.2">
      <c r="A308" s="2"/>
      <c r="B308" s="33"/>
      <c r="C308" s="33"/>
      <c r="D308" s="33"/>
      <c r="E308" s="33"/>
      <c r="F308" s="33"/>
      <c r="G308" s="4"/>
      <c r="H308" s="4"/>
      <c r="Q308" s="4"/>
      <c r="R308" s="4"/>
      <c r="S308" s="4"/>
      <c r="W308" s="4"/>
      <c r="X308" s="4"/>
    </row>
    <row r="309" spans="1:24" x14ac:dyDescent="0.2">
      <c r="A309" s="2"/>
      <c r="B309" s="33"/>
      <c r="C309" s="33"/>
      <c r="D309" s="33"/>
      <c r="E309" s="33"/>
      <c r="F309" s="33"/>
      <c r="G309" s="4"/>
      <c r="H309" s="4"/>
    </row>
    <row r="310" spans="1:24" x14ac:dyDescent="0.2">
      <c r="H310" s="4"/>
    </row>
    <row r="318" spans="1:24" x14ac:dyDescent="0.2">
      <c r="H318" s="4"/>
    </row>
    <row r="319" spans="1:24" x14ac:dyDescent="0.2">
      <c r="H319" s="4"/>
    </row>
    <row r="320" spans="1:24" x14ac:dyDescent="0.2">
      <c r="H320" s="4"/>
    </row>
    <row r="321" spans="8:8" x14ac:dyDescent="0.2">
      <c r="H321" s="4"/>
    </row>
    <row r="322" spans="8:8" x14ac:dyDescent="0.2">
      <c r="H322" s="4"/>
    </row>
    <row r="323" spans="8:8" x14ac:dyDescent="0.2">
      <c r="H323" s="4"/>
    </row>
    <row r="324" spans="8:8" x14ac:dyDescent="0.2">
      <c r="H324" s="4"/>
    </row>
    <row r="325" spans="8:8" x14ac:dyDescent="0.2">
      <c r="H325" s="4"/>
    </row>
    <row r="326" spans="8:8" x14ac:dyDescent="0.2">
      <c r="H326" s="4"/>
    </row>
    <row r="327" spans="8:8" x14ac:dyDescent="0.2">
      <c r="H327" s="4"/>
    </row>
    <row r="328" spans="8:8" x14ac:dyDescent="0.2">
      <c r="H328" s="4"/>
    </row>
    <row r="329" spans="8:8" x14ac:dyDescent="0.2">
      <c r="H329" s="4"/>
    </row>
    <row r="330" spans="8:8" x14ac:dyDescent="0.2">
      <c r="H330" s="4"/>
    </row>
    <row r="331" spans="8:8" x14ac:dyDescent="0.2">
      <c r="H331" s="4"/>
    </row>
    <row r="332" spans="8:8" x14ac:dyDescent="0.2">
      <c r="H332" s="4"/>
    </row>
    <row r="333" spans="8:8" x14ac:dyDescent="0.2">
      <c r="H333" s="4"/>
    </row>
    <row r="359" spans="1:24" ht="15" x14ac:dyDescent="0.25">
      <c r="A359" s="1"/>
      <c r="I359" s="132"/>
      <c r="J359" s="35"/>
      <c r="K359" s="132"/>
      <c r="L359" s="132"/>
    </row>
    <row r="360" spans="1:24" s="81" customFormat="1" ht="36.75" customHeight="1" x14ac:dyDescent="0.2">
      <c r="A360" s="4"/>
      <c r="B360" s="2"/>
      <c r="C360" s="31"/>
      <c r="D360" s="4"/>
      <c r="E360" s="4"/>
      <c r="F360" s="4"/>
      <c r="G360" s="2"/>
      <c r="H360" s="47"/>
      <c r="I360" s="41"/>
      <c r="J360" s="3"/>
      <c r="K360" s="41"/>
      <c r="L360" s="41"/>
      <c r="M360" s="41"/>
      <c r="N360" s="3"/>
      <c r="O360" s="41"/>
      <c r="P360" s="41"/>
      <c r="Q360" s="3"/>
      <c r="R360" s="3"/>
      <c r="S360" s="35"/>
      <c r="T360" s="35"/>
      <c r="U360" s="35"/>
      <c r="V360" s="132"/>
      <c r="W360" s="35"/>
      <c r="X360" s="35"/>
    </row>
    <row r="361" spans="1:24" ht="15" x14ac:dyDescent="0.25">
      <c r="B361" s="74"/>
      <c r="C361" s="161"/>
      <c r="H361" s="83"/>
      <c r="M361" s="132"/>
      <c r="N361" s="35"/>
      <c r="O361" s="132"/>
      <c r="P361" s="132"/>
      <c r="Q361" s="35"/>
      <c r="R361" s="35"/>
    </row>
    <row r="362" spans="1:24" x14ac:dyDescent="0.2">
      <c r="A362" s="81"/>
      <c r="B362" s="34"/>
      <c r="C362" s="162"/>
      <c r="D362" s="81"/>
      <c r="E362" s="266"/>
      <c r="F362" s="266"/>
      <c r="G362" s="266"/>
    </row>
    <row r="363" spans="1:24" x14ac:dyDescent="0.2">
      <c r="C363" s="47"/>
      <c r="D363" s="3"/>
    </row>
    <row r="364" spans="1:24" x14ac:dyDescent="0.2">
      <c r="C364" s="47"/>
    </row>
    <row r="365" spans="1:24" ht="15" x14ac:dyDescent="0.25">
      <c r="A365" s="1"/>
      <c r="I365" s="132"/>
      <c r="J365" s="35"/>
      <c r="K365" s="132"/>
      <c r="L365" s="132"/>
    </row>
    <row r="366" spans="1:24" s="81" customFormat="1" ht="30.75" customHeight="1" x14ac:dyDescent="0.2">
      <c r="A366" s="4"/>
      <c r="B366" s="56"/>
      <c r="C366" s="31"/>
      <c r="D366" s="4"/>
      <c r="E366" s="4"/>
      <c r="F366" s="4"/>
      <c r="G366" s="2"/>
      <c r="H366" s="47"/>
      <c r="I366" s="41"/>
      <c r="J366" s="3"/>
      <c r="K366" s="41"/>
      <c r="L366" s="41"/>
      <c r="M366" s="41"/>
      <c r="N366" s="3"/>
      <c r="O366" s="41"/>
      <c r="P366" s="41"/>
      <c r="Q366" s="3"/>
      <c r="R366" s="3"/>
      <c r="S366" s="35"/>
      <c r="T366" s="35"/>
      <c r="U366" s="35"/>
      <c r="V366" s="132"/>
      <c r="W366" s="35"/>
      <c r="X366" s="35"/>
    </row>
    <row r="367" spans="1:24" x14ac:dyDescent="0.2">
      <c r="B367" s="56"/>
      <c r="H367" s="83"/>
      <c r="M367" s="132"/>
      <c r="N367" s="35"/>
      <c r="O367" s="132"/>
      <c r="P367" s="132"/>
      <c r="Q367" s="35"/>
      <c r="R367" s="35"/>
    </row>
    <row r="368" spans="1:24" x14ac:dyDescent="0.2">
      <c r="A368" s="81"/>
      <c r="B368" s="34"/>
      <c r="C368" s="149"/>
      <c r="D368" s="81"/>
      <c r="E368" s="266"/>
      <c r="F368" s="266"/>
      <c r="G368" s="266"/>
    </row>
    <row r="370" spans="3:7" ht="15" x14ac:dyDescent="0.25">
      <c r="C370" s="47"/>
      <c r="D370" s="41"/>
      <c r="E370" s="79"/>
      <c r="F370" s="79"/>
      <c r="G370" s="80"/>
    </row>
    <row r="371" spans="3:7" ht="31.5" customHeight="1" x14ac:dyDescent="0.2"/>
    <row r="373" spans="3:7" x14ac:dyDescent="0.2">
      <c r="C373" s="8"/>
    </row>
    <row r="375" spans="3:7" x14ac:dyDescent="0.2">
      <c r="C375" s="47"/>
    </row>
    <row r="376" spans="3:7" x14ac:dyDescent="0.2">
      <c r="C376" s="76"/>
    </row>
    <row r="377" spans="3:7" ht="36.75" customHeight="1" x14ac:dyDescent="0.2">
      <c r="C377" s="76"/>
    </row>
  </sheetData>
  <mergeCells count="54">
    <mergeCell ref="A44:A47"/>
    <mergeCell ref="C44:C47"/>
    <mergeCell ref="D44:D47"/>
    <mergeCell ref="M8:O8"/>
    <mergeCell ref="B29:B30"/>
    <mergeCell ref="A29:A30"/>
    <mergeCell ref="A19:A21"/>
    <mergeCell ref="B19:B21"/>
    <mergeCell ref="A2:A3"/>
    <mergeCell ref="B2:B3"/>
    <mergeCell ref="B44:B47"/>
    <mergeCell ref="E44:G47"/>
    <mergeCell ref="E362:G362"/>
    <mergeCell ref="E59:G59"/>
    <mergeCell ref="E60:G60"/>
    <mergeCell ref="E61:G61"/>
    <mergeCell ref="A66:A68"/>
    <mergeCell ref="A84:A86"/>
    <mergeCell ref="A120:A122"/>
    <mergeCell ref="E78:G78"/>
    <mergeCell ref="E79:G79"/>
    <mergeCell ref="E97:G97"/>
    <mergeCell ref="E95:G95"/>
    <mergeCell ref="E96:G96"/>
    <mergeCell ref="E368:G368"/>
    <mergeCell ref="B66:B68"/>
    <mergeCell ref="D66:D68"/>
    <mergeCell ref="C66:C68"/>
    <mergeCell ref="D102:D104"/>
    <mergeCell ref="E102:G104"/>
    <mergeCell ref="E120:G122"/>
    <mergeCell ref="B84:B86"/>
    <mergeCell ref="D84:D86"/>
    <mergeCell ref="C84:C86"/>
    <mergeCell ref="E66:G68"/>
    <mergeCell ref="E84:G86"/>
    <mergeCell ref="B120:B122"/>
    <mergeCell ref="C120:C122"/>
    <mergeCell ref="D120:D122"/>
    <mergeCell ref="E77:G77"/>
    <mergeCell ref="U24:U25"/>
    <mergeCell ref="U27:U28"/>
    <mergeCell ref="U19:U21"/>
    <mergeCell ref="U17:U18"/>
    <mergeCell ref="J16:J17"/>
    <mergeCell ref="J18:J19"/>
    <mergeCell ref="J23:J24"/>
    <mergeCell ref="J26:J27"/>
    <mergeCell ref="E113:G113"/>
    <mergeCell ref="E114:G114"/>
    <mergeCell ref="E115:G115"/>
    <mergeCell ref="A102:A104"/>
    <mergeCell ref="B102:B104"/>
    <mergeCell ref="C102:C104"/>
  </mergeCells>
  <conditionalFormatting sqref="D166">
    <cfRule type="containsText" dxfId="41" priority="7" operator="containsText" text="NG">
      <formula>NOT(ISERROR(SEARCH("NG",D166)))</formula>
    </cfRule>
    <cfRule type="containsText" dxfId="40" priority="8" operator="containsText" text="OK">
      <formula>NOT(ISERROR(SEARCH("OK",D166)))</formula>
    </cfRule>
  </conditionalFormatting>
  <conditionalFormatting sqref="D363">
    <cfRule type="containsText" dxfId="39" priority="5" operator="containsText" text="NG">
      <formula>NOT(ISERROR(SEARCH("NG",D363)))</formula>
    </cfRule>
    <cfRule type="containsText" dxfId="38" priority="6" operator="containsText" text="OK">
      <formula>NOT(ISERROR(SEARCH("OK",D363)))</formula>
    </cfRule>
  </conditionalFormatting>
  <conditionalFormatting sqref="D370:F370">
    <cfRule type="containsText" dxfId="37" priority="4" operator="containsText" text="Torsion">
      <formula>NOT(ISERROR(SEARCH("Torsion",D370)))</formula>
    </cfRule>
  </conditionalFormatting>
  <conditionalFormatting sqref="D370">
    <cfRule type="containsText" dxfId="36" priority="3" operator="containsText" text="NG">
      <formula>NOT(ISERROR(SEARCH("NG",D370)))</formula>
    </cfRule>
  </conditionalFormatting>
  <pageMargins left="0.7" right="0.7" top="0.8666666666666667" bottom="0.75" header="0.3" footer="0.3"/>
  <pageSetup scale="62" fitToHeight="0" orientation="portrait" r:id="rId1"/>
  <headerFooter>
    <oddHeader>&amp;L&amp;"Arial,Bold"&amp;20CBR
Street Light Pole Analysis</oddHeader>
  </headerFooter>
  <rowBreaks count="5" manualBreakCount="5">
    <brk id="87" max="6" man="1"/>
    <brk id="124" max="6" man="1"/>
    <brk id="198" max="6" man="1"/>
    <brk id="299" max="16383" man="1"/>
    <brk id="368" max="12" man="1"/>
  </rowBreaks>
  <ignoredErrors>
    <ignoredError sqref="K18"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5A62-97A7-4F80-8BBB-ECDE671CB126}">
  <sheetPr>
    <pageSetUpPr fitToPage="1"/>
  </sheetPr>
  <dimension ref="A1:AC456"/>
  <sheetViews>
    <sheetView view="pageBreakPreview" topLeftCell="A18" zoomScaleNormal="100" zoomScaleSheetLayoutView="100" workbookViewId="0">
      <selection activeCell="D28" sqref="D28"/>
    </sheetView>
  </sheetViews>
  <sheetFormatPr defaultColWidth="9.140625" defaultRowHeight="14.25" x14ac:dyDescent="0.2"/>
  <cols>
    <col min="1" max="1" width="51.7109375" style="4" bestFit="1" customWidth="1"/>
    <col min="2" max="2" width="38.7109375" style="2" bestFit="1" customWidth="1"/>
    <col min="3" max="3" width="17.85546875" style="31" bestFit="1" customWidth="1"/>
    <col min="4" max="5" width="9.140625" style="4"/>
    <col min="6" max="6" width="10.42578125" style="4" customWidth="1"/>
    <col min="7" max="7" width="9.85546875" style="2" customWidth="1"/>
    <col min="8" max="8" width="11.28515625" style="47" customWidth="1"/>
    <col min="9" max="9" width="10.7109375" style="4" bestFit="1" customWidth="1"/>
    <col min="10" max="10" width="9.140625" style="4"/>
    <col min="11" max="11" width="12.42578125" style="4" bestFit="1" customWidth="1"/>
    <col min="12" max="12" width="15.140625" style="4" customWidth="1"/>
    <col min="13" max="13" width="13" style="4" customWidth="1"/>
    <col min="14" max="14" width="10.7109375" style="4" bestFit="1" customWidth="1"/>
    <col min="15" max="15" width="11.28515625" style="4" bestFit="1" customWidth="1"/>
    <col min="16" max="16" width="12.42578125" style="3" bestFit="1" customWidth="1"/>
    <col min="17" max="17" width="10.42578125" style="3" bestFit="1" customWidth="1"/>
    <col min="18" max="23" width="10.42578125" style="3" customWidth="1"/>
    <col min="24" max="27" width="9.140625" style="4"/>
    <col min="28" max="28" width="10.7109375" style="4" bestFit="1" customWidth="1"/>
    <col min="29" max="29" width="9.140625" style="4"/>
    <col min="30" max="30" width="12.42578125" style="4" bestFit="1" customWidth="1"/>
    <col min="31" max="31" width="9.140625" style="4"/>
    <col min="32" max="32" width="10.42578125" style="4" bestFit="1" customWidth="1"/>
    <col min="33" max="16384" width="9.140625" style="4"/>
  </cols>
  <sheetData>
    <row r="1" spans="1:23" ht="18.75" x14ac:dyDescent="0.2">
      <c r="A1" s="81" t="s">
        <v>633</v>
      </c>
      <c r="B1" s="86" t="s">
        <v>911</v>
      </c>
      <c r="C1" s="225">
        <f>MAX('LTS-6 Loads'!F324:G324)</f>
        <v>559.98111782914373</v>
      </c>
      <c r="D1" s="81" t="s">
        <v>7</v>
      </c>
      <c r="E1" s="183"/>
      <c r="F1" s="183"/>
      <c r="G1" s="183"/>
      <c r="J1" s="3"/>
      <c r="M1" s="3"/>
      <c r="N1" s="3"/>
      <c r="O1" s="3"/>
      <c r="S1" s="4"/>
      <c r="T1" s="4"/>
      <c r="U1" s="4"/>
      <c r="V1" s="4"/>
      <c r="W1" s="4"/>
    </row>
    <row r="2" spans="1:23" x14ac:dyDescent="0.2">
      <c r="A2" s="275" t="s">
        <v>913</v>
      </c>
      <c r="B2" s="280" t="s">
        <v>912</v>
      </c>
      <c r="C2" s="225">
        <f>MAX('LTS-6 Loads'!F326:G326)</f>
        <v>12626.207306060645</v>
      </c>
      <c r="D2" s="81" t="s">
        <v>622</v>
      </c>
      <c r="E2" s="183"/>
      <c r="F2" s="183"/>
      <c r="G2" s="183"/>
      <c r="M2" s="3"/>
      <c r="N2" s="3"/>
      <c r="O2" s="3"/>
      <c r="S2" s="4"/>
      <c r="T2" s="4"/>
      <c r="U2" s="4"/>
      <c r="V2" s="4"/>
      <c r="W2" s="4"/>
    </row>
    <row r="3" spans="1:23" x14ac:dyDescent="0.2">
      <c r="A3" s="275"/>
      <c r="B3" s="280"/>
      <c r="C3" s="42">
        <f>C2*12</f>
        <v>151514.48767272773</v>
      </c>
      <c r="D3" s="41" t="s">
        <v>716</v>
      </c>
      <c r="E3" s="41"/>
      <c r="F3" s="41"/>
      <c r="G3" s="48"/>
      <c r="M3" s="3"/>
      <c r="N3" s="3"/>
      <c r="O3" s="3"/>
      <c r="S3" s="4"/>
      <c r="T3" s="4"/>
      <c r="U3" s="4"/>
      <c r="V3" s="4"/>
      <c r="W3" s="4"/>
    </row>
    <row r="4" spans="1:23" x14ac:dyDescent="0.2">
      <c r="A4" s="81" t="s">
        <v>928</v>
      </c>
      <c r="B4" s="86"/>
      <c r="C4" s="225">
        <f>MAX('LTS-6 Loads'!F325:G325)</f>
        <v>778.14639561303034</v>
      </c>
      <c r="D4" s="81" t="s">
        <v>7</v>
      </c>
      <c r="E4" s="183"/>
      <c r="F4" s="183"/>
      <c r="G4" s="183"/>
      <c r="P4" s="4"/>
      <c r="Q4" s="4"/>
      <c r="R4" s="4"/>
      <c r="S4" s="4"/>
      <c r="T4" s="4"/>
      <c r="U4" s="4"/>
      <c r="V4" s="4"/>
      <c r="W4" s="4"/>
    </row>
    <row r="5" spans="1:23" x14ac:dyDescent="0.2">
      <c r="C5" s="42"/>
      <c r="P5" s="4"/>
      <c r="Q5" s="4"/>
      <c r="R5" s="4"/>
      <c r="S5" s="4"/>
      <c r="T5" s="4"/>
      <c r="U5" s="4"/>
      <c r="V5" s="4"/>
      <c r="W5" s="4"/>
    </row>
    <row r="6" spans="1:23" hidden="1" x14ac:dyDescent="0.2">
      <c r="A6" s="4" t="s">
        <v>219</v>
      </c>
      <c r="B6" s="2" t="s">
        <v>1048</v>
      </c>
      <c r="C6" s="44">
        <f>f_prime_c</f>
        <v>3625</v>
      </c>
      <c r="D6" s="4" t="s">
        <v>23</v>
      </c>
      <c r="E6" s="4" t="s">
        <v>462</v>
      </c>
      <c r="G6" s="56"/>
      <c r="H6" s="19"/>
      <c r="P6" s="4"/>
      <c r="Q6" s="4"/>
      <c r="R6" s="4"/>
      <c r="S6" s="4"/>
      <c r="T6" s="4"/>
      <c r="U6" s="4"/>
      <c r="V6" s="4"/>
      <c r="W6" s="4"/>
    </row>
    <row r="7" spans="1:23" ht="18.75" x14ac:dyDescent="0.35">
      <c r="A7" s="4" t="s">
        <v>220</v>
      </c>
      <c r="B7" s="2" t="s">
        <v>111</v>
      </c>
      <c r="C7" s="42">
        <f>density_conc</f>
        <v>150</v>
      </c>
      <c r="D7" s="4" t="s">
        <v>25</v>
      </c>
      <c r="G7" s="56"/>
      <c r="H7" s="19"/>
      <c r="P7" s="4"/>
      <c r="Q7" s="4"/>
      <c r="R7" s="4"/>
      <c r="S7" s="4"/>
      <c r="T7" s="4"/>
      <c r="U7" s="4"/>
      <c r="V7" s="4"/>
      <c r="W7" s="4"/>
    </row>
    <row r="8" spans="1:23" ht="18.75" hidden="1" x14ac:dyDescent="0.35">
      <c r="A8" s="4" t="s">
        <v>247</v>
      </c>
      <c r="B8" s="2" t="s">
        <v>248</v>
      </c>
      <c r="C8" s="42">
        <f>ModulusElasticity</f>
        <v>29000000</v>
      </c>
      <c r="D8" s="4" t="s">
        <v>23</v>
      </c>
      <c r="G8" s="56"/>
      <c r="H8" s="19"/>
      <c r="P8" s="4"/>
      <c r="Q8" s="4"/>
      <c r="R8" s="4"/>
      <c r="S8" s="4"/>
      <c r="T8" s="4"/>
      <c r="U8" s="4"/>
      <c r="V8" s="4"/>
      <c r="W8" s="4"/>
    </row>
    <row r="9" spans="1:23" ht="18.75" hidden="1" x14ac:dyDescent="0.35">
      <c r="A9" s="4" t="s">
        <v>218</v>
      </c>
      <c r="B9" s="2" t="s">
        <v>114</v>
      </c>
      <c r="C9" s="42">
        <f>fy</f>
        <v>60000</v>
      </c>
      <c r="D9" s="4" t="s">
        <v>23</v>
      </c>
      <c r="G9" s="56"/>
      <c r="H9" s="19"/>
      <c r="P9" s="4"/>
      <c r="Q9" s="4"/>
      <c r="R9" s="4"/>
      <c r="S9" s="4"/>
      <c r="T9" s="4"/>
      <c r="U9" s="4"/>
      <c r="V9" s="4"/>
      <c r="W9" s="4"/>
    </row>
    <row r="10" spans="1:23" ht="18.75" hidden="1" x14ac:dyDescent="0.35">
      <c r="A10" s="4" t="s">
        <v>217</v>
      </c>
      <c r="B10" s="2" t="s">
        <v>537</v>
      </c>
      <c r="C10" s="46">
        <v>3.0000000000000001E-3</v>
      </c>
      <c r="E10" s="4" t="s">
        <v>464</v>
      </c>
      <c r="G10" s="56"/>
      <c r="H10" s="19"/>
      <c r="P10" s="4"/>
      <c r="Q10" s="4"/>
      <c r="R10" s="4"/>
      <c r="S10" s="4"/>
      <c r="T10" s="4"/>
      <c r="U10" s="4"/>
      <c r="V10" s="4"/>
      <c r="W10" s="4"/>
    </row>
    <row r="11" spans="1:23" ht="18.75" hidden="1" x14ac:dyDescent="0.35">
      <c r="A11" s="4" t="s">
        <v>216</v>
      </c>
      <c r="B11" s="2" t="s">
        <v>181</v>
      </c>
      <c r="C11" s="50">
        <f>fy/ModulusElasticity</f>
        <v>2.0689655172413794E-3</v>
      </c>
      <c r="E11" s="4" t="s">
        <v>468</v>
      </c>
      <c r="G11" s="56"/>
      <c r="H11" s="19"/>
      <c r="P11" s="4"/>
      <c r="Q11" s="4"/>
      <c r="R11" s="4"/>
      <c r="S11" s="4"/>
      <c r="T11" s="4"/>
      <c r="U11" s="4"/>
      <c r="V11" s="4"/>
      <c r="W11" s="4"/>
    </row>
    <row r="12" spans="1:23" hidden="1" x14ac:dyDescent="0.2">
      <c r="A12" s="4" t="s">
        <v>215</v>
      </c>
      <c r="B12" s="2" t="s">
        <v>14</v>
      </c>
      <c r="C12" s="43">
        <f>IF($C$6&lt;4000,0.72,IF($C$6&gt;8000,0.56,0.72-0.04*($C$6-4000)/1000))</f>
        <v>0.72</v>
      </c>
      <c r="G12" s="56"/>
      <c r="H12" s="19"/>
      <c r="P12" s="4"/>
      <c r="Q12" s="4"/>
      <c r="R12" s="4"/>
      <c r="S12" s="4"/>
      <c r="T12" s="4"/>
      <c r="U12" s="4"/>
      <c r="V12" s="4"/>
      <c r="W12" s="4"/>
    </row>
    <row r="13" spans="1:23" hidden="1" x14ac:dyDescent="0.2">
      <c r="A13" s="4" t="s">
        <v>214</v>
      </c>
      <c r="B13" s="2" t="s">
        <v>95</v>
      </c>
      <c r="C13" s="46">
        <f>IF($C$6&lt;4000,0.425,IF($C$6&gt;8000,0.325,0.425-0.025*($C$6-4000)/1000))</f>
        <v>0.42499999999999999</v>
      </c>
      <c r="G13" s="4"/>
      <c r="H13" s="4"/>
      <c r="P13" s="4"/>
      <c r="Q13" s="4"/>
      <c r="R13" s="4"/>
      <c r="S13" s="4"/>
      <c r="T13" s="4"/>
      <c r="U13" s="4"/>
      <c r="V13" s="4"/>
      <c r="W13" s="4"/>
    </row>
    <row r="14" spans="1:23" ht="18.75" hidden="1" x14ac:dyDescent="0.35">
      <c r="B14" s="2" t="s">
        <v>188</v>
      </c>
      <c r="C14" s="43">
        <f>2*C13</f>
        <v>0.85</v>
      </c>
      <c r="E14" s="4" t="s">
        <v>467</v>
      </c>
      <c r="G14" s="4"/>
      <c r="H14" s="4"/>
      <c r="P14" s="4"/>
      <c r="Q14" s="4"/>
      <c r="R14" s="4"/>
      <c r="S14" s="4"/>
      <c r="T14" s="4"/>
      <c r="U14" s="4"/>
      <c r="V14" s="4"/>
      <c r="W14" s="4"/>
    </row>
    <row r="15" spans="1:23" ht="18.75" hidden="1" x14ac:dyDescent="0.35">
      <c r="A15" s="4" t="s">
        <v>213</v>
      </c>
      <c r="B15" s="2" t="s">
        <v>156</v>
      </c>
      <c r="C15" s="43">
        <v>0.65</v>
      </c>
      <c r="E15" s="4" t="s">
        <v>469</v>
      </c>
      <c r="G15" s="4"/>
      <c r="H15" s="4"/>
      <c r="P15" s="4"/>
      <c r="Q15" s="4"/>
      <c r="R15" s="4"/>
      <c r="S15" s="4"/>
      <c r="T15" s="4"/>
      <c r="U15" s="4"/>
      <c r="V15" s="4"/>
      <c r="W15" s="4"/>
    </row>
    <row r="16" spans="1:23" ht="18.75" hidden="1" x14ac:dyDescent="0.35">
      <c r="A16" s="4" t="s">
        <v>212</v>
      </c>
      <c r="B16" s="2" t="s">
        <v>157</v>
      </c>
      <c r="C16" s="43">
        <v>0.75</v>
      </c>
      <c r="E16" s="4" t="s">
        <v>484</v>
      </c>
      <c r="G16" s="4"/>
      <c r="H16" s="4"/>
      <c r="P16" s="4"/>
      <c r="Q16" s="4"/>
      <c r="R16" s="4"/>
      <c r="S16" s="4"/>
      <c r="T16" s="4"/>
      <c r="U16" s="4"/>
      <c r="V16" s="4"/>
      <c r="W16" s="4"/>
    </row>
    <row r="17" spans="1:23" ht="18.75" hidden="1" x14ac:dyDescent="0.35">
      <c r="A17" s="4" t="s">
        <v>211</v>
      </c>
      <c r="B17" s="2" t="s">
        <v>186</v>
      </c>
      <c r="C17" s="43">
        <v>0.8</v>
      </c>
      <c r="E17" s="4" t="s">
        <v>465</v>
      </c>
      <c r="G17" s="4"/>
      <c r="H17" s="4"/>
      <c r="P17" s="4"/>
      <c r="Q17" s="4"/>
      <c r="R17" s="4"/>
      <c r="S17" s="4"/>
      <c r="T17" s="4"/>
      <c r="U17" s="4"/>
      <c r="V17" s="4"/>
      <c r="W17" s="4"/>
    </row>
    <row r="18" spans="1:23" x14ac:dyDescent="0.2">
      <c r="C18" s="47"/>
      <c r="G18" s="4"/>
      <c r="H18" s="4"/>
      <c r="P18" s="4"/>
      <c r="Q18" s="4"/>
      <c r="R18" s="4"/>
      <c r="S18" s="4"/>
      <c r="T18" s="4"/>
      <c r="U18" s="4"/>
      <c r="V18" s="4"/>
      <c r="W18" s="4"/>
    </row>
    <row r="19" spans="1:23" ht="15" x14ac:dyDescent="0.25">
      <c r="A19" s="1" t="s">
        <v>531</v>
      </c>
      <c r="P19" s="4"/>
      <c r="Q19" s="4"/>
      <c r="R19" s="4"/>
      <c r="S19" s="4"/>
      <c r="T19" s="4"/>
      <c r="U19" s="4"/>
      <c r="V19" s="4"/>
      <c r="W19" s="4"/>
    </row>
    <row r="20" spans="1:23" x14ac:dyDescent="0.2">
      <c r="A20" s="4" t="s">
        <v>929</v>
      </c>
      <c r="C20" s="42" t="s">
        <v>931</v>
      </c>
      <c r="P20" s="4"/>
      <c r="Q20" s="4"/>
      <c r="R20" s="4"/>
      <c r="S20" s="4"/>
      <c r="T20" s="4"/>
      <c r="U20" s="4"/>
      <c r="V20" s="4"/>
      <c r="W20" s="4"/>
    </row>
    <row r="21" spans="1:23" s="81" customFormat="1" ht="31.5" customHeight="1" x14ac:dyDescent="0.25">
      <c r="A21" s="81" t="s">
        <v>635</v>
      </c>
      <c r="B21" s="34" t="s">
        <v>629</v>
      </c>
      <c r="C21" s="82">
        <f>C2</f>
        <v>12626.207306060645</v>
      </c>
      <c r="D21" s="81" t="s">
        <v>622</v>
      </c>
      <c r="E21" s="266" t="s">
        <v>1058</v>
      </c>
      <c r="F21" s="266"/>
      <c r="G21" s="266"/>
      <c r="H21" s="83"/>
    </row>
    <row r="22" spans="1:23" s="81" customFormat="1" ht="18.75" customHeight="1" x14ac:dyDescent="0.25">
      <c r="A22" s="81" t="s">
        <v>532</v>
      </c>
      <c r="B22" s="34" t="s">
        <v>952</v>
      </c>
      <c r="C22" s="82">
        <v>200</v>
      </c>
      <c r="D22" s="81" t="s">
        <v>5</v>
      </c>
      <c r="E22" s="266" t="s">
        <v>950</v>
      </c>
      <c r="F22" s="266"/>
      <c r="G22" s="266"/>
      <c r="H22" s="83"/>
    </row>
    <row r="23" spans="1:23" ht="18.75" x14ac:dyDescent="0.35">
      <c r="A23" s="4" t="s">
        <v>638</v>
      </c>
      <c r="B23" s="2" t="s">
        <v>137</v>
      </c>
      <c r="C23" s="43">
        <f>pile_diameter</f>
        <v>2</v>
      </c>
      <c r="D23" s="4" t="s">
        <v>0</v>
      </c>
      <c r="E23" s="4" t="s">
        <v>640</v>
      </c>
      <c r="P23" s="4"/>
      <c r="Q23" s="4"/>
      <c r="R23" s="4"/>
      <c r="S23" s="4"/>
      <c r="T23" s="4"/>
      <c r="U23" s="4"/>
      <c r="V23" s="4"/>
      <c r="W23" s="4"/>
    </row>
    <row r="24" spans="1:23" ht="18.75" x14ac:dyDescent="0.35">
      <c r="A24" s="4" t="s">
        <v>639</v>
      </c>
      <c r="B24" s="2" t="s">
        <v>138</v>
      </c>
      <c r="C24" s="43">
        <f>IF('LTS-6 Loads'!$W$5="restrained",'LTS-6 Loads'!$W$20,IF('LTS-6 Loads'!$W$5="unrestrained",pile_embed_depth,"ERROR"))</f>
        <v>7</v>
      </c>
      <c r="D24" s="4" t="s">
        <v>0</v>
      </c>
      <c r="E24" s="4" t="s">
        <v>640</v>
      </c>
      <c r="P24" s="4"/>
      <c r="Q24" s="4"/>
      <c r="R24" s="4"/>
      <c r="S24" s="4"/>
      <c r="T24" s="4"/>
      <c r="U24" s="4"/>
      <c r="V24" s="4"/>
      <c r="W24" s="4"/>
    </row>
    <row r="25" spans="1:23" ht="18.75" x14ac:dyDescent="0.35">
      <c r="A25" s="4" t="s">
        <v>634</v>
      </c>
      <c r="B25" s="2" t="s">
        <v>641</v>
      </c>
      <c r="C25" s="42">
        <f>'LTS-6 Loads'!W21</f>
        <v>1000</v>
      </c>
      <c r="D25" s="4" t="s">
        <v>6</v>
      </c>
      <c r="P25" s="4"/>
      <c r="Q25" s="4"/>
      <c r="R25" s="4"/>
      <c r="S25" s="4"/>
      <c r="T25" s="4"/>
      <c r="U25" s="4"/>
      <c r="V25" s="4"/>
      <c r="W25" s="4"/>
    </row>
    <row r="26" spans="1:23" s="81" customFormat="1" ht="37.5" customHeight="1" thickBot="1" x14ac:dyDescent="0.3">
      <c r="A26" s="81" t="s">
        <v>636</v>
      </c>
      <c r="B26" s="34" t="s">
        <v>637</v>
      </c>
      <c r="C26" s="220">
        <f>'LTS-6 Loads'!W22</f>
        <v>5.1798349901689793</v>
      </c>
      <c r="D26" s="81" t="s">
        <v>0</v>
      </c>
      <c r="E26" s="266" t="s">
        <v>951</v>
      </c>
      <c r="F26" s="266"/>
      <c r="G26" s="266"/>
      <c r="H26" s="83"/>
    </row>
    <row r="27" spans="1:23" ht="15" thickBot="1" x14ac:dyDescent="0.25">
      <c r="B27" s="4"/>
      <c r="C27" s="78" t="str">
        <f>IF(C26&lt;7,"7'-0 OK","NG")</f>
        <v>7'-0 OK</v>
      </c>
      <c r="D27" s="3"/>
      <c r="G27" s="4"/>
      <c r="H27" s="4"/>
      <c r="P27" s="4"/>
      <c r="Q27" s="4"/>
      <c r="R27" s="4"/>
      <c r="S27" s="4"/>
      <c r="T27" s="4"/>
      <c r="U27" s="4"/>
      <c r="V27" s="4"/>
      <c r="W27" s="4"/>
    </row>
    <row r="28" spans="1:23" x14ac:dyDescent="0.2">
      <c r="B28" s="4"/>
      <c r="P28" s="4"/>
      <c r="Q28" s="4"/>
      <c r="R28" s="4"/>
      <c r="S28" s="4"/>
      <c r="T28" s="4"/>
      <c r="U28" s="4"/>
      <c r="V28" s="4"/>
      <c r="W28" s="4"/>
    </row>
    <row r="29" spans="1:23" ht="15" x14ac:dyDescent="0.25">
      <c r="A29" s="1" t="s">
        <v>501</v>
      </c>
      <c r="P29" s="4"/>
      <c r="Q29" s="4"/>
      <c r="R29" s="4"/>
      <c r="S29" s="4"/>
      <c r="T29" s="4"/>
      <c r="U29" s="4"/>
      <c r="V29" s="4"/>
      <c r="W29" s="4"/>
    </row>
    <row r="30" spans="1:23" ht="18.75" x14ac:dyDescent="0.35">
      <c r="A30" s="4" t="s">
        <v>504</v>
      </c>
      <c r="B30" s="2" t="s">
        <v>153</v>
      </c>
      <c r="C30" s="42">
        <f>C1</f>
        <v>559.98111782914373</v>
      </c>
      <c r="D30" s="4" t="s">
        <v>7</v>
      </c>
      <c r="E30" s="4" t="s">
        <v>556</v>
      </c>
      <c r="P30" s="4"/>
      <c r="Q30" s="4"/>
      <c r="R30" s="4"/>
      <c r="S30" s="4"/>
      <c r="T30" s="4"/>
      <c r="U30" s="4"/>
      <c r="V30" s="4"/>
      <c r="W30" s="4"/>
    </row>
    <row r="31" spans="1:23" ht="18.75" x14ac:dyDescent="0.35">
      <c r="A31" s="4" t="s">
        <v>46</v>
      </c>
      <c r="B31" s="2" t="s">
        <v>507</v>
      </c>
      <c r="C31" s="43">
        <f>C24</f>
        <v>7</v>
      </c>
      <c r="D31" s="4" t="s">
        <v>0</v>
      </c>
      <c r="P31" s="4"/>
      <c r="Q31" s="4"/>
      <c r="R31" s="4"/>
      <c r="S31" s="4"/>
      <c r="T31" s="4"/>
      <c r="U31" s="4"/>
      <c r="V31" s="4"/>
      <c r="W31" s="4"/>
    </row>
    <row r="32" spans="1:23" ht="18.75" x14ac:dyDescent="0.35">
      <c r="A32" s="4" t="s">
        <v>506</v>
      </c>
      <c r="B32" s="2" t="s">
        <v>508</v>
      </c>
      <c r="C32" s="42">
        <f>((PI()/4)*pile_diameter^2)*C31*C7</f>
        <v>3298.6722862692827</v>
      </c>
      <c r="D32" s="4" t="s">
        <v>7</v>
      </c>
      <c r="P32" s="4"/>
      <c r="Q32" s="4"/>
      <c r="R32" s="4"/>
      <c r="S32" s="4"/>
      <c r="T32" s="4"/>
      <c r="U32" s="4"/>
      <c r="V32" s="4"/>
      <c r="W32" s="4"/>
    </row>
    <row r="33" spans="1:29" ht="18.75" x14ac:dyDescent="0.35">
      <c r="A33" s="4" t="s">
        <v>502</v>
      </c>
      <c r="B33" s="2" t="s">
        <v>503</v>
      </c>
      <c r="C33" s="44">
        <v>1500</v>
      </c>
      <c r="D33" s="4" t="s">
        <v>6</v>
      </c>
      <c r="E33" s="4" t="s">
        <v>949</v>
      </c>
      <c r="P33" s="4"/>
      <c r="Q33" s="4"/>
      <c r="R33" s="4"/>
      <c r="S33" s="4"/>
      <c r="T33" s="4"/>
      <c r="U33" s="4"/>
      <c r="V33" s="4"/>
      <c r="W33" s="4"/>
    </row>
    <row r="34" spans="1:29" ht="18.75" x14ac:dyDescent="0.35">
      <c r="A34" s="4" t="s">
        <v>505</v>
      </c>
      <c r="B34" s="2" t="s">
        <v>557</v>
      </c>
      <c r="C34" s="42">
        <f>(C30+C32)/((PI()/4)*C23^2)</f>
        <v>1228.2475258812667</v>
      </c>
      <c r="D34" s="4" t="s">
        <v>6</v>
      </c>
      <c r="P34" s="4"/>
      <c r="Q34" s="4"/>
      <c r="R34" s="4"/>
      <c r="S34" s="4"/>
      <c r="T34" s="4"/>
      <c r="U34" s="4"/>
      <c r="V34" s="4"/>
      <c r="W34" s="4"/>
    </row>
    <row r="35" spans="1:29" ht="18.75" x14ac:dyDescent="0.35">
      <c r="A35" s="4" t="s">
        <v>534</v>
      </c>
      <c r="B35" s="2" t="s">
        <v>536</v>
      </c>
      <c r="C35" s="43">
        <f>C34/C33</f>
        <v>0.81883168392084449</v>
      </c>
      <c r="D35" s="3" t="str">
        <f>IF(C35&lt;1,"&lt; 1, OK","NG")</f>
        <v>&lt; 1, OK</v>
      </c>
      <c r="P35" s="4"/>
      <c r="Q35" s="4"/>
      <c r="R35" s="4"/>
      <c r="S35" s="4"/>
      <c r="T35" s="4"/>
      <c r="U35" s="4"/>
      <c r="V35" s="4"/>
      <c r="W35" s="4"/>
    </row>
    <row r="36" spans="1:29" hidden="1" x14ac:dyDescent="0.2">
      <c r="C36" s="47"/>
      <c r="P36" s="4"/>
      <c r="Q36" s="4"/>
      <c r="R36" s="4"/>
      <c r="S36" s="4"/>
      <c r="T36" s="4"/>
      <c r="U36" s="4"/>
      <c r="V36" s="4"/>
      <c r="W36" s="4"/>
    </row>
    <row r="37" spans="1:29" ht="18.75" hidden="1" x14ac:dyDescent="0.35">
      <c r="A37" s="4" t="s">
        <v>93</v>
      </c>
      <c r="B37" s="2" t="s">
        <v>158</v>
      </c>
      <c r="C37" s="43">
        <f>pile_diameter</f>
        <v>2</v>
      </c>
      <c r="G37" s="4"/>
      <c r="H37" s="4"/>
      <c r="P37" s="4"/>
      <c r="Q37" s="4"/>
      <c r="R37" s="4"/>
      <c r="S37" s="4"/>
      <c r="T37" s="4"/>
      <c r="U37" s="4"/>
      <c r="V37" s="4"/>
      <c r="W37" s="4"/>
    </row>
    <row r="38" spans="1:29" hidden="1" x14ac:dyDescent="0.2">
      <c r="C38" s="42">
        <f>C37*12</f>
        <v>24</v>
      </c>
      <c r="D38" s="4" t="s">
        <v>21</v>
      </c>
      <c r="G38" s="4"/>
      <c r="H38" s="4"/>
      <c r="P38" s="4"/>
      <c r="Q38" s="4"/>
      <c r="R38" s="4"/>
      <c r="S38" s="4"/>
      <c r="T38" s="4"/>
      <c r="U38" s="4"/>
      <c r="V38" s="4"/>
      <c r="W38" s="4"/>
    </row>
    <row r="39" spans="1:29" ht="18.75" hidden="1" x14ac:dyDescent="0.35">
      <c r="A39" s="4" t="s">
        <v>210</v>
      </c>
      <c r="B39" s="2" t="s">
        <v>160</v>
      </c>
      <c r="C39" s="44">
        <v>10</v>
      </c>
      <c r="G39" s="4"/>
      <c r="H39" s="4"/>
      <c r="P39" s="4"/>
      <c r="Q39" s="4"/>
      <c r="R39" s="4"/>
      <c r="S39" s="4"/>
      <c r="T39" s="4"/>
      <c r="U39" s="4"/>
      <c r="V39" s="4"/>
      <c r="W39" s="4"/>
    </row>
    <row r="40" spans="1:29" ht="18.75" hidden="1" x14ac:dyDescent="0.35">
      <c r="A40" s="4" t="s">
        <v>92</v>
      </c>
      <c r="B40" s="2" t="s">
        <v>162</v>
      </c>
      <c r="C40" s="44">
        <v>6</v>
      </c>
      <c r="G40" s="4"/>
      <c r="H40" s="4"/>
      <c r="P40" s="4"/>
      <c r="Q40" s="4"/>
      <c r="R40" s="4"/>
      <c r="S40" s="4"/>
      <c r="T40" s="4"/>
      <c r="U40" s="4"/>
      <c r="V40" s="4"/>
      <c r="W40" s="4"/>
      <c r="AC40" s="62"/>
    </row>
    <row r="41" spans="1:29" hidden="1" x14ac:dyDescent="0.2">
      <c r="C41" s="43">
        <f>C40/8</f>
        <v>0.75</v>
      </c>
      <c r="D41" s="4" t="s">
        <v>21</v>
      </c>
      <c r="G41" s="4"/>
      <c r="H41" s="4"/>
      <c r="P41" s="4"/>
      <c r="Q41" s="4"/>
      <c r="R41" s="4"/>
      <c r="S41" s="4"/>
      <c r="T41" s="4"/>
      <c r="U41" s="4"/>
      <c r="V41" s="4"/>
      <c r="W41" s="4"/>
    </row>
    <row r="42" spans="1:29" ht="18.75" hidden="1" x14ac:dyDescent="0.35">
      <c r="A42" s="4" t="s">
        <v>209</v>
      </c>
      <c r="B42" s="2" t="s">
        <v>184</v>
      </c>
      <c r="C42" s="43">
        <f>PI()/4*C41^2</f>
        <v>0.44178646691106466</v>
      </c>
      <c r="D42" s="4" t="s">
        <v>120</v>
      </c>
      <c r="G42" s="4"/>
      <c r="H42" s="4"/>
      <c r="P42" s="4"/>
      <c r="Q42" s="4"/>
      <c r="R42" s="4"/>
      <c r="S42" s="4"/>
      <c r="T42" s="4"/>
      <c r="U42" s="4"/>
      <c r="V42" s="4"/>
      <c r="W42" s="4"/>
    </row>
    <row r="43" spans="1:29" hidden="1" x14ac:dyDescent="0.2">
      <c r="A43" s="4" t="s">
        <v>208</v>
      </c>
      <c r="B43" s="2" t="s">
        <v>180</v>
      </c>
      <c r="C43" s="43">
        <f>22.25</f>
        <v>22.25</v>
      </c>
      <c r="D43" s="4" t="s">
        <v>21</v>
      </c>
      <c r="G43" s="4"/>
      <c r="H43" s="4"/>
      <c r="P43" s="4"/>
      <c r="Q43" s="4"/>
      <c r="R43" s="4"/>
      <c r="S43" s="4"/>
      <c r="T43" s="4"/>
      <c r="U43" s="4"/>
      <c r="V43" s="4"/>
      <c r="W43" s="4"/>
    </row>
    <row r="44" spans="1:29" hidden="1" x14ac:dyDescent="0.2">
      <c r="B44" s="2" t="s">
        <v>101</v>
      </c>
      <c r="C44" s="49">
        <f>C43/C38</f>
        <v>0.92708333333333337</v>
      </c>
      <c r="G44" s="4"/>
      <c r="H44" s="4"/>
      <c r="P44" s="4"/>
      <c r="Q44" s="4"/>
      <c r="R44" s="4"/>
      <c r="S44" s="4"/>
      <c r="T44" s="4"/>
      <c r="U44" s="4"/>
      <c r="V44" s="4"/>
      <c r="W44" s="4"/>
    </row>
    <row r="45" spans="1:29" ht="18.75" hidden="1" x14ac:dyDescent="0.35">
      <c r="A45" s="4" t="s">
        <v>207</v>
      </c>
      <c r="B45" s="2" t="s">
        <v>164</v>
      </c>
      <c r="C45" s="44">
        <v>4</v>
      </c>
      <c r="G45" s="4"/>
      <c r="H45" s="4"/>
      <c r="P45" s="4"/>
      <c r="Q45" s="4"/>
      <c r="R45" s="4"/>
      <c r="S45" s="4"/>
      <c r="T45" s="4"/>
      <c r="U45" s="4"/>
      <c r="V45" s="4"/>
      <c r="W45" s="4"/>
    </row>
    <row r="46" spans="1:29" hidden="1" x14ac:dyDescent="0.2">
      <c r="C46" s="43">
        <f>C45/8</f>
        <v>0.5</v>
      </c>
      <c r="D46" s="4" t="s">
        <v>21</v>
      </c>
      <c r="G46" s="4"/>
      <c r="H46" s="4"/>
      <c r="P46" s="4"/>
      <c r="Q46" s="4"/>
      <c r="R46" s="4"/>
      <c r="S46" s="4"/>
      <c r="T46" s="4"/>
      <c r="U46" s="4"/>
      <c r="V46" s="4"/>
      <c r="W46" s="4"/>
    </row>
    <row r="47" spans="1:29" ht="18.75" hidden="1" x14ac:dyDescent="0.35">
      <c r="A47" s="4" t="s">
        <v>206</v>
      </c>
      <c r="B47" s="2" t="s">
        <v>166</v>
      </c>
      <c r="C47" s="43">
        <v>6</v>
      </c>
      <c r="D47" s="4" t="s">
        <v>21</v>
      </c>
      <c r="G47" s="4"/>
      <c r="H47" s="4"/>
      <c r="P47" s="4"/>
      <c r="Q47" s="4"/>
      <c r="R47" s="4"/>
      <c r="S47" s="4"/>
      <c r="T47" s="4"/>
      <c r="U47" s="4"/>
      <c r="V47" s="4"/>
      <c r="W47" s="4"/>
    </row>
    <row r="48" spans="1:29" ht="18.75" hidden="1" x14ac:dyDescent="0.35">
      <c r="A48" s="4" t="s">
        <v>205</v>
      </c>
      <c r="B48" s="2" t="s">
        <v>167</v>
      </c>
      <c r="C48" s="43">
        <f>PI()/4*C46^2</f>
        <v>0.19634954084936207</v>
      </c>
      <c r="D48" s="4" t="s">
        <v>120</v>
      </c>
      <c r="G48" s="4"/>
      <c r="H48" s="4"/>
      <c r="P48" s="4"/>
      <c r="Q48" s="4"/>
      <c r="R48" s="4"/>
      <c r="S48" s="4"/>
      <c r="T48" s="4"/>
      <c r="U48" s="4"/>
      <c r="V48" s="4"/>
      <c r="W48" s="4"/>
    </row>
    <row r="49" spans="1:23" ht="18.75" hidden="1" x14ac:dyDescent="0.35">
      <c r="B49" s="2" t="s">
        <v>169</v>
      </c>
      <c r="C49" s="43">
        <f>4*C48/(C52*C50)</f>
        <v>2.6036236114362872</v>
      </c>
      <c r="G49" s="4"/>
      <c r="H49" s="4"/>
      <c r="P49" s="4"/>
      <c r="Q49" s="4"/>
      <c r="R49" s="4"/>
      <c r="S49" s="4"/>
      <c r="T49" s="4"/>
      <c r="U49" s="4"/>
      <c r="V49" s="4"/>
      <c r="W49" s="4"/>
    </row>
    <row r="50" spans="1:23" ht="18.75" hidden="1" x14ac:dyDescent="0.35">
      <c r="A50" s="4" t="s">
        <v>100</v>
      </c>
      <c r="B50" s="2" t="s">
        <v>170</v>
      </c>
      <c r="C50" s="42">
        <f>C38-2*3</f>
        <v>18</v>
      </c>
      <c r="D50" s="4" t="s">
        <v>21</v>
      </c>
      <c r="G50" s="4"/>
      <c r="H50" s="4"/>
      <c r="P50" s="4"/>
      <c r="Q50" s="4"/>
      <c r="R50" s="4"/>
      <c r="S50" s="4"/>
      <c r="T50" s="4"/>
      <c r="U50" s="4"/>
      <c r="V50" s="4"/>
      <c r="W50" s="4"/>
    </row>
    <row r="51" spans="1:23" ht="18.75" hidden="1" x14ac:dyDescent="0.35">
      <c r="A51" s="4" t="s">
        <v>99</v>
      </c>
      <c r="B51" s="2" t="s">
        <v>406</v>
      </c>
      <c r="C51" s="45">
        <v>385.99833999999998</v>
      </c>
      <c r="D51" s="4" t="s">
        <v>120</v>
      </c>
      <c r="G51" s="4"/>
      <c r="H51" s="4"/>
      <c r="P51" s="4"/>
      <c r="Q51" s="4"/>
      <c r="R51" s="4"/>
      <c r="S51" s="4"/>
      <c r="T51" s="4"/>
      <c r="U51" s="4"/>
      <c r="V51" s="4"/>
      <c r="W51" s="4"/>
    </row>
    <row r="52" spans="1:23" ht="18.75" hidden="1" x14ac:dyDescent="0.35">
      <c r="A52" s="4" t="s">
        <v>204</v>
      </c>
      <c r="B52" s="2" t="s">
        <v>171</v>
      </c>
      <c r="C52" s="43">
        <f>0.45*(C54/C51-1)*(f_prime_c/fy)</f>
        <v>1.6758655555358094E-2</v>
      </c>
      <c r="G52" s="4"/>
      <c r="H52" s="4"/>
      <c r="P52" s="4"/>
      <c r="Q52" s="4"/>
      <c r="R52" s="4"/>
      <c r="S52" s="4"/>
      <c r="T52" s="4"/>
      <c r="U52" s="4"/>
      <c r="V52" s="4"/>
      <c r="W52" s="4"/>
    </row>
    <row r="53" spans="1:23" hidden="1" x14ac:dyDescent="0.2">
      <c r="C53" s="43"/>
      <c r="G53" s="4"/>
      <c r="H53" s="4"/>
      <c r="P53" s="4"/>
      <c r="Q53" s="4"/>
      <c r="R53" s="4"/>
      <c r="S53" s="4"/>
      <c r="T53" s="4"/>
      <c r="U53" s="4"/>
      <c r="V53" s="4"/>
      <c r="W53" s="4"/>
    </row>
    <row r="54" spans="1:23" ht="18.75" hidden="1" x14ac:dyDescent="0.35">
      <c r="A54" s="4" t="s">
        <v>98</v>
      </c>
      <c r="B54" s="2" t="s">
        <v>172</v>
      </c>
      <c r="C54" s="45">
        <v>623.93169999999998</v>
      </c>
      <c r="D54" s="4" t="s">
        <v>120</v>
      </c>
      <c r="G54" s="4"/>
      <c r="H54" s="4"/>
      <c r="P54" s="4"/>
      <c r="Q54" s="4"/>
      <c r="R54" s="4"/>
      <c r="S54" s="4"/>
      <c r="T54" s="4"/>
      <c r="U54" s="4"/>
      <c r="V54" s="4"/>
      <c r="W54" s="4"/>
    </row>
    <row r="55" spans="1:23" ht="18.75" hidden="1" x14ac:dyDescent="0.35">
      <c r="A55" s="4" t="s">
        <v>203</v>
      </c>
      <c r="B55" s="2" t="s">
        <v>174</v>
      </c>
      <c r="C55" s="43">
        <f>C39*PI()/4*C41^2</f>
        <v>4.4178646691106467</v>
      </c>
      <c r="D55" s="4" t="s">
        <v>120</v>
      </c>
      <c r="G55" s="4"/>
      <c r="H55" s="4"/>
      <c r="P55" s="4"/>
      <c r="Q55" s="4"/>
      <c r="R55" s="4"/>
      <c r="S55" s="4"/>
      <c r="T55" s="4"/>
      <c r="U55" s="4"/>
      <c r="V55" s="4"/>
      <c r="W55" s="4"/>
    </row>
    <row r="56" spans="1:23" ht="18.75" hidden="1" x14ac:dyDescent="0.35">
      <c r="A56" s="4" t="s">
        <v>202</v>
      </c>
      <c r="B56" s="2" t="s">
        <v>175</v>
      </c>
      <c r="C56" s="46">
        <f>C55/C54</f>
        <v>7.0806863461347564E-3</v>
      </c>
      <c r="D56" s="4" t="s">
        <v>22</v>
      </c>
      <c r="G56" s="4"/>
      <c r="H56" s="4"/>
      <c r="P56" s="4"/>
      <c r="Q56" s="4"/>
      <c r="R56" s="4"/>
      <c r="S56" s="4"/>
      <c r="T56" s="4"/>
      <c r="U56" s="4"/>
      <c r="V56" s="4"/>
      <c r="W56" s="4"/>
    </row>
    <row r="57" spans="1:23" ht="18.75" hidden="1" x14ac:dyDescent="0.35">
      <c r="B57" s="2" t="s">
        <v>177</v>
      </c>
      <c r="C57" s="43" t="e">
        <f>#REF!/'Constrained Foundation'!C38</f>
        <v>#REF!</v>
      </c>
      <c r="G57" s="4"/>
      <c r="H57" s="4"/>
      <c r="P57" s="4"/>
      <c r="Q57" s="4"/>
      <c r="R57" s="4"/>
      <c r="S57" s="4"/>
      <c r="T57" s="4"/>
      <c r="U57" s="4"/>
      <c r="V57" s="4"/>
      <c r="W57" s="4"/>
    </row>
    <row r="58" spans="1:23" ht="18.75" hidden="1" x14ac:dyDescent="0.35">
      <c r="A58" s="4" t="s">
        <v>249</v>
      </c>
      <c r="B58" s="2" t="s">
        <v>250</v>
      </c>
      <c r="C58" s="43">
        <f>MAX(3*SQRT(f_prime_c)/fy*C54,200*C54/fy)</f>
        <v>2.0797723333333331</v>
      </c>
      <c r="D58" s="4" t="str">
        <f>IF(C55&lt;C58,"NG","OK")</f>
        <v>OK</v>
      </c>
      <c r="G58" s="4"/>
      <c r="H58" s="4"/>
      <c r="P58" s="4"/>
      <c r="Q58" s="4"/>
      <c r="R58" s="4"/>
      <c r="S58" s="4"/>
      <c r="T58" s="4"/>
      <c r="U58" s="4"/>
      <c r="V58" s="4"/>
      <c r="W58" s="4"/>
    </row>
    <row r="59" spans="1:23" hidden="1" x14ac:dyDescent="0.2">
      <c r="C59" s="43"/>
      <c r="G59" s="4"/>
      <c r="H59" s="4"/>
      <c r="P59" s="4"/>
      <c r="Q59" s="4"/>
      <c r="R59" s="4"/>
      <c r="S59" s="4"/>
      <c r="T59" s="4"/>
      <c r="U59" s="4"/>
      <c r="V59" s="4"/>
      <c r="W59" s="4"/>
    </row>
    <row r="60" spans="1:23" ht="18.75" hidden="1" x14ac:dyDescent="0.35">
      <c r="A60" s="4" t="s">
        <v>179</v>
      </c>
      <c r="B60" s="2" t="s">
        <v>178</v>
      </c>
      <c r="C60" s="42">
        <f>(0.85*f_prime_c*(C$54-C$55)-fy*C$55)/1000</f>
        <v>1643.8051249666642</v>
      </c>
      <c r="D60" s="4" t="s">
        <v>97</v>
      </c>
      <c r="G60" s="4"/>
      <c r="H60" s="4"/>
      <c r="P60" s="4"/>
      <c r="Q60" s="4"/>
      <c r="R60" s="4"/>
      <c r="S60" s="4"/>
      <c r="T60" s="4"/>
      <c r="U60" s="4"/>
      <c r="V60" s="4"/>
      <c r="W60" s="4"/>
    </row>
    <row r="61" spans="1:23" ht="18.75" hidden="1" x14ac:dyDescent="0.35">
      <c r="A61" s="4" t="s">
        <v>96</v>
      </c>
      <c r="B61" s="2" t="s">
        <v>187</v>
      </c>
      <c r="C61" s="42">
        <f>$C$15*$C$17*C60</f>
        <v>854.77866498266542</v>
      </c>
      <c r="D61" s="4" t="s">
        <v>97</v>
      </c>
      <c r="G61" s="4"/>
      <c r="H61" s="4"/>
      <c r="P61" s="4"/>
      <c r="Q61" s="4"/>
      <c r="R61" s="4"/>
      <c r="S61" s="4"/>
      <c r="T61" s="4"/>
      <c r="U61" s="4"/>
      <c r="V61" s="4"/>
      <c r="W61" s="4"/>
    </row>
    <row r="62" spans="1:23" ht="18.75" hidden="1" x14ac:dyDescent="0.35">
      <c r="A62" s="4" t="s">
        <v>461</v>
      </c>
      <c r="B62" s="2" t="s">
        <v>256</v>
      </c>
      <c r="C62" s="43">
        <f>(fy/1000)*C42*C39</f>
        <v>265.07188014663876</v>
      </c>
      <c r="D62" s="4" t="s">
        <v>97</v>
      </c>
      <c r="G62" s="4"/>
      <c r="H62" s="4"/>
      <c r="P62" s="4"/>
      <c r="Q62" s="4"/>
      <c r="R62" s="4"/>
      <c r="S62" s="4"/>
      <c r="T62" s="4"/>
      <c r="U62" s="4"/>
      <c r="V62" s="4"/>
      <c r="W62" s="4"/>
    </row>
    <row r="63" spans="1:23" hidden="1" x14ac:dyDescent="0.2">
      <c r="C63" s="43"/>
      <c r="G63" s="4"/>
      <c r="H63" s="4"/>
      <c r="P63" s="4"/>
      <c r="Q63" s="4"/>
      <c r="R63" s="4"/>
      <c r="S63" s="4"/>
      <c r="T63" s="4"/>
      <c r="U63" s="4"/>
      <c r="V63" s="4"/>
      <c r="W63" s="4"/>
    </row>
    <row r="64" spans="1:23" hidden="1" x14ac:dyDescent="0.2">
      <c r="B64" s="4" t="s">
        <v>449</v>
      </c>
      <c r="C64" s="65">
        <v>4.4195000000000002</v>
      </c>
      <c r="D64" s="4" t="s">
        <v>21</v>
      </c>
      <c r="G64" s="4"/>
      <c r="H64" s="4"/>
      <c r="P64" s="4"/>
      <c r="Q64" s="4"/>
      <c r="R64" s="4"/>
      <c r="S64" s="4"/>
      <c r="T64" s="4"/>
      <c r="U64" s="4"/>
      <c r="V64" s="4"/>
      <c r="W64" s="4"/>
    </row>
    <row r="65" spans="1:28" hidden="1" x14ac:dyDescent="0.2">
      <c r="B65" s="4"/>
      <c r="C65" s="65">
        <v>8.4609000000000005</v>
      </c>
      <c r="D65" s="4" t="s">
        <v>21</v>
      </c>
      <c r="G65" s="4"/>
      <c r="H65" s="4"/>
      <c r="M65" s="2"/>
      <c r="N65" s="3"/>
      <c r="O65" s="3"/>
      <c r="S65" s="4"/>
      <c r="T65" s="4"/>
      <c r="U65" s="4"/>
      <c r="V65" s="4"/>
      <c r="W65" s="4"/>
    </row>
    <row r="66" spans="1:28" hidden="1" x14ac:dyDescent="0.2">
      <c r="B66" s="4"/>
      <c r="C66" s="65">
        <v>15</v>
      </c>
      <c r="D66" s="4" t="s">
        <v>21</v>
      </c>
      <c r="G66" s="4"/>
      <c r="H66" s="4"/>
      <c r="M66" s="2"/>
      <c r="N66" s="3"/>
      <c r="O66" s="3"/>
      <c r="S66" s="4"/>
      <c r="T66" s="4"/>
      <c r="U66" s="4"/>
      <c r="V66" s="4"/>
      <c r="W66" s="4"/>
    </row>
    <row r="67" spans="1:28" hidden="1" x14ac:dyDescent="0.2">
      <c r="B67" s="4"/>
      <c r="C67" s="65">
        <v>21.539100000000001</v>
      </c>
      <c r="D67" s="4" t="s">
        <v>21</v>
      </c>
      <c r="G67" s="4"/>
      <c r="H67" s="4"/>
      <c r="M67" s="2"/>
      <c r="N67" s="3"/>
      <c r="O67" s="3"/>
      <c r="S67" s="4"/>
      <c r="T67" s="4"/>
      <c r="U67" s="4"/>
      <c r="V67" s="4"/>
      <c r="W67" s="4"/>
    </row>
    <row r="68" spans="1:28" hidden="1" x14ac:dyDescent="0.2">
      <c r="B68" s="4"/>
      <c r="C68" s="65">
        <v>25.580500000000001</v>
      </c>
      <c r="D68" s="4" t="s">
        <v>21</v>
      </c>
      <c r="G68" s="4"/>
      <c r="H68" s="4"/>
      <c r="M68" s="3"/>
      <c r="N68" s="3"/>
      <c r="O68" s="3"/>
      <c r="S68" s="4"/>
      <c r="T68" s="4"/>
      <c r="U68" s="4"/>
      <c r="V68" s="4"/>
      <c r="W68" s="4"/>
    </row>
    <row r="69" spans="1:28" hidden="1" x14ac:dyDescent="0.2">
      <c r="B69" s="4"/>
      <c r="C69" s="67"/>
      <c r="G69" s="4"/>
      <c r="H69" s="4"/>
      <c r="M69" s="3"/>
      <c r="N69" s="3"/>
      <c r="O69" s="3"/>
      <c r="S69" s="4"/>
      <c r="T69" s="4"/>
      <c r="U69" s="4"/>
      <c r="V69" s="4"/>
      <c r="W69" s="4"/>
    </row>
    <row r="70" spans="1:28" hidden="1" x14ac:dyDescent="0.2">
      <c r="A70" s="66" t="s">
        <v>459</v>
      </c>
      <c r="B70" s="4"/>
      <c r="C70" s="67"/>
      <c r="G70" s="4"/>
      <c r="H70" s="4" t="s">
        <v>197</v>
      </c>
      <c r="K70" s="3"/>
      <c r="L70" s="3"/>
      <c r="P70" s="4"/>
      <c r="Q70" s="4"/>
      <c r="R70" s="4"/>
      <c r="S70" s="4"/>
      <c r="T70" s="4"/>
      <c r="U70" s="4"/>
      <c r="V70" s="4"/>
      <c r="W70" s="4"/>
    </row>
    <row r="71" spans="1:28" ht="18.75" hidden="1" x14ac:dyDescent="0.35">
      <c r="A71" s="4" t="s">
        <v>200</v>
      </c>
      <c r="B71" s="2" t="s">
        <v>337</v>
      </c>
      <c r="C71" s="51">
        <f>(C$66+C$67+C$68)/3</f>
        <v>20.706533333333336</v>
      </c>
      <c r="D71" s="4" t="s">
        <v>21</v>
      </c>
      <c r="G71" s="4"/>
      <c r="H71" s="4" t="s">
        <v>192</v>
      </c>
      <c r="K71" s="3"/>
      <c r="L71" s="3"/>
      <c r="P71" s="4"/>
      <c r="Q71" s="4"/>
      <c r="R71" s="4"/>
      <c r="S71" s="4"/>
      <c r="T71" s="4"/>
      <c r="U71" s="4"/>
      <c r="V71" s="4"/>
      <c r="W71" s="4"/>
    </row>
    <row r="72" spans="1:28" ht="18.75" hidden="1" x14ac:dyDescent="0.35">
      <c r="A72" s="4" t="s">
        <v>201</v>
      </c>
      <c r="B72" s="2" t="s">
        <v>338</v>
      </c>
      <c r="C72" s="43">
        <f>$C$10/($C$10+$C$11)*C71</f>
        <v>12.254887074829934</v>
      </c>
      <c r="D72" s="4" t="s">
        <v>21</v>
      </c>
      <c r="G72" s="4"/>
      <c r="H72" s="4" t="s">
        <v>193</v>
      </c>
      <c r="K72" s="3">
        <v>181.8443</v>
      </c>
      <c r="L72" s="3" t="s">
        <v>120</v>
      </c>
      <c r="P72" s="4"/>
      <c r="Q72" s="4"/>
      <c r="R72" s="4"/>
      <c r="S72" s="4"/>
      <c r="T72" s="4"/>
      <c r="U72" s="4"/>
      <c r="V72" s="4"/>
      <c r="W72" s="4"/>
    </row>
    <row r="73" spans="1:28" ht="18.75" hidden="1" x14ac:dyDescent="0.35">
      <c r="A73" s="4" t="s">
        <v>429</v>
      </c>
      <c r="B73" s="2" t="s">
        <v>339</v>
      </c>
      <c r="C73" s="43">
        <f>$C$14*C72</f>
        <v>10.416654013605443</v>
      </c>
      <c r="D73" s="4" t="s">
        <v>21</v>
      </c>
      <c r="E73" s="48" t="s">
        <v>222</v>
      </c>
      <c r="G73" s="4"/>
      <c r="H73" s="4" t="s">
        <v>194</v>
      </c>
      <c r="K73" s="4">
        <v>59.374600000000001</v>
      </c>
      <c r="L73" s="3" t="s">
        <v>21</v>
      </c>
      <c r="P73" s="4"/>
      <c r="Q73" s="4"/>
      <c r="R73" s="4"/>
      <c r="S73" s="4"/>
      <c r="T73" s="4"/>
      <c r="U73" s="4"/>
      <c r="V73" s="4"/>
      <c r="W73" s="4"/>
    </row>
    <row r="74" spans="1:28" ht="18.75" hidden="1" x14ac:dyDescent="0.35">
      <c r="A74" s="4" t="s">
        <v>430</v>
      </c>
      <c r="B74" s="2" t="s">
        <v>340</v>
      </c>
      <c r="C74" s="43">
        <f>K72</f>
        <v>181.8443</v>
      </c>
      <c r="D74" s="4" t="s">
        <v>120</v>
      </c>
      <c r="G74" s="4"/>
      <c r="H74" s="4" t="s">
        <v>195</v>
      </c>
      <c r="J74" s="4" t="s">
        <v>198</v>
      </c>
      <c r="K74" s="3">
        <v>0</v>
      </c>
      <c r="L74" s="3" t="s">
        <v>21</v>
      </c>
      <c r="P74" s="4"/>
      <c r="Q74" s="4"/>
      <c r="R74" s="4"/>
      <c r="S74" s="4"/>
      <c r="T74" s="4"/>
      <c r="U74" s="4"/>
      <c r="V74" s="4"/>
      <c r="W74" s="4"/>
    </row>
    <row r="75" spans="1:28" ht="18.75" hidden="1" x14ac:dyDescent="0.35">
      <c r="A75" s="4" t="s">
        <v>431</v>
      </c>
      <c r="B75" s="57" t="s">
        <v>341</v>
      </c>
      <c r="C75" s="58">
        <f>0.85*f_prime_c*(C74-4*C$42)/1000</f>
        <v>554.86273117032124</v>
      </c>
      <c r="D75" s="39" t="s">
        <v>97</v>
      </c>
      <c r="E75" s="9" t="s">
        <v>221</v>
      </c>
      <c r="F75" s="39"/>
      <c r="G75" s="4"/>
      <c r="H75" s="4"/>
      <c r="J75" s="4" t="s">
        <v>199</v>
      </c>
      <c r="K75" s="3">
        <v>4.1502999999999997</v>
      </c>
      <c r="L75" s="3" t="s">
        <v>21</v>
      </c>
      <c r="P75" s="4"/>
      <c r="Q75" s="4"/>
      <c r="R75" s="4"/>
      <c r="S75" s="4"/>
      <c r="T75" s="4"/>
      <c r="U75" s="4"/>
      <c r="V75" s="4"/>
      <c r="W75" s="4"/>
    </row>
    <row r="76" spans="1:28" ht="18.75" hidden="1" x14ac:dyDescent="0.35">
      <c r="A76" s="4" t="s">
        <v>432</v>
      </c>
      <c r="B76" s="2" t="s">
        <v>342</v>
      </c>
      <c r="C76" s="43">
        <f>C72-C73+K75</f>
        <v>5.9885330612244907</v>
      </c>
      <c r="D76" s="4" t="s">
        <v>21</v>
      </c>
      <c r="E76" s="9"/>
      <c r="G76" s="4"/>
      <c r="H76" s="4" t="s">
        <v>196</v>
      </c>
      <c r="J76" s="4" t="s">
        <v>223</v>
      </c>
      <c r="K76" s="41">
        <v>4420.8067000000001</v>
      </c>
      <c r="L76" s="3" t="s">
        <v>225</v>
      </c>
      <c r="P76" s="4"/>
      <c r="Q76" s="4"/>
      <c r="R76" s="4"/>
      <c r="S76" s="4"/>
      <c r="T76" s="4"/>
      <c r="U76" s="4"/>
      <c r="V76" s="4"/>
      <c r="W76" s="4"/>
    </row>
    <row r="77" spans="1:28" ht="18.75" hidden="1" x14ac:dyDescent="0.35">
      <c r="A77" s="4" t="s">
        <v>433</v>
      </c>
      <c r="B77" s="2" t="s">
        <v>343</v>
      </c>
      <c r="C77" s="52">
        <f>(C72-C$64)/C72*$C$10</f>
        <v>1.9181050858288716E-3</v>
      </c>
      <c r="D77" s="4" t="s">
        <v>22</v>
      </c>
      <c r="E77" s="9"/>
      <c r="G77" s="4"/>
      <c r="H77" s="4"/>
      <c r="J77" s="4" t="s">
        <v>224</v>
      </c>
      <c r="K77" s="41">
        <v>6299.6513999999997</v>
      </c>
      <c r="L77" s="3" t="s">
        <v>225</v>
      </c>
      <c r="P77" s="4"/>
      <c r="Q77" s="4"/>
      <c r="R77" s="4"/>
      <c r="S77" s="4"/>
      <c r="T77" s="4"/>
      <c r="U77" s="4"/>
      <c r="V77" s="4"/>
      <c r="W77" s="4"/>
    </row>
    <row r="78" spans="1:28" ht="18.75" hidden="1" x14ac:dyDescent="0.35">
      <c r="A78" s="4" t="s">
        <v>434</v>
      </c>
      <c r="B78" s="2" t="s">
        <v>344</v>
      </c>
      <c r="C78" s="43">
        <f>IF(ABS(C77)&gt;$C$11,fy/1000,(ModulusElasticity/1000)*C77)</f>
        <v>55.625047489037279</v>
      </c>
      <c r="D78" s="4" t="s">
        <v>244</v>
      </c>
      <c r="E78" s="48" t="s">
        <v>315</v>
      </c>
      <c r="G78" s="4"/>
      <c r="H78" s="4" t="s">
        <v>226</v>
      </c>
      <c r="J78" s="4" t="s">
        <v>227</v>
      </c>
      <c r="K78" s="3">
        <v>0</v>
      </c>
      <c r="L78" s="3"/>
      <c r="P78" s="4"/>
      <c r="Q78" s="4"/>
      <c r="R78" s="4"/>
      <c r="S78" s="4"/>
      <c r="T78" s="4"/>
      <c r="U78" s="4"/>
      <c r="V78" s="4"/>
      <c r="W78" s="4"/>
    </row>
    <row r="79" spans="1:28" ht="18.75" hidden="1" x14ac:dyDescent="0.35">
      <c r="A79" s="4" t="s">
        <v>435</v>
      </c>
      <c r="B79" s="57" t="s">
        <v>345</v>
      </c>
      <c r="C79" s="58">
        <f>C78*(2*$C$42)</f>
        <v>49.148786403883939</v>
      </c>
      <c r="D79" s="39" t="s">
        <v>97</v>
      </c>
      <c r="E79" s="9" t="s">
        <v>316</v>
      </c>
      <c r="F79" s="39"/>
      <c r="G79" s="4"/>
      <c r="H79" s="4" t="s">
        <v>228</v>
      </c>
      <c r="J79" s="4" t="s">
        <v>223</v>
      </c>
      <c r="K79" s="3">
        <v>4.9306000000000001</v>
      </c>
      <c r="L79" s="3"/>
      <c r="P79" s="4"/>
      <c r="Q79" s="4"/>
      <c r="R79" s="4"/>
      <c r="S79" s="4"/>
      <c r="T79" s="4"/>
      <c r="U79" s="4"/>
      <c r="V79" s="4"/>
      <c r="W79" s="4"/>
      <c r="Z79" s="2"/>
      <c r="AA79" s="2"/>
      <c r="AB79" s="3"/>
    </row>
    <row r="80" spans="1:28" ht="18.75" hidden="1" x14ac:dyDescent="0.35">
      <c r="A80" s="4" t="s">
        <v>229</v>
      </c>
      <c r="B80" s="2" t="s">
        <v>346</v>
      </c>
      <c r="C80" s="43">
        <f>C72-C$64</f>
        <v>7.8353870748299341</v>
      </c>
      <c r="D80" s="4" t="s">
        <v>21</v>
      </c>
      <c r="G80" s="4"/>
      <c r="H80" s="4"/>
      <c r="J80" s="4" t="s">
        <v>224</v>
      </c>
      <c r="K80" s="3">
        <v>5.8857999999999997</v>
      </c>
      <c r="L80" s="3"/>
      <c r="P80" s="4"/>
      <c r="Q80" s="4"/>
      <c r="R80" s="4"/>
      <c r="S80" s="4"/>
      <c r="T80" s="4"/>
      <c r="U80" s="4"/>
      <c r="V80" s="4"/>
      <c r="W80" s="4"/>
    </row>
    <row r="81" spans="1:23" ht="18.75" hidden="1" x14ac:dyDescent="0.35">
      <c r="A81" s="4" t="s">
        <v>436</v>
      </c>
      <c r="B81" s="2" t="s">
        <v>347</v>
      </c>
      <c r="C81" s="52">
        <f>(C72-C$65)/C72*$C$10</f>
        <v>9.2876916408858481E-4</v>
      </c>
      <c r="D81" s="4" t="s">
        <v>22</v>
      </c>
      <c r="G81" s="4"/>
      <c r="H81" s="4" t="s">
        <v>189</v>
      </c>
      <c r="K81" s="3"/>
      <c r="L81" s="3"/>
      <c r="P81" s="4"/>
      <c r="Q81" s="4"/>
      <c r="R81" s="4"/>
      <c r="S81" s="4"/>
      <c r="T81" s="4"/>
      <c r="U81" s="4"/>
      <c r="V81" s="4"/>
      <c r="W81" s="4"/>
    </row>
    <row r="82" spans="1:23" ht="18.75" hidden="1" x14ac:dyDescent="0.35">
      <c r="A82" s="4" t="s">
        <v>437</v>
      </c>
      <c r="B82" s="2" t="s">
        <v>348</v>
      </c>
      <c r="C82" s="43">
        <f>IF(ABS(C81)&gt;$C$11,fy/1000,(ModulusElasticity/1000)*C81)</f>
        <v>26.934305758568961</v>
      </c>
      <c r="D82" s="4" t="s">
        <v>244</v>
      </c>
      <c r="E82" s="48"/>
      <c r="G82" s="4"/>
      <c r="H82" s="4" t="s">
        <v>190</v>
      </c>
      <c r="K82" s="3"/>
      <c r="L82" s="3"/>
      <c r="P82" s="4"/>
      <c r="Q82" s="4"/>
      <c r="R82" s="4"/>
      <c r="S82" s="4"/>
      <c r="T82" s="4"/>
      <c r="U82" s="4"/>
      <c r="V82" s="4"/>
      <c r="W82" s="4"/>
    </row>
    <row r="83" spans="1:23" ht="17.25" hidden="1" x14ac:dyDescent="0.3">
      <c r="A83" s="4" t="s">
        <v>438</v>
      </c>
      <c r="B83" s="57" t="s">
        <v>349</v>
      </c>
      <c r="C83" s="58">
        <f>C82*(2*$C$42)</f>
        <v>23.798423559561048</v>
      </c>
      <c r="D83" s="39" t="s">
        <v>97</v>
      </c>
      <c r="E83" s="9"/>
      <c r="F83" s="39"/>
      <c r="G83" s="4"/>
      <c r="H83" s="4" t="s">
        <v>191</v>
      </c>
      <c r="L83" s="3"/>
      <c r="P83" s="4"/>
      <c r="Q83" s="4"/>
      <c r="R83" s="4"/>
      <c r="S83" s="4"/>
      <c r="T83" s="4"/>
      <c r="U83" s="4"/>
      <c r="V83" s="4"/>
      <c r="W83" s="4"/>
    </row>
    <row r="84" spans="1:23" ht="18.75" hidden="1" x14ac:dyDescent="0.35">
      <c r="A84" s="4" t="s">
        <v>230</v>
      </c>
      <c r="B84" s="2" t="s">
        <v>350</v>
      </c>
      <c r="C84" s="43">
        <f>C72-C$65</f>
        <v>3.7939870748299338</v>
      </c>
      <c r="D84" s="4" t="s">
        <v>21</v>
      </c>
      <c r="G84" s="4"/>
      <c r="H84" s="4"/>
      <c r="P84" s="4"/>
      <c r="Q84" s="4"/>
      <c r="R84" s="4"/>
      <c r="S84" s="4"/>
      <c r="T84" s="4"/>
      <c r="U84" s="4"/>
      <c r="V84" s="4"/>
      <c r="W84" s="4"/>
    </row>
    <row r="85" spans="1:23" ht="18.75" hidden="1" x14ac:dyDescent="0.35">
      <c r="A85" s="4" t="s">
        <v>439</v>
      </c>
      <c r="B85" s="2" t="s">
        <v>351</v>
      </c>
      <c r="C85" s="52">
        <f>(C72-C$66)/C72*$C$10</f>
        <v>-6.7200446036133567E-4</v>
      </c>
      <c r="D85" s="4" t="s">
        <v>22</v>
      </c>
      <c r="G85" s="4"/>
      <c r="H85" s="4"/>
      <c r="R85" s="4"/>
      <c r="S85" s="4"/>
      <c r="T85" s="4"/>
      <c r="U85" s="4"/>
      <c r="V85" s="4"/>
      <c r="W85" s="4"/>
    </row>
    <row r="86" spans="1:23" ht="18.75" hidden="1" x14ac:dyDescent="0.35">
      <c r="A86" s="4" t="s">
        <v>440</v>
      </c>
      <c r="B86" s="2" t="s">
        <v>352</v>
      </c>
      <c r="C86" s="43">
        <f>IF(ABS(C85)&gt;$C$11,fy/1000,(ModulusElasticity/1000)*C85)</f>
        <v>-19.488129350478733</v>
      </c>
      <c r="D86" s="4" t="s">
        <v>244</v>
      </c>
      <c r="E86" s="48" t="s">
        <v>314</v>
      </c>
      <c r="G86" s="4"/>
      <c r="H86" s="4"/>
      <c r="R86" s="4"/>
      <c r="S86" s="4"/>
      <c r="T86" s="4"/>
      <c r="U86" s="4"/>
      <c r="V86" s="4"/>
      <c r="W86" s="4"/>
    </row>
    <row r="87" spans="1:23" ht="18.75" hidden="1" x14ac:dyDescent="0.35">
      <c r="A87" s="4" t="s">
        <v>441</v>
      </c>
      <c r="B87" s="57" t="s">
        <v>354</v>
      </c>
      <c r="C87" s="58">
        <f>C86*(2*$C$42)</f>
        <v>-17.219183624907643</v>
      </c>
      <c r="D87" s="39" t="s">
        <v>97</v>
      </c>
      <c r="E87" s="9" t="s">
        <v>313</v>
      </c>
      <c r="F87" s="39"/>
      <c r="G87" s="4"/>
      <c r="H87" s="4"/>
      <c r="P87" s="4"/>
      <c r="Q87" s="4"/>
      <c r="R87" s="4"/>
      <c r="S87" s="4"/>
      <c r="T87" s="4"/>
      <c r="U87" s="4"/>
      <c r="V87" s="4"/>
      <c r="W87" s="4"/>
    </row>
    <row r="88" spans="1:23" ht="18.75" hidden="1" x14ac:dyDescent="0.35">
      <c r="A88" s="4" t="s">
        <v>231</v>
      </c>
      <c r="B88" s="2" t="s">
        <v>353</v>
      </c>
      <c r="C88" s="43">
        <f>C72-C$66</f>
        <v>-2.7451129251700657</v>
      </c>
      <c r="D88" s="4" t="s">
        <v>21</v>
      </c>
      <c r="G88" s="4"/>
      <c r="H88" s="4"/>
      <c r="P88" s="4"/>
      <c r="Q88" s="4"/>
      <c r="R88" s="4"/>
      <c r="S88" s="4"/>
      <c r="T88" s="4"/>
      <c r="U88" s="4"/>
      <c r="V88" s="4"/>
      <c r="W88" s="4"/>
    </row>
    <row r="89" spans="1:23" ht="18.75" hidden="1" x14ac:dyDescent="0.35">
      <c r="A89" s="4" t="s">
        <v>442</v>
      </c>
      <c r="B89" s="2" t="s">
        <v>355</v>
      </c>
      <c r="C89" s="52">
        <f>(C72-C$67)/C72*$C$10</f>
        <v>-2.272778084811257E-3</v>
      </c>
      <c r="D89" s="4" t="s">
        <v>22</v>
      </c>
      <c r="G89" s="4"/>
      <c r="H89" s="4"/>
      <c r="P89" s="2"/>
      <c r="Q89" s="31"/>
      <c r="R89" s="31"/>
      <c r="S89" s="4"/>
      <c r="T89" s="4"/>
      <c r="U89" s="4"/>
      <c r="V89" s="4"/>
      <c r="W89" s="4"/>
    </row>
    <row r="90" spans="1:23" ht="18.75" hidden="1" x14ac:dyDescent="0.35">
      <c r="A90" s="4" t="s">
        <v>443</v>
      </c>
      <c r="B90" s="2" t="s">
        <v>356</v>
      </c>
      <c r="C90" s="43">
        <f>IF(ABS(C89)&gt;$C$11,IF(C89&lt;0,-fy/1000,fy/1000),(ModulusElasticity/1000)*C89)</f>
        <v>-60</v>
      </c>
      <c r="D90" s="4" t="s">
        <v>244</v>
      </c>
      <c r="G90" s="4"/>
      <c r="H90" s="4"/>
      <c r="P90" s="2"/>
      <c r="Q90" s="31"/>
      <c r="R90" s="31"/>
      <c r="S90" s="4"/>
      <c r="T90" s="4"/>
      <c r="U90" s="4"/>
      <c r="V90" s="4"/>
      <c r="W90" s="4"/>
    </row>
    <row r="91" spans="1:23" ht="18.75" hidden="1" x14ac:dyDescent="0.35">
      <c r="A91" s="4" t="s">
        <v>445</v>
      </c>
      <c r="B91" s="2" t="s">
        <v>359</v>
      </c>
      <c r="C91" s="52">
        <f>(C72-C$68)/C72*$C$10</f>
        <v>-3.2621140065515431E-3</v>
      </c>
      <c r="D91" s="4" t="s">
        <v>22</v>
      </c>
      <c r="G91" s="4"/>
      <c r="H91" s="4"/>
      <c r="P91" s="4"/>
      <c r="Q91" s="2"/>
      <c r="R91" s="2"/>
      <c r="S91" s="4"/>
      <c r="T91" s="4"/>
      <c r="U91" s="4"/>
      <c r="V91" s="4"/>
      <c r="W91" s="4"/>
    </row>
    <row r="92" spans="1:23" ht="18.75" hidden="1" x14ac:dyDescent="0.35">
      <c r="A92" s="4" t="s">
        <v>233</v>
      </c>
      <c r="B92" s="2" t="s">
        <v>360</v>
      </c>
      <c r="C92" s="43">
        <f>IF(ABS(C91)&gt;$C$11,IF(C91&lt;0,-fy/1000,fy/1000),(ModulusElasticity/1000)*C91)</f>
        <v>-60</v>
      </c>
      <c r="D92" s="4" t="s">
        <v>244</v>
      </c>
      <c r="G92" s="4"/>
      <c r="H92" s="4"/>
      <c r="P92" s="4"/>
      <c r="S92" s="4"/>
      <c r="T92" s="4"/>
      <c r="U92" s="4"/>
      <c r="V92" s="4"/>
      <c r="W92" s="4"/>
    </row>
    <row r="93" spans="1:23" ht="17.25" hidden="1" x14ac:dyDescent="0.3">
      <c r="A93" s="4" t="s">
        <v>445</v>
      </c>
      <c r="B93" s="57" t="s">
        <v>361</v>
      </c>
      <c r="C93" s="58">
        <f>C92*(2*$C$42)</f>
        <v>-53.014376029327757</v>
      </c>
      <c r="D93" s="39" t="s">
        <v>97</v>
      </c>
      <c r="G93" s="4"/>
      <c r="H93" s="4"/>
      <c r="P93" s="2"/>
      <c r="Q93" s="8"/>
      <c r="R93" s="8"/>
      <c r="S93" s="4"/>
      <c r="T93" s="4"/>
      <c r="U93" s="4"/>
      <c r="V93" s="4"/>
      <c r="W93" s="4"/>
    </row>
    <row r="94" spans="1:23" ht="18.75" hidden="1" x14ac:dyDescent="0.35">
      <c r="A94" s="4" t="s">
        <v>233</v>
      </c>
      <c r="B94" s="2" t="s">
        <v>362</v>
      </c>
      <c r="C94" s="43">
        <f>C72-C$68</f>
        <v>-13.325612925170066</v>
      </c>
      <c r="D94" s="4" t="s">
        <v>21</v>
      </c>
      <c r="G94" s="4"/>
      <c r="H94" s="4"/>
      <c r="P94" s="2"/>
      <c r="Q94" s="8"/>
      <c r="R94" s="8"/>
      <c r="S94" s="4"/>
      <c r="T94" s="4"/>
      <c r="U94" s="4"/>
      <c r="V94" s="4"/>
      <c r="W94" s="4"/>
    </row>
    <row r="95" spans="1:23" ht="18.75" hidden="1" x14ac:dyDescent="0.35">
      <c r="A95" s="4" t="s">
        <v>446</v>
      </c>
      <c r="B95" s="2" t="s">
        <v>363</v>
      </c>
      <c r="C95" s="59" t="e">
        <f>C75+C79+C83+C87+#REF!+C93</f>
        <v>#REF!</v>
      </c>
      <c r="D95" s="4" t="s">
        <v>97</v>
      </c>
      <c r="E95" s="9" t="s">
        <v>237</v>
      </c>
      <c r="G95" s="4"/>
      <c r="H95" s="4"/>
      <c r="P95" s="2"/>
      <c r="Q95" s="8"/>
      <c r="R95" s="8"/>
      <c r="S95" s="4"/>
      <c r="T95" s="4"/>
      <c r="U95" s="4"/>
      <c r="V95" s="4"/>
      <c r="W95" s="4"/>
    </row>
    <row r="96" spans="1:23" ht="18.75" hidden="1" x14ac:dyDescent="0.35">
      <c r="A96" s="4" t="s">
        <v>447</v>
      </c>
      <c r="B96" s="2" t="s">
        <v>364</v>
      </c>
      <c r="C96" s="60" t="e">
        <f>C75*C76+C79*C80+C83*C84+C87*C88+#REF!*#REF!+C93*C94</f>
        <v>#REF!</v>
      </c>
      <c r="D96" s="4" t="s">
        <v>234</v>
      </c>
      <c r="E96" s="9" t="s">
        <v>236</v>
      </c>
      <c r="G96" s="4"/>
      <c r="H96" s="4"/>
      <c r="P96" s="2"/>
      <c r="Q96" s="8"/>
      <c r="R96" s="8"/>
      <c r="S96" s="4"/>
      <c r="T96" s="4"/>
      <c r="U96" s="4"/>
      <c r="V96" s="4"/>
      <c r="W96" s="4"/>
    </row>
    <row r="97" spans="1:23" ht="15" hidden="1" thickBot="1" x14ac:dyDescent="0.25">
      <c r="C97" s="61" t="e">
        <f>C96/12</f>
        <v>#REF!</v>
      </c>
      <c r="D97" s="4" t="s">
        <v>235</v>
      </c>
      <c r="G97" s="4"/>
      <c r="H97" s="4"/>
      <c r="P97" s="2"/>
      <c r="Q97" s="8"/>
      <c r="R97" s="8"/>
      <c r="S97" s="4"/>
      <c r="T97" s="4"/>
      <c r="U97" s="4"/>
      <c r="V97" s="4"/>
      <c r="W97" s="4"/>
    </row>
    <row r="98" spans="1:23" hidden="1" x14ac:dyDescent="0.2">
      <c r="C98" s="42"/>
      <c r="G98" s="4"/>
      <c r="H98" s="4"/>
      <c r="R98" s="4"/>
      <c r="S98" s="4"/>
      <c r="T98" s="4"/>
      <c r="U98" s="4"/>
      <c r="V98" s="4"/>
      <c r="W98" s="4"/>
    </row>
    <row r="99" spans="1:23" hidden="1" x14ac:dyDescent="0.2">
      <c r="A99" s="66" t="s">
        <v>460</v>
      </c>
      <c r="C99" s="42"/>
      <c r="G99" s="4"/>
      <c r="H99" s="4" t="s">
        <v>197</v>
      </c>
      <c r="K99" s="3"/>
      <c r="L99" s="3"/>
      <c r="P99" s="4"/>
      <c r="Q99" s="4"/>
      <c r="R99" s="4"/>
      <c r="S99" s="4"/>
      <c r="T99" s="4"/>
      <c r="U99" s="4"/>
      <c r="V99" s="4"/>
      <c r="W99" s="4"/>
    </row>
    <row r="100" spans="1:23" ht="18.75" hidden="1" x14ac:dyDescent="0.35">
      <c r="A100" s="4" t="s">
        <v>200</v>
      </c>
      <c r="B100" s="63" t="s">
        <v>369</v>
      </c>
      <c r="C100" s="51">
        <f>(C$65+C$66+C$67+C$68)/4</f>
        <v>17.645125</v>
      </c>
      <c r="D100" s="4" t="s">
        <v>21</v>
      </c>
      <c r="G100" s="4"/>
      <c r="H100" s="4" t="s">
        <v>303</v>
      </c>
      <c r="K100" s="3"/>
      <c r="L100" s="3"/>
      <c r="P100" s="4"/>
      <c r="Q100" s="4"/>
      <c r="R100" s="4"/>
      <c r="S100" s="4"/>
      <c r="T100" s="4"/>
      <c r="U100" s="4"/>
      <c r="V100" s="4"/>
      <c r="W100" s="4"/>
    </row>
    <row r="101" spans="1:23" ht="18.75" hidden="1" x14ac:dyDescent="0.35">
      <c r="A101" s="4" t="s">
        <v>201</v>
      </c>
      <c r="B101" s="63" t="s">
        <v>370</v>
      </c>
      <c r="C101" s="43">
        <v>5.75</v>
      </c>
      <c r="D101" s="4" t="s">
        <v>21</v>
      </c>
      <c r="G101" s="4"/>
      <c r="H101" s="4" t="s">
        <v>326</v>
      </c>
      <c r="K101" s="3">
        <v>57.945999999999998</v>
      </c>
      <c r="L101" s="3" t="s">
        <v>120</v>
      </c>
      <c r="P101" s="4"/>
      <c r="Q101" s="4"/>
      <c r="R101" s="4"/>
      <c r="S101" s="4"/>
      <c r="T101" s="4"/>
      <c r="U101" s="4"/>
      <c r="V101" s="4"/>
      <c r="W101" s="4"/>
    </row>
    <row r="102" spans="1:23" ht="18.75" hidden="1" x14ac:dyDescent="0.35">
      <c r="A102" s="4" t="s">
        <v>408</v>
      </c>
      <c r="B102" s="63" t="s">
        <v>371</v>
      </c>
      <c r="C102" s="43">
        <f>$C$14*C101</f>
        <v>4.8875000000000002</v>
      </c>
      <c r="D102" s="4" t="s">
        <v>21</v>
      </c>
      <c r="E102" s="48" t="s">
        <v>222</v>
      </c>
      <c r="G102" s="4"/>
      <c r="H102" s="4" t="s">
        <v>327</v>
      </c>
      <c r="K102" s="3">
        <v>40.078200000000002</v>
      </c>
      <c r="L102" s="3" t="s">
        <v>21</v>
      </c>
      <c r="P102" s="4"/>
      <c r="Q102" s="4"/>
      <c r="R102" s="4"/>
      <c r="S102" s="4"/>
      <c r="T102" s="4"/>
      <c r="U102" s="4"/>
      <c r="V102" s="4"/>
      <c r="W102" s="4"/>
    </row>
    <row r="103" spans="1:23" ht="18.75" hidden="1" x14ac:dyDescent="0.35">
      <c r="A103" s="4" t="s">
        <v>409</v>
      </c>
      <c r="B103" s="63" t="s">
        <v>372</v>
      </c>
      <c r="C103" s="43">
        <f>K101</f>
        <v>57.945999999999998</v>
      </c>
      <c r="D103" s="4" t="s">
        <v>120</v>
      </c>
      <c r="G103" s="4"/>
      <c r="H103" s="4" t="s">
        <v>238</v>
      </c>
      <c r="K103" s="3">
        <v>0</v>
      </c>
      <c r="L103" s="3" t="s">
        <v>21</v>
      </c>
      <c r="P103" s="4"/>
      <c r="Q103" s="4"/>
      <c r="R103" s="4"/>
      <c r="S103" s="4"/>
      <c r="T103" s="4"/>
      <c r="U103" s="4"/>
      <c r="V103" s="4"/>
      <c r="W103" s="4"/>
    </row>
    <row r="104" spans="1:23" ht="18.75" hidden="1" x14ac:dyDescent="0.35">
      <c r="A104" s="4" t="s">
        <v>410</v>
      </c>
      <c r="B104" s="64" t="s">
        <v>373</v>
      </c>
      <c r="C104" s="58">
        <f>0.85*f_prime_c*(C103-2*C$42)/1000</f>
        <v>175.82360339766058</v>
      </c>
      <c r="D104" s="39" t="s">
        <v>97</v>
      </c>
      <c r="E104" s="9" t="s">
        <v>221</v>
      </c>
      <c r="G104" s="4"/>
      <c r="H104" s="4" t="s">
        <v>328</v>
      </c>
      <c r="K104" s="3">
        <v>1.8556999999999999</v>
      </c>
      <c r="L104" s="3" t="s">
        <v>21</v>
      </c>
      <c r="P104" s="4"/>
      <c r="Q104" s="4"/>
      <c r="R104" s="4"/>
      <c r="S104" s="4"/>
      <c r="T104" s="4"/>
      <c r="U104" s="4"/>
      <c r="V104" s="4"/>
      <c r="W104" s="4"/>
    </row>
    <row r="105" spans="1:23" ht="18.75" hidden="1" x14ac:dyDescent="0.35">
      <c r="A105" s="4" t="s">
        <v>411</v>
      </c>
      <c r="B105" s="63" t="s">
        <v>374</v>
      </c>
      <c r="C105" s="43">
        <f>C101-C102+K104</f>
        <v>2.7181999999999995</v>
      </c>
      <c r="D105" s="4" t="s">
        <v>21</v>
      </c>
      <c r="E105" s="9"/>
      <c r="G105" s="4"/>
      <c r="H105" s="4" t="s">
        <v>329</v>
      </c>
      <c r="K105" s="3"/>
      <c r="L105" s="3" t="s">
        <v>225</v>
      </c>
      <c r="P105" s="4"/>
      <c r="Q105" s="4"/>
      <c r="R105" s="4"/>
      <c r="S105" s="4"/>
      <c r="T105" s="4"/>
      <c r="U105" s="4"/>
      <c r="V105" s="4"/>
      <c r="W105" s="4"/>
    </row>
    <row r="106" spans="1:23" ht="18.75" hidden="1" x14ac:dyDescent="0.35">
      <c r="A106" s="4" t="s">
        <v>412</v>
      </c>
      <c r="B106" s="63" t="s">
        <v>375</v>
      </c>
      <c r="C106" s="52">
        <f>(C101-C$64)/C101*$C$10</f>
        <v>6.9417391304347814E-4</v>
      </c>
      <c r="D106" s="4" t="s">
        <v>22</v>
      </c>
      <c r="E106" s="9"/>
      <c r="G106" s="4"/>
      <c r="H106" s="4" t="s">
        <v>330</v>
      </c>
      <c r="K106" s="3"/>
      <c r="L106" s="3" t="s">
        <v>225</v>
      </c>
      <c r="P106" s="4"/>
      <c r="Q106" s="4"/>
      <c r="R106" s="4"/>
      <c r="S106" s="4"/>
      <c r="T106" s="4"/>
      <c r="U106" s="4"/>
      <c r="V106" s="4"/>
      <c r="W106" s="4"/>
    </row>
    <row r="107" spans="1:23" ht="18.75" hidden="1" x14ac:dyDescent="0.35">
      <c r="A107" s="4" t="s">
        <v>413</v>
      </c>
      <c r="B107" s="63" t="s">
        <v>376</v>
      </c>
      <c r="C107" s="43">
        <f>IF(ABS(C106)&gt;$C$11,fy/1000,(ModulusElasticity/1000)*C106)</f>
        <v>20.131043478260867</v>
      </c>
      <c r="D107" s="4" t="s">
        <v>244</v>
      </c>
      <c r="E107" s="48" t="s">
        <v>315</v>
      </c>
      <c r="G107" s="4"/>
      <c r="H107" s="4" t="s">
        <v>239</v>
      </c>
      <c r="K107" s="3"/>
      <c r="L107" s="3"/>
      <c r="P107" s="4"/>
      <c r="Q107" s="4"/>
      <c r="R107" s="4"/>
      <c r="S107" s="4"/>
      <c r="T107" s="4"/>
      <c r="U107" s="4"/>
      <c r="V107" s="4"/>
      <c r="W107" s="4"/>
    </row>
    <row r="108" spans="1:23" ht="18.75" hidden="1" x14ac:dyDescent="0.35">
      <c r="A108" s="4" t="s">
        <v>414</v>
      </c>
      <c r="B108" s="64" t="s">
        <v>377</v>
      </c>
      <c r="C108" s="58">
        <f>C107*(2*$C$42)</f>
        <v>17.787245146987797</v>
      </c>
      <c r="D108" s="39" t="s">
        <v>97</v>
      </c>
      <c r="E108" s="9" t="s">
        <v>316</v>
      </c>
      <c r="G108" s="4"/>
      <c r="H108" s="4" t="s">
        <v>331</v>
      </c>
      <c r="K108" s="3"/>
      <c r="L108" s="3"/>
      <c r="P108" s="4"/>
      <c r="Q108" s="4"/>
      <c r="R108" s="4"/>
      <c r="S108" s="4"/>
      <c r="T108" s="4"/>
      <c r="U108" s="4"/>
      <c r="V108" s="4"/>
      <c r="W108" s="4"/>
    </row>
    <row r="109" spans="1:23" ht="18.75" hidden="1" x14ac:dyDescent="0.35">
      <c r="A109" s="4" t="s">
        <v>229</v>
      </c>
      <c r="B109" s="63" t="s">
        <v>378</v>
      </c>
      <c r="C109" s="43">
        <f>C101-C$64</f>
        <v>1.3304999999999998</v>
      </c>
      <c r="D109" s="4" t="s">
        <v>21</v>
      </c>
      <c r="G109" s="4"/>
      <c r="H109" s="4" t="s">
        <v>332</v>
      </c>
      <c r="K109" s="3"/>
      <c r="L109" s="3"/>
      <c r="P109" s="4"/>
      <c r="Q109" s="4"/>
      <c r="R109" s="4"/>
      <c r="S109" s="4"/>
      <c r="T109" s="4"/>
      <c r="U109" s="4"/>
      <c r="V109" s="4"/>
      <c r="W109" s="4"/>
    </row>
    <row r="110" spans="1:23" ht="18.75" hidden="1" x14ac:dyDescent="0.35">
      <c r="A110" s="4" t="s">
        <v>415</v>
      </c>
      <c r="B110" s="63" t="s">
        <v>497</v>
      </c>
      <c r="C110" s="52">
        <f>(C101-C$65)/C101*$C$10</f>
        <v>-1.4143826086956525E-3</v>
      </c>
      <c r="D110" s="4" t="s">
        <v>22</v>
      </c>
      <c r="G110" s="4"/>
      <c r="H110" s="4" t="s">
        <v>189</v>
      </c>
      <c r="K110" s="3"/>
      <c r="L110" s="3"/>
      <c r="P110" s="4"/>
      <c r="Q110" s="4"/>
      <c r="R110" s="4"/>
      <c r="S110" s="4"/>
      <c r="T110" s="4"/>
      <c r="U110" s="4"/>
      <c r="V110" s="4"/>
      <c r="W110" s="4"/>
    </row>
    <row r="111" spans="1:23" ht="18.75" hidden="1" x14ac:dyDescent="0.35">
      <c r="A111" s="4" t="s">
        <v>416</v>
      </c>
      <c r="B111" s="63" t="s">
        <v>498</v>
      </c>
      <c r="C111" s="43">
        <f>IF(ABS(C110)&gt;$C$11,fy/1000,(ModulusElasticity/1000)*C110)</f>
        <v>-41.017095652173921</v>
      </c>
      <c r="D111" s="4" t="s">
        <v>244</v>
      </c>
      <c r="E111" s="48" t="s">
        <v>314</v>
      </c>
      <c r="G111" s="4"/>
      <c r="H111" s="4" t="s">
        <v>333</v>
      </c>
      <c r="K111" s="3"/>
      <c r="L111" s="3"/>
      <c r="P111" s="4"/>
      <c r="Q111" s="4"/>
      <c r="R111" s="4"/>
      <c r="S111" s="4"/>
      <c r="T111" s="4"/>
      <c r="U111" s="4"/>
      <c r="V111" s="4"/>
      <c r="W111" s="4"/>
    </row>
    <row r="112" spans="1:23" ht="18.75" hidden="1" x14ac:dyDescent="0.35">
      <c r="A112" s="4" t="s">
        <v>417</v>
      </c>
      <c r="B112" s="64" t="s">
        <v>394</v>
      </c>
      <c r="C112" s="58">
        <f>C111*(2*$C$42)</f>
        <v>-36.241595542254217</v>
      </c>
      <c r="D112" s="39" t="s">
        <v>97</v>
      </c>
      <c r="E112" s="9" t="s">
        <v>313</v>
      </c>
      <c r="G112" s="4"/>
      <c r="H112" s="4" t="s">
        <v>334</v>
      </c>
      <c r="K112" s="3"/>
      <c r="L112" s="3"/>
      <c r="P112" s="4"/>
      <c r="Q112" s="4"/>
      <c r="R112" s="4"/>
      <c r="S112" s="4"/>
      <c r="T112" s="4"/>
      <c r="U112" s="4"/>
      <c r="V112" s="4"/>
      <c r="W112" s="4"/>
    </row>
    <row r="113" spans="1:23" ht="18.75" hidden="1" x14ac:dyDescent="0.35">
      <c r="A113" s="4" t="s">
        <v>230</v>
      </c>
      <c r="B113" s="63" t="s">
        <v>379</v>
      </c>
      <c r="C113" s="43">
        <f>C101-C$65</f>
        <v>-2.7109000000000005</v>
      </c>
      <c r="D113" s="4" t="s">
        <v>21</v>
      </c>
      <c r="G113" s="4"/>
      <c r="H113" s="4"/>
      <c r="R113" s="4"/>
      <c r="S113" s="4"/>
      <c r="T113" s="4"/>
      <c r="U113" s="4"/>
      <c r="V113" s="4"/>
      <c r="W113" s="4"/>
    </row>
    <row r="114" spans="1:23" ht="18.75" hidden="1" x14ac:dyDescent="0.35">
      <c r="A114" s="4" t="s">
        <v>418</v>
      </c>
      <c r="B114" s="63" t="s">
        <v>380</v>
      </c>
      <c r="C114" s="52">
        <f>(C101-C$66)/C101*$C$10</f>
        <v>-4.8260869565217397E-3</v>
      </c>
      <c r="D114" s="4" t="s">
        <v>22</v>
      </c>
      <c r="G114" s="4"/>
      <c r="H114" s="3"/>
      <c r="I114" s="3" t="s">
        <v>197</v>
      </c>
      <c r="J114" s="3"/>
      <c r="K114" s="3"/>
      <c r="L114" s="3"/>
      <c r="M114" s="3"/>
      <c r="R114" s="4"/>
      <c r="S114" s="4"/>
      <c r="T114" s="4"/>
      <c r="U114" s="4"/>
      <c r="V114" s="4"/>
      <c r="W114" s="4"/>
    </row>
    <row r="115" spans="1:23" ht="18.75" hidden="1" x14ac:dyDescent="0.35">
      <c r="A115" s="4" t="s">
        <v>419</v>
      </c>
      <c r="B115" s="63" t="s">
        <v>381</v>
      </c>
      <c r="C115" s="43">
        <f>IF(ABS(C114)&gt;$C$11,IF(C114&lt;0,-fy/1000,fy/1000),(ModulusElasticity/1000)*C114)</f>
        <v>-60</v>
      </c>
      <c r="D115" s="4" t="s">
        <v>244</v>
      </c>
      <c r="G115" s="4"/>
      <c r="H115" s="4"/>
      <c r="I115" s="2" t="s">
        <v>241</v>
      </c>
      <c r="J115" s="2" t="s">
        <v>240</v>
      </c>
      <c r="K115" s="2" t="s">
        <v>253</v>
      </c>
      <c r="L115" s="2" t="s">
        <v>254</v>
      </c>
      <c r="M115" s="2" t="s">
        <v>335</v>
      </c>
      <c r="R115" s="4"/>
      <c r="S115" s="4"/>
      <c r="T115" s="4"/>
      <c r="U115" s="4"/>
      <c r="V115" s="4"/>
      <c r="W115" s="4"/>
    </row>
    <row r="116" spans="1:23" ht="17.25" hidden="1" x14ac:dyDescent="0.3">
      <c r="A116" s="4" t="s">
        <v>420</v>
      </c>
      <c r="B116" s="64" t="s">
        <v>382</v>
      </c>
      <c r="C116" s="58">
        <f>C115*(2*$C$42)</f>
        <v>-53.014376029327757</v>
      </c>
      <c r="D116" s="39" t="s">
        <v>97</v>
      </c>
      <c r="G116" s="4"/>
      <c r="H116" s="4"/>
      <c r="I116" s="3" t="s">
        <v>234</v>
      </c>
      <c r="J116" s="3" t="s">
        <v>97</v>
      </c>
      <c r="K116" s="3" t="s">
        <v>234</v>
      </c>
      <c r="L116" s="3" t="s">
        <v>97</v>
      </c>
      <c r="M116" s="3" t="s">
        <v>97</v>
      </c>
      <c r="R116" s="4"/>
      <c r="S116" s="4"/>
      <c r="T116" s="4"/>
      <c r="U116" s="4"/>
      <c r="V116" s="4"/>
      <c r="W116" s="4"/>
    </row>
    <row r="117" spans="1:23" ht="18.75" hidden="1" x14ac:dyDescent="0.35">
      <c r="A117" s="4" t="s">
        <v>231</v>
      </c>
      <c r="B117" s="63" t="s">
        <v>383</v>
      </c>
      <c r="C117" s="43">
        <f>C101-C$66</f>
        <v>-9.25</v>
      </c>
      <c r="D117" s="4" t="s">
        <v>21</v>
      </c>
      <c r="G117" s="4"/>
      <c r="H117" s="2" t="s">
        <v>242</v>
      </c>
      <c r="I117" s="33">
        <v>0</v>
      </c>
      <c r="J117" s="33">
        <f>C60</f>
        <v>1643.8051249666642</v>
      </c>
      <c r="K117" s="33">
        <f>$C$15*I117</f>
        <v>0</v>
      </c>
      <c r="L117" s="33">
        <f>$C$15*J117</f>
        <v>1068.4733312283317</v>
      </c>
      <c r="M117" s="33">
        <f>$C$17*$C$15*J117</f>
        <v>854.77866498266542</v>
      </c>
      <c r="R117" s="4"/>
      <c r="S117" s="4"/>
      <c r="T117" s="4"/>
      <c r="U117" s="4"/>
      <c r="V117" s="4"/>
      <c r="W117" s="4"/>
    </row>
    <row r="118" spans="1:23" ht="18.75" hidden="1" x14ac:dyDescent="0.35">
      <c r="C118" s="43"/>
      <c r="G118" s="4"/>
      <c r="H118" s="2" t="s">
        <v>335</v>
      </c>
      <c r="I118" s="33" t="e">
        <f>(M117-L117)/(M119-L117)*K119</f>
        <v>#REF!</v>
      </c>
      <c r="J118" s="33" t="e">
        <f>J117-I118/I119*(J117-J119)</f>
        <v>#REF!</v>
      </c>
      <c r="K118" s="33" t="e">
        <f>I118</f>
        <v>#REF!</v>
      </c>
      <c r="L118" s="33" t="e">
        <f>$C$15*J118</f>
        <v>#REF!</v>
      </c>
      <c r="M118" s="33">
        <f>M117</f>
        <v>854.77866498266542</v>
      </c>
      <c r="R118" s="4"/>
      <c r="S118" s="4"/>
      <c r="T118" s="4"/>
      <c r="U118" s="4"/>
      <c r="V118" s="4"/>
      <c r="W118" s="4"/>
    </row>
    <row r="119" spans="1:23" ht="18.75" hidden="1" x14ac:dyDescent="0.35">
      <c r="C119" s="43"/>
      <c r="G119" s="4"/>
      <c r="H119" s="2" t="s">
        <v>403</v>
      </c>
      <c r="I119" s="33" t="e">
        <f>C96</f>
        <v>#REF!</v>
      </c>
      <c r="J119" s="33" t="e">
        <f>C95</f>
        <v>#REF!</v>
      </c>
      <c r="K119" s="33" t="e">
        <f>$C$15*I119</f>
        <v>#REF!</v>
      </c>
      <c r="L119" s="33" t="e">
        <f>$C$15*J119</f>
        <v>#REF!</v>
      </c>
      <c r="M119" s="33" t="e">
        <f>$C$15*J119</f>
        <v>#REF!</v>
      </c>
      <c r="R119" s="4"/>
      <c r="S119" s="4"/>
      <c r="T119" s="4"/>
      <c r="U119" s="4"/>
      <c r="V119" s="4"/>
      <c r="W119" s="4"/>
    </row>
    <row r="120" spans="1:23" ht="18.75" hidden="1" x14ac:dyDescent="0.35">
      <c r="C120" s="43"/>
      <c r="G120" s="4"/>
      <c r="H120" s="2" t="s">
        <v>404</v>
      </c>
      <c r="I120" s="33">
        <f>C131</f>
        <v>2978.5708364646098</v>
      </c>
      <c r="J120" s="33">
        <f>C130</f>
        <v>-1.6738750855891311</v>
      </c>
      <c r="K120" s="33">
        <f>$C$15*I120</f>
        <v>1936.0710437019964</v>
      </c>
      <c r="L120" s="33">
        <f>$C$15*J120</f>
        <v>-1.0880188056329352</v>
      </c>
      <c r="M120" s="33">
        <f>$C$15*J120</f>
        <v>-1.0880188056329352</v>
      </c>
      <c r="R120" s="4"/>
      <c r="S120" s="4"/>
      <c r="T120" s="4"/>
      <c r="U120" s="4"/>
      <c r="V120" s="4"/>
      <c r="W120" s="4"/>
    </row>
    <row r="121" spans="1:23" ht="18.75" hidden="1" x14ac:dyDescent="0.35">
      <c r="C121" s="43"/>
      <c r="G121" s="4"/>
      <c r="H121" s="2" t="s">
        <v>255</v>
      </c>
      <c r="I121" s="33">
        <v>0</v>
      </c>
      <c r="J121" s="33">
        <f>-C62</f>
        <v>-265.07188014663876</v>
      </c>
      <c r="K121" s="33">
        <f>$C$15*I121</f>
        <v>0</v>
      </c>
      <c r="L121" s="33">
        <f>$C$15*J121</f>
        <v>-172.2967220953152</v>
      </c>
      <c r="M121" s="33">
        <f>$C$15*J121</f>
        <v>-172.2967220953152</v>
      </c>
      <c r="R121" s="4"/>
      <c r="S121" s="4"/>
      <c r="T121" s="4"/>
      <c r="U121" s="4"/>
      <c r="V121" s="4"/>
      <c r="W121" s="4"/>
    </row>
    <row r="122" spans="1:23" ht="18.75" hidden="1" x14ac:dyDescent="0.35">
      <c r="A122" s="4" t="s">
        <v>421</v>
      </c>
      <c r="B122" s="63" t="s">
        <v>384</v>
      </c>
      <c r="C122" s="52">
        <f>(C101-C$67)/C101*$C$10</f>
        <v>-8.2377913043478277E-3</v>
      </c>
      <c r="D122" s="4" t="s">
        <v>22</v>
      </c>
      <c r="G122" s="4"/>
      <c r="H122" s="2"/>
      <c r="I122" s="33"/>
      <c r="J122" s="33"/>
      <c r="K122" s="33"/>
      <c r="L122" s="33"/>
      <c r="M122" s="33"/>
      <c r="R122" s="4"/>
      <c r="S122" s="4"/>
      <c r="T122" s="4"/>
      <c r="U122" s="4"/>
      <c r="V122" s="4"/>
      <c r="W122" s="4"/>
    </row>
    <row r="123" spans="1:23" ht="18.75" hidden="1" x14ac:dyDescent="0.35">
      <c r="A123" s="4" t="s">
        <v>422</v>
      </c>
      <c r="B123" s="63" t="s">
        <v>385</v>
      </c>
      <c r="C123" s="43">
        <f>IF(ABS(C122)&gt;$C$11,IF(C122&lt;0,-fy/1000,fy/1000),(ModulusElasticity/1000)*C122)</f>
        <v>-60</v>
      </c>
      <c r="D123" s="4" t="s">
        <v>244</v>
      </c>
      <c r="G123" s="4"/>
      <c r="H123" s="4"/>
      <c r="I123" s="2" t="s">
        <v>246</v>
      </c>
      <c r="J123" s="2" t="s">
        <v>245</v>
      </c>
      <c r="K123" s="2" t="s">
        <v>251</v>
      </c>
      <c r="L123" s="2" t="s">
        <v>252</v>
      </c>
      <c r="M123" s="2" t="s">
        <v>336</v>
      </c>
      <c r="R123" s="4"/>
      <c r="S123" s="4"/>
      <c r="T123" s="4"/>
      <c r="U123" s="4"/>
      <c r="V123" s="4"/>
      <c r="W123" s="4"/>
    </row>
    <row r="124" spans="1:23" ht="17.25" hidden="1" x14ac:dyDescent="0.3">
      <c r="A124" s="4" t="s">
        <v>423</v>
      </c>
      <c r="B124" s="64" t="s">
        <v>386</v>
      </c>
      <c r="C124" s="58">
        <f>C123*(2*$C$42)</f>
        <v>-53.014376029327757</v>
      </c>
      <c r="D124" s="39" t="s">
        <v>97</v>
      </c>
      <c r="G124" s="4"/>
      <c r="H124" s="4"/>
      <c r="I124" s="3" t="s">
        <v>244</v>
      </c>
      <c r="J124" s="3" t="s">
        <v>244</v>
      </c>
      <c r="K124" s="3" t="s">
        <v>244</v>
      </c>
      <c r="L124" s="3" t="s">
        <v>244</v>
      </c>
      <c r="M124" s="3" t="s">
        <v>244</v>
      </c>
      <c r="R124" s="4"/>
      <c r="S124" s="4"/>
      <c r="T124" s="4"/>
      <c r="U124" s="4"/>
      <c r="V124" s="4"/>
      <c r="W124" s="4"/>
    </row>
    <row r="125" spans="1:23" ht="18.75" hidden="1" x14ac:dyDescent="0.35">
      <c r="A125" s="4" t="s">
        <v>232</v>
      </c>
      <c r="B125" s="63" t="s">
        <v>387</v>
      </c>
      <c r="C125" s="43">
        <f>C101-C$67</f>
        <v>-15.789100000000001</v>
      </c>
      <c r="D125" s="4" t="s">
        <v>21</v>
      </c>
      <c r="G125" s="4"/>
      <c r="H125" s="2" t="s">
        <v>242</v>
      </c>
      <c r="I125" s="8">
        <f>I117/($C$54*$C$38)</f>
        <v>0</v>
      </c>
      <c r="J125" s="8">
        <f>J117/$C$54</f>
        <v>2.6345914544278872</v>
      </c>
      <c r="K125" s="8">
        <f>K117/(C$54*C$38)</f>
        <v>0</v>
      </c>
      <c r="L125" s="8">
        <f>L117/(C$54)</f>
        <v>1.7124844453781267</v>
      </c>
      <c r="M125" s="8">
        <f>M117/C$54</f>
        <v>1.3699875563025015</v>
      </c>
      <c r="R125" s="4"/>
      <c r="S125" s="4"/>
      <c r="T125" s="4"/>
      <c r="U125" s="4"/>
      <c r="V125" s="4"/>
      <c r="W125" s="4"/>
    </row>
    <row r="126" spans="1:23" ht="18.75" hidden="1" x14ac:dyDescent="0.35">
      <c r="A126" s="4" t="s">
        <v>424</v>
      </c>
      <c r="B126" s="63" t="s">
        <v>388</v>
      </c>
      <c r="C126" s="52">
        <f>(C101-C$68)/C101*$C$10</f>
        <v>-1.0346347826086956E-2</v>
      </c>
      <c r="D126" s="4" t="s">
        <v>22</v>
      </c>
      <c r="G126" s="4"/>
      <c r="H126" s="2" t="s">
        <v>335</v>
      </c>
      <c r="I126" s="8" t="e">
        <f>I118/($C$54*$C$38)</f>
        <v>#REF!</v>
      </c>
      <c r="J126" s="8" t="e">
        <f>J118/$C$54</f>
        <v>#REF!</v>
      </c>
      <c r="K126" s="8" t="e">
        <f>K118/(C$54*C$38)</f>
        <v>#REF!</v>
      </c>
      <c r="L126" s="8" t="e">
        <f>L118/(C$54)</f>
        <v>#REF!</v>
      </c>
      <c r="M126" s="8">
        <f>M118/C$54</f>
        <v>1.3699875563025015</v>
      </c>
      <c r="R126" s="4"/>
      <c r="S126" s="4"/>
      <c r="T126" s="4"/>
      <c r="U126" s="4"/>
      <c r="V126" s="4"/>
      <c r="W126" s="4"/>
    </row>
    <row r="127" spans="1:23" ht="18.75" hidden="1" x14ac:dyDescent="0.35">
      <c r="A127" s="4" t="s">
        <v>233</v>
      </c>
      <c r="B127" s="63" t="s">
        <v>389</v>
      </c>
      <c r="C127" s="43">
        <f>IF(ABS(C126)&gt;$C$11,IF(C126&lt;0,-fy/1000,fy/1000),(ModulusElasticity/1000)*C126)</f>
        <v>-60</v>
      </c>
      <c r="D127" s="4" t="s">
        <v>244</v>
      </c>
      <c r="G127" s="4"/>
      <c r="H127" s="2" t="s">
        <v>403</v>
      </c>
      <c r="I127" s="8" t="e">
        <f>I119/($C$54*$C$38)</f>
        <v>#REF!</v>
      </c>
      <c r="J127" s="8" t="e">
        <f>J119/$C$54</f>
        <v>#REF!</v>
      </c>
      <c r="K127" s="8" t="e">
        <f>K119/(C$54*C$38)</f>
        <v>#REF!</v>
      </c>
      <c r="L127" s="8" t="e">
        <f>L119/(C$54)</f>
        <v>#REF!</v>
      </c>
      <c r="M127" s="8" t="e">
        <f>M119/C$54</f>
        <v>#REF!</v>
      </c>
      <c r="R127" s="4"/>
      <c r="S127" s="4"/>
      <c r="T127" s="4"/>
      <c r="U127" s="4"/>
      <c r="V127" s="4"/>
      <c r="W127" s="4"/>
    </row>
    <row r="128" spans="1:23" ht="18.75" hidden="1" x14ac:dyDescent="0.35">
      <c r="A128" s="4" t="s">
        <v>424</v>
      </c>
      <c r="B128" s="64" t="s">
        <v>390</v>
      </c>
      <c r="C128" s="58">
        <f>C127*(2*$C$42)</f>
        <v>-53.014376029327757</v>
      </c>
      <c r="D128" s="39" t="s">
        <v>97</v>
      </c>
      <c r="G128" s="4"/>
      <c r="H128" s="2" t="s">
        <v>404</v>
      </c>
      <c r="I128" s="8">
        <f>I120/($C$54*$C$38)</f>
        <v>0.19891138434868019</v>
      </c>
      <c r="J128" s="8">
        <f>J120/$C$54</f>
        <v>-2.6827857690018492E-3</v>
      </c>
      <c r="K128" s="8">
        <f>K120/(C$54*C$38)</f>
        <v>0.12929239982664212</v>
      </c>
      <c r="L128" s="8">
        <f>L120/(C$54)</f>
        <v>-1.7438107498512021E-3</v>
      </c>
      <c r="M128" s="8">
        <f>M120/C$54</f>
        <v>-1.7438107498512021E-3</v>
      </c>
      <c r="R128" s="4"/>
      <c r="S128" s="4"/>
      <c r="T128" s="4"/>
      <c r="U128" s="4"/>
      <c r="V128" s="4"/>
      <c r="W128" s="4"/>
    </row>
    <row r="129" spans="1:23" ht="18.75" hidden="1" x14ac:dyDescent="0.35">
      <c r="A129" s="4" t="s">
        <v>233</v>
      </c>
      <c r="B129" s="63" t="s">
        <v>391</v>
      </c>
      <c r="C129" s="43">
        <f>C101-C$68</f>
        <v>-19.830500000000001</v>
      </c>
      <c r="D129" s="4" t="s">
        <v>21</v>
      </c>
      <c r="G129" s="4"/>
      <c r="H129" s="2" t="s">
        <v>255</v>
      </c>
      <c r="I129" s="8">
        <f>I121/($C$54*$C$38)</f>
        <v>0</v>
      </c>
      <c r="J129" s="8">
        <f>J121/$C$54</f>
        <v>-0.4248411807680853</v>
      </c>
      <c r="K129" s="8">
        <f>K121/(C$54*C$38)</f>
        <v>0</v>
      </c>
      <c r="L129" s="8">
        <f>L121/(C$54)</f>
        <v>-0.27614676749925549</v>
      </c>
      <c r="M129" s="8">
        <f>M121/C$54</f>
        <v>-0.27614676749925549</v>
      </c>
      <c r="R129" s="4"/>
      <c r="S129" s="4"/>
      <c r="T129" s="4"/>
      <c r="U129" s="4"/>
      <c r="V129" s="4"/>
      <c r="W129" s="4"/>
    </row>
    <row r="130" spans="1:23" ht="18.75" hidden="1" x14ac:dyDescent="0.35">
      <c r="A130" s="4" t="s">
        <v>425</v>
      </c>
      <c r="B130" s="63" t="s">
        <v>392</v>
      </c>
      <c r="C130" s="59">
        <f>C104+C108+C112+C116+C124+C128</f>
        <v>-1.6738750855891311</v>
      </c>
      <c r="D130" s="4" t="s">
        <v>97</v>
      </c>
      <c r="E130" s="9" t="s">
        <v>237</v>
      </c>
      <c r="G130" s="4"/>
      <c r="H130" s="3"/>
      <c r="I130" s="3"/>
      <c r="J130" s="3"/>
      <c r="K130" s="3"/>
      <c r="L130" s="3"/>
      <c r="M130" s="3"/>
      <c r="R130" s="4"/>
      <c r="S130" s="4"/>
      <c r="T130" s="4"/>
      <c r="U130" s="4"/>
      <c r="V130" s="4"/>
      <c r="W130" s="4"/>
    </row>
    <row r="131" spans="1:23" ht="18.75" hidden="1" x14ac:dyDescent="0.35">
      <c r="A131" s="4" t="s">
        <v>426</v>
      </c>
      <c r="B131" s="63" t="s">
        <v>393</v>
      </c>
      <c r="C131" s="60">
        <f>C104*C105+C108*C109+C112*C113+C116*C117+C124*C125+C128*C129</f>
        <v>2978.5708364646098</v>
      </c>
      <c r="D131" s="4" t="s">
        <v>234</v>
      </c>
      <c r="E131" s="9" t="s">
        <v>236</v>
      </c>
      <c r="G131" s="4"/>
      <c r="H131" s="3"/>
      <c r="I131" s="3"/>
      <c r="J131" s="3"/>
      <c r="K131" s="3"/>
      <c r="L131" s="3"/>
      <c r="M131" s="3"/>
      <c r="R131" s="4"/>
      <c r="S131" s="4"/>
      <c r="T131" s="4"/>
      <c r="U131" s="4"/>
      <c r="V131" s="4"/>
      <c r="W131" s="4"/>
    </row>
    <row r="132" spans="1:23" ht="15" hidden="1" thickBot="1" x14ac:dyDescent="0.25">
      <c r="C132" s="61">
        <f>C131/12</f>
        <v>248.21423637205081</v>
      </c>
      <c r="D132" s="4" t="s">
        <v>235</v>
      </c>
      <c r="G132" s="4"/>
      <c r="H132" s="3"/>
      <c r="I132" s="3"/>
      <c r="J132" s="3"/>
      <c r="K132" s="3"/>
      <c r="L132" s="3"/>
      <c r="M132" s="3"/>
      <c r="R132" s="4"/>
      <c r="S132" s="4"/>
      <c r="T132" s="4"/>
      <c r="U132" s="4"/>
      <c r="V132" s="4"/>
      <c r="W132" s="4"/>
    </row>
    <row r="133" spans="1:23" hidden="1" x14ac:dyDescent="0.2">
      <c r="G133" s="4"/>
      <c r="H133" s="3"/>
      <c r="I133" s="3"/>
      <c r="J133" s="3"/>
      <c r="K133" s="3"/>
      <c r="L133" s="3"/>
      <c r="M133" s="3"/>
      <c r="R133" s="4"/>
      <c r="S133" s="4"/>
      <c r="T133" s="4"/>
      <c r="U133" s="4"/>
      <c r="V133" s="4"/>
      <c r="W133" s="4"/>
    </row>
    <row r="134" spans="1:23" hidden="1" x14ac:dyDescent="0.2">
      <c r="G134" s="4"/>
      <c r="H134" s="3"/>
      <c r="I134" s="3"/>
      <c r="J134" s="3"/>
      <c r="K134" s="3"/>
      <c r="L134" s="3"/>
      <c r="M134" s="3"/>
      <c r="R134" s="4"/>
      <c r="S134" s="4"/>
      <c r="T134" s="4"/>
      <c r="U134" s="4"/>
      <c r="V134" s="4"/>
      <c r="W134" s="4"/>
    </row>
    <row r="135" spans="1:23" hidden="1" x14ac:dyDescent="0.2">
      <c r="G135" s="4"/>
      <c r="H135" s="3"/>
      <c r="I135" s="3"/>
      <c r="J135" s="3"/>
      <c r="K135" s="3"/>
      <c r="L135" s="3"/>
      <c r="M135" s="3"/>
      <c r="R135" s="4"/>
      <c r="S135" s="4"/>
      <c r="T135" s="4"/>
      <c r="U135" s="4"/>
      <c r="V135" s="4"/>
      <c r="W135" s="4"/>
    </row>
    <row r="136" spans="1:23" hidden="1" x14ac:dyDescent="0.2">
      <c r="G136" s="4"/>
      <c r="H136" s="3"/>
      <c r="I136" s="3"/>
      <c r="J136" s="3"/>
      <c r="K136" s="3"/>
      <c r="L136" s="3"/>
      <c r="M136" s="3"/>
      <c r="R136" s="4"/>
      <c r="S136" s="4"/>
      <c r="T136" s="4"/>
      <c r="U136" s="4"/>
      <c r="V136" s="4"/>
      <c r="W136" s="4"/>
    </row>
    <row r="137" spans="1:23" hidden="1" x14ac:dyDescent="0.2">
      <c r="G137" s="4"/>
      <c r="H137" s="3"/>
      <c r="I137" s="3"/>
      <c r="J137" s="3"/>
      <c r="K137" s="3"/>
      <c r="L137" s="3"/>
      <c r="M137" s="3"/>
      <c r="R137" s="4"/>
      <c r="S137" s="4"/>
      <c r="T137" s="4"/>
      <c r="U137" s="4"/>
      <c r="V137" s="4"/>
      <c r="W137" s="4"/>
    </row>
    <row r="138" spans="1:23" hidden="1" x14ac:dyDescent="0.2">
      <c r="G138" s="4"/>
      <c r="H138" s="3"/>
      <c r="I138" s="3"/>
      <c r="J138" s="3"/>
      <c r="K138" s="3"/>
      <c r="L138" s="3"/>
      <c r="M138" s="3"/>
      <c r="R138" s="4"/>
      <c r="S138" s="4"/>
      <c r="T138" s="4"/>
      <c r="U138" s="4"/>
      <c r="V138" s="4"/>
      <c r="W138" s="4"/>
    </row>
    <row r="139" spans="1:23" hidden="1" x14ac:dyDescent="0.2">
      <c r="G139" s="4"/>
      <c r="H139" s="3"/>
      <c r="I139" s="3"/>
      <c r="J139" s="3"/>
      <c r="K139" s="3"/>
      <c r="L139" s="3"/>
      <c r="M139" s="3"/>
      <c r="R139" s="4"/>
      <c r="S139" s="4"/>
      <c r="T139" s="4"/>
      <c r="U139" s="4"/>
      <c r="V139" s="4"/>
      <c r="W139" s="4"/>
    </row>
    <row r="140" spans="1:23" hidden="1" x14ac:dyDescent="0.2">
      <c r="G140" s="4"/>
      <c r="H140" s="3"/>
      <c r="I140" s="3"/>
      <c r="J140" s="3"/>
      <c r="K140" s="3"/>
      <c r="L140" s="3"/>
      <c r="M140" s="3"/>
      <c r="R140" s="4"/>
      <c r="S140" s="4"/>
      <c r="T140" s="4"/>
      <c r="U140" s="4"/>
      <c r="V140" s="4"/>
      <c r="W140" s="4"/>
    </row>
    <row r="141" spans="1:23" hidden="1" x14ac:dyDescent="0.2">
      <c r="G141" s="4"/>
      <c r="H141" s="3"/>
      <c r="I141" s="3"/>
      <c r="J141" s="3"/>
      <c r="K141" s="3"/>
      <c r="L141" s="3"/>
      <c r="M141" s="3"/>
      <c r="R141" s="4"/>
      <c r="S141" s="4"/>
      <c r="T141" s="4"/>
      <c r="U141" s="4"/>
      <c r="V141" s="4"/>
      <c r="W141" s="4"/>
    </row>
    <row r="142" spans="1:23" hidden="1" x14ac:dyDescent="0.2">
      <c r="G142" s="4"/>
      <c r="H142" s="3"/>
      <c r="I142" s="3"/>
      <c r="J142" s="3"/>
      <c r="K142" s="3"/>
      <c r="L142" s="3"/>
      <c r="M142" s="3"/>
      <c r="R142" s="4"/>
      <c r="S142" s="4"/>
      <c r="T142" s="4"/>
      <c r="U142" s="4"/>
      <c r="V142" s="4"/>
      <c r="W142" s="4"/>
    </row>
    <row r="143" spans="1:23" hidden="1" x14ac:dyDescent="0.2">
      <c r="G143" s="4"/>
      <c r="H143" s="3"/>
      <c r="I143" s="3"/>
      <c r="J143" s="3"/>
      <c r="K143" s="3"/>
      <c r="L143" s="3"/>
      <c r="M143" s="3"/>
      <c r="R143" s="4"/>
      <c r="S143" s="4"/>
      <c r="T143" s="4"/>
      <c r="U143" s="4"/>
      <c r="V143" s="4"/>
      <c r="W143" s="4"/>
    </row>
    <row r="144" spans="1:23" hidden="1" x14ac:dyDescent="0.2">
      <c r="G144" s="4"/>
      <c r="H144" s="3"/>
      <c r="I144" s="3"/>
      <c r="J144" s="3"/>
      <c r="K144" s="3"/>
      <c r="L144" s="3"/>
      <c r="M144" s="3"/>
      <c r="R144" s="4"/>
      <c r="S144" s="4"/>
      <c r="T144" s="4"/>
      <c r="U144" s="4"/>
      <c r="V144" s="4"/>
      <c r="W144" s="4"/>
    </row>
    <row r="145" spans="7:23" hidden="1" x14ac:dyDescent="0.2">
      <c r="G145" s="4"/>
      <c r="H145" s="3"/>
      <c r="I145" s="3"/>
      <c r="J145" s="3"/>
      <c r="K145" s="3"/>
      <c r="L145" s="3"/>
      <c r="M145" s="3"/>
      <c r="R145" s="4"/>
      <c r="S145" s="4"/>
      <c r="T145" s="4"/>
      <c r="U145" s="4"/>
      <c r="V145" s="4"/>
      <c r="W145" s="4"/>
    </row>
    <row r="146" spans="7:23" hidden="1" x14ac:dyDescent="0.2">
      <c r="G146" s="4"/>
      <c r="H146" s="3"/>
      <c r="I146" s="3"/>
      <c r="J146" s="3"/>
      <c r="K146" s="3"/>
      <c r="L146" s="3"/>
      <c r="M146" s="3"/>
      <c r="R146" s="4"/>
      <c r="S146" s="4"/>
      <c r="T146" s="4"/>
      <c r="U146" s="4"/>
      <c r="V146" s="4"/>
      <c r="W146" s="4"/>
    </row>
    <row r="147" spans="7:23" hidden="1" x14ac:dyDescent="0.2">
      <c r="G147" s="4"/>
      <c r="H147" s="3"/>
      <c r="I147" s="3"/>
      <c r="J147" s="3"/>
      <c r="K147" s="3"/>
      <c r="L147" s="3"/>
      <c r="M147" s="3"/>
      <c r="R147" s="4"/>
      <c r="S147" s="4"/>
      <c r="T147" s="4"/>
      <c r="U147" s="4"/>
      <c r="V147" s="4"/>
      <c r="W147" s="4"/>
    </row>
    <row r="148" spans="7:23" hidden="1" x14ac:dyDescent="0.2">
      <c r="G148" s="4"/>
      <c r="H148" s="3"/>
      <c r="I148" s="3"/>
      <c r="J148" s="3"/>
      <c r="K148" s="3"/>
      <c r="L148" s="3"/>
      <c r="M148" s="3"/>
      <c r="R148" s="4"/>
      <c r="S148" s="4"/>
      <c r="T148" s="4"/>
      <c r="U148" s="4"/>
      <c r="V148" s="4"/>
      <c r="W148" s="4"/>
    </row>
    <row r="149" spans="7:23" hidden="1" x14ac:dyDescent="0.2">
      <c r="G149" s="4"/>
      <c r="H149" s="3"/>
      <c r="I149" s="3"/>
      <c r="J149" s="3"/>
      <c r="K149" s="3"/>
      <c r="L149" s="3"/>
      <c r="M149" s="3"/>
      <c r="R149" s="4"/>
      <c r="S149" s="4"/>
      <c r="T149" s="4"/>
      <c r="U149" s="4"/>
      <c r="V149" s="4"/>
      <c r="W149" s="4"/>
    </row>
    <row r="150" spans="7:23" hidden="1" x14ac:dyDescent="0.2">
      <c r="G150" s="4"/>
      <c r="H150" s="3"/>
      <c r="I150" s="3"/>
      <c r="J150" s="3"/>
      <c r="K150" s="3"/>
      <c r="L150" s="3"/>
      <c r="M150" s="3"/>
      <c r="R150" s="4"/>
      <c r="S150" s="4"/>
      <c r="T150" s="4"/>
      <c r="U150" s="4"/>
      <c r="V150" s="4"/>
      <c r="W150" s="4"/>
    </row>
    <row r="151" spans="7:23" hidden="1" x14ac:dyDescent="0.2">
      <c r="G151" s="4"/>
      <c r="H151" s="3"/>
      <c r="I151" s="3"/>
      <c r="J151" s="3"/>
      <c r="K151" s="3"/>
      <c r="L151" s="3"/>
      <c r="M151" s="3"/>
      <c r="R151" s="4"/>
      <c r="S151" s="4"/>
      <c r="T151" s="4"/>
      <c r="U151" s="4"/>
      <c r="V151" s="4"/>
      <c r="W151" s="4"/>
    </row>
    <row r="152" spans="7:23" hidden="1" x14ac:dyDescent="0.2">
      <c r="G152" s="4"/>
      <c r="H152" s="3"/>
      <c r="I152" s="3"/>
      <c r="J152" s="3"/>
      <c r="K152" s="3"/>
      <c r="L152" s="3"/>
      <c r="M152" s="3"/>
      <c r="R152" s="4"/>
      <c r="S152" s="4"/>
      <c r="T152" s="4"/>
      <c r="U152" s="4"/>
      <c r="V152" s="4"/>
      <c r="W152" s="4"/>
    </row>
    <row r="153" spans="7:23" hidden="1" x14ac:dyDescent="0.2">
      <c r="G153" s="4"/>
      <c r="H153" s="3"/>
      <c r="I153" s="3"/>
      <c r="J153" s="3"/>
      <c r="K153" s="3"/>
      <c r="L153" s="3"/>
      <c r="M153" s="3"/>
      <c r="R153" s="4"/>
      <c r="S153" s="4"/>
      <c r="T153" s="4"/>
      <c r="U153" s="4"/>
      <c r="V153" s="4"/>
      <c r="W153" s="4"/>
    </row>
    <row r="154" spans="7:23" hidden="1" x14ac:dyDescent="0.2">
      <c r="G154" s="4"/>
      <c r="H154" s="3"/>
      <c r="I154" s="3"/>
      <c r="J154" s="3"/>
      <c r="K154" s="3"/>
      <c r="L154" s="3"/>
      <c r="M154" s="3"/>
      <c r="R154" s="4"/>
      <c r="S154" s="4"/>
      <c r="T154" s="4"/>
      <c r="U154" s="4"/>
      <c r="V154" s="4"/>
      <c r="W154" s="4"/>
    </row>
    <row r="155" spans="7:23" hidden="1" x14ac:dyDescent="0.2">
      <c r="G155" s="4"/>
      <c r="H155" s="3"/>
      <c r="I155" s="3"/>
      <c r="J155" s="3"/>
      <c r="K155" s="3"/>
      <c r="L155" s="3"/>
      <c r="M155" s="3"/>
      <c r="R155" s="4"/>
      <c r="S155" s="4"/>
      <c r="T155" s="4"/>
      <c r="U155" s="4"/>
      <c r="V155" s="4"/>
      <c r="W155" s="4"/>
    </row>
    <row r="156" spans="7:23" hidden="1" x14ac:dyDescent="0.2">
      <c r="G156" s="4"/>
      <c r="H156" s="3"/>
      <c r="I156" s="3"/>
      <c r="J156" s="3"/>
      <c r="K156" s="3"/>
      <c r="L156" s="3"/>
      <c r="M156" s="3"/>
      <c r="R156" s="4"/>
      <c r="S156" s="4"/>
      <c r="T156" s="4"/>
      <c r="U156" s="4"/>
      <c r="V156" s="4"/>
      <c r="W156" s="4"/>
    </row>
    <row r="157" spans="7:23" hidden="1" x14ac:dyDescent="0.2">
      <c r="G157" s="4"/>
      <c r="H157" s="3"/>
      <c r="I157" s="3"/>
      <c r="J157" s="3"/>
      <c r="K157" s="3"/>
      <c r="L157" s="3"/>
      <c r="M157" s="3"/>
      <c r="R157" s="4"/>
      <c r="S157" s="4"/>
      <c r="T157" s="4"/>
      <c r="U157" s="4"/>
      <c r="V157" s="4"/>
      <c r="W157" s="4"/>
    </row>
    <row r="158" spans="7:23" hidden="1" x14ac:dyDescent="0.2">
      <c r="G158" s="4"/>
      <c r="H158" s="3"/>
      <c r="I158" s="3"/>
      <c r="J158" s="3"/>
      <c r="K158" s="3"/>
      <c r="L158" s="3"/>
      <c r="M158" s="3"/>
      <c r="R158" s="4"/>
      <c r="S158" s="4"/>
      <c r="T158" s="4"/>
      <c r="U158" s="4"/>
      <c r="V158" s="4"/>
      <c r="W158" s="4"/>
    </row>
    <row r="159" spans="7:23" hidden="1" x14ac:dyDescent="0.2">
      <c r="G159" s="4"/>
      <c r="H159" s="3"/>
      <c r="I159" s="3"/>
      <c r="J159" s="3"/>
      <c r="K159" s="3"/>
      <c r="L159" s="3"/>
      <c r="M159" s="3"/>
      <c r="R159" s="4"/>
      <c r="S159" s="4"/>
      <c r="T159" s="4"/>
      <c r="U159" s="4"/>
      <c r="V159" s="4"/>
      <c r="W159" s="4"/>
    </row>
    <row r="160" spans="7:23" hidden="1" x14ac:dyDescent="0.2">
      <c r="G160" s="4"/>
      <c r="H160" s="3"/>
      <c r="I160" s="3"/>
      <c r="J160" s="3"/>
      <c r="K160" s="3"/>
      <c r="L160" s="3"/>
      <c r="M160" s="3"/>
      <c r="R160" s="4"/>
      <c r="S160" s="4"/>
      <c r="T160" s="4"/>
      <c r="U160" s="4"/>
      <c r="V160" s="4"/>
      <c r="W160" s="4"/>
    </row>
    <row r="161" spans="7:23" hidden="1" x14ac:dyDescent="0.2">
      <c r="G161" s="4"/>
      <c r="H161" s="3"/>
      <c r="I161" s="3"/>
      <c r="J161" s="3"/>
      <c r="K161" s="3"/>
      <c r="L161" s="3"/>
      <c r="M161" s="3"/>
      <c r="R161" s="4"/>
      <c r="S161" s="4"/>
      <c r="T161" s="4"/>
      <c r="U161" s="4"/>
      <c r="V161" s="4"/>
      <c r="W161" s="4"/>
    </row>
    <row r="162" spans="7:23" hidden="1" x14ac:dyDescent="0.2">
      <c r="G162" s="4"/>
      <c r="H162" s="3"/>
      <c r="I162" s="3"/>
      <c r="J162" s="3"/>
      <c r="K162" s="3"/>
      <c r="L162" s="3"/>
      <c r="M162" s="3"/>
      <c r="R162" s="4"/>
      <c r="S162" s="4"/>
      <c r="T162" s="4"/>
      <c r="U162" s="4"/>
      <c r="V162" s="4"/>
      <c r="W162" s="4"/>
    </row>
    <row r="163" spans="7:23" hidden="1" x14ac:dyDescent="0.2">
      <c r="G163" s="4"/>
      <c r="H163" s="3"/>
      <c r="I163" s="3"/>
      <c r="J163" s="3"/>
      <c r="K163" s="3"/>
      <c r="L163" s="3"/>
      <c r="M163" s="3"/>
      <c r="R163" s="4"/>
      <c r="S163" s="4"/>
      <c r="T163" s="4"/>
      <c r="U163" s="4"/>
      <c r="V163" s="4"/>
      <c r="W163" s="4"/>
    </row>
    <row r="164" spans="7:23" hidden="1" x14ac:dyDescent="0.2">
      <c r="G164" s="4"/>
      <c r="H164" s="3"/>
      <c r="I164" s="3"/>
      <c r="J164" s="3"/>
      <c r="K164" s="3"/>
      <c r="L164" s="3"/>
      <c r="M164" s="3"/>
      <c r="R164" s="4"/>
      <c r="S164" s="4"/>
      <c r="T164" s="4"/>
      <c r="U164" s="4"/>
      <c r="V164" s="4"/>
      <c r="W164" s="4"/>
    </row>
    <row r="165" spans="7:23" hidden="1" x14ac:dyDescent="0.2">
      <c r="G165" s="4"/>
      <c r="H165" s="3"/>
      <c r="I165" s="3"/>
      <c r="J165" s="3"/>
      <c r="K165" s="3"/>
      <c r="L165" s="3"/>
      <c r="M165" s="3"/>
      <c r="R165" s="4"/>
      <c r="S165" s="4"/>
      <c r="T165" s="4"/>
      <c r="U165" s="4"/>
      <c r="V165" s="4"/>
      <c r="W165" s="4"/>
    </row>
    <row r="166" spans="7:23" hidden="1" x14ac:dyDescent="0.2">
      <c r="G166" s="4"/>
      <c r="H166" s="3"/>
      <c r="I166" s="3"/>
      <c r="J166" s="3"/>
      <c r="K166" s="3"/>
      <c r="L166" s="3"/>
      <c r="M166" s="3"/>
      <c r="R166" s="4"/>
      <c r="S166" s="4"/>
      <c r="T166" s="4"/>
      <c r="U166" s="4"/>
      <c r="V166" s="4"/>
      <c r="W166" s="4"/>
    </row>
    <row r="167" spans="7:23" hidden="1" x14ac:dyDescent="0.2">
      <c r="G167" s="4"/>
      <c r="H167" s="3"/>
      <c r="I167" s="3"/>
      <c r="J167" s="3"/>
      <c r="K167" s="3"/>
      <c r="L167" s="3"/>
      <c r="M167" s="3"/>
      <c r="R167" s="4"/>
      <c r="S167" s="4"/>
      <c r="T167" s="4"/>
      <c r="U167" s="4"/>
      <c r="V167" s="4"/>
      <c r="W167" s="4"/>
    </row>
    <row r="168" spans="7:23" hidden="1" x14ac:dyDescent="0.2">
      <c r="G168" s="4"/>
      <c r="H168" s="3"/>
      <c r="I168" s="3"/>
      <c r="J168" s="3"/>
      <c r="K168" s="3"/>
      <c r="L168" s="3"/>
      <c r="M168" s="3"/>
      <c r="R168" s="4"/>
      <c r="S168" s="4"/>
      <c r="T168" s="4"/>
      <c r="U168" s="4"/>
      <c r="V168" s="4"/>
      <c r="W168" s="4"/>
    </row>
    <row r="169" spans="7:23" hidden="1" x14ac:dyDescent="0.2">
      <c r="G169" s="4"/>
      <c r="H169" s="3"/>
      <c r="I169" s="3"/>
      <c r="J169" s="3"/>
      <c r="K169" s="3"/>
      <c r="L169" s="3"/>
      <c r="M169" s="3"/>
      <c r="R169" s="4"/>
      <c r="S169" s="4"/>
      <c r="T169" s="4"/>
      <c r="U169" s="4"/>
      <c r="V169" s="4"/>
      <c r="W169" s="4"/>
    </row>
    <row r="170" spans="7:23" hidden="1" x14ac:dyDescent="0.2">
      <c r="G170" s="4"/>
      <c r="H170" s="3"/>
      <c r="I170" s="3"/>
      <c r="J170" s="3"/>
      <c r="K170" s="3"/>
      <c r="L170" s="3"/>
      <c r="M170" s="3"/>
      <c r="R170" s="4"/>
      <c r="S170" s="4"/>
      <c r="T170" s="4"/>
      <c r="U170" s="4"/>
      <c r="V170" s="4"/>
      <c r="W170" s="4"/>
    </row>
    <row r="171" spans="7:23" hidden="1" x14ac:dyDescent="0.2">
      <c r="G171" s="4"/>
      <c r="H171" s="3"/>
      <c r="I171" s="3"/>
      <c r="J171" s="3"/>
      <c r="K171" s="3"/>
      <c r="L171" s="3"/>
      <c r="M171" s="3"/>
      <c r="R171" s="4"/>
      <c r="S171" s="4"/>
      <c r="T171" s="4"/>
      <c r="U171" s="4"/>
      <c r="V171" s="4"/>
      <c r="W171" s="4"/>
    </row>
    <row r="172" spans="7:23" hidden="1" x14ac:dyDescent="0.2">
      <c r="G172" s="4"/>
      <c r="H172" s="3"/>
      <c r="I172" s="3"/>
      <c r="J172" s="3"/>
      <c r="K172" s="3"/>
      <c r="L172" s="3"/>
      <c r="M172" s="3"/>
      <c r="R172" s="4"/>
      <c r="S172" s="4"/>
      <c r="T172" s="4"/>
      <c r="U172" s="4"/>
      <c r="V172" s="4"/>
      <c r="W172" s="4"/>
    </row>
    <row r="173" spans="7:23" hidden="1" x14ac:dyDescent="0.2">
      <c r="G173" s="4"/>
      <c r="H173" s="3"/>
      <c r="I173" s="3"/>
      <c r="J173" s="3"/>
      <c r="K173" s="3"/>
      <c r="L173" s="3"/>
      <c r="M173" s="3"/>
      <c r="R173" s="4"/>
      <c r="S173" s="4"/>
      <c r="T173" s="4"/>
      <c r="U173" s="4"/>
      <c r="V173" s="4"/>
      <c r="W173" s="4"/>
    </row>
    <row r="174" spans="7:23" hidden="1" x14ac:dyDescent="0.2">
      <c r="G174" s="4"/>
      <c r="H174" s="3"/>
      <c r="I174" s="3"/>
      <c r="J174" s="3"/>
      <c r="K174" s="3"/>
      <c r="L174" s="3"/>
      <c r="M174" s="3"/>
      <c r="R174" s="4"/>
      <c r="S174" s="4"/>
      <c r="T174" s="4"/>
      <c r="U174" s="4"/>
      <c r="V174" s="4"/>
      <c r="W174" s="4"/>
    </row>
    <row r="175" spans="7:23" hidden="1" x14ac:dyDescent="0.2">
      <c r="G175" s="4"/>
      <c r="H175" s="3"/>
      <c r="I175" s="3"/>
      <c r="J175" s="3"/>
      <c r="K175" s="3"/>
      <c r="L175" s="3"/>
      <c r="M175" s="3"/>
      <c r="R175" s="4"/>
      <c r="S175" s="4"/>
      <c r="T175" s="4"/>
      <c r="U175" s="4"/>
      <c r="V175" s="4"/>
      <c r="W175" s="4"/>
    </row>
    <row r="176" spans="7:23" hidden="1" x14ac:dyDescent="0.2">
      <c r="G176" s="4"/>
      <c r="H176" s="3"/>
      <c r="I176" s="3"/>
      <c r="J176" s="3"/>
      <c r="K176" s="3"/>
      <c r="L176" s="3"/>
      <c r="M176" s="3"/>
      <c r="R176" s="4"/>
      <c r="S176" s="4"/>
      <c r="T176" s="4"/>
      <c r="U176" s="4"/>
      <c r="V176" s="4"/>
      <c r="W176" s="4"/>
    </row>
    <row r="177" spans="2:23" hidden="1" x14ac:dyDescent="0.2">
      <c r="G177" s="4"/>
      <c r="H177" s="3"/>
      <c r="I177" s="3"/>
      <c r="J177" s="3"/>
      <c r="K177" s="3"/>
      <c r="L177" s="3"/>
      <c r="M177" s="3"/>
      <c r="R177" s="4"/>
      <c r="S177" s="4"/>
      <c r="T177" s="4"/>
      <c r="U177" s="4"/>
      <c r="V177" s="4"/>
      <c r="W177" s="4"/>
    </row>
    <row r="178" spans="2:23" hidden="1" x14ac:dyDescent="0.2">
      <c r="G178" s="4"/>
      <c r="H178" s="3"/>
      <c r="I178" s="3"/>
      <c r="J178" s="3"/>
      <c r="K178" s="3"/>
      <c r="L178" s="3"/>
      <c r="M178" s="3"/>
      <c r="R178" s="4"/>
      <c r="S178" s="4"/>
      <c r="T178" s="4"/>
      <c r="U178" s="4"/>
      <c r="V178" s="4"/>
      <c r="W178" s="4"/>
    </row>
    <row r="179" spans="2:23" hidden="1" x14ac:dyDescent="0.2">
      <c r="G179" s="4"/>
      <c r="H179" s="3"/>
      <c r="I179" s="3"/>
      <c r="J179" s="3"/>
      <c r="K179" s="3"/>
      <c r="L179" s="3"/>
      <c r="M179" s="3"/>
      <c r="R179" s="4"/>
      <c r="S179" s="4"/>
      <c r="T179" s="4"/>
      <c r="U179" s="4"/>
      <c r="V179" s="4"/>
      <c r="W179" s="4"/>
    </row>
    <row r="180" spans="2:23" hidden="1" x14ac:dyDescent="0.2">
      <c r="G180" s="4"/>
      <c r="H180" s="3"/>
      <c r="I180" s="3"/>
      <c r="J180" s="3"/>
      <c r="K180" s="3"/>
      <c r="L180" s="3"/>
      <c r="M180" s="3"/>
      <c r="R180" s="4"/>
      <c r="S180" s="4"/>
      <c r="T180" s="4"/>
      <c r="U180" s="4"/>
      <c r="V180" s="4"/>
      <c r="W180" s="4"/>
    </row>
    <row r="181" spans="2:23" hidden="1" x14ac:dyDescent="0.2">
      <c r="G181" s="4"/>
      <c r="H181" s="3"/>
      <c r="I181" s="3"/>
      <c r="J181" s="3"/>
      <c r="K181" s="3"/>
      <c r="L181" s="3"/>
      <c r="M181" s="3"/>
      <c r="R181" s="4"/>
      <c r="S181" s="4"/>
      <c r="T181" s="4"/>
      <c r="U181" s="4"/>
      <c r="V181" s="4"/>
      <c r="W181" s="4"/>
    </row>
    <row r="182" spans="2:23" hidden="1" x14ac:dyDescent="0.2">
      <c r="G182" s="4"/>
      <c r="H182" s="3"/>
      <c r="I182" s="3"/>
      <c r="J182" s="3"/>
      <c r="K182" s="3"/>
      <c r="L182" s="3"/>
      <c r="M182" s="3"/>
      <c r="R182" s="4"/>
      <c r="S182" s="4"/>
      <c r="T182" s="4"/>
      <c r="U182" s="4"/>
      <c r="V182" s="4"/>
      <c r="W182" s="4"/>
    </row>
    <row r="183" spans="2:23" hidden="1" x14ac:dyDescent="0.2">
      <c r="G183" s="4"/>
      <c r="H183" s="3"/>
      <c r="I183" s="3"/>
      <c r="J183" s="3"/>
      <c r="K183" s="3"/>
      <c r="L183" s="3"/>
      <c r="M183" s="3"/>
      <c r="R183" s="4"/>
      <c r="S183" s="4"/>
      <c r="T183" s="4"/>
      <c r="U183" s="4"/>
      <c r="V183" s="4"/>
      <c r="W183" s="4"/>
    </row>
    <row r="184" spans="2:23" hidden="1" x14ac:dyDescent="0.2">
      <c r="G184" s="4"/>
      <c r="H184" s="3"/>
      <c r="I184" s="3"/>
      <c r="J184" s="3"/>
      <c r="K184" s="3"/>
      <c r="L184" s="3"/>
      <c r="M184" s="3"/>
      <c r="R184" s="4"/>
      <c r="S184" s="4"/>
      <c r="T184" s="4"/>
      <c r="U184" s="4"/>
      <c r="V184" s="4"/>
      <c r="W184" s="4"/>
    </row>
    <row r="185" spans="2:23" hidden="1" x14ac:dyDescent="0.2">
      <c r="G185" s="4"/>
      <c r="H185" s="3"/>
      <c r="I185" s="3"/>
      <c r="J185" s="3"/>
      <c r="K185" s="3"/>
      <c r="L185" s="3"/>
      <c r="M185" s="3"/>
      <c r="R185" s="4"/>
      <c r="S185" s="4"/>
      <c r="T185" s="4"/>
      <c r="U185" s="4"/>
      <c r="V185" s="4"/>
      <c r="W185" s="4"/>
    </row>
    <row r="186" spans="2:23" hidden="1" x14ac:dyDescent="0.2">
      <c r="G186" s="4"/>
      <c r="H186" s="3"/>
      <c r="I186" s="3"/>
      <c r="J186" s="3"/>
      <c r="K186" s="3"/>
      <c r="L186" s="3"/>
      <c r="M186" s="3"/>
      <c r="R186" s="4"/>
      <c r="S186" s="4"/>
      <c r="T186" s="4"/>
      <c r="U186" s="4"/>
      <c r="V186" s="4"/>
      <c r="W186" s="4"/>
    </row>
    <row r="187" spans="2:23" x14ac:dyDescent="0.2">
      <c r="G187" s="4"/>
      <c r="H187" s="3"/>
      <c r="I187" s="3"/>
      <c r="J187" s="3"/>
      <c r="K187" s="3"/>
      <c r="L187" s="3"/>
      <c r="M187" s="3"/>
      <c r="R187" s="4"/>
      <c r="S187" s="4"/>
      <c r="T187" s="4"/>
      <c r="U187" s="4"/>
      <c r="V187" s="4"/>
      <c r="W187" s="4"/>
    </row>
    <row r="188" spans="2:23" x14ac:dyDescent="0.2">
      <c r="G188" s="4"/>
      <c r="H188" s="3"/>
      <c r="I188" s="3"/>
      <c r="J188" s="3"/>
      <c r="K188" s="3"/>
      <c r="L188" s="3"/>
      <c r="M188" s="3"/>
      <c r="R188" s="4"/>
      <c r="S188" s="4"/>
      <c r="T188" s="4"/>
      <c r="U188" s="4"/>
      <c r="V188" s="4"/>
      <c r="W188" s="4"/>
    </row>
    <row r="189" spans="2:23" ht="15" x14ac:dyDescent="0.25">
      <c r="B189" s="84" t="s">
        <v>551</v>
      </c>
      <c r="G189" s="4"/>
      <c r="H189" s="3"/>
      <c r="I189" s="3"/>
      <c r="J189" s="3"/>
      <c r="K189" s="3"/>
      <c r="L189" s="3"/>
      <c r="M189" s="3"/>
      <c r="R189" s="4"/>
      <c r="S189" s="4"/>
      <c r="T189" s="4"/>
      <c r="U189" s="4"/>
      <c r="V189" s="4"/>
      <c r="W189" s="4"/>
    </row>
    <row r="190" spans="2:23" x14ac:dyDescent="0.2">
      <c r="G190" s="4"/>
      <c r="H190" s="3"/>
      <c r="I190" s="3"/>
      <c r="J190" s="3"/>
      <c r="K190" s="3"/>
      <c r="L190" s="3"/>
      <c r="M190" s="3"/>
      <c r="R190" s="4"/>
      <c r="S190" s="4"/>
      <c r="T190" s="4"/>
      <c r="U190" s="4"/>
      <c r="V190" s="4"/>
      <c r="W190" s="4"/>
    </row>
    <row r="191" spans="2:23" x14ac:dyDescent="0.2">
      <c r="G191" s="4"/>
      <c r="H191" s="3"/>
      <c r="I191" s="3"/>
      <c r="J191" s="3"/>
      <c r="K191" s="3"/>
      <c r="L191" s="3"/>
      <c r="M191" s="3"/>
      <c r="R191" s="4"/>
      <c r="S191" s="4"/>
      <c r="T191" s="4"/>
      <c r="U191" s="4"/>
      <c r="V191" s="4"/>
      <c r="W191" s="4"/>
    </row>
    <row r="192" spans="2:23" x14ac:dyDescent="0.2">
      <c r="G192" s="4"/>
      <c r="H192" s="3"/>
      <c r="I192" s="3"/>
      <c r="J192" s="3"/>
      <c r="K192" s="3"/>
      <c r="L192" s="3"/>
      <c r="M192" s="3"/>
      <c r="R192" s="4"/>
      <c r="S192" s="4"/>
      <c r="T192" s="4"/>
      <c r="U192" s="4"/>
      <c r="V192" s="4"/>
      <c r="W192" s="4"/>
    </row>
    <row r="193" spans="2:23" x14ac:dyDescent="0.2">
      <c r="G193" s="4"/>
      <c r="H193" s="3"/>
      <c r="I193" s="3"/>
      <c r="J193" s="3"/>
      <c r="K193" s="3"/>
      <c r="L193" s="3"/>
      <c r="M193" s="3"/>
      <c r="R193" s="4"/>
      <c r="S193" s="4"/>
      <c r="T193" s="4"/>
      <c r="U193" s="4"/>
      <c r="V193" s="4"/>
      <c r="W193" s="4"/>
    </row>
    <row r="194" spans="2:23" x14ac:dyDescent="0.2">
      <c r="G194" s="4"/>
      <c r="H194" s="3"/>
      <c r="I194" s="3"/>
      <c r="J194" s="3"/>
      <c r="K194" s="3"/>
      <c r="L194" s="3"/>
      <c r="M194" s="3"/>
      <c r="R194" s="4"/>
      <c r="S194" s="4"/>
      <c r="T194" s="4"/>
      <c r="U194" s="4"/>
      <c r="V194" s="4"/>
      <c r="W194" s="4"/>
    </row>
    <row r="195" spans="2:23" x14ac:dyDescent="0.2">
      <c r="G195" s="4"/>
      <c r="H195" s="3"/>
      <c r="I195" s="3"/>
      <c r="J195" s="3"/>
      <c r="K195" s="3"/>
      <c r="L195" s="3"/>
      <c r="M195" s="3"/>
      <c r="R195" s="4"/>
      <c r="S195" s="4"/>
      <c r="T195" s="4"/>
      <c r="U195" s="4"/>
      <c r="V195" s="4"/>
      <c r="W195" s="4"/>
    </row>
    <row r="196" spans="2:23" x14ac:dyDescent="0.2">
      <c r="G196" s="4"/>
      <c r="H196" s="3"/>
      <c r="I196" s="3"/>
      <c r="J196" s="3"/>
      <c r="K196" s="3"/>
      <c r="L196" s="3"/>
      <c r="M196" s="3"/>
      <c r="R196" s="4"/>
      <c r="S196" s="4"/>
      <c r="T196" s="4"/>
      <c r="U196" s="4"/>
      <c r="V196" s="4"/>
      <c r="W196" s="4"/>
    </row>
    <row r="197" spans="2:23" x14ac:dyDescent="0.2">
      <c r="G197" s="4"/>
      <c r="H197" s="3"/>
      <c r="I197" s="3"/>
      <c r="J197" s="3"/>
      <c r="K197" s="3"/>
      <c r="L197" s="3"/>
      <c r="M197" s="3"/>
      <c r="R197" s="4"/>
      <c r="S197" s="4"/>
      <c r="T197" s="4"/>
      <c r="U197" s="4"/>
      <c r="V197" s="4"/>
      <c r="W197" s="4"/>
    </row>
    <row r="198" spans="2:23" x14ac:dyDescent="0.2">
      <c r="G198" s="4"/>
      <c r="H198" s="3"/>
      <c r="I198" s="3"/>
      <c r="J198" s="3"/>
      <c r="K198" s="3"/>
      <c r="L198" s="3"/>
      <c r="M198" s="3"/>
      <c r="R198" s="4"/>
      <c r="S198" s="4"/>
      <c r="T198" s="4"/>
      <c r="U198" s="4"/>
      <c r="V198" s="4"/>
      <c r="W198" s="4"/>
    </row>
    <row r="199" spans="2:23" x14ac:dyDescent="0.2">
      <c r="G199" s="4"/>
      <c r="H199" s="3"/>
      <c r="I199" s="3"/>
      <c r="J199" s="3"/>
      <c r="K199" s="3"/>
      <c r="L199" s="3"/>
      <c r="M199" s="3"/>
      <c r="R199" s="4"/>
      <c r="S199" s="4"/>
      <c r="T199" s="4"/>
      <c r="U199" s="4"/>
      <c r="V199" s="4"/>
      <c r="W199" s="4"/>
    </row>
    <row r="200" spans="2:23" x14ac:dyDescent="0.2">
      <c r="G200" s="4"/>
      <c r="H200" s="3"/>
      <c r="I200" s="3"/>
      <c r="J200" s="3"/>
      <c r="K200" s="3"/>
      <c r="L200" s="3"/>
      <c r="M200" s="3"/>
      <c r="R200" s="4"/>
      <c r="S200" s="4"/>
      <c r="T200" s="4"/>
      <c r="U200" s="4"/>
      <c r="V200" s="4"/>
      <c r="W200" s="4"/>
    </row>
    <row r="201" spans="2:23" x14ac:dyDescent="0.2">
      <c r="G201" s="4"/>
      <c r="H201" s="3"/>
      <c r="I201" s="3"/>
      <c r="J201" s="3"/>
      <c r="K201" s="3"/>
      <c r="L201" s="3"/>
      <c r="M201" s="3"/>
      <c r="R201" s="4"/>
      <c r="S201" s="4"/>
      <c r="T201" s="4"/>
      <c r="U201" s="4"/>
      <c r="V201" s="4"/>
      <c r="W201" s="4"/>
    </row>
    <row r="202" spans="2:23" x14ac:dyDescent="0.2">
      <c r="G202" s="4"/>
      <c r="H202" s="3"/>
      <c r="I202" s="3"/>
      <c r="J202" s="3"/>
      <c r="K202" s="3"/>
      <c r="L202" s="3"/>
      <c r="M202" s="3"/>
      <c r="R202" s="4"/>
      <c r="S202" s="4"/>
      <c r="T202" s="4"/>
      <c r="U202" s="4"/>
      <c r="V202" s="4"/>
      <c r="W202" s="4"/>
    </row>
    <row r="203" spans="2:23" x14ac:dyDescent="0.2">
      <c r="G203" s="4"/>
      <c r="H203" s="3"/>
      <c r="I203" s="3"/>
      <c r="J203" s="3"/>
      <c r="K203" s="3"/>
      <c r="L203" s="3"/>
      <c r="M203" s="3"/>
      <c r="R203" s="4"/>
      <c r="S203" s="4"/>
      <c r="T203" s="4"/>
      <c r="U203" s="4"/>
      <c r="V203" s="4"/>
      <c r="W203" s="4"/>
    </row>
    <row r="204" spans="2:23" x14ac:dyDescent="0.2">
      <c r="G204" s="4"/>
      <c r="H204" s="3"/>
      <c r="I204" s="3"/>
      <c r="J204" s="3"/>
      <c r="K204" s="3"/>
      <c r="L204" s="3"/>
      <c r="M204" s="3"/>
      <c r="R204" s="4"/>
      <c r="S204" s="4"/>
      <c r="T204" s="4"/>
      <c r="U204" s="4"/>
      <c r="V204" s="4"/>
      <c r="W204" s="4"/>
    </row>
    <row r="205" spans="2:23" x14ac:dyDescent="0.2">
      <c r="G205" s="4"/>
      <c r="H205" s="3"/>
      <c r="I205" s="3"/>
      <c r="J205" s="3"/>
      <c r="K205" s="3"/>
      <c r="L205" s="3"/>
      <c r="M205" s="3"/>
      <c r="R205" s="4"/>
      <c r="S205" s="4"/>
      <c r="T205" s="4"/>
      <c r="U205" s="4"/>
      <c r="V205" s="4"/>
      <c r="W205" s="4"/>
    </row>
    <row r="206" spans="2:23" x14ac:dyDescent="0.2">
      <c r="G206" s="4"/>
      <c r="H206" s="3"/>
      <c r="I206" s="3"/>
      <c r="J206" s="3"/>
      <c r="K206" s="3"/>
      <c r="L206" s="3"/>
      <c r="M206" s="3"/>
      <c r="R206" s="4"/>
      <c r="S206" s="4"/>
      <c r="T206" s="4"/>
      <c r="U206" s="4"/>
      <c r="V206" s="4"/>
      <c r="W206" s="4"/>
    </row>
    <row r="207" spans="2:23" x14ac:dyDescent="0.2">
      <c r="G207" s="4"/>
      <c r="H207" s="3"/>
      <c r="I207" s="3"/>
      <c r="J207" s="3"/>
      <c r="K207" s="3"/>
      <c r="L207" s="3"/>
      <c r="M207" s="3"/>
      <c r="R207" s="4"/>
      <c r="S207" s="4"/>
      <c r="T207" s="4"/>
      <c r="U207" s="4"/>
      <c r="V207" s="4"/>
      <c r="W207" s="4"/>
    </row>
    <row r="208" spans="2:23" x14ac:dyDescent="0.2">
      <c r="B208" s="4"/>
      <c r="G208" s="4"/>
      <c r="H208" s="3"/>
      <c r="I208" s="3"/>
      <c r="J208" s="3"/>
      <c r="K208" s="3"/>
      <c r="L208" s="3"/>
      <c r="M208" s="3"/>
      <c r="R208" s="4"/>
      <c r="S208" s="4"/>
      <c r="T208" s="4"/>
      <c r="U208" s="4"/>
      <c r="V208" s="4"/>
      <c r="W208" s="4"/>
    </row>
    <row r="209" spans="1:23" x14ac:dyDescent="0.2">
      <c r="B209" s="4"/>
      <c r="G209" s="4"/>
      <c r="H209" s="3"/>
      <c r="I209" s="3"/>
      <c r="J209" s="3"/>
      <c r="K209" s="3"/>
      <c r="L209" s="3"/>
      <c r="M209" s="3"/>
      <c r="R209" s="4"/>
      <c r="S209" s="4"/>
      <c r="T209" s="4"/>
      <c r="U209" s="4"/>
      <c r="V209" s="4"/>
      <c r="W209" s="4"/>
    </row>
    <row r="210" spans="1:23" x14ac:dyDescent="0.2">
      <c r="B210" s="3" t="s">
        <v>448</v>
      </c>
      <c r="C210" s="65">
        <v>4.4520999999999997</v>
      </c>
      <c r="D210" s="4" t="s">
        <v>21</v>
      </c>
      <c r="G210" s="4"/>
      <c r="H210" s="3"/>
      <c r="I210" s="3"/>
      <c r="J210" s="3"/>
      <c r="K210" s="3"/>
      <c r="L210" s="3"/>
      <c r="M210" s="3"/>
      <c r="R210" s="4"/>
      <c r="S210" s="4"/>
      <c r="T210" s="4"/>
      <c r="U210" s="4"/>
      <c r="V210" s="4"/>
      <c r="W210" s="4"/>
    </row>
    <row r="211" spans="1:23" x14ac:dyDescent="0.2">
      <c r="B211" s="2" t="s">
        <v>542</v>
      </c>
      <c r="C211" s="65">
        <v>8.0594000000000001</v>
      </c>
      <c r="D211" s="4" t="s">
        <v>21</v>
      </c>
      <c r="G211" s="4"/>
      <c r="H211" s="3"/>
      <c r="I211" s="3"/>
      <c r="J211" s="3"/>
      <c r="K211" s="3"/>
      <c r="L211" s="3"/>
      <c r="M211" s="3"/>
      <c r="R211" s="4"/>
      <c r="S211" s="4"/>
      <c r="T211" s="4"/>
      <c r="U211" s="4"/>
      <c r="V211" s="4"/>
      <c r="W211" s="4"/>
    </row>
    <row r="212" spans="1:23" x14ac:dyDescent="0.2">
      <c r="C212" s="65">
        <v>14.307399999999999</v>
      </c>
      <c r="D212" s="4" t="s">
        <v>21</v>
      </c>
      <c r="G212" s="4"/>
      <c r="H212" s="3"/>
      <c r="I212" s="3"/>
      <c r="J212" s="3"/>
      <c r="K212" s="3"/>
      <c r="L212" s="3"/>
      <c r="M212" s="3"/>
      <c r="R212" s="4"/>
      <c r="S212" s="4"/>
      <c r="T212" s="4"/>
      <c r="U212" s="4"/>
      <c r="V212" s="4"/>
      <c r="W212" s="4"/>
    </row>
    <row r="213" spans="1:23" x14ac:dyDescent="0.2">
      <c r="C213" s="65">
        <v>21.521999999999998</v>
      </c>
      <c r="D213" s="4" t="s">
        <v>21</v>
      </c>
      <c r="G213" s="4"/>
      <c r="H213" s="3"/>
      <c r="I213" s="3"/>
      <c r="J213" s="3"/>
      <c r="K213" s="3"/>
      <c r="L213" s="3"/>
      <c r="M213" s="3"/>
      <c r="R213" s="4"/>
      <c r="S213" s="4"/>
      <c r="T213" s="4"/>
      <c r="U213" s="4"/>
      <c r="V213" s="4"/>
      <c r="W213" s="4"/>
    </row>
    <row r="214" spans="1:23" x14ac:dyDescent="0.2">
      <c r="C214" s="65">
        <v>27.77</v>
      </c>
      <c r="D214" s="4" t="s">
        <v>21</v>
      </c>
      <c r="H214" s="3"/>
      <c r="I214" s="3"/>
      <c r="J214" s="3"/>
      <c r="K214" s="3"/>
      <c r="L214" s="3"/>
      <c r="M214" s="3"/>
      <c r="R214" s="4"/>
      <c r="S214" s="4"/>
      <c r="T214" s="4"/>
      <c r="U214" s="4"/>
      <c r="V214" s="4"/>
      <c r="W214" s="4"/>
    </row>
    <row r="215" spans="1:23" x14ac:dyDescent="0.2">
      <c r="C215" s="65">
        <v>31.377300000000002</v>
      </c>
      <c r="D215" s="4" t="s">
        <v>21</v>
      </c>
      <c r="H215" s="3"/>
      <c r="I215" s="3"/>
      <c r="J215" s="3"/>
      <c r="K215" s="3"/>
      <c r="L215" s="3"/>
      <c r="M215" s="3"/>
      <c r="R215" s="4"/>
      <c r="S215" s="4"/>
      <c r="T215" s="4"/>
      <c r="U215" s="4"/>
      <c r="V215" s="4"/>
      <c r="W215" s="4"/>
    </row>
    <row r="216" spans="1:23" x14ac:dyDescent="0.2">
      <c r="B216" s="4"/>
      <c r="C216" s="4"/>
      <c r="H216" s="3"/>
      <c r="I216" s="3"/>
      <c r="J216" s="3"/>
      <c r="K216" s="3"/>
      <c r="L216" s="3"/>
      <c r="M216" s="3"/>
      <c r="R216" s="4"/>
      <c r="S216" s="4"/>
      <c r="T216" s="4"/>
      <c r="U216" s="4"/>
      <c r="V216" s="4"/>
      <c r="W216" s="4"/>
    </row>
    <row r="217" spans="1:23" ht="18.75" x14ac:dyDescent="0.35">
      <c r="A217" s="4" t="s">
        <v>427</v>
      </c>
      <c r="B217" s="2" t="s">
        <v>159</v>
      </c>
      <c r="C217" s="45">
        <v>3</v>
      </c>
      <c r="D217" s="4" t="s">
        <v>0</v>
      </c>
      <c r="H217" s="4"/>
      <c r="K217" s="3"/>
      <c r="L217" s="3"/>
      <c r="M217" s="3"/>
      <c r="R217" s="4"/>
      <c r="S217" s="4"/>
      <c r="T217" s="4"/>
      <c r="U217" s="4"/>
      <c r="V217" s="4"/>
      <c r="W217" s="4"/>
    </row>
    <row r="218" spans="1:23" x14ac:dyDescent="0.2">
      <c r="C218" s="42">
        <f>C217*12</f>
        <v>36</v>
      </c>
      <c r="D218" s="4" t="s">
        <v>21</v>
      </c>
      <c r="H218" s="4"/>
      <c r="K218" s="3"/>
      <c r="L218" s="3"/>
      <c r="M218" s="3"/>
      <c r="R218" s="4"/>
      <c r="S218" s="4"/>
      <c r="T218" s="4"/>
      <c r="U218" s="4"/>
      <c r="V218" s="4"/>
      <c r="W218" s="4"/>
    </row>
    <row r="219" spans="1:23" ht="18.75" x14ac:dyDescent="0.35">
      <c r="A219" s="4" t="s">
        <v>210</v>
      </c>
      <c r="B219" s="2" t="s">
        <v>161</v>
      </c>
      <c r="C219" s="44">
        <v>12</v>
      </c>
      <c r="E219" s="4" t="s">
        <v>462</v>
      </c>
      <c r="H219" s="4"/>
      <c r="K219" s="3"/>
      <c r="L219" s="3"/>
      <c r="M219" s="3"/>
      <c r="R219" s="4"/>
      <c r="S219" s="4"/>
      <c r="T219" s="4"/>
      <c r="U219" s="4"/>
      <c r="V219" s="4"/>
      <c r="W219" s="4"/>
    </row>
    <row r="220" spans="1:23" ht="18.75" x14ac:dyDescent="0.35">
      <c r="A220" s="4" t="s">
        <v>428</v>
      </c>
      <c r="B220" s="2" t="s">
        <v>163</v>
      </c>
      <c r="C220" s="44">
        <v>7</v>
      </c>
      <c r="E220" s="4" t="s">
        <v>462</v>
      </c>
      <c r="H220" s="4"/>
      <c r="K220" s="3"/>
      <c r="L220" s="3"/>
      <c r="M220" s="3"/>
      <c r="R220" s="4"/>
      <c r="S220" s="4"/>
      <c r="T220" s="4"/>
      <c r="U220" s="4"/>
      <c r="V220" s="4"/>
      <c r="W220" s="4"/>
    </row>
    <row r="221" spans="1:23" x14ac:dyDescent="0.2">
      <c r="C221" s="46">
        <f>C220/8</f>
        <v>0.875</v>
      </c>
      <c r="D221" s="4" t="s">
        <v>21</v>
      </c>
      <c r="H221" s="4"/>
      <c r="K221" s="3"/>
      <c r="L221" s="3"/>
      <c r="M221" s="3"/>
      <c r="R221" s="4"/>
      <c r="S221" s="4"/>
      <c r="T221" s="4"/>
      <c r="U221" s="4"/>
      <c r="V221" s="4"/>
      <c r="W221" s="4"/>
    </row>
    <row r="222" spans="1:23" ht="18.75" x14ac:dyDescent="0.35">
      <c r="A222" s="4" t="s">
        <v>209</v>
      </c>
      <c r="B222" s="2" t="s">
        <v>185</v>
      </c>
      <c r="C222" s="43">
        <f>PI()/4*C221^2</f>
        <v>0.6013204688511713</v>
      </c>
      <c r="D222" s="4" t="s">
        <v>120</v>
      </c>
      <c r="H222" s="4"/>
      <c r="K222" s="3"/>
      <c r="L222" s="3"/>
      <c r="M222" s="3"/>
      <c r="R222" s="4"/>
      <c r="S222" s="4"/>
      <c r="T222" s="4"/>
      <c r="U222" s="4"/>
      <c r="V222" s="4"/>
      <c r="W222" s="4"/>
    </row>
    <row r="223" spans="1:23" x14ac:dyDescent="0.2">
      <c r="A223" s="4" t="s">
        <v>208</v>
      </c>
      <c r="C223" s="46">
        <f>C218-(2*3+2*C226+C221)</f>
        <v>27.875</v>
      </c>
      <c r="D223" s="4" t="s">
        <v>21</v>
      </c>
      <c r="H223" s="4"/>
      <c r="K223" s="3"/>
      <c r="L223" s="3"/>
      <c r="M223" s="3"/>
      <c r="R223" s="4"/>
      <c r="S223" s="4"/>
      <c r="T223" s="4"/>
      <c r="U223" s="4"/>
      <c r="V223" s="4"/>
      <c r="W223" s="4"/>
    </row>
    <row r="224" spans="1:23" x14ac:dyDescent="0.2">
      <c r="B224" s="4"/>
      <c r="C224" s="49">
        <f>C223/C218</f>
        <v>0.77430555555555558</v>
      </c>
      <c r="H224" s="31"/>
      <c r="I224" s="3"/>
      <c r="J224" s="3"/>
      <c r="K224" s="3"/>
      <c r="L224" s="3"/>
      <c r="M224" s="3"/>
      <c r="R224" s="4"/>
      <c r="S224" s="4"/>
      <c r="T224" s="4"/>
      <c r="U224" s="4"/>
      <c r="V224" s="4"/>
      <c r="W224" s="4"/>
    </row>
    <row r="225" spans="1:23" ht="18.75" x14ac:dyDescent="0.35">
      <c r="A225" s="4" t="s">
        <v>207</v>
      </c>
      <c r="B225" s="2" t="s">
        <v>165</v>
      </c>
      <c r="C225" s="44">
        <v>5</v>
      </c>
      <c r="E225" s="4" t="s">
        <v>462</v>
      </c>
      <c r="H225" s="31"/>
      <c r="I225" s="3"/>
      <c r="J225" s="3"/>
      <c r="K225" s="3"/>
      <c r="L225" s="3"/>
      <c r="M225" s="3"/>
      <c r="R225" s="4"/>
      <c r="S225" s="4"/>
      <c r="T225" s="4"/>
      <c r="U225" s="4"/>
      <c r="V225" s="4"/>
      <c r="W225" s="4"/>
    </row>
    <row r="226" spans="1:23" x14ac:dyDescent="0.2">
      <c r="C226" s="46">
        <f>C225/8</f>
        <v>0.625</v>
      </c>
      <c r="D226" s="4" t="s">
        <v>21</v>
      </c>
      <c r="H226" s="31"/>
      <c r="I226" s="3"/>
      <c r="J226" s="3"/>
      <c r="K226" s="3"/>
      <c r="L226" s="3"/>
      <c r="M226" s="3"/>
      <c r="R226" s="4"/>
      <c r="S226" s="4"/>
      <c r="T226" s="4"/>
      <c r="U226" s="4"/>
      <c r="V226" s="4"/>
      <c r="W226" s="4"/>
    </row>
    <row r="227" spans="1:23" ht="18.75" x14ac:dyDescent="0.35">
      <c r="A227" s="4" t="s">
        <v>206</v>
      </c>
      <c r="B227" s="2" t="s">
        <v>299</v>
      </c>
      <c r="C227" s="44">
        <v>6</v>
      </c>
      <c r="D227" s="4" t="s">
        <v>21</v>
      </c>
      <c r="E227" s="4" t="s">
        <v>462</v>
      </c>
      <c r="H227" s="31"/>
      <c r="I227" s="3"/>
      <c r="J227" s="3"/>
      <c r="K227" s="3"/>
      <c r="L227" s="3"/>
      <c r="M227" s="3"/>
      <c r="R227" s="4"/>
      <c r="S227" s="4"/>
      <c r="T227" s="4"/>
      <c r="U227" s="4"/>
      <c r="V227" s="4"/>
      <c r="W227" s="4"/>
    </row>
    <row r="228" spans="1:23" ht="18.75" x14ac:dyDescent="0.35">
      <c r="A228" s="4" t="s">
        <v>205</v>
      </c>
      <c r="B228" s="2" t="s">
        <v>168</v>
      </c>
      <c r="C228" s="43">
        <f>PI()/4*C226^2</f>
        <v>0.30679615757712825</v>
      </c>
      <c r="D228" s="4" t="s">
        <v>120</v>
      </c>
      <c r="H228" s="2"/>
      <c r="I228" s="3"/>
      <c r="J228" s="3"/>
      <c r="K228" s="3"/>
      <c r="L228" s="3"/>
      <c r="M228" s="3"/>
      <c r="R228" s="4"/>
      <c r="S228" s="4"/>
      <c r="T228" s="4"/>
      <c r="U228" s="4"/>
      <c r="V228" s="4"/>
      <c r="W228" s="4"/>
    </row>
    <row r="229" spans="1:23" ht="18.75" x14ac:dyDescent="0.35">
      <c r="B229" s="2" t="s">
        <v>169</v>
      </c>
      <c r="C229" s="43">
        <f>4*C228/(C232*C230)</f>
        <v>3.1877186165274907</v>
      </c>
      <c r="H229" s="2"/>
      <c r="I229" s="3"/>
      <c r="J229" s="3"/>
      <c r="K229" s="3"/>
      <c r="L229" s="3"/>
      <c r="M229" s="3"/>
      <c r="R229" s="4"/>
      <c r="S229" s="4"/>
      <c r="T229" s="4"/>
      <c r="U229" s="4"/>
      <c r="V229" s="4"/>
      <c r="W229" s="4"/>
    </row>
    <row r="230" spans="1:23" ht="18.75" x14ac:dyDescent="0.35">
      <c r="A230" s="4" t="s">
        <v>100</v>
      </c>
      <c r="B230" s="2" t="s">
        <v>405</v>
      </c>
      <c r="C230" s="42">
        <f>C218-2*3</f>
        <v>30</v>
      </c>
      <c r="D230" s="4" t="s">
        <v>21</v>
      </c>
      <c r="H230" s="2"/>
      <c r="I230" s="3"/>
      <c r="M230" s="3"/>
      <c r="R230" s="4"/>
      <c r="S230" s="4"/>
      <c r="T230" s="4"/>
      <c r="U230" s="4"/>
      <c r="V230" s="4"/>
      <c r="W230" s="4"/>
    </row>
    <row r="231" spans="1:23" ht="18.75" x14ac:dyDescent="0.35">
      <c r="A231" s="4" t="s">
        <v>99</v>
      </c>
      <c r="B231" s="2" t="s">
        <v>407</v>
      </c>
      <c r="C231" s="45">
        <v>623.93169999999998</v>
      </c>
      <c r="D231" s="4" t="s">
        <v>120</v>
      </c>
      <c r="H231" s="4"/>
      <c r="R231" s="4"/>
      <c r="S231" s="4"/>
      <c r="T231" s="4"/>
      <c r="U231" s="4"/>
      <c r="V231" s="4"/>
      <c r="W231" s="4"/>
    </row>
    <row r="232" spans="1:23" ht="18.75" x14ac:dyDescent="0.35">
      <c r="A232" s="4" t="s">
        <v>204</v>
      </c>
      <c r="B232" s="2" t="s">
        <v>300</v>
      </c>
      <c r="C232" s="43">
        <f>0.45*(C233/C231-1)*(f_prime_c/fy)</f>
        <v>1.2832423204334706E-2</v>
      </c>
      <c r="D232" s="4" t="s">
        <v>120</v>
      </c>
      <c r="H232" s="4"/>
      <c r="R232" s="4"/>
      <c r="S232" s="4"/>
      <c r="T232" s="4"/>
      <c r="U232" s="4"/>
      <c r="V232" s="4"/>
      <c r="W232" s="4"/>
    </row>
    <row r="233" spans="1:23" ht="18.75" x14ac:dyDescent="0.35">
      <c r="A233" s="4" t="s">
        <v>98</v>
      </c>
      <c r="B233" s="2" t="s">
        <v>173</v>
      </c>
      <c r="C233" s="45">
        <v>918.42570000000001</v>
      </c>
      <c r="D233" s="4" t="s">
        <v>120</v>
      </c>
      <c r="H233" s="4"/>
      <c r="R233" s="4"/>
      <c r="S233" s="4"/>
      <c r="T233" s="4"/>
      <c r="U233" s="4"/>
      <c r="V233" s="4"/>
      <c r="W233" s="4"/>
    </row>
    <row r="234" spans="1:23" ht="18.75" x14ac:dyDescent="0.35">
      <c r="A234" s="4" t="s">
        <v>203</v>
      </c>
      <c r="B234" s="2" t="s">
        <v>301</v>
      </c>
      <c r="C234" s="43">
        <f>C219*PI()/4*C221^2</f>
        <v>7.2158456262140565</v>
      </c>
      <c r="D234" s="4" t="s">
        <v>120</v>
      </c>
      <c r="H234" s="4"/>
      <c r="R234" s="4"/>
      <c r="S234" s="4"/>
      <c r="T234" s="4"/>
      <c r="U234" s="4"/>
      <c r="V234" s="4"/>
      <c r="W234" s="4"/>
    </row>
    <row r="235" spans="1:23" ht="18.75" x14ac:dyDescent="0.35">
      <c r="A235" s="4" t="s">
        <v>202</v>
      </c>
      <c r="B235" s="2" t="s">
        <v>176</v>
      </c>
      <c r="C235" s="43">
        <f>C234/C233</f>
        <v>7.8567549081151114E-3</v>
      </c>
      <c r="E235" s="4" t="s">
        <v>463</v>
      </c>
      <c r="H235" s="4"/>
      <c r="R235" s="4"/>
      <c r="S235" s="4"/>
      <c r="T235" s="4"/>
      <c r="U235" s="4"/>
      <c r="V235" s="4"/>
      <c r="W235" s="4"/>
    </row>
    <row r="236" spans="1:23" ht="18.75" x14ac:dyDescent="0.35">
      <c r="B236" s="2" t="s">
        <v>302</v>
      </c>
      <c r="C236" s="43" t="e">
        <f>#REF!/'Constrained Foundation'!C218</f>
        <v>#REF!</v>
      </c>
      <c r="H236" s="4"/>
      <c r="R236" s="4"/>
      <c r="S236" s="4"/>
      <c r="T236" s="4"/>
      <c r="U236" s="4"/>
      <c r="V236" s="4"/>
      <c r="W236" s="4"/>
    </row>
    <row r="237" spans="1:23" ht="18.75" x14ac:dyDescent="0.35">
      <c r="A237" s="4" t="s">
        <v>533</v>
      </c>
      <c r="B237" s="2" t="s">
        <v>496</v>
      </c>
      <c r="C237" s="43">
        <f>MAX(3*SQRT(f_prime_c)/fy*C218*C275,200*C218*C275/fy)</f>
        <v>3.2267720000000004</v>
      </c>
      <c r="D237" s="4" t="str">
        <f>IF(C234&lt;C237,"NG","OK")</f>
        <v>OK</v>
      </c>
      <c r="E237" s="4" t="s">
        <v>466</v>
      </c>
      <c r="H237" s="4"/>
      <c r="R237" s="4"/>
      <c r="S237" s="4"/>
      <c r="T237" s="4"/>
      <c r="U237" s="4"/>
      <c r="V237" s="4"/>
      <c r="W237" s="4"/>
    </row>
    <row r="238" spans="1:23" ht="18.75" x14ac:dyDescent="0.35">
      <c r="A238" s="4" t="s">
        <v>179</v>
      </c>
      <c r="B238" s="2" t="s">
        <v>494</v>
      </c>
      <c r="C238" s="42">
        <f>(0.85*f_prime_c*(C$233-C$234)-fy*C$234)/1000</f>
        <v>2374.7146262163847</v>
      </c>
      <c r="D238" s="4" t="s">
        <v>97</v>
      </c>
      <c r="E238" s="4" t="s">
        <v>495</v>
      </c>
      <c r="H238" s="4"/>
      <c r="R238" s="4"/>
      <c r="S238" s="4"/>
      <c r="T238" s="4"/>
      <c r="U238" s="4"/>
      <c r="V238" s="4"/>
      <c r="W238" s="4"/>
    </row>
    <row r="239" spans="1:23" ht="18.75" x14ac:dyDescent="0.35">
      <c r="A239" s="4" t="s">
        <v>96</v>
      </c>
      <c r="B239" s="2" t="s">
        <v>450</v>
      </c>
      <c r="C239" s="42">
        <f>$C$15*$C$17*C238</f>
        <v>1234.85160563252</v>
      </c>
      <c r="D239" s="4" t="s">
        <v>97</v>
      </c>
      <c r="E239" s="4" t="s">
        <v>465</v>
      </c>
      <c r="H239" s="4"/>
      <c r="R239" s="4"/>
      <c r="S239" s="4"/>
      <c r="T239" s="4"/>
      <c r="U239" s="4"/>
      <c r="V239" s="4"/>
      <c r="W239" s="4"/>
    </row>
    <row r="240" spans="1:23" ht="18.75" x14ac:dyDescent="0.35">
      <c r="A240" s="4" t="s">
        <v>461</v>
      </c>
      <c r="B240" s="2" t="s">
        <v>256</v>
      </c>
      <c r="C240" s="42">
        <f>(fy/1000)*C222*C219</f>
        <v>432.95073757284337</v>
      </c>
      <c r="D240" s="4" t="s">
        <v>97</v>
      </c>
      <c r="H240" s="4"/>
      <c r="R240" s="4"/>
      <c r="S240" s="4"/>
      <c r="T240" s="4"/>
      <c r="U240" s="4"/>
      <c r="V240" s="4"/>
      <c r="W240" s="4"/>
    </row>
    <row r="241" spans="2:23" x14ac:dyDescent="0.2">
      <c r="C241" s="47"/>
      <c r="H241" s="4"/>
      <c r="R241" s="4"/>
      <c r="S241" s="4"/>
      <c r="T241" s="4"/>
      <c r="U241" s="4"/>
      <c r="V241" s="4"/>
      <c r="W241" s="4"/>
    </row>
    <row r="242" spans="2:23" ht="15" x14ac:dyDescent="0.25">
      <c r="B242" s="1" t="s">
        <v>553</v>
      </c>
      <c r="C242" s="4"/>
      <c r="H242" s="4"/>
      <c r="R242" s="4"/>
      <c r="S242" s="4"/>
      <c r="T242" s="4"/>
      <c r="U242" s="4"/>
      <c r="V242" s="4"/>
      <c r="W242" s="4"/>
    </row>
    <row r="243" spans="2:23" x14ac:dyDescent="0.2">
      <c r="B243" s="4"/>
      <c r="C243" s="4"/>
      <c r="H243" s="4"/>
      <c r="R243" s="4"/>
      <c r="S243" s="4"/>
      <c r="T243" s="4"/>
      <c r="U243" s="4"/>
      <c r="V243" s="4"/>
      <c r="W243" s="4"/>
    </row>
    <row r="244" spans="2:23" x14ac:dyDescent="0.2">
      <c r="B244" s="4"/>
      <c r="C244" s="4"/>
      <c r="H244" s="4"/>
      <c r="R244" s="4"/>
      <c r="S244" s="4"/>
      <c r="T244" s="4"/>
      <c r="U244" s="4"/>
      <c r="V244" s="4"/>
      <c r="W244" s="4"/>
    </row>
    <row r="245" spans="2:23" x14ac:dyDescent="0.2">
      <c r="B245" s="4"/>
      <c r="C245" s="4"/>
      <c r="H245" s="4"/>
      <c r="R245" s="4"/>
      <c r="S245" s="4"/>
      <c r="T245" s="4"/>
      <c r="U245" s="4"/>
      <c r="V245" s="4"/>
      <c r="W245" s="4"/>
    </row>
    <row r="246" spans="2:23" x14ac:dyDescent="0.2">
      <c r="B246" s="4"/>
      <c r="C246" s="4"/>
      <c r="H246" s="4"/>
      <c r="R246" s="4"/>
      <c r="S246" s="4"/>
      <c r="T246" s="4"/>
      <c r="U246" s="4"/>
      <c r="V246" s="4"/>
      <c r="W246" s="4"/>
    </row>
    <row r="247" spans="2:23" x14ac:dyDescent="0.2">
      <c r="B247" s="4"/>
      <c r="C247" s="4"/>
      <c r="H247" s="4"/>
      <c r="R247" s="4"/>
      <c r="S247" s="4"/>
      <c r="T247" s="4"/>
      <c r="U247" s="4"/>
      <c r="V247" s="4"/>
      <c r="W247" s="4"/>
    </row>
    <row r="248" spans="2:23" x14ac:dyDescent="0.2">
      <c r="B248" s="4"/>
      <c r="C248" s="4"/>
      <c r="H248" s="4"/>
      <c r="R248" s="4"/>
      <c r="S248" s="4"/>
      <c r="T248" s="4"/>
      <c r="U248" s="4"/>
      <c r="V248" s="4"/>
      <c r="W248" s="4"/>
    </row>
    <row r="249" spans="2:23" x14ac:dyDescent="0.2">
      <c r="B249" s="4"/>
      <c r="C249" s="4"/>
      <c r="H249" s="4"/>
      <c r="R249" s="4"/>
      <c r="S249" s="4"/>
      <c r="T249" s="4"/>
      <c r="U249" s="4"/>
      <c r="V249" s="4"/>
      <c r="W249" s="4"/>
    </row>
    <row r="250" spans="2:23" x14ac:dyDescent="0.2">
      <c r="B250" s="4"/>
      <c r="C250" s="4"/>
      <c r="H250" s="4"/>
      <c r="R250" s="4"/>
      <c r="S250" s="4"/>
      <c r="T250" s="4"/>
      <c r="U250" s="4"/>
      <c r="V250" s="4"/>
      <c r="W250" s="4"/>
    </row>
    <row r="251" spans="2:23" x14ac:dyDescent="0.2">
      <c r="B251" s="4"/>
      <c r="C251" s="4"/>
      <c r="H251" s="4"/>
      <c r="R251" s="4"/>
      <c r="S251" s="4"/>
      <c r="T251" s="4"/>
      <c r="U251" s="4"/>
      <c r="V251" s="4"/>
      <c r="W251" s="4"/>
    </row>
    <row r="252" spans="2:23" x14ac:dyDescent="0.2">
      <c r="B252" s="4"/>
      <c r="C252" s="4"/>
      <c r="H252" s="4"/>
      <c r="R252" s="4"/>
      <c r="S252" s="4"/>
      <c r="T252" s="4"/>
      <c r="U252" s="4"/>
      <c r="V252" s="4"/>
      <c r="W252" s="4"/>
    </row>
    <row r="253" spans="2:23" x14ac:dyDescent="0.2">
      <c r="B253" s="4"/>
      <c r="C253" s="4"/>
      <c r="H253" s="4"/>
      <c r="R253" s="4"/>
      <c r="S253" s="4"/>
      <c r="T253" s="4"/>
      <c r="U253" s="4"/>
      <c r="V253" s="4"/>
      <c r="W253" s="4"/>
    </row>
    <row r="254" spans="2:23" x14ac:dyDescent="0.2">
      <c r="B254" s="4"/>
      <c r="C254" s="4"/>
      <c r="H254" s="4"/>
      <c r="R254" s="4"/>
      <c r="S254" s="4"/>
      <c r="T254" s="4"/>
      <c r="U254" s="4"/>
      <c r="V254" s="4"/>
      <c r="W254" s="4"/>
    </row>
    <row r="255" spans="2:23" x14ac:dyDescent="0.2">
      <c r="B255" s="4"/>
      <c r="C255" s="4"/>
      <c r="H255" s="4"/>
      <c r="R255" s="4"/>
      <c r="S255" s="4"/>
      <c r="T255" s="4"/>
      <c r="U255" s="4"/>
      <c r="V255" s="4"/>
      <c r="W255" s="4"/>
    </row>
    <row r="256" spans="2:23" x14ac:dyDescent="0.2">
      <c r="B256" s="4"/>
      <c r="C256" s="4"/>
      <c r="H256" s="4"/>
      <c r="R256" s="4"/>
      <c r="S256" s="4"/>
      <c r="T256" s="4"/>
      <c r="U256" s="4"/>
      <c r="V256" s="4"/>
      <c r="W256" s="4"/>
    </row>
    <row r="257" spans="2:23" x14ac:dyDescent="0.2">
      <c r="B257" s="4"/>
      <c r="C257" s="4"/>
      <c r="H257" s="4"/>
      <c r="R257" s="4"/>
      <c r="S257" s="4"/>
      <c r="T257" s="4"/>
      <c r="U257" s="4"/>
      <c r="V257" s="4"/>
      <c r="W257" s="4"/>
    </row>
    <row r="258" spans="2:23" ht="15" x14ac:dyDescent="0.25">
      <c r="B258" s="84" t="s">
        <v>552</v>
      </c>
      <c r="C258" s="4"/>
      <c r="H258" s="4"/>
      <c r="R258" s="4"/>
      <c r="S258" s="4"/>
      <c r="T258" s="4"/>
      <c r="U258" s="4"/>
      <c r="V258" s="4"/>
      <c r="W258" s="4"/>
    </row>
    <row r="259" spans="2:23" x14ac:dyDescent="0.2">
      <c r="B259" s="3" t="s">
        <v>192</v>
      </c>
      <c r="C259" s="3"/>
      <c r="H259" s="4"/>
      <c r="R259" s="4"/>
      <c r="S259" s="4"/>
      <c r="T259" s="4"/>
      <c r="U259" s="4"/>
      <c r="V259" s="4"/>
      <c r="W259" s="4"/>
    </row>
    <row r="260" spans="2:23" ht="16.5" x14ac:dyDescent="0.2">
      <c r="B260" s="3" t="s">
        <v>304</v>
      </c>
      <c r="C260" s="3">
        <v>305.10899999999998</v>
      </c>
      <c r="D260" s="41" t="s">
        <v>120</v>
      </c>
      <c r="H260" s="4"/>
      <c r="R260" s="4"/>
      <c r="S260" s="4"/>
      <c r="T260" s="4"/>
      <c r="U260" s="4"/>
      <c r="V260" s="4"/>
      <c r="W260" s="4"/>
    </row>
    <row r="261" spans="2:23" x14ac:dyDescent="0.2">
      <c r="B261" s="3" t="s">
        <v>305</v>
      </c>
      <c r="C261" s="3">
        <v>75.600099999999998</v>
      </c>
      <c r="D261" s="41" t="s">
        <v>21</v>
      </c>
      <c r="H261" s="4"/>
      <c r="R261" s="4"/>
      <c r="S261" s="4"/>
      <c r="T261" s="4"/>
      <c r="U261" s="4"/>
      <c r="V261" s="4"/>
      <c r="W261" s="4"/>
    </row>
    <row r="262" spans="2:23" x14ac:dyDescent="0.2">
      <c r="B262" s="3" t="s">
        <v>238</v>
      </c>
      <c r="C262" s="3">
        <v>0</v>
      </c>
      <c r="D262" s="41" t="s">
        <v>21</v>
      </c>
      <c r="H262" s="4"/>
      <c r="R262" s="4"/>
      <c r="S262" s="4"/>
      <c r="T262" s="4"/>
      <c r="U262" s="4"/>
      <c r="V262" s="4"/>
      <c r="W262" s="4"/>
    </row>
    <row r="263" spans="2:23" x14ac:dyDescent="0.2">
      <c r="B263" s="3" t="s">
        <v>306</v>
      </c>
      <c r="C263" s="3">
        <v>5.4988000000000001</v>
      </c>
      <c r="D263" s="41" t="s">
        <v>21</v>
      </c>
      <c r="H263" s="4"/>
      <c r="R263" s="4"/>
      <c r="S263" s="4"/>
      <c r="T263" s="4"/>
      <c r="U263" s="4"/>
      <c r="V263" s="4"/>
      <c r="W263" s="4"/>
    </row>
    <row r="264" spans="2:23" ht="16.5" x14ac:dyDescent="0.2">
      <c r="B264" s="3" t="s">
        <v>307</v>
      </c>
      <c r="C264" s="3"/>
      <c r="D264" s="41" t="s">
        <v>225</v>
      </c>
      <c r="H264" s="4"/>
      <c r="R264" s="4"/>
      <c r="S264" s="4"/>
      <c r="T264" s="4"/>
      <c r="U264" s="4"/>
      <c r="V264" s="4"/>
      <c r="W264" s="4"/>
    </row>
    <row r="265" spans="2:23" ht="16.5" x14ac:dyDescent="0.2">
      <c r="B265" s="3" t="s">
        <v>308</v>
      </c>
      <c r="C265" s="3"/>
      <c r="D265" s="41" t="s">
        <v>225</v>
      </c>
      <c r="H265" s="4"/>
      <c r="R265" s="4"/>
      <c r="S265" s="4"/>
      <c r="T265" s="4"/>
      <c r="U265" s="4"/>
      <c r="V265" s="4"/>
      <c r="W265" s="4"/>
    </row>
    <row r="266" spans="2:23" x14ac:dyDescent="0.2">
      <c r="B266" s="3" t="s">
        <v>239</v>
      </c>
      <c r="C266" s="3"/>
      <c r="H266" s="4"/>
      <c r="R266" s="4"/>
      <c r="S266" s="4"/>
      <c r="T266" s="4"/>
      <c r="U266" s="4"/>
      <c r="V266" s="4"/>
      <c r="W266" s="4"/>
    </row>
    <row r="267" spans="2:23" x14ac:dyDescent="0.2">
      <c r="B267" s="3" t="s">
        <v>309</v>
      </c>
      <c r="C267" s="3"/>
      <c r="H267" s="4"/>
      <c r="R267" s="4"/>
      <c r="S267" s="4"/>
      <c r="T267" s="4"/>
      <c r="U267" s="4"/>
      <c r="V267" s="4"/>
      <c r="W267" s="4"/>
    </row>
    <row r="268" spans="2:23" x14ac:dyDescent="0.2">
      <c r="B268" s="3" t="s">
        <v>310</v>
      </c>
      <c r="C268" s="3"/>
      <c r="H268" s="4"/>
      <c r="R268" s="4"/>
      <c r="S268" s="4"/>
      <c r="T268" s="4"/>
      <c r="U268" s="4"/>
      <c r="V268" s="4"/>
      <c r="W268" s="4"/>
    </row>
    <row r="269" spans="2:23" x14ac:dyDescent="0.2">
      <c r="B269" s="41" t="s">
        <v>189</v>
      </c>
      <c r="C269" s="3"/>
      <c r="H269" s="4"/>
      <c r="R269" s="4"/>
      <c r="S269" s="4"/>
      <c r="T269" s="4"/>
      <c r="U269" s="4"/>
      <c r="V269" s="4"/>
      <c r="W269" s="4"/>
    </row>
    <row r="270" spans="2:23" x14ac:dyDescent="0.2">
      <c r="B270" s="3" t="s">
        <v>311</v>
      </c>
      <c r="C270" s="3"/>
      <c r="H270" s="4"/>
      <c r="R270" s="4"/>
      <c r="S270" s="4"/>
      <c r="T270" s="4"/>
      <c r="U270" s="4"/>
      <c r="V270" s="4"/>
      <c r="W270" s="4"/>
    </row>
    <row r="271" spans="2:23" ht="15" customHeight="1" x14ac:dyDescent="0.2">
      <c r="B271" s="3" t="s">
        <v>312</v>
      </c>
      <c r="C271" s="3"/>
      <c r="H271" s="4"/>
      <c r="R271" s="4"/>
      <c r="S271" s="4"/>
      <c r="T271" s="4"/>
      <c r="U271" s="4"/>
      <c r="V271" s="4"/>
      <c r="W271" s="4"/>
    </row>
    <row r="272" spans="2:23" x14ac:dyDescent="0.2">
      <c r="C272" s="3"/>
      <c r="H272" s="4"/>
      <c r="R272" s="4"/>
      <c r="S272" s="4"/>
      <c r="T272" s="4"/>
      <c r="U272" s="4"/>
      <c r="V272" s="4"/>
      <c r="W272" s="4"/>
    </row>
    <row r="273" spans="1:23" ht="15" x14ac:dyDescent="0.25">
      <c r="A273" s="1" t="s">
        <v>482</v>
      </c>
      <c r="C273" s="4"/>
      <c r="H273" s="4"/>
      <c r="R273" s="4"/>
      <c r="S273" s="4"/>
      <c r="T273" s="4"/>
      <c r="U273" s="4"/>
      <c r="V273" s="4"/>
      <c r="W273" s="4"/>
    </row>
    <row r="274" spans="1:23" x14ac:dyDescent="0.2">
      <c r="A274" s="66" t="s">
        <v>459</v>
      </c>
      <c r="C274" s="47"/>
      <c r="H274" s="4"/>
      <c r="R274" s="4"/>
      <c r="S274" s="4"/>
      <c r="T274" s="4"/>
      <c r="U274" s="4"/>
      <c r="V274" s="4"/>
      <c r="W274" s="4"/>
    </row>
    <row r="275" spans="1:23" ht="18.75" x14ac:dyDescent="0.35">
      <c r="A275" s="4" t="s">
        <v>200</v>
      </c>
      <c r="B275" s="2" t="s">
        <v>337</v>
      </c>
      <c r="C275" s="43">
        <f>(C$213+C$214+C$215)/3</f>
        <v>26.88976666666667</v>
      </c>
      <c r="D275" s="4" t="s">
        <v>21</v>
      </c>
      <c r="E275" s="2"/>
      <c r="G275" s="4"/>
      <c r="H275" s="4"/>
      <c r="N275" s="3"/>
      <c r="O275" s="3"/>
      <c r="P275" s="4"/>
      <c r="Q275" s="4"/>
      <c r="R275" s="4"/>
      <c r="S275" s="4"/>
      <c r="T275" s="4"/>
      <c r="U275" s="4"/>
      <c r="V275" s="4"/>
      <c r="W275" s="4"/>
    </row>
    <row r="276" spans="1:23" ht="18.75" x14ac:dyDescent="0.35">
      <c r="A276" s="4" t="s">
        <v>201</v>
      </c>
      <c r="B276" s="2" t="s">
        <v>338</v>
      </c>
      <c r="C276" s="43">
        <f>$C$10/($C$10+$C$11)*C275</f>
        <v>15.914351700680275</v>
      </c>
      <c r="D276" s="4" t="s">
        <v>21</v>
      </c>
      <c r="E276" s="2"/>
      <c r="G276" s="4"/>
      <c r="H276" s="4"/>
      <c r="N276" s="3"/>
      <c r="O276" s="3"/>
      <c r="P276" s="4"/>
      <c r="Q276" s="4"/>
      <c r="R276" s="4"/>
      <c r="S276" s="4"/>
      <c r="T276" s="4"/>
      <c r="U276" s="4"/>
      <c r="V276" s="4"/>
      <c r="W276" s="4"/>
    </row>
    <row r="277" spans="1:23" ht="18.75" x14ac:dyDescent="0.35">
      <c r="A277" s="4" t="s">
        <v>429</v>
      </c>
      <c r="B277" s="2" t="s">
        <v>539</v>
      </c>
      <c r="C277" s="43">
        <f>$C$14*C276</f>
        <v>13.527198945578233</v>
      </c>
      <c r="D277" s="4" t="s">
        <v>21</v>
      </c>
      <c r="E277" s="2"/>
      <c r="G277" s="4"/>
      <c r="H277" s="4"/>
      <c r="N277" s="3"/>
      <c r="O277" s="3"/>
      <c r="P277" s="4"/>
      <c r="Q277" s="4"/>
      <c r="R277" s="4"/>
      <c r="S277" s="4"/>
      <c r="T277" s="4"/>
      <c r="U277" s="4"/>
      <c r="V277" s="4"/>
      <c r="W277" s="4"/>
    </row>
    <row r="278" spans="1:23" ht="18.75" x14ac:dyDescent="0.35">
      <c r="A278" s="4" t="s">
        <v>430</v>
      </c>
      <c r="B278" s="2" t="s">
        <v>340</v>
      </c>
      <c r="C278" s="43">
        <f>C260</f>
        <v>305.10899999999998</v>
      </c>
      <c r="D278" s="4" t="s">
        <v>120</v>
      </c>
      <c r="E278" s="2"/>
      <c r="G278" s="4"/>
      <c r="H278" s="4"/>
      <c r="N278" s="3"/>
      <c r="O278" s="3"/>
      <c r="P278" s="4"/>
      <c r="Q278" s="4"/>
      <c r="R278" s="4"/>
      <c r="S278" s="4"/>
      <c r="T278" s="4"/>
      <c r="U278" s="4"/>
      <c r="V278" s="4"/>
      <c r="W278" s="4"/>
    </row>
    <row r="279" spans="1:23" ht="17.25" x14ac:dyDescent="0.3">
      <c r="A279" s="39" t="s">
        <v>431</v>
      </c>
      <c r="B279" s="57" t="s">
        <v>538</v>
      </c>
      <c r="C279" s="58">
        <f>0.85*f_prime_c*(C278-6*C$222)/1000</f>
        <v>929.00019408211381</v>
      </c>
      <c r="D279" s="39" t="s">
        <v>97</v>
      </c>
      <c r="E279" s="2"/>
      <c r="G279" s="4"/>
      <c r="H279" s="4"/>
      <c r="N279" s="3"/>
      <c r="O279" s="3"/>
      <c r="P279" s="4"/>
      <c r="Q279" s="4"/>
      <c r="R279" s="4"/>
      <c r="S279" s="4"/>
      <c r="T279" s="4"/>
      <c r="U279" s="4"/>
      <c r="V279" s="4"/>
      <c r="W279" s="4"/>
    </row>
    <row r="280" spans="1:23" ht="18.75" x14ac:dyDescent="0.35">
      <c r="A280" s="4" t="s">
        <v>432</v>
      </c>
      <c r="B280" s="2" t="s">
        <v>342</v>
      </c>
      <c r="C280" s="43">
        <f>C276-C277+C263</f>
        <v>7.8859527551020419</v>
      </c>
      <c r="D280" s="4" t="s">
        <v>21</v>
      </c>
      <c r="E280" s="2"/>
      <c r="G280" s="4"/>
      <c r="H280" s="4"/>
      <c r="N280" s="3"/>
      <c r="O280" s="3"/>
      <c r="P280" s="4"/>
      <c r="Q280" s="4"/>
      <c r="R280" s="4"/>
      <c r="S280" s="4"/>
      <c r="T280" s="4"/>
      <c r="U280" s="4"/>
      <c r="V280" s="4"/>
      <c r="W280" s="4"/>
    </row>
    <row r="281" spans="1:23" ht="18.75" x14ac:dyDescent="0.35">
      <c r="A281" s="4" t="s">
        <v>433</v>
      </c>
      <c r="B281" s="2" t="s">
        <v>343</v>
      </c>
      <c r="C281" s="52">
        <f>(C276-C$210)/C276*$C$10</f>
        <v>2.1607386683914322E-3</v>
      </c>
      <c r="D281" s="4" t="s">
        <v>22</v>
      </c>
      <c r="E281" s="2"/>
      <c r="G281" s="4"/>
      <c r="H281" s="4"/>
      <c r="N281" s="3"/>
      <c r="O281" s="3"/>
      <c r="P281" s="4"/>
      <c r="Q281" s="4"/>
      <c r="R281" s="4"/>
      <c r="S281" s="4"/>
      <c r="T281" s="4"/>
      <c r="U281" s="4"/>
      <c r="V281" s="4"/>
      <c r="W281" s="4"/>
    </row>
    <row r="282" spans="1:23" ht="18.75" x14ac:dyDescent="0.35">
      <c r="A282" s="4" t="s">
        <v>434</v>
      </c>
      <c r="B282" s="2" t="s">
        <v>540</v>
      </c>
      <c r="C282" s="43">
        <f>IF(ABS(C281)&gt;$C$11,fy/1000,(ModulusElasticity/1000)*C281)</f>
        <v>60</v>
      </c>
      <c r="D282" s="4" t="s">
        <v>244</v>
      </c>
      <c r="E282" s="2"/>
      <c r="G282" s="4"/>
      <c r="H282" s="4"/>
      <c r="N282" s="3"/>
      <c r="O282" s="3"/>
      <c r="P282" s="4"/>
      <c r="Q282" s="4"/>
      <c r="R282" s="4"/>
      <c r="S282" s="4"/>
      <c r="T282" s="4"/>
      <c r="U282" s="4"/>
      <c r="V282" s="4"/>
      <c r="W282" s="4"/>
    </row>
    <row r="283" spans="1:23" ht="17.25" x14ac:dyDescent="0.3">
      <c r="A283" s="4" t="s">
        <v>435</v>
      </c>
      <c r="B283" s="57" t="s">
        <v>541</v>
      </c>
      <c r="C283" s="58">
        <f>C282*(2*$C$42)</f>
        <v>53.014376029327757</v>
      </c>
      <c r="D283" s="39" t="s">
        <v>97</v>
      </c>
      <c r="E283" s="2"/>
      <c r="G283" s="4"/>
      <c r="H283" s="4"/>
      <c r="N283" s="3"/>
      <c r="O283" s="3"/>
      <c r="P283" s="4"/>
      <c r="Q283" s="4"/>
      <c r="R283" s="4"/>
      <c r="S283" s="4"/>
      <c r="T283" s="4"/>
      <c r="U283" s="4"/>
      <c r="V283" s="4"/>
      <c r="W283" s="4"/>
    </row>
    <row r="284" spans="1:23" ht="18.75" x14ac:dyDescent="0.35">
      <c r="A284" s="4" t="s">
        <v>229</v>
      </c>
      <c r="B284" s="2" t="s">
        <v>346</v>
      </c>
      <c r="C284" s="43">
        <f>C276-C$210</f>
        <v>11.462251700680275</v>
      </c>
      <c r="D284" s="4" t="s">
        <v>21</v>
      </c>
      <c r="E284" s="2"/>
      <c r="G284" s="4"/>
      <c r="H284" s="4"/>
      <c r="N284" s="3"/>
      <c r="O284" s="3"/>
      <c r="P284" s="4"/>
      <c r="Q284" s="4"/>
      <c r="R284" s="4"/>
      <c r="S284" s="4"/>
      <c r="T284" s="4"/>
      <c r="U284" s="4"/>
      <c r="V284" s="4"/>
      <c r="W284" s="4"/>
    </row>
    <row r="285" spans="1:23" ht="18.75" x14ac:dyDescent="0.35">
      <c r="A285" s="4" t="s">
        <v>436</v>
      </c>
      <c r="B285" s="2" t="s">
        <v>347</v>
      </c>
      <c r="C285" s="52">
        <f>(C276-C$211)/C276*$C$10</f>
        <v>1.4807298182956156E-3</v>
      </c>
      <c r="D285" s="4" t="s">
        <v>22</v>
      </c>
      <c r="E285" s="2"/>
      <c r="G285" s="4"/>
      <c r="H285" s="4"/>
      <c r="N285" s="3"/>
      <c r="O285" s="3"/>
      <c r="P285" s="4"/>
      <c r="Q285" s="4"/>
      <c r="R285" s="4"/>
      <c r="S285" s="4"/>
      <c r="T285" s="4"/>
      <c r="U285" s="4"/>
      <c r="V285" s="4"/>
      <c r="W285" s="4"/>
    </row>
    <row r="286" spans="1:23" ht="18.75" x14ac:dyDescent="0.35">
      <c r="A286" s="4" t="s">
        <v>437</v>
      </c>
      <c r="B286" s="2" t="s">
        <v>348</v>
      </c>
      <c r="C286" s="43">
        <f>IF(ABS(C285)&gt;$C$11,fy/1000,(ModulusElasticity/1000)*C285)</f>
        <v>42.941164730572851</v>
      </c>
      <c r="D286" s="4" t="s">
        <v>244</v>
      </c>
      <c r="E286" s="2"/>
      <c r="G286" s="4"/>
      <c r="H286" s="4"/>
      <c r="N286" s="3"/>
      <c r="O286" s="3"/>
      <c r="P286" s="4"/>
      <c r="Q286" s="4"/>
      <c r="R286" s="4"/>
      <c r="S286" s="4"/>
      <c r="T286" s="4"/>
      <c r="U286" s="4"/>
      <c r="V286" s="4"/>
      <c r="W286" s="4"/>
    </row>
    <row r="287" spans="1:23" ht="17.25" x14ac:dyDescent="0.3">
      <c r="A287" s="4" t="s">
        <v>438</v>
      </c>
      <c r="B287" s="57" t="s">
        <v>349</v>
      </c>
      <c r="C287" s="58">
        <f>C286*(2*$C$42)</f>
        <v>37.941650902731595</v>
      </c>
      <c r="D287" s="39" t="s">
        <v>97</v>
      </c>
      <c r="E287" s="2"/>
      <c r="G287" s="4"/>
      <c r="H287" s="4"/>
      <c r="N287" s="3"/>
      <c r="O287" s="3"/>
      <c r="P287" s="4"/>
      <c r="Q287" s="4"/>
      <c r="R287" s="4"/>
      <c r="S287" s="4"/>
      <c r="T287" s="4"/>
      <c r="U287" s="4"/>
      <c r="V287" s="4"/>
      <c r="W287" s="4"/>
    </row>
    <row r="288" spans="1:23" ht="18.75" x14ac:dyDescent="0.35">
      <c r="A288" s="4" t="s">
        <v>230</v>
      </c>
      <c r="B288" s="2" t="s">
        <v>350</v>
      </c>
      <c r="C288" s="43">
        <f>C276-C$211</f>
        <v>7.8549517006802745</v>
      </c>
      <c r="D288" s="4" t="s">
        <v>21</v>
      </c>
      <c r="E288" s="2"/>
      <c r="G288" s="4"/>
      <c r="H288" s="4"/>
      <c r="N288" s="3"/>
      <c r="O288" s="3"/>
      <c r="P288" s="4"/>
      <c r="Q288" s="4"/>
      <c r="R288" s="4"/>
      <c r="S288" s="4"/>
      <c r="T288" s="4"/>
      <c r="U288" s="4"/>
      <c r="V288" s="4"/>
      <c r="W288" s="4"/>
    </row>
    <row r="289" spans="1:23" ht="18.75" x14ac:dyDescent="0.35">
      <c r="A289" s="4" t="s">
        <v>451</v>
      </c>
      <c r="B289" s="2" t="s">
        <v>499</v>
      </c>
      <c r="C289" s="52">
        <f>(C276-C$212)/C276*$C$10</f>
        <v>3.0292500710756275E-4</v>
      </c>
      <c r="D289" s="4" t="s">
        <v>22</v>
      </c>
      <c r="E289" s="2"/>
      <c r="G289" s="4"/>
      <c r="H289" s="4"/>
      <c r="N289" s="3"/>
      <c r="O289" s="3"/>
      <c r="P289" s="4"/>
      <c r="Q289" s="4"/>
      <c r="R289" s="4"/>
      <c r="S289" s="4"/>
      <c r="T289" s="4"/>
      <c r="U289" s="4"/>
      <c r="V289" s="4"/>
      <c r="W289" s="4"/>
    </row>
    <row r="290" spans="1:23" ht="18.75" x14ac:dyDescent="0.35">
      <c r="A290" s="4" t="s">
        <v>452</v>
      </c>
      <c r="B290" s="2" t="s">
        <v>493</v>
      </c>
      <c r="C290" s="43">
        <f>IF(ABS(C289)&gt;$C$11,fy/1000,(ModulusElasticity/1000)*C289)</f>
        <v>8.7848252061193204</v>
      </c>
      <c r="D290" s="4" t="s">
        <v>244</v>
      </c>
      <c r="E290" s="2"/>
      <c r="G290" s="4"/>
      <c r="H290" s="4"/>
      <c r="N290" s="3"/>
      <c r="O290" s="3"/>
      <c r="P290" s="4"/>
      <c r="Q290" s="4"/>
      <c r="R290" s="4"/>
      <c r="S290" s="4"/>
      <c r="T290" s="4"/>
      <c r="U290" s="4"/>
      <c r="V290" s="4"/>
      <c r="W290" s="4"/>
    </row>
    <row r="291" spans="1:23" ht="17.25" x14ac:dyDescent="0.3">
      <c r="A291" s="4" t="s">
        <v>453</v>
      </c>
      <c r="B291" s="57" t="s">
        <v>365</v>
      </c>
      <c r="C291" s="58">
        <f>C290*(2*$C$42)</f>
        <v>7.7620337804854396</v>
      </c>
      <c r="D291" s="39" t="s">
        <v>97</v>
      </c>
      <c r="E291" s="2"/>
      <c r="G291" s="4"/>
      <c r="H291" s="4"/>
      <c r="N291" s="3"/>
      <c r="O291" s="3"/>
      <c r="P291" s="4"/>
      <c r="Q291" s="4"/>
      <c r="R291" s="4"/>
      <c r="S291" s="4"/>
      <c r="T291" s="4"/>
      <c r="U291" s="4"/>
      <c r="V291" s="4"/>
      <c r="W291" s="4"/>
    </row>
    <row r="292" spans="1:23" ht="18.75" x14ac:dyDescent="0.35">
      <c r="A292" s="4" t="s">
        <v>454</v>
      </c>
      <c r="B292" s="2" t="s">
        <v>366</v>
      </c>
      <c r="C292" s="43">
        <f>C276-C$212</f>
        <v>1.6069517006802752</v>
      </c>
      <c r="D292" s="4" t="s">
        <v>21</v>
      </c>
      <c r="E292" s="2"/>
      <c r="G292" s="4"/>
      <c r="H292" s="4"/>
      <c r="N292" s="3"/>
      <c r="O292" s="3"/>
      <c r="P292" s="4"/>
      <c r="Q292" s="4"/>
      <c r="R292" s="4"/>
      <c r="S292" s="4"/>
      <c r="T292" s="4"/>
      <c r="U292" s="4"/>
      <c r="V292" s="4"/>
      <c r="W292" s="4"/>
    </row>
    <row r="293" spans="1:23" ht="18.75" x14ac:dyDescent="0.35">
      <c r="A293" s="4" t="s">
        <v>455</v>
      </c>
      <c r="B293" s="2" t="s">
        <v>367</v>
      </c>
      <c r="C293" s="52">
        <f>(C276-C$213)/C276*$C$10</f>
        <v>-1.0570926930840707E-3</v>
      </c>
      <c r="D293" s="4" t="s">
        <v>22</v>
      </c>
      <c r="E293" s="2"/>
      <c r="G293" s="4"/>
      <c r="H293" s="4"/>
      <c r="N293" s="3"/>
      <c r="O293" s="3"/>
      <c r="P293" s="4"/>
      <c r="Q293" s="4"/>
      <c r="R293" s="4"/>
      <c r="S293" s="4"/>
      <c r="T293" s="4"/>
      <c r="U293" s="4"/>
      <c r="V293" s="4"/>
      <c r="W293" s="4"/>
    </row>
    <row r="294" spans="1:23" ht="18.75" x14ac:dyDescent="0.35">
      <c r="A294" s="4" t="s">
        <v>456</v>
      </c>
      <c r="B294" s="2" t="s">
        <v>543</v>
      </c>
      <c r="C294" s="43">
        <f>IF(ABS(C293)&gt;$C$11,IF(C293&lt;0,-fy/1000,fy/1000),(ModulusElasticity/1000)*C293)</f>
        <v>-30.655688099438052</v>
      </c>
      <c r="D294" s="4" t="s">
        <v>244</v>
      </c>
      <c r="E294" s="2"/>
      <c r="G294" s="4"/>
      <c r="H294" s="4"/>
      <c r="N294" s="3"/>
      <c r="O294" s="3"/>
      <c r="P294" s="4"/>
      <c r="Q294" s="4"/>
      <c r="R294" s="4"/>
      <c r="S294" s="4"/>
      <c r="T294" s="4"/>
      <c r="U294" s="4"/>
      <c r="V294" s="4"/>
      <c r="W294" s="4"/>
    </row>
    <row r="295" spans="1:23" ht="17.25" x14ac:dyDescent="0.3">
      <c r="A295" s="4" t="s">
        <v>457</v>
      </c>
      <c r="B295" s="57" t="s">
        <v>544</v>
      </c>
      <c r="C295" s="58">
        <f>C294*(2*$C$42)</f>
        <v>-27.086536272356614</v>
      </c>
      <c r="D295" s="39" t="s">
        <v>97</v>
      </c>
      <c r="E295" s="2"/>
      <c r="G295" s="4"/>
      <c r="H295" s="4"/>
      <c r="N295" s="3"/>
      <c r="O295" s="3"/>
      <c r="P295" s="4"/>
      <c r="Q295" s="4"/>
      <c r="R295" s="4"/>
      <c r="S295" s="4"/>
      <c r="T295" s="4"/>
      <c r="U295" s="4"/>
      <c r="V295" s="4"/>
      <c r="W295" s="4"/>
    </row>
    <row r="296" spans="1:23" ht="18.75" x14ac:dyDescent="0.35">
      <c r="A296" s="4" t="s">
        <v>458</v>
      </c>
      <c r="B296" s="2" t="s">
        <v>368</v>
      </c>
      <c r="C296" s="43">
        <f>C276-C$213</f>
        <v>-5.6076482993197239</v>
      </c>
      <c r="D296" s="4" t="s">
        <v>21</v>
      </c>
      <c r="E296" s="2"/>
      <c r="G296" s="4"/>
      <c r="H296" s="4"/>
      <c r="N296" s="3"/>
      <c r="O296" s="3"/>
      <c r="P296" s="4"/>
      <c r="Q296" s="4"/>
      <c r="R296" s="4"/>
      <c r="S296" s="4"/>
      <c r="T296" s="4"/>
      <c r="U296" s="4"/>
      <c r="V296" s="4"/>
      <c r="W296" s="4"/>
    </row>
    <row r="297" spans="1:23" ht="18.75" x14ac:dyDescent="0.35">
      <c r="A297" s="4" t="s">
        <v>442</v>
      </c>
      <c r="B297" s="2" t="s">
        <v>355</v>
      </c>
      <c r="C297" s="52">
        <f>(C276-C$214)/C276*$C$10</f>
        <v>-2.2348975042721241E-3</v>
      </c>
      <c r="D297" s="4" t="s">
        <v>22</v>
      </c>
      <c r="E297" s="2"/>
      <c r="G297" s="4"/>
      <c r="H297" s="4"/>
      <c r="N297" s="3"/>
      <c r="O297" s="3"/>
      <c r="P297" s="4"/>
      <c r="Q297" s="4"/>
      <c r="R297" s="4"/>
      <c r="S297" s="4"/>
      <c r="T297" s="4"/>
      <c r="U297" s="4"/>
      <c r="V297" s="4"/>
      <c r="W297" s="4"/>
    </row>
    <row r="298" spans="1:23" ht="18.75" x14ac:dyDescent="0.35">
      <c r="A298" s="4" t="s">
        <v>443</v>
      </c>
      <c r="B298" s="2" t="s">
        <v>356</v>
      </c>
      <c r="C298" s="43">
        <f>IF(ABS(C297)&gt;$C$11,IF(C297&lt;0,-fy/1000,fy/1000),(ModulusElasticity/1000)*C297)</f>
        <v>-60</v>
      </c>
      <c r="D298" s="4" t="s">
        <v>244</v>
      </c>
      <c r="E298" s="2"/>
      <c r="G298" s="4"/>
      <c r="H298" s="4"/>
      <c r="N298" s="3"/>
      <c r="O298" s="3"/>
      <c r="P298" s="4"/>
      <c r="Q298" s="4"/>
      <c r="R298" s="4"/>
      <c r="S298" s="4"/>
      <c r="T298" s="4"/>
      <c r="U298" s="4"/>
      <c r="V298" s="4"/>
      <c r="W298" s="4"/>
    </row>
    <row r="299" spans="1:23" ht="17.25" x14ac:dyDescent="0.3">
      <c r="A299" s="4" t="s">
        <v>444</v>
      </c>
      <c r="B299" s="57" t="s">
        <v>357</v>
      </c>
      <c r="C299" s="58">
        <f>C298*(2*$C$42)</f>
        <v>-53.014376029327757</v>
      </c>
      <c r="D299" s="39" t="s">
        <v>97</v>
      </c>
      <c r="E299" s="2"/>
      <c r="G299" s="4"/>
      <c r="H299" s="4"/>
      <c r="N299" s="3"/>
      <c r="O299" s="3"/>
      <c r="P299" s="4"/>
      <c r="Q299" s="4"/>
      <c r="R299" s="4"/>
      <c r="S299" s="4"/>
      <c r="T299" s="4"/>
      <c r="U299" s="4"/>
      <c r="V299" s="4"/>
      <c r="W299" s="4"/>
    </row>
    <row r="300" spans="1:23" ht="18.75" x14ac:dyDescent="0.35">
      <c r="A300" s="4" t="s">
        <v>232</v>
      </c>
      <c r="B300" s="2" t="s">
        <v>358</v>
      </c>
      <c r="C300" s="43">
        <f>C276-C$214</f>
        <v>-11.855648299319725</v>
      </c>
      <c r="D300" s="4" t="s">
        <v>21</v>
      </c>
      <c r="E300" s="2"/>
      <c r="G300" s="3"/>
      <c r="H300" s="3"/>
      <c r="N300" s="3"/>
      <c r="O300" s="3"/>
      <c r="P300" s="4"/>
      <c r="Q300" s="4"/>
      <c r="R300" s="4"/>
      <c r="S300" s="4"/>
      <c r="T300" s="4"/>
      <c r="U300" s="4"/>
      <c r="V300" s="4"/>
      <c r="W300" s="4"/>
    </row>
    <row r="301" spans="1:23" ht="18.75" x14ac:dyDescent="0.35">
      <c r="A301" s="4" t="s">
        <v>445</v>
      </c>
      <c r="B301" s="2" t="s">
        <v>359</v>
      </c>
      <c r="C301" s="52">
        <f>(C276-C$215)/C276*$C$10</f>
        <v>-2.9149063543679409E-3</v>
      </c>
      <c r="D301" s="4" t="s">
        <v>22</v>
      </c>
      <c r="E301" s="2"/>
      <c r="F301" s="2"/>
      <c r="H301" s="2"/>
      <c r="N301" s="3"/>
      <c r="O301" s="3"/>
      <c r="P301" s="4"/>
      <c r="Q301" s="4"/>
      <c r="R301" s="4"/>
      <c r="S301" s="4"/>
      <c r="T301" s="4"/>
      <c r="U301" s="4"/>
      <c r="V301" s="4"/>
      <c r="W301" s="4"/>
    </row>
    <row r="302" spans="1:23" ht="18.75" x14ac:dyDescent="0.35">
      <c r="A302" s="4" t="s">
        <v>233</v>
      </c>
      <c r="B302" s="2" t="s">
        <v>360</v>
      </c>
      <c r="C302" s="43">
        <f>IF(ABS(C301)&gt;$C$11,IF(C301&lt;0,-fy/1000,fy/1000),(ModulusElasticity/1000)*C301)</f>
        <v>-60</v>
      </c>
      <c r="D302" s="4" t="s">
        <v>244</v>
      </c>
      <c r="E302" s="2"/>
      <c r="F302" s="3"/>
      <c r="G302" s="3"/>
      <c r="H302" s="3"/>
      <c r="N302" s="3"/>
      <c r="O302" s="3"/>
      <c r="P302" s="4"/>
      <c r="Q302" s="4"/>
      <c r="R302" s="4"/>
      <c r="S302" s="4"/>
      <c r="T302" s="4"/>
      <c r="U302" s="4"/>
      <c r="V302" s="4"/>
      <c r="W302" s="4"/>
    </row>
    <row r="303" spans="1:23" ht="17.25" x14ac:dyDescent="0.3">
      <c r="A303" s="4" t="s">
        <v>445</v>
      </c>
      <c r="B303" s="57" t="s">
        <v>361</v>
      </c>
      <c r="C303" s="58">
        <f>C302*(2*$C$42)</f>
        <v>-53.014376029327757</v>
      </c>
      <c r="D303" s="39" t="s">
        <v>97</v>
      </c>
      <c r="E303" s="2"/>
      <c r="F303" s="8"/>
      <c r="G303" s="8"/>
      <c r="H303" s="8"/>
      <c r="N303" s="3"/>
      <c r="O303" s="3"/>
      <c r="P303" s="4"/>
      <c r="Q303" s="4"/>
      <c r="R303" s="4"/>
      <c r="S303" s="4"/>
      <c r="T303" s="4"/>
      <c r="U303" s="4"/>
      <c r="V303" s="4"/>
      <c r="W303" s="4"/>
    </row>
    <row r="304" spans="1:23" ht="19.5" thickBot="1" x14ac:dyDescent="0.4">
      <c r="A304" s="4" t="s">
        <v>233</v>
      </c>
      <c r="B304" s="2" t="s">
        <v>362</v>
      </c>
      <c r="C304" s="43">
        <f>C276-C$215</f>
        <v>-15.462948299319727</v>
      </c>
      <c r="D304" s="4" t="s">
        <v>21</v>
      </c>
      <c r="E304" s="2"/>
      <c r="F304" s="8"/>
      <c r="G304" s="8"/>
      <c r="H304" s="8"/>
      <c r="N304" s="3"/>
      <c r="O304" s="3"/>
      <c r="P304" s="4"/>
      <c r="Q304" s="4"/>
      <c r="R304" s="4"/>
      <c r="S304" s="4"/>
      <c r="T304" s="4"/>
      <c r="U304" s="4"/>
      <c r="V304" s="4"/>
      <c r="W304" s="4"/>
    </row>
    <row r="305" spans="1:23" ht="18.75" x14ac:dyDescent="0.35">
      <c r="A305" s="4" t="s">
        <v>446</v>
      </c>
      <c r="B305" s="2" t="s">
        <v>237</v>
      </c>
      <c r="C305" s="59">
        <f>C279+C283+C287+C291+C295+C299+C303</f>
        <v>894.60296646364645</v>
      </c>
      <c r="D305" s="4" t="s">
        <v>97</v>
      </c>
      <c r="E305" s="2"/>
      <c r="F305" s="8"/>
      <c r="G305" s="8"/>
      <c r="H305" s="8"/>
      <c r="N305" s="3"/>
      <c r="O305" s="3"/>
      <c r="P305" s="4"/>
      <c r="Q305" s="4"/>
      <c r="R305" s="4"/>
      <c r="S305" s="4"/>
      <c r="T305" s="4"/>
      <c r="U305" s="4"/>
      <c r="V305" s="4"/>
      <c r="W305" s="4"/>
    </row>
    <row r="306" spans="1:23" ht="18.75" x14ac:dyDescent="0.35">
      <c r="A306" s="4" t="s">
        <v>447</v>
      </c>
      <c r="B306" s="2" t="s">
        <v>236</v>
      </c>
      <c r="C306" s="60">
        <f>C279*C280+C283*C284+C287*C288+C291*C292+C295*C296+C299*C300</f>
        <v>9024.6303765578996</v>
      </c>
      <c r="D306" s="4" t="s">
        <v>234</v>
      </c>
      <c r="E306" s="2"/>
      <c r="F306" s="8"/>
      <c r="G306" s="8"/>
      <c r="H306" s="8"/>
      <c r="N306" s="3"/>
      <c r="O306" s="3"/>
      <c r="P306" s="4"/>
      <c r="Q306" s="4"/>
      <c r="R306" s="4"/>
      <c r="S306" s="4"/>
      <c r="T306" s="4"/>
      <c r="U306" s="4"/>
      <c r="V306" s="4"/>
      <c r="W306" s="4"/>
    </row>
    <row r="307" spans="1:23" ht="15" thickBot="1" x14ac:dyDescent="0.25">
      <c r="C307" s="61">
        <f>C306/12</f>
        <v>752.05253137982493</v>
      </c>
      <c r="D307" s="4" t="s">
        <v>235</v>
      </c>
      <c r="E307" s="2"/>
      <c r="F307" s="8"/>
      <c r="G307" s="8"/>
      <c r="H307" s="8"/>
      <c r="N307" s="3"/>
      <c r="O307" s="3"/>
      <c r="P307" s="4"/>
      <c r="Q307" s="4"/>
      <c r="R307" s="4"/>
      <c r="S307" s="4"/>
      <c r="T307" s="4"/>
      <c r="U307" s="4"/>
      <c r="V307" s="4"/>
      <c r="W307" s="4"/>
    </row>
    <row r="308" spans="1:23" x14ac:dyDescent="0.2">
      <c r="E308" s="2"/>
      <c r="F308" s="8"/>
      <c r="G308" s="8"/>
      <c r="H308" s="8"/>
      <c r="N308" s="3"/>
      <c r="O308" s="3"/>
      <c r="P308" s="4"/>
      <c r="Q308" s="4"/>
      <c r="R308" s="4"/>
      <c r="S308" s="4"/>
      <c r="T308" s="4"/>
      <c r="U308" s="4"/>
      <c r="V308" s="4"/>
      <c r="W308" s="4"/>
    </row>
    <row r="309" spans="1:23" ht="15" x14ac:dyDescent="0.25">
      <c r="B309" s="1" t="s">
        <v>554</v>
      </c>
      <c r="E309" s="2"/>
      <c r="F309" s="8"/>
      <c r="G309" s="8"/>
      <c r="H309" s="8"/>
      <c r="N309" s="3"/>
      <c r="O309" s="3"/>
      <c r="P309" s="4"/>
      <c r="Q309" s="4"/>
      <c r="R309" s="4"/>
      <c r="S309" s="4"/>
      <c r="T309" s="4"/>
      <c r="U309" s="4"/>
      <c r="V309" s="4"/>
      <c r="W309" s="4"/>
    </row>
    <row r="310" spans="1:23" x14ac:dyDescent="0.2">
      <c r="E310" s="2"/>
      <c r="F310" s="8"/>
      <c r="G310" s="8"/>
      <c r="H310" s="8"/>
      <c r="N310" s="3"/>
      <c r="O310" s="3"/>
      <c r="P310" s="4"/>
      <c r="Q310" s="4"/>
      <c r="R310" s="4"/>
      <c r="S310" s="4"/>
      <c r="T310" s="4"/>
      <c r="U310" s="4"/>
      <c r="V310" s="4"/>
      <c r="W310" s="4"/>
    </row>
    <row r="311" spans="1:23" x14ac:dyDescent="0.2">
      <c r="E311" s="2"/>
      <c r="F311" s="8"/>
      <c r="G311" s="8"/>
      <c r="H311" s="8"/>
      <c r="N311" s="3"/>
      <c r="O311" s="3"/>
      <c r="P311" s="4"/>
      <c r="Q311" s="4"/>
      <c r="R311" s="4"/>
      <c r="S311" s="4"/>
      <c r="T311" s="4"/>
      <c r="U311" s="4"/>
      <c r="V311" s="4"/>
      <c r="W311" s="4"/>
    </row>
    <row r="312" spans="1:23" x14ac:dyDescent="0.2">
      <c r="E312" s="2"/>
      <c r="F312" s="8"/>
      <c r="G312" s="8"/>
      <c r="H312" s="8"/>
      <c r="N312" s="3"/>
      <c r="O312" s="3"/>
      <c r="P312" s="4"/>
      <c r="Q312" s="4"/>
      <c r="R312" s="4"/>
      <c r="S312" s="4"/>
      <c r="T312" s="4"/>
      <c r="U312" s="4"/>
      <c r="V312" s="4"/>
      <c r="W312" s="4"/>
    </row>
    <row r="313" spans="1:23" x14ac:dyDescent="0.2">
      <c r="E313" s="2"/>
      <c r="F313" s="8"/>
      <c r="G313" s="8"/>
      <c r="H313" s="8"/>
      <c r="N313" s="3"/>
      <c r="O313" s="3"/>
      <c r="P313" s="4"/>
      <c r="Q313" s="4"/>
      <c r="R313" s="4"/>
      <c r="S313" s="4"/>
      <c r="T313" s="4"/>
      <c r="U313" s="4"/>
      <c r="V313" s="4"/>
      <c r="W313" s="4"/>
    </row>
    <row r="314" spans="1:23" x14ac:dyDescent="0.2">
      <c r="E314" s="2"/>
      <c r="F314" s="8"/>
      <c r="G314" s="8"/>
      <c r="H314" s="8"/>
      <c r="N314" s="3"/>
      <c r="O314" s="3"/>
      <c r="P314" s="4"/>
      <c r="Q314" s="4"/>
      <c r="R314" s="4"/>
      <c r="S314" s="4"/>
      <c r="T314" s="4"/>
      <c r="U314" s="4"/>
      <c r="V314" s="4"/>
      <c r="W314" s="4"/>
    </row>
    <row r="315" spans="1:23" x14ac:dyDescent="0.2">
      <c r="E315" s="2"/>
      <c r="F315" s="8"/>
      <c r="G315" s="8"/>
      <c r="H315" s="8"/>
      <c r="N315" s="3"/>
      <c r="O315" s="3"/>
      <c r="P315" s="4"/>
      <c r="Q315" s="4"/>
      <c r="R315" s="4"/>
      <c r="S315" s="4"/>
      <c r="T315" s="4"/>
      <c r="U315" s="4"/>
      <c r="V315" s="4"/>
      <c r="W315" s="4"/>
    </row>
    <row r="316" spans="1:23" x14ac:dyDescent="0.2">
      <c r="E316" s="2"/>
      <c r="F316" s="8"/>
      <c r="G316" s="8"/>
      <c r="H316" s="8"/>
      <c r="N316" s="3"/>
      <c r="O316" s="3"/>
      <c r="P316" s="4"/>
      <c r="Q316" s="4"/>
      <c r="R316" s="4"/>
      <c r="S316" s="4"/>
      <c r="T316" s="4"/>
      <c r="U316" s="4"/>
      <c r="V316" s="4"/>
      <c r="W316" s="4"/>
    </row>
    <row r="317" spans="1:23" x14ac:dyDescent="0.2">
      <c r="E317" s="2"/>
      <c r="F317" s="8"/>
      <c r="G317" s="8"/>
      <c r="H317" s="8"/>
      <c r="N317" s="3"/>
      <c r="O317" s="3"/>
      <c r="P317" s="4"/>
      <c r="Q317" s="4"/>
      <c r="R317" s="4"/>
      <c r="S317" s="4"/>
      <c r="T317" s="4"/>
      <c r="U317" s="4"/>
      <c r="V317" s="4"/>
      <c r="W317" s="4"/>
    </row>
    <row r="318" spans="1:23" x14ac:dyDescent="0.2">
      <c r="E318" s="2"/>
      <c r="F318" s="8"/>
      <c r="G318" s="8"/>
      <c r="H318" s="8"/>
      <c r="N318" s="3"/>
      <c r="O318" s="3"/>
      <c r="P318" s="4"/>
      <c r="Q318" s="4"/>
      <c r="R318" s="4"/>
      <c r="S318" s="4"/>
      <c r="T318" s="4"/>
      <c r="U318" s="4"/>
      <c r="V318" s="4"/>
      <c r="W318" s="4"/>
    </row>
    <row r="319" spans="1:23" x14ac:dyDescent="0.2">
      <c r="E319" s="2"/>
      <c r="F319" s="8"/>
      <c r="G319" s="8"/>
      <c r="H319" s="8"/>
      <c r="N319" s="3"/>
      <c r="O319" s="3"/>
      <c r="P319" s="4"/>
      <c r="Q319" s="4"/>
      <c r="R319" s="4"/>
      <c r="S319" s="4"/>
      <c r="T319" s="4"/>
      <c r="U319" s="4"/>
      <c r="V319" s="4"/>
      <c r="W319" s="4"/>
    </row>
    <row r="320" spans="1:23" x14ac:dyDescent="0.2">
      <c r="E320" s="2"/>
      <c r="F320" s="8"/>
      <c r="G320" s="8"/>
      <c r="H320" s="8"/>
      <c r="N320" s="3"/>
      <c r="O320" s="3"/>
      <c r="P320" s="4"/>
      <c r="Q320" s="4"/>
      <c r="R320" s="4"/>
      <c r="S320" s="4"/>
      <c r="T320" s="4"/>
      <c r="U320" s="4"/>
      <c r="V320" s="4"/>
      <c r="W320" s="4"/>
    </row>
    <row r="321" spans="2:23" x14ac:dyDescent="0.2">
      <c r="E321" s="2"/>
      <c r="F321" s="8"/>
      <c r="G321" s="8"/>
      <c r="H321" s="8"/>
      <c r="N321" s="3"/>
      <c r="O321" s="3"/>
      <c r="P321" s="4"/>
      <c r="Q321" s="4"/>
      <c r="R321" s="4"/>
      <c r="S321" s="4"/>
      <c r="T321" s="4"/>
      <c r="U321" s="4"/>
      <c r="V321" s="4"/>
      <c r="W321" s="4"/>
    </row>
    <row r="322" spans="2:23" x14ac:dyDescent="0.2">
      <c r="E322" s="2"/>
      <c r="F322" s="8"/>
      <c r="G322" s="8"/>
      <c r="H322" s="8"/>
      <c r="N322" s="3"/>
      <c r="O322" s="3"/>
      <c r="P322" s="4"/>
      <c r="Q322" s="4"/>
      <c r="R322" s="4"/>
      <c r="S322" s="4"/>
      <c r="T322" s="4"/>
      <c r="U322" s="4"/>
      <c r="V322" s="4"/>
      <c r="W322" s="4"/>
    </row>
    <row r="323" spans="2:23" x14ac:dyDescent="0.2">
      <c r="E323" s="2"/>
      <c r="F323" s="8"/>
      <c r="G323" s="8"/>
      <c r="H323" s="8"/>
      <c r="N323" s="3"/>
      <c r="O323" s="3"/>
      <c r="P323" s="4"/>
      <c r="Q323" s="4"/>
      <c r="R323" s="4"/>
      <c r="S323" s="4"/>
      <c r="T323" s="4"/>
      <c r="U323" s="4"/>
      <c r="V323" s="4"/>
      <c r="W323" s="4"/>
    </row>
    <row r="324" spans="2:23" x14ac:dyDescent="0.2">
      <c r="E324" s="2"/>
      <c r="F324" s="8"/>
      <c r="G324" s="8"/>
      <c r="H324" s="8"/>
      <c r="N324" s="3"/>
      <c r="O324" s="3"/>
      <c r="P324" s="4"/>
      <c r="Q324" s="4"/>
      <c r="R324" s="4"/>
      <c r="S324" s="4"/>
      <c r="T324" s="4"/>
      <c r="U324" s="4"/>
      <c r="V324" s="4"/>
      <c r="W324" s="4"/>
    </row>
    <row r="325" spans="2:23" ht="15" x14ac:dyDescent="0.25">
      <c r="B325" s="84" t="s">
        <v>552</v>
      </c>
      <c r="E325" s="2"/>
      <c r="F325" s="8"/>
      <c r="G325" s="8"/>
      <c r="H325" s="8"/>
      <c r="N325" s="3"/>
      <c r="O325" s="3"/>
      <c r="P325" s="4"/>
      <c r="Q325" s="4"/>
      <c r="R325" s="4"/>
      <c r="S325" s="4"/>
      <c r="T325" s="4"/>
      <c r="U325" s="4"/>
      <c r="V325" s="4"/>
      <c r="W325" s="4"/>
    </row>
    <row r="326" spans="2:23" x14ac:dyDescent="0.2">
      <c r="B326" s="4" t="s">
        <v>555</v>
      </c>
      <c r="C326" s="4"/>
      <c r="G326" s="4"/>
      <c r="H326" s="8"/>
      <c r="N326" s="3"/>
      <c r="O326" s="3"/>
      <c r="P326" s="4"/>
      <c r="Q326" s="4"/>
      <c r="R326" s="4"/>
      <c r="S326" s="4"/>
      <c r="T326" s="4"/>
      <c r="U326" s="4"/>
      <c r="V326" s="4"/>
      <c r="W326" s="4"/>
    </row>
    <row r="327" spans="2:23" ht="16.5" x14ac:dyDescent="0.2">
      <c r="B327" s="4" t="s">
        <v>317</v>
      </c>
      <c r="C327" s="4">
        <v>72.217799999999997</v>
      </c>
      <c r="D327" s="3" t="s">
        <v>120</v>
      </c>
      <c r="G327" s="4"/>
      <c r="H327" s="8"/>
      <c r="N327" s="3"/>
      <c r="O327" s="3"/>
      <c r="P327" s="4"/>
      <c r="Q327" s="4"/>
      <c r="R327" s="4"/>
      <c r="S327" s="4"/>
      <c r="T327" s="4"/>
      <c r="U327" s="4"/>
      <c r="V327" s="4"/>
      <c r="W327" s="4"/>
    </row>
    <row r="328" spans="2:23" x14ac:dyDescent="0.2">
      <c r="B328" s="4" t="s">
        <v>318</v>
      </c>
      <c r="C328" s="4">
        <v>46.3035</v>
      </c>
      <c r="D328" s="3" t="s">
        <v>21</v>
      </c>
      <c r="G328" s="4"/>
      <c r="H328" s="8"/>
      <c r="N328" s="3"/>
      <c r="O328" s="3"/>
      <c r="P328" s="4"/>
      <c r="Q328" s="4"/>
      <c r="R328" s="4"/>
      <c r="S328" s="4"/>
      <c r="T328" s="4"/>
      <c r="U328" s="4"/>
      <c r="V328" s="4"/>
      <c r="W328" s="4"/>
    </row>
    <row r="329" spans="2:23" x14ac:dyDescent="0.2">
      <c r="B329" s="4" t="s">
        <v>238</v>
      </c>
      <c r="C329" s="4">
        <v>0</v>
      </c>
      <c r="D329" s="3" t="s">
        <v>21</v>
      </c>
      <c r="G329" s="4"/>
      <c r="H329" s="8"/>
      <c r="N329" s="3"/>
      <c r="O329" s="3"/>
      <c r="P329" s="4"/>
      <c r="Q329" s="4"/>
      <c r="R329" s="4"/>
      <c r="S329" s="4"/>
      <c r="T329" s="4"/>
      <c r="U329" s="4"/>
      <c r="V329" s="4"/>
      <c r="W329" s="4"/>
    </row>
    <row r="330" spans="2:23" x14ac:dyDescent="0.2">
      <c r="B330" s="4" t="s">
        <v>319</v>
      </c>
      <c r="C330" s="4">
        <v>1.9830000000000001</v>
      </c>
      <c r="D330" s="3" t="s">
        <v>21</v>
      </c>
      <c r="G330" s="4"/>
      <c r="H330" s="8"/>
      <c r="N330" s="3"/>
      <c r="O330" s="3"/>
      <c r="P330" s="4"/>
      <c r="Q330" s="4"/>
      <c r="R330" s="4"/>
      <c r="S330" s="4"/>
      <c r="T330" s="4"/>
      <c r="U330" s="4"/>
      <c r="V330" s="4"/>
      <c r="W330" s="4"/>
    </row>
    <row r="331" spans="2:23" ht="16.5" x14ac:dyDescent="0.2">
      <c r="B331" s="4" t="s">
        <v>320</v>
      </c>
      <c r="C331" s="4"/>
      <c r="D331" s="3" t="s">
        <v>225</v>
      </c>
      <c r="G331" s="4"/>
      <c r="H331" s="8"/>
      <c r="N331" s="3"/>
      <c r="O331" s="3"/>
      <c r="P331" s="4"/>
      <c r="Q331" s="4"/>
      <c r="R331" s="4"/>
      <c r="S331" s="4"/>
      <c r="T331" s="4"/>
      <c r="U331" s="4"/>
      <c r="V331" s="4"/>
      <c r="W331" s="4"/>
    </row>
    <row r="332" spans="2:23" ht="16.5" x14ac:dyDescent="0.2">
      <c r="B332" s="4" t="s">
        <v>321</v>
      </c>
      <c r="C332" s="4"/>
      <c r="D332" s="3" t="s">
        <v>225</v>
      </c>
      <c r="G332" s="4"/>
      <c r="H332" s="8"/>
      <c r="N332" s="3"/>
      <c r="O332" s="3"/>
      <c r="P332" s="4"/>
      <c r="Q332" s="4"/>
      <c r="R332" s="4"/>
      <c r="S332" s="4"/>
      <c r="T332" s="4"/>
      <c r="U332" s="4"/>
      <c r="V332" s="4"/>
      <c r="W332" s="4"/>
    </row>
    <row r="333" spans="2:23" x14ac:dyDescent="0.2">
      <c r="B333" s="4" t="s">
        <v>239</v>
      </c>
      <c r="C333" s="4"/>
      <c r="G333" s="4"/>
      <c r="H333" s="8"/>
      <c r="N333" s="3"/>
      <c r="O333" s="3"/>
      <c r="P333" s="4"/>
      <c r="Q333" s="4"/>
      <c r="R333" s="4"/>
      <c r="S333" s="4"/>
      <c r="T333" s="4"/>
      <c r="U333" s="4"/>
      <c r="V333" s="4"/>
      <c r="W333" s="4"/>
    </row>
    <row r="334" spans="2:23" x14ac:dyDescent="0.2">
      <c r="B334" s="4" t="s">
        <v>322</v>
      </c>
      <c r="C334" s="4"/>
      <c r="G334" s="4"/>
      <c r="H334" s="8"/>
      <c r="N334" s="3"/>
      <c r="O334" s="3"/>
      <c r="P334" s="4"/>
      <c r="Q334" s="4"/>
      <c r="R334" s="4"/>
      <c r="S334" s="4"/>
      <c r="T334" s="4"/>
      <c r="U334" s="4"/>
      <c r="V334" s="4"/>
      <c r="W334" s="4"/>
    </row>
    <row r="335" spans="2:23" x14ac:dyDescent="0.2">
      <c r="B335" s="4" t="s">
        <v>323</v>
      </c>
      <c r="C335" s="4"/>
      <c r="G335" s="4"/>
      <c r="H335" s="8"/>
      <c r="N335" s="3"/>
      <c r="O335" s="3"/>
      <c r="P335" s="4"/>
      <c r="Q335" s="4"/>
      <c r="R335" s="4"/>
      <c r="S335" s="4"/>
      <c r="T335" s="4"/>
      <c r="U335" s="4"/>
      <c r="V335" s="4"/>
      <c r="W335" s="4"/>
    </row>
    <row r="336" spans="2:23" x14ac:dyDescent="0.2">
      <c r="B336" s="4" t="s">
        <v>189</v>
      </c>
      <c r="C336" s="4"/>
      <c r="G336" s="4"/>
      <c r="H336" s="8"/>
      <c r="N336" s="3"/>
      <c r="O336" s="3"/>
      <c r="P336" s="4"/>
      <c r="Q336" s="4"/>
      <c r="R336" s="4"/>
      <c r="S336" s="4"/>
      <c r="T336" s="4"/>
      <c r="U336" s="4"/>
      <c r="V336" s="4"/>
      <c r="W336" s="4"/>
    </row>
    <row r="337" spans="1:23" x14ac:dyDescent="0.2">
      <c r="B337" s="4" t="s">
        <v>324</v>
      </c>
      <c r="C337" s="4"/>
      <c r="G337" s="4"/>
      <c r="H337" s="8"/>
      <c r="N337" s="3"/>
      <c r="O337" s="3"/>
      <c r="P337" s="4"/>
      <c r="Q337" s="4"/>
      <c r="R337" s="4"/>
      <c r="S337" s="4"/>
      <c r="T337" s="4"/>
      <c r="U337" s="4"/>
      <c r="V337" s="4"/>
      <c r="W337" s="4"/>
    </row>
    <row r="338" spans="1:23" x14ac:dyDescent="0.2">
      <c r="B338" s="4" t="s">
        <v>325</v>
      </c>
      <c r="C338" s="4"/>
      <c r="G338" s="4"/>
      <c r="H338" s="8"/>
      <c r="N338" s="3"/>
      <c r="O338" s="3"/>
      <c r="P338" s="4"/>
      <c r="Q338" s="4"/>
      <c r="R338" s="4"/>
      <c r="S338" s="4"/>
      <c r="T338" s="4"/>
      <c r="U338" s="4"/>
      <c r="V338" s="4"/>
      <c r="W338" s="4"/>
    </row>
    <row r="339" spans="1:23" x14ac:dyDescent="0.2">
      <c r="E339" s="2"/>
      <c r="F339" s="8"/>
      <c r="G339" s="8"/>
      <c r="H339" s="8"/>
      <c r="N339" s="3"/>
      <c r="O339" s="3"/>
      <c r="P339" s="4"/>
      <c r="Q339" s="4"/>
      <c r="R339" s="4"/>
      <c r="S339" s="4"/>
      <c r="T339" s="4"/>
      <c r="U339" s="4"/>
      <c r="V339" s="4"/>
      <c r="W339" s="4"/>
    </row>
    <row r="340" spans="1:23" x14ac:dyDescent="0.2">
      <c r="A340" s="66" t="s">
        <v>460</v>
      </c>
      <c r="C340" s="47"/>
      <c r="E340" s="2"/>
      <c r="G340" s="4"/>
      <c r="H340" s="4"/>
      <c r="P340" s="4"/>
      <c r="Q340" s="4"/>
      <c r="R340" s="4"/>
      <c r="S340" s="4"/>
      <c r="T340" s="4"/>
      <c r="U340" s="4"/>
      <c r="V340" s="4"/>
      <c r="W340" s="4"/>
    </row>
    <row r="341" spans="1:23" ht="18.75" x14ac:dyDescent="0.35">
      <c r="A341" s="4" t="s">
        <v>200</v>
      </c>
      <c r="B341" s="63" t="s">
        <v>369</v>
      </c>
      <c r="C341" s="43">
        <f>(C$211+C$212+C$213+C$214+C$215)/5</f>
        <v>20.607220000000002</v>
      </c>
      <c r="D341" s="4" t="s">
        <v>21</v>
      </c>
      <c r="E341" s="2"/>
      <c r="G341" s="4"/>
      <c r="H341" s="4"/>
      <c r="P341" s="4"/>
      <c r="Q341" s="4"/>
      <c r="R341" s="4"/>
      <c r="S341" s="4"/>
      <c r="T341" s="4"/>
      <c r="U341" s="4"/>
      <c r="V341" s="4"/>
      <c r="W341" s="4"/>
    </row>
    <row r="342" spans="1:23" ht="18.75" x14ac:dyDescent="0.35">
      <c r="A342" s="4" t="s">
        <v>201</v>
      </c>
      <c r="B342" s="63" t="s">
        <v>370</v>
      </c>
      <c r="C342" s="43">
        <v>6</v>
      </c>
      <c r="D342" s="4" t="s">
        <v>21</v>
      </c>
      <c r="E342" s="2"/>
      <c r="G342" s="4"/>
      <c r="H342" s="4"/>
      <c r="P342" s="4"/>
      <c r="Q342" s="4"/>
      <c r="R342" s="4"/>
      <c r="S342" s="4"/>
      <c r="T342" s="4"/>
      <c r="U342" s="4"/>
      <c r="V342" s="4"/>
      <c r="W342" s="4"/>
    </row>
    <row r="343" spans="1:23" ht="18.75" x14ac:dyDescent="0.35">
      <c r="A343" s="4" t="s">
        <v>408</v>
      </c>
      <c r="B343" s="2" t="s">
        <v>546</v>
      </c>
      <c r="C343" s="43">
        <f>$C$14*C342</f>
        <v>5.0999999999999996</v>
      </c>
      <c r="D343" s="4" t="s">
        <v>21</v>
      </c>
      <c r="E343" s="2"/>
      <c r="G343" s="4"/>
      <c r="H343" s="4"/>
      <c r="P343" s="4"/>
      <c r="Q343" s="4"/>
      <c r="R343" s="4"/>
      <c r="S343" s="4"/>
      <c r="T343" s="4"/>
      <c r="U343" s="4"/>
      <c r="V343" s="4"/>
      <c r="W343" s="4"/>
    </row>
    <row r="344" spans="1:23" ht="18.75" x14ac:dyDescent="0.35">
      <c r="A344" s="4" t="s">
        <v>409</v>
      </c>
      <c r="B344" s="63" t="s">
        <v>372</v>
      </c>
      <c r="C344" s="43">
        <f>C327</f>
        <v>72.217799999999997</v>
      </c>
      <c r="D344" s="4" t="s">
        <v>120</v>
      </c>
      <c r="E344" s="2"/>
      <c r="G344" s="4"/>
      <c r="H344" s="4"/>
      <c r="P344" s="4"/>
      <c r="Q344" s="4"/>
      <c r="R344" s="4"/>
      <c r="S344" s="4"/>
      <c r="T344" s="4"/>
      <c r="U344" s="4"/>
      <c r="V344" s="4"/>
      <c r="W344" s="4"/>
    </row>
    <row r="345" spans="1:23" ht="17.25" x14ac:dyDescent="0.3">
      <c r="A345" s="4" t="s">
        <v>410</v>
      </c>
      <c r="B345" s="57" t="s">
        <v>545</v>
      </c>
      <c r="C345" s="58">
        <f>0.85*f_prime_c*(C344-2*C$222)/1000</f>
        <v>218.81545886070464</v>
      </c>
      <c r="D345" s="39" t="s">
        <v>97</v>
      </c>
      <c r="E345" s="2"/>
      <c r="G345" s="4"/>
      <c r="H345" s="4"/>
      <c r="P345" s="4"/>
      <c r="Q345" s="4"/>
      <c r="R345" s="4"/>
      <c r="S345" s="4"/>
      <c r="T345" s="4"/>
      <c r="U345" s="4"/>
      <c r="V345" s="4"/>
      <c r="W345" s="4"/>
    </row>
    <row r="346" spans="1:23" ht="18.75" x14ac:dyDescent="0.35">
      <c r="A346" s="4" t="s">
        <v>411</v>
      </c>
      <c r="B346" s="63" t="s">
        <v>374</v>
      </c>
      <c r="C346" s="43">
        <f>C342-C343+C330</f>
        <v>2.8830000000000005</v>
      </c>
      <c r="D346" s="4" t="s">
        <v>21</v>
      </c>
      <c r="E346" s="2"/>
      <c r="G346" s="4"/>
      <c r="H346" s="4"/>
      <c r="P346" s="4"/>
      <c r="Q346" s="4"/>
      <c r="R346" s="4"/>
      <c r="S346" s="4"/>
      <c r="T346" s="4"/>
      <c r="U346" s="4"/>
      <c r="V346" s="4"/>
      <c r="W346" s="4"/>
    </row>
    <row r="347" spans="1:23" ht="18.75" x14ac:dyDescent="0.35">
      <c r="A347" s="4" t="s">
        <v>412</v>
      </c>
      <c r="B347" s="63" t="s">
        <v>375</v>
      </c>
      <c r="C347" s="52">
        <f>(C342-C$210)/C342*$C$10</f>
        <v>7.7395000000000025E-4</v>
      </c>
      <c r="D347" s="4" t="s">
        <v>22</v>
      </c>
      <c r="E347" s="2"/>
      <c r="G347" s="4"/>
      <c r="H347" s="4"/>
      <c r="P347" s="4"/>
      <c r="Q347" s="4"/>
      <c r="R347" s="4"/>
      <c r="S347" s="4"/>
      <c r="T347" s="4"/>
      <c r="U347" s="4"/>
      <c r="V347" s="4"/>
      <c r="W347" s="4"/>
    </row>
    <row r="348" spans="1:23" ht="18.75" x14ac:dyDescent="0.35">
      <c r="A348" s="4" t="s">
        <v>413</v>
      </c>
      <c r="B348" s="2" t="s">
        <v>547</v>
      </c>
      <c r="C348" s="43">
        <f>IF(ABS(C347)&gt;$C$11,fy/1000,(ModulusElasticity/1000)*C347)</f>
        <v>22.444550000000007</v>
      </c>
      <c r="D348" s="4" t="s">
        <v>244</v>
      </c>
      <c r="E348" s="2"/>
      <c r="G348" s="4"/>
      <c r="H348" s="4"/>
      <c r="P348" s="4"/>
      <c r="Q348" s="4"/>
      <c r="R348" s="4"/>
      <c r="S348" s="4"/>
      <c r="T348" s="4"/>
      <c r="U348" s="4"/>
      <c r="V348" s="4"/>
      <c r="W348" s="4"/>
    </row>
    <row r="349" spans="1:23" ht="17.25" x14ac:dyDescent="0.3">
      <c r="A349" s="4" t="s">
        <v>414</v>
      </c>
      <c r="B349" s="57" t="s">
        <v>548</v>
      </c>
      <c r="C349" s="58">
        <f>C348*(2*$C$42)</f>
        <v>19.83139689181748</v>
      </c>
      <c r="D349" s="39" t="s">
        <v>97</v>
      </c>
      <c r="E349" s="2"/>
      <c r="G349" s="4"/>
      <c r="H349" s="4"/>
      <c r="P349" s="4"/>
      <c r="Q349" s="4"/>
      <c r="R349" s="4"/>
      <c r="S349" s="4"/>
      <c r="T349" s="4"/>
      <c r="U349" s="4"/>
      <c r="V349" s="4"/>
      <c r="W349" s="4"/>
    </row>
    <row r="350" spans="1:23" ht="18.75" x14ac:dyDescent="0.35">
      <c r="A350" s="4" t="s">
        <v>229</v>
      </c>
      <c r="B350" s="63" t="s">
        <v>378</v>
      </c>
      <c r="C350" s="43">
        <f>C342-C$210</f>
        <v>1.5479000000000003</v>
      </c>
      <c r="D350" s="4" t="s">
        <v>21</v>
      </c>
      <c r="E350" s="2"/>
      <c r="G350" s="4"/>
      <c r="H350" s="4"/>
      <c r="P350" s="4"/>
      <c r="Q350" s="4"/>
      <c r="R350" s="4"/>
      <c r="S350" s="4"/>
      <c r="T350" s="4"/>
      <c r="U350" s="4"/>
      <c r="V350" s="4"/>
      <c r="W350" s="4"/>
    </row>
    <row r="351" spans="1:23" ht="18.75" x14ac:dyDescent="0.35">
      <c r="A351" s="4" t="s">
        <v>415</v>
      </c>
      <c r="B351" s="63" t="s">
        <v>497</v>
      </c>
      <c r="C351" s="52">
        <f>(C342-C$211)/C342*$C$10</f>
        <v>-1.0296999999999999E-3</v>
      </c>
      <c r="D351" s="4" t="s">
        <v>22</v>
      </c>
      <c r="E351" s="2"/>
      <c r="G351" s="4"/>
      <c r="H351" s="4"/>
      <c r="P351" s="4"/>
      <c r="Q351" s="4"/>
      <c r="R351" s="4"/>
      <c r="S351" s="4"/>
      <c r="T351" s="4"/>
      <c r="U351" s="4"/>
      <c r="V351" s="4"/>
      <c r="W351" s="4"/>
    </row>
    <row r="352" spans="1:23" ht="18.75" x14ac:dyDescent="0.35">
      <c r="A352" s="4" t="s">
        <v>416</v>
      </c>
      <c r="B352" s="2" t="s">
        <v>549</v>
      </c>
      <c r="C352" s="43">
        <f>IF(ABS(C351)&gt;$C$11,fy/1000,(ModulusElasticity/1000)*C351)</f>
        <v>-29.861299999999996</v>
      </c>
      <c r="D352" s="4" t="s">
        <v>244</v>
      </c>
      <c r="E352" s="2"/>
      <c r="G352" s="4"/>
      <c r="H352" s="4"/>
      <c r="P352" s="4"/>
      <c r="Q352" s="4"/>
      <c r="R352" s="4"/>
      <c r="S352" s="4"/>
      <c r="T352" s="4"/>
      <c r="U352" s="4"/>
      <c r="V352" s="4"/>
      <c r="W352" s="4"/>
    </row>
    <row r="353" spans="1:23" ht="17.25" x14ac:dyDescent="0.3">
      <c r="A353" s="4" t="s">
        <v>417</v>
      </c>
      <c r="B353" s="57" t="s">
        <v>550</v>
      </c>
      <c r="C353" s="58">
        <f>C352*(2*$C$42)</f>
        <v>-26.384636448742746</v>
      </c>
      <c r="D353" s="39" t="s">
        <v>97</v>
      </c>
      <c r="E353" s="2"/>
      <c r="G353" s="4"/>
      <c r="H353" s="4"/>
      <c r="P353" s="4"/>
      <c r="Q353" s="4"/>
      <c r="R353" s="4"/>
      <c r="S353" s="4"/>
      <c r="T353" s="4"/>
      <c r="U353" s="4"/>
      <c r="V353" s="4"/>
      <c r="W353" s="4"/>
    </row>
    <row r="354" spans="1:23" ht="18.75" x14ac:dyDescent="0.35">
      <c r="A354" s="4" t="s">
        <v>230</v>
      </c>
      <c r="B354" s="63" t="s">
        <v>379</v>
      </c>
      <c r="C354" s="43">
        <f>C342-C$211</f>
        <v>-2.0594000000000001</v>
      </c>
      <c r="D354" s="4" t="s">
        <v>21</v>
      </c>
      <c r="E354" s="2"/>
      <c r="G354" s="4"/>
      <c r="H354" s="4"/>
      <c r="N354" s="3"/>
      <c r="O354" s="3"/>
      <c r="P354" s="4"/>
      <c r="Q354" s="4"/>
      <c r="R354" s="4"/>
      <c r="S354" s="4"/>
      <c r="T354" s="4"/>
      <c r="U354" s="4"/>
      <c r="V354" s="4"/>
      <c r="W354" s="4"/>
    </row>
    <row r="355" spans="1:23" ht="18.75" x14ac:dyDescent="0.35">
      <c r="A355" s="4" t="s">
        <v>418</v>
      </c>
      <c r="B355" s="2" t="s">
        <v>395</v>
      </c>
      <c r="C355" s="52">
        <f>(C342-C$212)/C342*$C$10</f>
        <v>-4.1536999999999998E-3</v>
      </c>
      <c r="D355" s="4" t="s">
        <v>22</v>
      </c>
      <c r="E355" s="2"/>
      <c r="G355" s="4"/>
      <c r="H355" s="4"/>
      <c r="N355" s="3"/>
      <c r="O355" s="3"/>
      <c r="P355" s="4"/>
      <c r="Q355" s="4"/>
      <c r="R355" s="4"/>
      <c r="S355" s="4"/>
      <c r="T355" s="4"/>
      <c r="U355" s="4"/>
      <c r="V355" s="4"/>
      <c r="W355" s="4"/>
    </row>
    <row r="356" spans="1:23" ht="18.75" x14ac:dyDescent="0.35">
      <c r="A356" s="4" t="s">
        <v>419</v>
      </c>
      <c r="B356" s="2" t="s">
        <v>396</v>
      </c>
      <c r="C356" s="43">
        <f>IF(ABS(C355)&gt;$C$11,IF(C355&lt;0,-fy/1000,fy/1000),(ModulusElasticity/1000)*C355)</f>
        <v>-60</v>
      </c>
      <c r="D356" s="4" t="s">
        <v>244</v>
      </c>
      <c r="E356" s="2"/>
      <c r="G356" s="4"/>
      <c r="H356" s="4"/>
      <c r="N356" s="3"/>
      <c r="O356" s="3"/>
      <c r="P356" s="4"/>
      <c r="Q356" s="4"/>
      <c r="R356" s="4"/>
      <c r="S356" s="4"/>
      <c r="T356" s="4"/>
      <c r="U356" s="4"/>
      <c r="V356" s="4"/>
      <c r="W356" s="4"/>
    </row>
    <row r="357" spans="1:23" ht="17.25" x14ac:dyDescent="0.3">
      <c r="A357" s="4" t="s">
        <v>420</v>
      </c>
      <c r="B357" s="57" t="s">
        <v>397</v>
      </c>
      <c r="C357" s="58">
        <f>C356*(2*$C$42)</f>
        <v>-53.014376029327757</v>
      </c>
      <c r="D357" s="39" t="s">
        <v>97</v>
      </c>
      <c r="E357" s="2"/>
      <c r="G357" s="4"/>
      <c r="H357" s="4"/>
      <c r="N357" s="3"/>
      <c r="O357" s="3"/>
      <c r="P357" s="4"/>
      <c r="Q357" s="4"/>
      <c r="R357" s="4"/>
      <c r="S357" s="4"/>
      <c r="T357" s="4"/>
      <c r="U357" s="4"/>
      <c r="V357" s="4"/>
      <c r="W357" s="4"/>
    </row>
    <row r="358" spans="1:23" ht="18.75" x14ac:dyDescent="0.35">
      <c r="A358" s="4" t="s">
        <v>231</v>
      </c>
      <c r="B358" s="2" t="s">
        <v>398</v>
      </c>
      <c r="C358" s="43">
        <f>C342-C$212</f>
        <v>-8.3073999999999995</v>
      </c>
      <c r="D358" s="4" t="s">
        <v>21</v>
      </c>
      <c r="E358" s="2"/>
      <c r="G358" s="4"/>
      <c r="H358" s="4"/>
      <c r="N358" s="3"/>
      <c r="O358" s="3"/>
      <c r="P358" s="4"/>
      <c r="Q358" s="4"/>
      <c r="R358" s="4"/>
      <c r="S358" s="4"/>
      <c r="T358" s="4"/>
      <c r="U358" s="4"/>
      <c r="V358" s="4"/>
      <c r="W358" s="4"/>
    </row>
    <row r="359" spans="1:23" ht="18.75" x14ac:dyDescent="0.35">
      <c r="A359" s="4" t="s">
        <v>455</v>
      </c>
      <c r="B359" s="2" t="s">
        <v>399</v>
      </c>
      <c r="C359" s="52">
        <f>(C342-C$213)/C342*$C$10</f>
        <v>-7.7609999999999997E-3</v>
      </c>
      <c r="D359" s="4" t="s">
        <v>22</v>
      </c>
      <c r="E359" s="2"/>
      <c r="G359" s="4"/>
      <c r="H359" s="4"/>
      <c r="N359" s="3"/>
      <c r="O359" s="3"/>
      <c r="P359" s="4"/>
      <c r="Q359" s="4"/>
      <c r="R359" s="4"/>
      <c r="S359" s="4"/>
      <c r="T359" s="4"/>
      <c r="U359" s="4"/>
      <c r="V359" s="4"/>
      <c r="W359" s="4"/>
    </row>
    <row r="360" spans="1:23" ht="18.75" x14ac:dyDescent="0.35">
      <c r="A360" s="4" t="s">
        <v>456</v>
      </c>
      <c r="B360" s="2" t="s">
        <v>400</v>
      </c>
      <c r="C360" s="43">
        <f>IF(ABS(C359)&gt;$C$11,IF(C359&lt;0,-fy/1000,fy/1000),(ModulusElasticity/1000)*C359)</f>
        <v>-60</v>
      </c>
      <c r="D360" s="4" t="s">
        <v>244</v>
      </c>
      <c r="E360" s="2"/>
      <c r="G360" s="4"/>
      <c r="H360" s="4"/>
      <c r="N360" s="3"/>
      <c r="O360" s="3"/>
      <c r="P360" s="4"/>
      <c r="Q360" s="4"/>
      <c r="R360" s="4"/>
      <c r="S360" s="4"/>
      <c r="T360" s="4"/>
      <c r="U360" s="4"/>
      <c r="V360" s="4"/>
      <c r="W360" s="4"/>
    </row>
    <row r="361" spans="1:23" ht="17.25" x14ac:dyDescent="0.3">
      <c r="A361" s="4" t="s">
        <v>457</v>
      </c>
      <c r="B361" s="57" t="s">
        <v>401</v>
      </c>
      <c r="C361" s="58">
        <f>C360*(2*$C$42)</f>
        <v>-53.014376029327757</v>
      </c>
      <c r="D361" s="39" t="s">
        <v>97</v>
      </c>
      <c r="E361" s="2"/>
      <c r="G361" s="4"/>
      <c r="H361" s="4"/>
      <c r="N361" s="3"/>
      <c r="O361" s="3"/>
      <c r="P361" s="4"/>
      <c r="Q361" s="4"/>
      <c r="R361" s="4"/>
      <c r="S361" s="4"/>
      <c r="T361" s="4"/>
      <c r="U361" s="4"/>
      <c r="V361" s="4"/>
      <c r="W361" s="4"/>
    </row>
    <row r="362" spans="1:23" ht="18.75" x14ac:dyDescent="0.35">
      <c r="A362" s="4" t="s">
        <v>458</v>
      </c>
      <c r="B362" s="2" t="s">
        <v>402</v>
      </c>
      <c r="C362" s="43">
        <f>C342-C$213</f>
        <v>-15.521999999999998</v>
      </c>
      <c r="D362" s="4" t="s">
        <v>21</v>
      </c>
      <c r="E362" s="2"/>
      <c r="G362" s="4"/>
      <c r="H362" s="4"/>
      <c r="N362" s="3"/>
      <c r="O362" s="3"/>
      <c r="P362" s="4"/>
      <c r="Q362" s="4"/>
      <c r="R362" s="4"/>
      <c r="S362" s="4"/>
      <c r="T362" s="4"/>
      <c r="U362" s="4"/>
      <c r="V362" s="4"/>
      <c r="W362" s="4"/>
    </row>
    <row r="363" spans="1:23" ht="18.75" x14ac:dyDescent="0.35">
      <c r="A363" s="4" t="s">
        <v>421</v>
      </c>
      <c r="B363" s="63" t="s">
        <v>384</v>
      </c>
      <c r="C363" s="52">
        <f>(C342-C$214)/C342*$C$10</f>
        <v>-1.0885000000000001E-2</v>
      </c>
      <c r="D363" s="4" t="s">
        <v>22</v>
      </c>
      <c r="E363" s="2"/>
      <c r="G363" s="4"/>
      <c r="H363" s="4"/>
      <c r="N363" s="3"/>
      <c r="O363" s="3"/>
      <c r="P363" s="4"/>
      <c r="Q363" s="4"/>
      <c r="R363" s="4"/>
      <c r="S363" s="4"/>
      <c r="T363" s="4"/>
      <c r="U363" s="4"/>
      <c r="V363" s="4"/>
      <c r="W363" s="4"/>
    </row>
    <row r="364" spans="1:23" ht="18.75" x14ac:dyDescent="0.35">
      <c r="A364" s="4" t="s">
        <v>422</v>
      </c>
      <c r="B364" s="63" t="s">
        <v>385</v>
      </c>
      <c r="C364" s="43">
        <f>IF(ABS(C363)&gt;$C$11,IF(C363&lt;0,-fy/1000,fy/1000),(ModulusElasticity/1000)*C363)</f>
        <v>-60</v>
      </c>
      <c r="D364" s="4" t="s">
        <v>244</v>
      </c>
      <c r="E364" s="2"/>
      <c r="G364" s="4"/>
      <c r="H364" s="4"/>
      <c r="N364" s="3"/>
      <c r="O364" s="3"/>
      <c r="P364" s="4"/>
      <c r="Q364" s="4"/>
      <c r="R364" s="4"/>
      <c r="S364" s="4"/>
      <c r="T364" s="4"/>
      <c r="U364" s="4"/>
      <c r="V364" s="4"/>
      <c r="W364" s="4"/>
    </row>
    <row r="365" spans="1:23" ht="17.25" x14ac:dyDescent="0.3">
      <c r="A365" s="4" t="s">
        <v>423</v>
      </c>
      <c r="B365" s="64" t="s">
        <v>386</v>
      </c>
      <c r="C365" s="58">
        <f>C364*(2*$C$42)</f>
        <v>-53.014376029327757</v>
      </c>
      <c r="D365" s="39" t="s">
        <v>97</v>
      </c>
      <c r="E365" s="2"/>
      <c r="F365" s="47"/>
      <c r="G365" s="4"/>
      <c r="H365" s="4"/>
      <c r="N365" s="3"/>
      <c r="O365" s="3"/>
      <c r="P365" s="4"/>
      <c r="Q365" s="4"/>
      <c r="R365" s="4"/>
      <c r="S365" s="4"/>
      <c r="T365" s="4"/>
      <c r="U365" s="4"/>
      <c r="V365" s="4"/>
      <c r="W365" s="4"/>
    </row>
    <row r="366" spans="1:23" ht="18.75" x14ac:dyDescent="0.35">
      <c r="A366" s="4" t="s">
        <v>232</v>
      </c>
      <c r="B366" s="63" t="s">
        <v>387</v>
      </c>
      <c r="C366" s="43">
        <f>C342-C$214</f>
        <v>-21.77</v>
      </c>
      <c r="D366" s="4" t="s">
        <v>21</v>
      </c>
      <c r="E366" s="2"/>
      <c r="G366" s="4"/>
      <c r="H366" s="4"/>
      <c r="N366" s="3"/>
      <c r="O366" s="3"/>
      <c r="P366" s="4"/>
      <c r="Q366" s="4"/>
      <c r="R366" s="4"/>
      <c r="S366" s="4"/>
      <c r="T366" s="4"/>
      <c r="U366" s="4"/>
      <c r="V366" s="4"/>
      <c r="W366" s="4"/>
    </row>
    <row r="367" spans="1:23" ht="18.75" x14ac:dyDescent="0.35">
      <c r="A367" s="4" t="s">
        <v>424</v>
      </c>
      <c r="B367" s="63" t="s">
        <v>388</v>
      </c>
      <c r="C367" s="52">
        <f>(C342-C$215)/C342*$C$10</f>
        <v>-1.2688650000000003E-2</v>
      </c>
      <c r="D367" s="4" t="s">
        <v>22</v>
      </c>
      <c r="E367" s="2"/>
      <c r="G367" s="4"/>
      <c r="H367" s="4"/>
      <c r="N367" s="3"/>
      <c r="O367" s="3"/>
      <c r="P367" s="4"/>
      <c r="Q367" s="4"/>
      <c r="R367" s="4"/>
      <c r="S367" s="4"/>
      <c r="T367" s="4"/>
      <c r="U367" s="4"/>
      <c r="V367" s="4"/>
      <c r="W367" s="4"/>
    </row>
    <row r="368" spans="1:23" ht="18.75" x14ac:dyDescent="0.35">
      <c r="A368" s="4" t="s">
        <v>233</v>
      </c>
      <c r="B368" s="63" t="s">
        <v>389</v>
      </c>
      <c r="C368" s="43">
        <f>IF(ABS(C367)&gt;$C$11,IF(C367&lt;0,-fy/1000,fy/1000),(ModulusElasticity/1000)*C367)</f>
        <v>-60</v>
      </c>
      <c r="D368" s="4" t="s">
        <v>244</v>
      </c>
      <c r="E368" s="2"/>
      <c r="G368" s="4"/>
      <c r="H368" s="4"/>
      <c r="N368" s="3"/>
      <c r="O368" s="3"/>
      <c r="P368" s="4"/>
      <c r="Q368" s="4"/>
      <c r="R368" s="4"/>
      <c r="S368" s="4"/>
      <c r="T368" s="4"/>
      <c r="U368" s="4"/>
      <c r="V368" s="4"/>
      <c r="W368" s="4"/>
    </row>
    <row r="369" spans="1:23" ht="17.25" x14ac:dyDescent="0.3">
      <c r="A369" s="4" t="s">
        <v>424</v>
      </c>
      <c r="B369" s="64" t="s">
        <v>390</v>
      </c>
      <c r="C369" s="58">
        <f>C368*(2*$C$42)</f>
        <v>-53.014376029327757</v>
      </c>
      <c r="D369" s="39" t="s">
        <v>97</v>
      </c>
      <c r="E369" s="2"/>
      <c r="G369" s="4"/>
      <c r="H369" s="4"/>
      <c r="N369" s="3"/>
      <c r="O369" s="3"/>
      <c r="P369" s="4"/>
      <c r="Q369" s="4"/>
      <c r="R369" s="4"/>
      <c r="S369" s="4"/>
      <c r="T369" s="4"/>
      <c r="U369" s="4"/>
      <c r="V369" s="4"/>
      <c r="W369" s="4"/>
    </row>
    <row r="370" spans="1:23" ht="19.5" thickBot="1" x14ac:dyDescent="0.4">
      <c r="A370" s="4" t="s">
        <v>233</v>
      </c>
      <c r="B370" s="63" t="s">
        <v>391</v>
      </c>
      <c r="C370" s="43">
        <f>C342-C$215</f>
        <v>-25.377300000000002</v>
      </c>
      <c r="D370" s="4" t="s">
        <v>21</v>
      </c>
      <c r="E370" s="2"/>
      <c r="G370" s="4"/>
      <c r="H370" s="4"/>
      <c r="N370" s="3"/>
      <c r="O370" s="3"/>
      <c r="P370" s="4"/>
      <c r="Q370" s="4"/>
      <c r="R370" s="4"/>
      <c r="S370" s="4"/>
      <c r="T370" s="4"/>
      <c r="U370" s="4"/>
      <c r="V370" s="4"/>
      <c r="W370" s="4"/>
    </row>
    <row r="371" spans="1:23" ht="18.75" x14ac:dyDescent="0.35">
      <c r="A371" s="4" t="s">
        <v>425</v>
      </c>
      <c r="B371" s="2" t="s">
        <v>237</v>
      </c>
      <c r="C371" s="59">
        <f>C345+C349+C353+C357+C361+C365+C369</f>
        <v>0.20471518646833431</v>
      </c>
      <c r="D371" s="4" t="s">
        <v>97</v>
      </c>
      <c r="E371" s="2"/>
      <c r="G371" s="4"/>
      <c r="H371" s="4"/>
      <c r="N371" s="3"/>
      <c r="O371" s="3"/>
      <c r="P371" s="4"/>
      <c r="Q371" s="4"/>
      <c r="R371" s="4"/>
      <c r="S371" s="4"/>
      <c r="T371" s="4"/>
      <c r="U371" s="4"/>
      <c r="V371" s="4"/>
      <c r="W371" s="4"/>
    </row>
    <row r="372" spans="1:23" ht="18.75" x14ac:dyDescent="0.35">
      <c r="A372" s="4" t="s">
        <v>426</v>
      </c>
      <c r="B372" s="2" t="s">
        <v>236</v>
      </c>
      <c r="C372" s="60">
        <f>C345*C346+C349*C350+C353*C354+C357*C358+C361*C362+C365*C366+C369*C370</f>
        <v>4478.6639705675843</v>
      </c>
      <c r="D372" s="4" t="s">
        <v>234</v>
      </c>
      <c r="E372" s="2"/>
      <c r="G372" s="4"/>
      <c r="H372" s="4"/>
      <c r="N372" s="3"/>
      <c r="O372" s="3"/>
      <c r="P372" s="4"/>
      <c r="Q372" s="4"/>
      <c r="R372" s="4"/>
      <c r="S372" s="4"/>
      <c r="T372" s="4"/>
      <c r="U372" s="4"/>
      <c r="V372" s="4"/>
      <c r="W372" s="4"/>
    </row>
    <row r="373" spans="1:23" ht="15" thickBot="1" x14ac:dyDescent="0.25">
      <c r="C373" s="61">
        <f>C372/12</f>
        <v>373.22199754729871</v>
      </c>
      <c r="D373" s="4" t="s">
        <v>235</v>
      </c>
      <c r="E373" s="2"/>
      <c r="G373" s="4"/>
      <c r="H373" s="4"/>
      <c r="N373" s="3"/>
      <c r="O373" s="3"/>
      <c r="P373" s="4"/>
      <c r="Q373" s="4"/>
      <c r="R373" s="4"/>
      <c r="S373" s="4"/>
      <c r="T373" s="4"/>
      <c r="U373" s="4"/>
      <c r="V373" s="4"/>
      <c r="W373" s="4"/>
    </row>
    <row r="374" spans="1:23" x14ac:dyDescent="0.2">
      <c r="E374" s="2"/>
      <c r="G374" s="4"/>
      <c r="H374" s="4"/>
      <c r="N374" s="3"/>
      <c r="O374" s="3"/>
      <c r="P374" s="4"/>
      <c r="Q374" s="4"/>
      <c r="R374" s="4"/>
      <c r="S374" s="4"/>
      <c r="T374" s="4"/>
      <c r="U374" s="4"/>
      <c r="V374" s="4"/>
      <c r="W374" s="4"/>
    </row>
    <row r="375" spans="1:23" ht="18.75" x14ac:dyDescent="0.35">
      <c r="A375" s="13"/>
      <c r="B375" s="72" t="s">
        <v>241</v>
      </c>
      <c r="C375" s="72" t="s">
        <v>240</v>
      </c>
      <c r="D375" s="72" t="s">
        <v>253</v>
      </c>
      <c r="E375" s="72" t="s">
        <v>254</v>
      </c>
      <c r="F375" s="72" t="s">
        <v>335</v>
      </c>
      <c r="G375" s="4"/>
      <c r="H375" s="4"/>
      <c r="N375" s="3"/>
      <c r="O375" s="3"/>
      <c r="P375" s="4"/>
      <c r="Q375" s="4"/>
      <c r="R375" s="4"/>
      <c r="S375" s="4"/>
      <c r="T375" s="4"/>
      <c r="U375" s="4"/>
      <c r="V375" s="4"/>
      <c r="W375" s="4"/>
    </row>
    <row r="376" spans="1:23" x14ac:dyDescent="0.2">
      <c r="A376" s="20"/>
      <c r="B376" s="73" t="s">
        <v>234</v>
      </c>
      <c r="C376" s="73" t="s">
        <v>97</v>
      </c>
      <c r="D376" s="73" t="s">
        <v>234</v>
      </c>
      <c r="E376" s="73" t="s">
        <v>97</v>
      </c>
      <c r="F376" s="73" t="s">
        <v>97</v>
      </c>
      <c r="G376" s="4"/>
      <c r="H376" s="4"/>
      <c r="N376" s="3"/>
      <c r="O376" s="3"/>
      <c r="P376" s="4"/>
      <c r="Q376" s="4"/>
      <c r="R376" s="4"/>
      <c r="S376" s="4"/>
      <c r="T376" s="4"/>
      <c r="U376" s="4"/>
      <c r="V376" s="4"/>
      <c r="W376" s="4"/>
    </row>
    <row r="377" spans="1:23" ht="18.75" x14ac:dyDescent="0.35">
      <c r="A377" s="70" t="s">
        <v>242</v>
      </c>
      <c r="B377" s="71">
        <v>0</v>
      </c>
      <c r="C377" s="71">
        <f>C238</f>
        <v>2374.7146262163847</v>
      </c>
      <c r="D377" s="71">
        <f>$C$15*B377</f>
        <v>0</v>
      </c>
      <c r="E377" s="71">
        <f>$C$15*C377</f>
        <v>1543.5645070406501</v>
      </c>
      <c r="F377" s="71">
        <f>$C$17*$C$15*C377</f>
        <v>1234.85160563252</v>
      </c>
      <c r="G377" s="4"/>
      <c r="H377" s="4"/>
      <c r="N377" s="3"/>
      <c r="O377" s="3"/>
      <c r="P377" s="4"/>
      <c r="Q377" s="4"/>
      <c r="R377" s="4"/>
      <c r="S377" s="4"/>
      <c r="T377" s="4"/>
      <c r="U377" s="4"/>
      <c r="V377" s="4"/>
      <c r="W377" s="4"/>
    </row>
    <row r="378" spans="1:23" ht="18.75" x14ac:dyDescent="0.35">
      <c r="A378" s="68" t="s">
        <v>335</v>
      </c>
      <c r="B378" s="69">
        <f>(F377-E377)/(F379-E377)*D379</f>
        <v>1882.3038176380269</v>
      </c>
      <c r="C378" s="69">
        <f>C377-B378/B379*(C377-C379)</f>
        <v>2066.0017248082545</v>
      </c>
      <c r="D378" s="69">
        <f>B378</f>
        <v>1882.3038176380269</v>
      </c>
      <c r="E378" s="69">
        <f>$C$15*C378</f>
        <v>1342.9011211253655</v>
      </c>
      <c r="F378" s="69">
        <f>F377</f>
        <v>1234.85160563252</v>
      </c>
      <c r="G378" s="4"/>
      <c r="H378" s="4"/>
      <c r="N378" s="3"/>
      <c r="O378" s="3"/>
      <c r="P378" s="4"/>
      <c r="Q378" s="4"/>
      <c r="R378" s="4"/>
      <c r="S378" s="4"/>
      <c r="T378" s="4"/>
      <c r="U378" s="4"/>
      <c r="V378" s="4"/>
      <c r="W378" s="4"/>
    </row>
    <row r="379" spans="1:23" ht="18.75" x14ac:dyDescent="0.35">
      <c r="A379" s="68" t="s">
        <v>403</v>
      </c>
      <c r="B379" s="69">
        <f>C306</f>
        <v>9024.6303765578996</v>
      </c>
      <c r="C379" s="69">
        <f>C305</f>
        <v>894.60296646364645</v>
      </c>
      <c r="D379" s="69">
        <f>$C$15*B379</f>
        <v>5866.0097447626349</v>
      </c>
      <c r="E379" s="69">
        <f>$C$15*C379</f>
        <v>581.49192820137023</v>
      </c>
      <c r="F379" s="69">
        <f>$C$15*C379</f>
        <v>581.49192820137023</v>
      </c>
      <c r="G379" s="4"/>
      <c r="H379" s="4"/>
      <c r="N379" s="3"/>
      <c r="O379" s="3"/>
      <c r="P379" s="4"/>
      <c r="Q379" s="4"/>
      <c r="R379" s="4"/>
      <c r="S379" s="4"/>
      <c r="T379" s="4"/>
      <c r="U379" s="4"/>
      <c r="V379" s="4"/>
      <c r="W379" s="4"/>
    </row>
    <row r="380" spans="1:23" ht="18.75" x14ac:dyDescent="0.35">
      <c r="A380" s="68" t="s">
        <v>404</v>
      </c>
      <c r="B380" s="69">
        <f>C372</f>
        <v>4478.6639705675843</v>
      </c>
      <c r="C380" s="69">
        <f>C371</f>
        <v>0.20471518646833431</v>
      </c>
      <c r="D380" s="69">
        <f>$C$15*B380</f>
        <v>2911.1315808689301</v>
      </c>
      <c r="E380" s="69">
        <f>$C$15*C380</f>
        <v>0.13306487120441732</v>
      </c>
      <c r="F380" s="69">
        <f>$C$15*C380</f>
        <v>0.13306487120441732</v>
      </c>
      <c r="G380" s="4"/>
      <c r="H380" s="4"/>
      <c r="N380" s="3"/>
      <c r="O380" s="3"/>
      <c r="P380" s="4"/>
      <c r="Q380" s="4"/>
      <c r="R380" s="4"/>
      <c r="S380" s="4"/>
      <c r="T380" s="4"/>
      <c r="U380" s="4"/>
      <c r="V380" s="4"/>
      <c r="W380" s="4"/>
    </row>
    <row r="381" spans="1:23" ht="18.75" x14ac:dyDescent="0.35">
      <c r="A381" s="68" t="s">
        <v>255</v>
      </c>
      <c r="B381" s="69">
        <v>0</v>
      </c>
      <c r="C381" s="69">
        <f>-C240</f>
        <v>-432.95073757284337</v>
      </c>
      <c r="D381" s="69">
        <f>$C$15*B381</f>
        <v>0</v>
      </c>
      <c r="E381" s="69">
        <f>$C$15*C381</f>
        <v>-281.4179794223482</v>
      </c>
      <c r="F381" s="69">
        <f>$C$15*C381</f>
        <v>-281.4179794223482</v>
      </c>
      <c r="G381" s="4"/>
      <c r="H381" s="4"/>
      <c r="N381" s="3"/>
      <c r="O381" s="3"/>
      <c r="P381" s="4"/>
      <c r="Q381" s="4"/>
      <c r="R381" s="4"/>
      <c r="S381" s="4"/>
      <c r="T381" s="4"/>
      <c r="U381" s="4"/>
      <c r="V381" s="4"/>
      <c r="W381" s="4"/>
    </row>
    <row r="382" spans="1:23" x14ac:dyDescent="0.2">
      <c r="H382" s="4"/>
      <c r="R382" s="4"/>
      <c r="S382" s="4"/>
      <c r="T382" s="4"/>
      <c r="U382" s="4"/>
      <c r="V382" s="4"/>
      <c r="W382" s="4"/>
    </row>
    <row r="383" spans="1:23" x14ac:dyDescent="0.2">
      <c r="H383" s="4"/>
      <c r="I383" s="3"/>
      <c r="J383" s="3"/>
      <c r="K383" s="3"/>
      <c r="L383" s="3"/>
      <c r="M383" s="3"/>
    </row>
    <row r="391" spans="8:8" x14ac:dyDescent="0.2">
      <c r="H391" s="4"/>
    </row>
    <row r="392" spans="8:8" x14ac:dyDescent="0.2">
      <c r="H392" s="4"/>
    </row>
    <row r="393" spans="8:8" x14ac:dyDescent="0.2">
      <c r="H393" s="4"/>
    </row>
    <row r="394" spans="8:8" x14ac:dyDescent="0.2">
      <c r="H394" s="4"/>
    </row>
    <row r="395" spans="8:8" x14ac:dyDescent="0.2">
      <c r="H395" s="4"/>
    </row>
    <row r="396" spans="8:8" x14ac:dyDescent="0.2">
      <c r="H396" s="4"/>
    </row>
    <row r="397" spans="8:8" x14ac:dyDescent="0.2">
      <c r="H397" s="4"/>
    </row>
    <row r="398" spans="8:8" x14ac:dyDescent="0.2">
      <c r="H398" s="4"/>
    </row>
    <row r="399" spans="8:8" x14ac:dyDescent="0.2">
      <c r="H399" s="4"/>
    </row>
    <row r="400" spans="8:8" x14ac:dyDescent="0.2">
      <c r="H400" s="4"/>
    </row>
    <row r="401" spans="8:8" x14ac:dyDescent="0.2">
      <c r="H401" s="4"/>
    </row>
    <row r="402" spans="8:8" x14ac:dyDescent="0.2">
      <c r="H402" s="4"/>
    </row>
    <row r="403" spans="8:8" x14ac:dyDescent="0.2">
      <c r="H403" s="4"/>
    </row>
    <row r="404" spans="8:8" x14ac:dyDescent="0.2">
      <c r="H404" s="4"/>
    </row>
    <row r="405" spans="8:8" x14ac:dyDescent="0.2">
      <c r="H405" s="4"/>
    </row>
    <row r="406" spans="8:8" x14ac:dyDescent="0.2">
      <c r="H406" s="4"/>
    </row>
    <row r="431" spans="1:5" ht="15" x14ac:dyDescent="0.25">
      <c r="A431" s="1" t="s">
        <v>480</v>
      </c>
    </row>
    <row r="432" spans="1:5" ht="18.75" x14ac:dyDescent="0.35">
      <c r="A432" s="4" t="s">
        <v>470</v>
      </c>
      <c r="B432" s="2" t="s">
        <v>472</v>
      </c>
      <c r="C432" s="42">
        <f>C218</f>
        <v>36</v>
      </c>
      <c r="D432" s="4" t="s">
        <v>21</v>
      </c>
      <c r="E432" s="4" t="s">
        <v>474</v>
      </c>
    </row>
    <row r="433" spans="1:23" ht="15" x14ac:dyDescent="0.25">
      <c r="A433" s="4" t="s">
        <v>471</v>
      </c>
      <c r="B433" s="74" t="s">
        <v>101</v>
      </c>
      <c r="C433" s="75">
        <v>1</v>
      </c>
      <c r="D433" s="4" t="s">
        <v>22</v>
      </c>
      <c r="E433" s="4" t="s">
        <v>473</v>
      </c>
    </row>
    <row r="434" spans="1:23" s="81" customFormat="1" ht="36.75" customHeight="1" x14ac:dyDescent="0.25">
      <c r="A434" s="81" t="s">
        <v>483</v>
      </c>
      <c r="B434" s="34" t="s">
        <v>490</v>
      </c>
      <c r="C434" s="85">
        <f>$C$16*(2*C433*SQRT(f_prime_c)*$C$432*$C$275)/1000</f>
        <v>87.424830499947248</v>
      </c>
      <c r="D434" s="81" t="s">
        <v>97</v>
      </c>
      <c r="E434" s="266" t="s">
        <v>491</v>
      </c>
      <c r="F434" s="266"/>
      <c r="G434" s="266"/>
      <c r="H434" s="83"/>
      <c r="P434" s="35"/>
      <c r="Q434" s="35"/>
      <c r="R434" s="35"/>
      <c r="S434" s="35"/>
      <c r="T434" s="35"/>
      <c r="U434" s="35"/>
      <c r="V434" s="35"/>
      <c r="W434" s="35"/>
    </row>
    <row r="435" spans="1:23" ht="18.75" x14ac:dyDescent="0.35">
      <c r="A435" s="4" t="s">
        <v>475</v>
      </c>
      <c r="B435" s="2" t="s">
        <v>535</v>
      </c>
      <c r="C435" s="43">
        <f>C4/C434</f>
        <v>8.9007481188482238</v>
      </c>
      <c r="D435" s="3" t="str">
        <f>IF(C435&gt;1,"NG","&lt; 1, OK")</f>
        <v>NG</v>
      </c>
    </row>
    <row r="436" spans="1:23" x14ac:dyDescent="0.2">
      <c r="C436" s="47"/>
    </row>
    <row r="437" spans="1:23" ht="15" x14ac:dyDescent="0.25">
      <c r="A437" s="1" t="s">
        <v>481</v>
      </c>
    </row>
    <row r="438" spans="1:23" ht="18.75" x14ac:dyDescent="0.35">
      <c r="A438" s="4" t="s">
        <v>477</v>
      </c>
      <c r="B438" s="56" t="s">
        <v>476</v>
      </c>
      <c r="C438" s="42">
        <f>C233</f>
        <v>918.42570000000001</v>
      </c>
      <c r="D438" s="4" t="s">
        <v>120</v>
      </c>
      <c r="E438" s="4" t="s">
        <v>474</v>
      </c>
    </row>
    <row r="439" spans="1:23" ht="18.75" x14ac:dyDescent="0.35">
      <c r="A439" s="4" t="s">
        <v>479</v>
      </c>
      <c r="B439" s="56" t="s">
        <v>478</v>
      </c>
      <c r="C439" s="42">
        <f>2*PI()*(C218/2)</f>
        <v>113.09733552923255</v>
      </c>
      <c r="D439" s="4" t="s">
        <v>21</v>
      </c>
      <c r="E439" s="4" t="s">
        <v>474</v>
      </c>
    </row>
    <row r="440" spans="1:23" s="81" customFormat="1" ht="30.75" customHeight="1" x14ac:dyDescent="0.25">
      <c r="A440" s="81" t="s">
        <v>485</v>
      </c>
      <c r="B440" s="34" t="s">
        <v>488</v>
      </c>
      <c r="C440" s="82">
        <f>$C$16*SQRT(f_prime_c)*(C438^2/C439)</f>
        <v>336783.61264809594</v>
      </c>
      <c r="D440" s="81" t="s">
        <v>486</v>
      </c>
      <c r="E440" s="266" t="s">
        <v>492</v>
      </c>
      <c r="F440" s="266"/>
      <c r="G440" s="266"/>
      <c r="H440" s="83"/>
      <c r="P440" s="35"/>
      <c r="Q440" s="35"/>
      <c r="R440" s="35"/>
      <c r="S440" s="35"/>
      <c r="T440" s="35"/>
      <c r="U440" s="35"/>
      <c r="V440" s="35"/>
      <c r="W440" s="35"/>
    </row>
    <row r="441" spans="1:23" x14ac:dyDescent="0.2">
      <c r="C441" s="42">
        <f>C440/1000</f>
        <v>336.78361264809593</v>
      </c>
      <c r="D441" s="4" t="s">
        <v>234</v>
      </c>
    </row>
    <row r="442" spans="1:23" ht="18.75" x14ac:dyDescent="0.35">
      <c r="A442" s="4" t="s">
        <v>489</v>
      </c>
      <c r="B442" s="2" t="s">
        <v>487</v>
      </c>
      <c r="C442" s="43" t="e">
        <f>#REF!/C441</f>
        <v>#REF!</v>
      </c>
      <c r="D442" s="41" t="e">
        <f>IF(C442&gt;1,"NG","&lt; 1, Torsion can be neglected")</f>
        <v>#REF!</v>
      </c>
      <c r="E442" s="79"/>
      <c r="F442" s="79"/>
      <c r="G442" s="80"/>
    </row>
    <row r="444" spans="1:23" ht="18.75" x14ac:dyDescent="0.35">
      <c r="A444" s="4" t="s">
        <v>517</v>
      </c>
      <c r="B444" s="2" t="s">
        <v>520</v>
      </c>
      <c r="C444" s="31">
        <f>57000*SQRT(C6)</f>
        <v>3431854.4549558042</v>
      </c>
      <c r="D444" s="4" t="s">
        <v>23</v>
      </c>
    </row>
    <row r="445" spans="1:23" ht="18.75" x14ac:dyDescent="0.35">
      <c r="A445" s="4" t="s">
        <v>524</v>
      </c>
      <c r="B445" s="2" t="s">
        <v>525</v>
      </c>
      <c r="C445" s="8">
        <f>ModulusElasticity/$C$444</f>
        <v>8.4502418096788041</v>
      </c>
      <c r="D445" s="4" t="s">
        <v>22</v>
      </c>
    </row>
    <row r="446" spans="1:23" ht="18.75" x14ac:dyDescent="0.35">
      <c r="A446" s="4" t="s">
        <v>518</v>
      </c>
      <c r="B446" s="2" t="s">
        <v>521</v>
      </c>
      <c r="C446" s="31">
        <f>C218^4/64</f>
        <v>26244</v>
      </c>
      <c r="D446" s="4" t="s">
        <v>225</v>
      </c>
    </row>
    <row r="447" spans="1:23" x14ac:dyDescent="0.2">
      <c r="A447" s="4" t="s">
        <v>527</v>
      </c>
      <c r="B447" s="2" t="s">
        <v>63</v>
      </c>
      <c r="C447" s="47">
        <f>C275</f>
        <v>26.88976666666667</v>
      </c>
      <c r="D447" s="4" t="s">
        <v>21</v>
      </c>
    </row>
    <row r="448" spans="1:23" ht="18.75" x14ac:dyDescent="0.35">
      <c r="A448" s="4" t="s">
        <v>528</v>
      </c>
      <c r="B448" s="2" t="s">
        <v>529</v>
      </c>
      <c r="C448" s="76">
        <f>6*C222/818.1088</f>
        <v>4.4100770131149155E-3</v>
      </c>
    </row>
    <row r="449" spans="1:3" x14ac:dyDescent="0.2">
      <c r="B449" s="2" t="s">
        <v>530</v>
      </c>
      <c r="C449" s="76">
        <f>-C445*C448+SQRT((C445*C448)^2+2*C445*C448)</f>
        <v>0.23827181154313543</v>
      </c>
    </row>
    <row r="450" spans="1:3" ht="18.75" x14ac:dyDescent="0.35">
      <c r="A450" s="4" t="s">
        <v>522</v>
      </c>
      <c r="B450" s="2" t="s">
        <v>523</v>
      </c>
    </row>
    <row r="451" spans="1:3" ht="18.75" x14ac:dyDescent="0.35">
      <c r="A451" s="4" t="s">
        <v>516</v>
      </c>
      <c r="B451" s="2" t="s">
        <v>515</v>
      </c>
    </row>
    <row r="452" spans="1:3" ht="18.75" x14ac:dyDescent="0.35">
      <c r="A452" s="4" t="s">
        <v>519</v>
      </c>
      <c r="B452" s="2" t="s">
        <v>526</v>
      </c>
    </row>
    <row r="454" spans="1:3" x14ac:dyDescent="0.2">
      <c r="A454" s="4" t="s">
        <v>513</v>
      </c>
    </row>
    <row r="455" spans="1:3" ht="18.75" x14ac:dyDescent="0.35">
      <c r="A455" s="4" t="s">
        <v>510</v>
      </c>
      <c r="B455" s="2" t="s">
        <v>511</v>
      </c>
    </row>
    <row r="456" spans="1:3" ht="18.75" x14ac:dyDescent="0.35">
      <c r="A456" s="4" t="s">
        <v>512</v>
      </c>
      <c r="B456" s="2" t="s">
        <v>514</v>
      </c>
    </row>
  </sheetData>
  <mergeCells count="7">
    <mergeCell ref="E440:G440"/>
    <mergeCell ref="B2:B3"/>
    <mergeCell ref="A2:A3"/>
    <mergeCell ref="E22:G22"/>
    <mergeCell ref="E21:G21"/>
    <mergeCell ref="E434:G434"/>
    <mergeCell ref="E26:G26"/>
  </mergeCells>
  <conditionalFormatting sqref="D58:E58">
    <cfRule type="containsText" dxfId="35" priority="16" operator="containsText" text="NG">
      <formula>NOT(ISERROR(SEARCH("NG",D58)))</formula>
    </cfRule>
    <cfRule type="containsText" dxfId="34" priority="17" operator="containsText" text="OK">
      <formula>NOT(ISERROR(SEARCH("OK",D58)))</formula>
    </cfRule>
  </conditionalFormatting>
  <conditionalFormatting sqref="D237">
    <cfRule type="containsText" dxfId="33" priority="14" operator="containsText" text="NG">
      <formula>NOT(ISERROR(SEARCH("NG",D237)))</formula>
    </cfRule>
    <cfRule type="containsText" dxfId="32" priority="15" operator="containsText" text="OK">
      <formula>NOT(ISERROR(SEARCH("OK",D237)))</formula>
    </cfRule>
  </conditionalFormatting>
  <conditionalFormatting sqref="D435">
    <cfRule type="containsText" dxfId="31" priority="8" operator="containsText" text="NG">
      <formula>NOT(ISERROR(SEARCH("NG",D435)))</formula>
    </cfRule>
    <cfRule type="containsText" dxfId="30" priority="9" operator="containsText" text="OK">
      <formula>NOT(ISERROR(SEARCH("OK",D435)))</formula>
    </cfRule>
  </conditionalFormatting>
  <conditionalFormatting sqref="D442:F442">
    <cfRule type="containsText" dxfId="29" priority="6" operator="containsText" text="Torsion">
      <formula>NOT(ISERROR(SEARCH("Torsion",D442)))</formula>
    </cfRule>
  </conditionalFormatting>
  <conditionalFormatting sqref="D442">
    <cfRule type="containsText" dxfId="28" priority="5" operator="containsText" text="NG">
      <formula>NOT(ISERROR(SEARCH("NG",D442)))</formula>
    </cfRule>
  </conditionalFormatting>
  <conditionalFormatting sqref="D35">
    <cfRule type="containsText" dxfId="27" priority="1" operator="containsText" text="OK">
      <formula>NOT(ISERROR(SEARCH("OK",D35)))</formula>
    </cfRule>
    <cfRule type="containsText" dxfId="26" priority="2" operator="containsText" text="NG">
      <formula>NOT(ISERROR(SEARCH("NG",D35)))</formula>
    </cfRule>
  </conditionalFormatting>
  <pageMargins left="0.7" right="0.7" top="0.8666666666666667" bottom="0.75" header="0.3" footer="0.3"/>
  <pageSetup scale="61" fitToHeight="0" orientation="portrait" r:id="rId1"/>
  <headerFooter>
    <oddHeader>&amp;L&amp;"Arial,Bold"&amp;20CBR
Street Light Pole Analysis</oddHeader>
  </headerFooter>
  <rowBreaks count="4" manualBreakCount="4">
    <brk id="241" max="16383" man="1"/>
    <brk id="307" max="16383" man="1"/>
    <brk id="373" max="16383" man="1"/>
    <brk id="442" max="12" man="1"/>
  </rowBreaks>
  <ignoredErrors>
    <ignoredError sqref="C84 C80"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A50B-0383-4931-A502-18EEBAB89B90}">
  <sheetPr>
    <pageSetUpPr fitToPage="1"/>
  </sheetPr>
  <dimension ref="A1:AC460"/>
  <sheetViews>
    <sheetView view="pageBreakPreview" topLeftCell="A18" zoomScaleNormal="100" zoomScaleSheetLayoutView="100" workbookViewId="0">
      <selection activeCell="G23" sqref="G23"/>
    </sheetView>
  </sheetViews>
  <sheetFormatPr defaultColWidth="9.140625" defaultRowHeight="14.25" x14ac:dyDescent="0.2"/>
  <cols>
    <col min="1" max="1" width="51.7109375" style="4" bestFit="1" customWidth="1"/>
    <col min="2" max="2" width="38.7109375" style="2" bestFit="1" customWidth="1"/>
    <col min="3" max="3" width="17.85546875" style="31" bestFit="1" customWidth="1"/>
    <col min="4" max="4" width="8.5703125" style="4" customWidth="1"/>
    <col min="5" max="5" width="9.140625" style="4"/>
    <col min="6" max="6" width="10.42578125" style="4" customWidth="1"/>
    <col min="7" max="7" width="9.85546875" style="2" customWidth="1"/>
    <col min="8" max="8" width="11.28515625" style="47" customWidth="1"/>
    <col min="9" max="9" width="10.7109375" style="4" bestFit="1" customWidth="1"/>
    <col min="10" max="10" width="9.140625" style="4"/>
    <col min="11" max="11" width="12.42578125" style="4" bestFit="1" customWidth="1"/>
    <col min="12" max="12" width="15.140625" style="4" customWidth="1"/>
    <col min="13" max="13" width="13" style="4" customWidth="1"/>
    <col min="14" max="14" width="10.7109375" style="4" bestFit="1" customWidth="1"/>
    <col min="15" max="15" width="11.28515625" style="4" bestFit="1" customWidth="1"/>
    <col min="16" max="16" width="12.42578125" style="3" bestFit="1" customWidth="1"/>
    <col min="17" max="17" width="10.42578125" style="3" bestFit="1" customWidth="1"/>
    <col min="18" max="23" width="10.42578125" style="3" customWidth="1"/>
    <col min="24" max="27" width="9.140625" style="4"/>
    <col min="28" max="28" width="10.7109375" style="4" bestFit="1" customWidth="1"/>
    <col min="29" max="29" width="9.140625" style="4"/>
    <col min="30" max="30" width="12.42578125" style="4" bestFit="1" customWidth="1"/>
    <col min="31" max="31" width="9.140625" style="4"/>
    <col min="32" max="32" width="10.42578125" style="4" bestFit="1" customWidth="1"/>
    <col min="33" max="16384" width="9.140625" style="4"/>
  </cols>
  <sheetData>
    <row r="1" spans="1:23" ht="18.75" x14ac:dyDescent="0.2">
      <c r="A1" s="81" t="s">
        <v>633</v>
      </c>
      <c r="B1" s="86" t="s">
        <v>911</v>
      </c>
      <c r="C1" s="225">
        <f>MAX('LTS-6 Loads'!F324:G324)</f>
        <v>559.98111782914373</v>
      </c>
      <c r="D1" s="81" t="s">
        <v>7</v>
      </c>
      <c r="E1" s="183"/>
      <c r="F1" s="183"/>
      <c r="G1" s="183"/>
      <c r="J1" s="3"/>
      <c r="M1" s="3"/>
      <c r="N1" s="3"/>
      <c r="O1" s="3"/>
      <c r="S1" s="4"/>
      <c r="T1" s="4"/>
      <c r="U1" s="4"/>
      <c r="V1" s="4"/>
      <c r="W1" s="4"/>
    </row>
    <row r="2" spans="1:23" x14ac:dyDescent="0.2">
      <c r="A2" s="275" t="s">
        <v>913</v>
      </c>
      <c r="B2" s="280" t="s">
        <v>912</v>
      </c>
      <c r="C2" s="225">
        <f>MAX('LTS-6 Loads'!F326:G326)</f>
        <v>12626.207306060645</v>
      </c>
      <c r="D2" s="81" t="s">
        <v>622</v>
      </c>
      <c r="E2" s="183"/>
      <c r="F2" s="183"/>
      <c r="G2" s="183"/>
      <c r="M2" s="3"/>
      <c r="N2" s="3"/>
      <c r="O2" s="3"/>
      <c r="S2" s="4"/>
      <c r="T2" s="4"/>
      <c r="U2" s="4"/>
      <c r="V2" s="4"/>
      <c r="W2" s="4"/>
    </row>
    <row r="3" spans="1:23" x14ac:dyDescent="0.2">
      <c r="A3" s="275"/>
      <c r="B3" s="280"/>
      <c r="C3" s="42">
        <f>C2*12</f>
        <v>151514.48767272773</v>
      </c>
      <c r="D3" s="41" t="s">
        <v>716</v>
      </c>
      <c r="E3" s="41"/>
      <c r="F3" s="41"/>
      <c r="G3" s="48"/>
      <c r="M3" s="3"/>
      <c r="N3" s="3"/>
      <c r="O3" s="3"/>
      <c r="S3" s="4"/>
      <c r="T3" s="4"/>
      <c r="U3" s="4"/>
      <c r="V3" s="4"/>
      <c r="W3" s="4"/>
    </row>
    <row r="4" spans="1:23" ht="18.75" x14ac:dyDescent="0.2">
      <c r="A4" s="81" t="s">
        <v>928</v>
      </c>
      <c r="B4" s="86" t="s">
        <v>914</v>
      </c>
      <c r="C4" s="225">
        <f>MAX('LTS-6 Loads'!F325:G325)</f>
        <v>778.14639561303034</v>
      </c>
      <c r="D4" s="81" t="s">
        <v>7</v>
      </c>
      <c r="E4" s="183"/>
      <c r="F4" s="183"/>
      <c r="G4" s="183"/>
      <c r="P4" s="4"/>
      <c r="Q4" s="4"/>
      <c r="R4" s="4"/>
      <c r="S4" s="4"/>
      <c r="T4" s="4"/>
      <c r="U4" s="4"/>
      <c r="V4" s="4"/>
      <c r="W4" s="4"/>
    </row>
    <row r="5" spans="1:23" x14ac:dyDescent="0.2">
      <c r="C5" s="42"/>
      <c r="P5" s="4"/>
      <c r="Q5" s="4"/>
      <c r="R5" s="4"/>
      <c r="S5" s="4"/>
      <c r="T5" s="4"/>
      <c r="U5" s="4"/>
      <c r="V5" s="4"/>
      <c r="W5" s="4"/>
    </row>
    <row r="6" spans="1:23" hidden="1" x14ac:dyDescent="0.2">
      <c r="A6" s="4" t="s">
        <v>219</v>
      </c>
      <c r="B6" s="2" t="s">
        <v>1048</v>
      </c>
      <c r="C6" s="44">
        <f>f_prime_c</f>
        <v>3625</v>
      </c>
      <c r="D6" s="4" t="s">
        <v>23</v>
      </c>
      <c r="E6" s="4" t="s">
        <v>462</v>
      </c>
      <c r="G6" s="56"/>
      <c r="H6" s="19"/>
      <c r="P6" s="4"/>
      <c r="Q6" s="4"/>
      <c r="R6" s="4"/>
      <c r="S6" s="4"/>
      <c r="T6" s="4"/>
      <c r="U6" s="4"/>
      <c r="V6" s="4"/>
      <c r="W6" s="4"/>
    </row>
    <row r="7" spans="1:23" ht="18.75" x14ac:dyDescent="0.35">
      <c r="A7" s="4" t="s">
        <v>220</v>
      </c>
      <c r="B7" s="2" t="s">
        <v>111</v>
      </c>
      <c r="C7" s="42">
        <f>density_conc</f>
        <v>150</v>
      </c>
      <c r="D7" s="4" t="s">
        <v>25</v>
      </c>
      <c r="G7" s="56"/>
      <c r="H7" s="19"/>
      <c r="P7" s="4"/>
      <c r="Q7" s="4"/>
      <c r="R7" s="4"/>
      <c r="S7" s="4"/>
      <c r="T7" s="4"/>
      <c r="U7" s="4"/>
      <c r="V7" s="4"/>
      <c r="W7" s="4"/>
    </row>
    <row r="8" spans="1:23" ht="18.75" hidden="1" x14ac:dyDescent="0.35">
      <c r="A8" s="4" t="s">
        <v>247</v>
      </c>
      <c r="B8" s="2" t="s">
        <v>248</v>
      </c>
      <c r="C8" s="42">
        <f>ModulusElasticity</f>
        <v>29000000</v>
      </c>
      <c r="D8" s="4" t="s">
        <v>23</v>
      </c>
      <c r="G8" s="56"/>
      <c r="H8" s="19"/>
      <c r="P8" s="4"/>
      <c r="Q8" s="4"/>
      <c r="R8" s="4"/>
      <c r="S8" s="4"/>
      <c r="T8" s="4"/>
      <c r="U8" s="4"/>
      <c r="V8" s="4"/>
      <c r="W8" s="4"/>
    </row>
    <row r="9" spans="1:23" ht="18.75" hidden="1" x14ac:dyDescent="0.35">
      <c r="A9" s="4" t="s">
        <v>218</v>
      </c>
      <c r="B9" s="2" t="s">
        <v>114</v>
      </c>
      <c r="C9" s="42">
        <f>fy</f>
        <v>60000</v>
      </c>
      <c r="D9" s="4" t="s">
        <v>23</v>
      </c>
      <c r="G9" s="56"/>
      <c r="H9" s="19"/>
      <c r="P9" s="4"/>
      <c r="Q9" s="4"/>
      <c r="R9" s="4"/>
      <c r="S9" s="4"/>
      <c r="T9" s="4"/>
      <c r="U9" s="4"/>
      <c r="V9" s="4"/>
      <c r="W9" s="4"/>
    </row>
    <row r="10" spans="1:23" ht="18.75" hidden="1" x14ac:dyDescent="0.35">
      <c r="A10" s="4" t="s">
        <v>217</v>
      </c>
      <c r="B10" s="2" t="s">
        <v>537</v>
      </c>
      <c r="C10" s="46">
        <v>3.0000000000000001E-3</v>
      </c>
      <c r="E10" s="4" t="s">
        <v>464</v>
      </c>
      <c r="G10" s="56"/>
      <c r="H10" s="19"/>
      <c r="P10" s="4"/>
      <c r="Q10" s="4"/>
      <c r="R10" s="4"/>
      <c r="S10" s="4"/>
      <c r="T10" s="4"/>
      <c r="U10" s="4"/>
      <c r="V10" s="4"/>
      <c r="W10" s="4"/>
    </row>
    <row r="11" spans="1:23" ht="18.75" hidden="1" x14ac:dyDescent="0.35">
      <c r="A11" s="4" t="s">
        <v>216</v>
      </c>
      <c r="B11" s="2" t="s">
        <v>181</v>
      </c>
      <c r="C11" s="50">
        <f>fy/ModulusElasticity</f>
        <v>2.0689655172413794E-3</v>
      </c>
      <c r="E11" s="4" t="s">
        <v>468</v>
      </c>
      <c r="G11" s="56"/>
      <c r="H11" s="19"/>
      <c r="P11" s="4"/>
      <c r="Q11" s="4"/>
      <c r="R11" s="4"/>
      <c r="S11" s="4"/>
      <c r="T11" s="4"/>
      <c r="U11" s="4"/>
      <c r="V11" s="4"/>
      <c r="W11" s="4"/>
    </row>
    <row r="12" spans="1:23" hidden="1" x14ac:dyDescent="0.2">
      <c r="A12" s="4" t="s">
        <v>215</v>
      </c>
      <c r="B12" s="2" t="s">
        <v>14</v>
      </c>
      <c r="C12" s="43">
        <f>IF($C$6&lt;4000,0.72,IF($C$6&gt;8000,0.56,0.72-0.04*($C$6-4000)/1000))</f>
        <v>0.72</v>
      </c>
      <c r="G12" s="56"/>
      <c r="H12" s="19"/>
      <c r="P12" s="4"/>
      <c r="Q12" s="4"/>
      <c r="R12" s="4"/>
      <c r="S12" s="4"/>
      <c r="T12" s="4"/>
      <c r="U12" s="4"/>
      <c r="V12" s="4"/>
      <c r="W12" s="4"/>
    </row>
    <row r="13" spans="1:23" hidden="1" x14ac:dyDescent="0.2">
      <c r="A13" s="4" t="s">
        <v>214</v>
      </c>
      <c r="B13" s="2" t="s">
        <v>95</v>
      </c>
      <c r="C13" s="46">
        <f>IF($C$6&lt;4000,0.425,IF($C$6&gt;8000,0.325,0.425-0.025*($C$6-4000)/1000))</f>
        <v>0.42499999999999999</v>
      </c>
      <c r="G13" s="4"/>
      <c r="H13" s="4"/>
      <c r="P13" s="4"/>
      <c r="Q13" s="4"/>
      <c r="R13" s="4"/>
      <c r="S13" s="4"/>
      <c r="T13" s="4"/>
      <c r="U13" s="4"/>
      <c r="V13" s="4"/>
      <c r="W13" s="4"/>
    </row>
    <row r="14" spans="1:23" ht="18.75" hidden="1" x14ac:dyDescent="0.35">
      <c r="B14" s="2" t="s">
        <v>188</v>
      </c>
      <c r="C14" s="43">
        <f>2*C13</f>
        <v>0.85</v>
      </c>
      <c r="E14" s="4" t="s">
        <v>467</v>
      </c>
      <c r="G14" s="4"/>
      <c r="H14" s="4"/>
      <c r="P14" s="4"/>
      <c r="Q14" s="4"/>
      <c r="R14" s="4"/>
      <c r="S14" s="4"/>
      <c r="T14" s="4"/>
      <c r="U14" s="4"/>
      <c r="V14" s="4"/>
      <c r="W14" s="4"/>
    </row>
    <row r="15" spans="1:23" ht="18.75" hidden="1" x14ac:dyDescent="0.35">
      <c r="A15" s="4" t="s">
        <v>213</v>
      </c>
      <c r="B15" s="2" t="s">
        <v>156</v>
      </c>
      <c r="C15" s="43">
        <v>0.65</v>
      </c>
      <c r="E15" s="4" t="s">
        <v>469</v>
      </c>
      <c r="G15" s="4"/>
      <c r="H15" s="4"/>
      <c r="P15" s="4"/>
      <c r="Q15" s="4"/>
      <c r="R15" s="4"/>
      <c r="S15" s="4"/>
      <c r="T15" s="4"/>
      <c r="U15" s="4"/>
      <c r="V15" s="4"/>
      <c r="W15" s="4"/>
    </row>
    <row r="16" spans="1:23" ht="18.75" hidden="1" x14ac:dyDescent="0.35">
      <c r="A16" s="4" t="s">
        <v>212</v>
      </c>
      <c r="B16" s="2" t="s">
        <v>157</v>
      </c>
      <c r="C16" s="43">
        <v>0.75</v>
      </c>
      <c r="E16" s="4" t="s">
        <v>484</v>
      </c>
      <c r="G16" s="4"/>
      <c r="H16" s="4"/>
      <c r="P16" s="4"/>
      <c r="Q16" s="4"/>
      <c r="R16" s="4"/>
      <c r="S16" s="4"/>
      <c r="T16" s="4"/>
      <c r="U16" s="4"/>
      <c r="V16" s="4"/>
      <c r="W16" s="4"/>
    </row>
    <row r="17" spans="1:23" ht="18.75" hidden="1" x14ac:dyDescent="0.35">
      <c r="A17" s="4" t="s">
        <v>211</v>
      </c>
      <c r="B17" s="2" t="s">
        <v>186</v>
      </c>
      <c r="C17" s="43">
        <v>0.8</v>
      </c>
      <c r="E17" s="4" t="s">
        <v>465</v>
      </c>
      <c r="G17" s="4"/>
      <c r="H17" s="4"/>
      <c r="P17" s="4"/>
      <c r="Q17" s="4"/>
      <c r="R17" s="4"/>
      <c r="S17" s="4"/>
      <c r="T17" s="4"/>
      <c r="U17" s="4"/>
      <c r="V17" s="4"/>
      <c r="W17" s="4"/>
    </row>
    <row r="18" spans="1:23" x14ac:dyDescent="0.2">
      <c r="C18" s="47"/>
      <c r="G18" s="4"/>
      <c r="H18" s="4"/>
      <c r="P18" s="4"/>
      <c r="Q18" s="4"/>
      <c r="R18" s="4"/>
      <c r="S18" s="4"/>
      <c r="T18" s="4"/>
      <c r="U18" s="4"/>
      <c r="V18" s="4"/>
      <c r="W18" s="4"/>
    </row>
    <row r="19" spans="1:23" ht="15" x14ac:dyDescent="0.25">
      <c r="A19" s="1" t="s">
        <v>531</v>
      </c>
      <c r="P19" s="4"/>
      <c r="Q19" s="4"/>
      <c r="R19" s="4"/>
      <c r="S19" s="4"/>
      <c r="T19" s="4"/>
      <c r="U19" s="4"/>
      <c r="V19" s="4"/>
      <c r="W19" s="4"/>
    </row>
    <row r="20" spans="1:23" x14ac:dyDescent="0.2">
      <c r="A20" s="4" t="s">
        <v>929</v>
      </c>
      <c r="C20" s="42" t="s">
        <v>1057</v>
      </c>
      <c r="P20" s="4"/>
      <c r="Q20" s="4"/>
      <c r="R20" s="4"/>
      <c r="S20" s="4"/>
      <c r="T20" s="4"/>
      <c r="U20" s="4"/>
      <c r="V20" s="4"/>
      <c r="W20" s="4"/>
    </row>
    <row r="21" spans="1:23" ht="18.75" x14ac:dyDescent="0.35">
      <c r="A21" s="81" t="s">
        <v>1060</v>
      </c>
      <c r="B21" s="86" t="s">
        <v>3</v>
      </c>
      <c r="C21" s="42">
        <f>'LTS-6 Loads'!$W$8</f>
        <v>778.14639561303034</v>
      </c>
      <c r="D21" s="4" t="s">
        <v>7</v>
      </c>
      <c r="E21" s="4" t="s">
        <v>1061</v>
      </c>
      <c r="P21" s="4"/>
      <c r="Q21" s="4"/>
      <c r="R21" s="4"/>
      <c r="S21" s="4"/>
      <c r="T21" s="4"/>
      <c r="U21" s="4"/>
      <c r="V21" s="4"/>
      <c r="W21" s="4"/>
    </row>
    <row r="22" spans="1:23" s="81" customFormat="1" ht="18.75" x14ac:dyDescent="0.25">
      <c r="A22" s="81" t="s">
        <v>532</v>
      </c>
      <c r="B22" s="34" t="s">
        <v>952</v>
      </c>
      <c r="C22" s="82">
        <v>200</v>
      </c>
      <c r="D22" s="81" t="s">
        <v>5</v>
      </c>
      <c r="E22" s="266" t="s">
        <v>950</v>
      </c>
      <c r="F22" s="266"/>
      <c r="G22" s="266"/>
      <c r="H22" s="83"/>
    </row>
    <row r="23" spans="1:23" s="81" customFormat="1" ht="18.75" x14ac:dyDescent="0.35">
      <c r="A23" s="4" t="s">
        <v>638</v>
      </c>
      <c r="B23" s="2" t="s">
        <v>137</v>
      </c>
      <c r="C23" s="43">
        <f>pile_diameter</f>
        <v>2</v>
      </c>
      <c r="D23" s="4" t="s">
        <v>0</v>
      </c>
      <c r="E23" s="4" t="s">
        <v>640</v>
      </c>
      <c r="F23" s="4"/>
      <c r="G23" s="2"/>
      <c r="H23" s="83"/>
    </row>
    <row r="24" spans="1:23" ht="18.75" x14ac:dyDescent="0.35">
      <c r="A24" s="4" t="s">
        <v>639</v>
      </c>
      <c r="B24" s="2" t="s">
        <v>138</v>
      </c>
      <c r="C24" s="43">
        <f>IF('LTS-6 Loads'!$W$5="restrained",'LTS-6 Loads'!$W$20,IF('LTS-6 Loads'!$W$5="unrestrained",pile_embed_depth,"ERROR"))</f>
        <v>7</v>
      </c>
      <c r="D24" s="4" t="s">
        <v>0</v>
      </c>
      <c r="P24" s="4"/>
      <c r="Q24" s="4"/>
      <c r="R24" s="4"/>
      <c r="S24" s="4"/>
      <c r="T24" s="4"/>
      <c r="U24" s="4"/>
      <c r="V24" s="4"/>
      <c r="W24" s="4"/>
    </row>
    <row r="25" spans="1:23" ht="28.5" x14ac:dyDescent="0.2">
      <c r="A25" s="241" t="s">
        <v>1064</v>
      </c>
      <c r="B25" s="2" t="s">
        <v>2</v>
      </c>
      <c r="C25" s="43">
        <f>'LTS-6 Loads'!W9</f>
        <v>15.828899553921485</v>
      </c>
      <c r="D25" s="4" t="s">
        <v>0</v>
      </c>
      <c r="P25" s="4"/>
      <c r="Q25" s="4"/>
      <c r="R25" s="4"/>
      <c r="S25" s="4"/>
      <c r="T25" s="4"/>
      <c r="U25" s="4"/>
      <c r="V25" s="4"/>
      <c r="W25" s="4"/>
    </row>
    <row r="26" spans="1:23" ht="28.5" x14ac:dyDescent="0.2">
      <c r="A26" s="241" t="s">
        <v>1059</v>
      </c>
      <c r="B26" s="34" t="s">
        <v>112</v>
      </c>
      <c r="C26" s="82">
        <f>'LTS-6 Loads'!W13</f>
        <v>466.66666666666669</v>
      </c>
      <c r="D26" s="81" t="s">
        <v>6</v>
      </c>
      <c r="P26" s="4"/>
      <c r="Q26" s="4"/>
      <c r="R26" s="4"/>
      <c r="S26" s="4"/>
      <c r="T26" s="4"/>
      <c r="U26" s="4"/>
      <c r="V26" s="4"/>
      <c r="W26" s="4"/>
    </row>
    <row r="27" spans="1:23" ht="33.6" customHeight="1" x14ac:dyDescent="0.2">
      <c r="A27" s="81" t="s">
        <v>1054</v>
      </c>
      <c r="B27" s="4"/>
      <c r="C27" s="165">
        <f>'LTS-6 Loads'!W14</f>
        <v>1.9509241775726687</v>
      </c>
      <c r="D27" s="34"/>
      <c r="P27" s="4"/>
      <c r="Q27" s="4"/>
      <c r="R27" s="4"/>
      <c r="S27" s="4"/>
      <c r="T27" s="4"/>
      <c r="U27" s="4"/>
      <c r="V27" s="4"/>
      <c r="W27" s="4"/>
    </row>
    <row r="28" spans="1:23" ht="37.9" customHeight="1" x14ac:dyDescent="3.5">
      <c r="A28" s="241" t="s">
        <v>1053</v>
      </c>
      <c r="B28" s="34" t="s">
        <v>1</v>
      </c>
      <c r="C28" s="43">
        <f>pile_diameter</f>
        <v>2</v>
      </c>
      <c r="D28" s="242"/>
      <c r="P28" s="4"/>
      <c r="Q28" s="4"/>
      <c r="R28" s="4"/>
      <c r="S28" s="4"/>
      <c r="T28" s="4"/>
      <c r="U28" s="4"/>
      <c r="V28" s="4"/>
      <c r="W28" s="4"/>
    </row>
    <row r="29" spans="1:23" x14ac:dyDescent="0.2">
      <c r="C29" s="42"/>
      <c r="P29" s="4"/>
      <c r="Q29" s="4"/>
      <c r="R29" s="4"/>
      <c r="S29" s="4"/>
      <c r="T29" s="4"/>
      <c r="U29" s="4"/>
      <c r="V29" s="4"/>
      <c r="W29" s="4"/>
    </row>
    <row r="30" spans="1:23" ht="40.9" customHeight="1" thickBot="1" x14ac:dyDescent="0.25">
      <c r="A30" s="81" t="s">
        <v>636</v>
      </c>
      <c r="B30" s="4"/>
      <c r="C30" s="220">
        <f>0.5*C27*(1+(1+4.36*C25/C27)^0.5)</f>
        <v>6.8586412962169874</v>
      </c>
      <c r="D30" s="81" t="s">
        <v>0</v>
      </c>
      <c r="E30" s="266" t="s">
        <v>1056</v>
      </c>
      <c r="F30" s="266"/>
      <c r="G30" s="266"/>
      <c r="I30" s="34"/>
      <c r="P30" s="4"/>
      <c r="Q30" s="4"/>
      <c r="R30" s="4"/>
      <c r="S30" s="4"/>
      <c r="T30" s="4"/>
      <c r="U30" s="4"/>
      <c r="V30" s="4"/>
      <c r="W30" s="4"/>
    </row>
    <row r="31" spans="1:23" s="81" customFormat="1" ht="15" thickBot="1" x14ac:dyDescent="0.25">
      <c r="A31" s="4"/>
      <c r="B31" s="4"/>
      <c r="C31" s="78" t="str">
        <f>IF(C30&lt;7,"7'-0 OK","NG")</f>
        <v>7'-0 OK</v>
      </c>
      <c r="D31" s="3"/>
      <c r="E31" s="4"/>
      <c r="F31" s="4"/>
      <c r="G31" s="4"/>
      <c r="H31" s="83"/>
    </row>
    <row r="32" spans="1:23" x14ac:dyDescent="0.2">
      <c r="B32" s="4"/>
      <c r="H32" s="4"/>
      <c r="P32" s="4"/>
      <c r="Q32" s="4"/>
      <c r="R32" s="4"/>
      <c r="S32" s="4"/>
      <c r="T32" s="4"/>
      <c r="U32" s="4"/>
      <c r="V32" s="4"/>
      <c r="W32" s="4"/>
    </row>
    <row r="33" spans="1:29" ht="15" x14ac:dyDescent="0.25">
      <c r="A33" s="1" t="s">
        <v>501</v>
      </c>
      <c r="P33" s="4"/>
      <c r="Q33" s="4"/>
      <c r="R33" s="4"/>
      <c r="S33" s="4"/>
      <c r="T33" s="4"/>
      <c r="U33" s="4"/>
      <c r="V33" s="4"/>
      <c r="W33" s="4"/>
    </row>
    <row r="34" spans="1:29" ht="18.75" x14ac:dyDescent="0.35">
      <c r="A34" s="4" t="s">
        <v>504</v>
      </c>
      <c r="B34" s="2" t="s">
        <v>153</v>
      </c>
      <c r="C34" s="42">
        <f>C1</f>
        <v>559.98111782914373</v>
      </c>
      <c r="D34" s="4" t="s">
        <v>7</v>
      </c>
      <c r="E34" s="4" t="s">
        <v>556</v>
      </c>
      <c r="P34" s="4"/>
      <c r="Q34" s="4"/>
      <c r="R34" s="4"/>
      <c r="S34" s="4"/>
      <c r="T34" s="4"/>
      <c r="U34" s="4"/>
      <c r="V34" s="4"/>
      <c r="W34" s="4"/>
    </row>
    <row r="35" spans="1:29" ht="18.75" x14ac:dyDescent="0.35">
      <c r="A35" s="4" t="s">
        <v>46</v>
      </c>
      <c r="B35" s="2" t="s">
        <v>507</v>
      </c>
      <c r="C35" s="43">
        <f>C24</f>
        <v>7</v>
      </c>
      <c r="D35" s="4" t="s">
        <v>0</v>
      </c>
      <c r="P35" s="4"/>
      <c r="Q35" s="4"/>
      <c r="R35" s="4"/>
      <c r="S35" s="4"/>
      <c r="T35" s="4"/>
      <c r="U35" s="4"/>
      <c r="V35" s="4"/>
      <c r="W35" s="4"/>
    </row>
    <row r="36" spans="1:29" ht="18.75" x14ac:dyDescent="0.35">
      <c r="A36" s="4" t="s">
        <v>506</v>
      </c>
      <c r="B36" s="2" t="s">
        <v>508</v>
      </c>
      <c r="C36" s="42">
        <f>((PI()/4)*pile_diameter^2)*C35*C7</f>
        <v>3298.6722862692827</v>
      </c>
      <c r="D36" s="4" t="s">
        <v>7</v>
      </c>
      <c r="P36" s="4"/>
      <c r="Q36" s="4"/>
      <c r="R36" s="4"/>
      <c r="S36" s="4"/>
      <c r="T36" s="4"/>
      <c r="U36" s="4"/>
      <c r="V36" s="4"/>
      <c r="W36" s="4"/>
    </row>
    <row r="37" spans="1:29" ht="18.75" x14ac:dyDescent="0.35">
      <c r="A37" s="4" t="s">
        <v>502</v>
      </c>
      <c r="B37" s="2" t="s">
        <v>503</v>
      </c>
      <c r="C37" s="44">
        <v>1500</v>
      </c>
      <c r="D37" s="4" t="s">
        <v>6</v>
      </c>
      <c r="E37" s="4" t="s">
        <v>949</v>
      </c>
      <c r="P37" s="4"/>
      <c r="Q37" s="4"/>
      <c r="R37" s="4"/>
      <c r="S37" s="4"/>
      <c r="T37" s="4"/>
      <c r="U37" s="4"/>
      <c r="V37" s="4"/>
      <c r="W37" s="4"/>
    </row>
    <row r="38" spans="1:29" ht="18.75" x14ac:dyDescent="0.35">
      <c r="A38" s="4" t="s">
        <v>505</v>
      </c>
      <c r="B38" s="2" t="s">
        <v>557</v>
      </c>
      <c r="C38" s="42">
        <f>(C34+C36)/((PI()/4)*C23^2)</f>
        <v>1228.2475258812667</v>
      </c>
      <c r="D38" s="4" t="s">
        <v>6</v>
      </c>
      <c r="P38" s="4"/>
      <c r="Q38" s="4"/>
      <c r="R38" s="4"/>
      <c r="S38" s="4"/>
      <c r="T38" s="4"/>
      <c r="U38" s="4"/>
      <c r="V38" s="4"/>
      <c r="W38" s="4"/>
    </row>
    <row r="39" spans="1:29" ht="18.75" x14ac:dyDescent="0.35">
      <c r="A39" s="4" t="s">
        <v>534</v>
      </c>
      <c r="B39" s="2" t="s">
        <v>536</v>
      </c>
      <c r="C39" s="43">
        <f>C38/C37</f>
        <v>0.81883168392084449</v>
      </c>
      <c r="D39" s="3" t="str">
        <f>IF(C39&lt;1,"&lt; 1, OK","NG")</f>
        <v>&lt; 1, OK</v>
      </c>
      <c r="P39" s="4"/>
      <c r="Q39" s="4"/>
      <c r="R39" s="4"/>
      <c r="S39" s="4"/>
      <c r="T39" s="4"/>
      <c r="U39" s="4"/>
      <c r="V39" s="4"/>
      <c r="W39" s="4"/>
    </row>
    <row r="40" spans="1:29" x14ac:dyDescent="0.2">
      <c r="C40" s="47"/>
      <c r="P40" s="4"/>
      <c r="Q40" s="4"/>
      <c r="R40" s="4"/>
      <c r="S40" s="4"/>
      <c r="T40" s="4"/>
      <c r="U40" s="4"/>
      <c r="V40" s="4"/>
      <c r="W40" s="4"/>
    </row>
    <row r="41" spans="1:29" ht="18.75" hidden="1" x14ac:dyDescent="0.35">
      <c r="A41" s="4" t="s">
        <v>93</v>
      </c>
      <c r="B41" s="2" t="s">
        <v>158</v>
      </c>
      <c r="C41" s="43">
        <f>pile_diameter</f>
        <v>2</v>
      </c>
      <c r="G41" s="4"/>
      <c r="P41" s="4"/>
      <c r="Q41" s="4"/>
      <c r="R41" s="4"/>
      <c r="S41" s="4"/>
      <c r="T41" s="4"/>
      <c r="U41" s="4"/>
      <c r="V41" s="4"/>
      <c r="W41" s="4"/>
    </row>
    <row r="42" spans="1:29" hidden="1" x14ac:dyDescent="0.2">
      <c r="C42" s="42">
        <f>C41*12</f>
        <v>24</v>
      </c>
      <c r="D42" s="4" t="s">
        <v>21</v>
      </c>
      <c r="G42" s="4"/>
      <c r="H42" s="4"/>
      <c r="P42" s="4"/>
      <c r="Q42" s="4"/>
      <c r="R42" s="4"/>
      <c r="S42" s="4"/>
      <c r="T42" s="4"/>
      <c r="U42" s="4"/>
      <c r="V42" s="4"/>
      <c r="W42" s="4"/>
    </row>
    <row r="43" spans="1:29" ht="18.75" hidden="1" x14ac:dyDescent="0.35">
      <c r="A43" s="4" t="s">
        <v>210</v>
      </c>
      <c r="B43" s="2" t="s">
        <v>160</v>
      </c>
      <c r="C43" s="44">
        <v>10</v>
      </c>
      <c r="G43" s="4"/>
      <c r="H43" s="4"/>
      <c r="P43" s="4"/>
      <c r="Q43" s="4"/>
      <c r="R43" s="4"/>
      <c r="S43" s="4"/>
      <c r="T43" s="4"/>
      <c r="U43" s="4"/>
      <c r="V43" s="4"/>
      <c r="W43" s="4"/>
    </row>
    <row r="44" spans="1:29" ht="18.75" hidden="1" x14ac:dyDescent="0.35">
      <c r="A44" s="4" t="s">
        <v>92</v>
      </c>
      <c r="B44" s="2" t="s">
        <v>162</v>
      </c>
      <c r="C44" s="44">
        <v>6</v>
      </c>
      <c r="G44" s="4"/>
      <c r="H44" s="4"/>
      <c r="P44" s="4"/>
      <c r="Q44" s="4"/>
      <c r="R44" s="4"/>
      <c r="S44" s="4"/>
      <c r="T44" s="4"/>
      <c r="U44" s="4"/>
      <c r="V44" s="4"/>
      <c r="W44" s="4"/>
    </row>
    <row r="45" spans="1:29" hidden="1" x14ac:dyDescent="0.2">
      <c r="C45" s="43">
        <f>C44/8</f>
        <v>0.75</v>
      </c>
      <c r="D45" s="4" t="s">
        <v>21</v>
      </c>
      <c r="G45" s="4"/>
      <c r="H45" s="4"/>
      <c r="P45" s="4"/>
      <c r="Q45" s="4"/>
      <c r="R45" s="4"/>
      <c r="S45" s="4"/>
      <c r="T45" s="4"/>
      <c r="U45" s="4"/>
      <c r="V45" s="4"/>
      <c r="W45" s="4"/>
      <c r="AC45" s="62"/>
    </row>
    <row r="46" spans="1:29" ht="18.75" hidden="1" x14ac:dyDescent="0.35">
      <c r="A46" s="4" t="s">
        <v>209</v>
      </c>
      <c r="B46" s="2" t="s">
        <v>184</v>
      </c>
      <c r="C46" s="43">
        <f>PI()/4*C45^2</f>
        <v>0.44178646691106466</v>
      </c>
      <c r="D46" s="4" t="s">
        <v>120</v>
      </c>
      <c r="G46" s="4"/>
      <c r="H46" s="4"/>
      <c r="P46" s="4"/>
      <c r="Q46" s="4"/>
      <c r="R46" s="4"/>
      <c r="S46" s="4"/>
      <c r="T46" s="4"/>
      <c r="U46" s="4"/>
      <c r="V46" s="4"/>
      <c r="W46" s="4"/>
    </row>
    <row r="47" spans="1:29" hidden="1" x14ac:dyDescent="0.2">
      <c r="A47" s="4" t="s">
        <v>208</v>
      </c>
      <c r="B47" s="2" t="s">
        <v>180</v>
      </c>
      <c r="C47" s="43">
        <f>22.25</f>
        <v>22.25</v>
      </c>
      <c r="D47" s="4" t="s">
        <v>21</v>
      </c>
      <c r="G47" s="4"/>
      <c r="H47" s="4"/>
      <c r="P47" s="4"/>
      <c r="Q47" s="4"/>
      <c r="R47" s="4"/>
      <c r="S47" s="4"/>
      <c r="T47" s="4"/>
      <c r="U47" s="4"/>
      <c r="V47" s="4"/>
      <c r="W47" s="4"/>
    </row>
    <row r="48" spans="1:29" hidden="1" x14ac:dyDescent="0.2">
      <c r="B48" s="2" t="s">
        <v>101</v>
      </c>
      <c r="C48" s="49">
        <f>C47/C42</f>
        <v>0.92708333333333337</v>
      </c>
      <c r="G48" s="4"/>
      <c r="H48" s="4"/>
      <c r="P48" s="4"/>
      <c r="Q48" s="4"/>
      <c r="R48" s="4"/>
      <c r="S48" s="4"/>
      <c r="T48" s="4"/>
      <c r="U48" s="4"/>
      <c r="V48" s="4"/>
      <c r="W48" s="4"/>
    </row>
    <row r="49" spans="1:23" ht="18.75" hidden="1" x14ac:dyDescent="0.35">
      <c r="A49" s="4" t="s">
        <v>207</v>
      </c>
      <c r="B49" s="2" t="s">
        <v>164</v>
      </c>
      <c r="C49" s="44">
        <v>4</v>
      </c>
      <c r="G49" s="4"/>
      <c r="H49" s="4"/>
      <c r="P49" s="4"/>
      <c r="Q49" s="4"/>
      <c r="R49" s="4"/>
      <c r="S49" s="4"/>
      <c r="T49" s="4"/>
      <c r="U49" s="4"/>
      <c r="V49" s="4"/>
      <c r="W49" s="4"/>
    </row>
    <row r="50" spans="1:23" hidden="1" x14ac:dyDescent="0.2">
      <c r="C50" s="43">
        <f>C49/8</f>
        <v>0.5</v>
      </c>
      <c r="D50" s="4" t="s">
        <v>21</v>
      </c>
      <c r="G50" s="4"/>
      <c r="H50" s="4"/>
      <c r="P50" s="4"/>
      <c r="Q50" s="4"/>
      <c r="R50" s="4"/>
      <c r="S50" s="4"/>
      <c r="T50" s="4"/>
      <c r="U50" s="4"/>
      <c r="V50" s="4"/>
      <c r="W50" s="4"/>
    </row>
    <row r="51" spans="1:23" ht="18.75" hidden="1" x14ac:dyDescent="0.35">
      <c r="A51" s="4" t="s">
        <v>206</v>
      </c>
      <c r="B51" s="2" t="s">
        <v>166</v>
      </c>
      <c r="C51" s="43">
        <v>6</v>
      </c>
      <c r="D51" s="4" t="s">
        <v>21</v>
      </c>
      <c r="G51" s="4"/>
      <c r="H51" s="4"/>
      <c r="P51" s="4"/>
      <c r="Q51" s="4"/>
      <c r="R51" s="4"/>
      <c r="S51" s="4"/>
      <c r="T51" s="4"/>
      <c r="U51" s="4"/>
      <c r="V51" s="4"/>
      <c r="W51" s="4"/>
    </row>
    <row r="52" spans="1:23" ht="18.75" hidden="1" x14ac:dyDescent="0.35">
      <c r="A52" s="4" t="s">
        <v>205</v>
      </c>
      <c r="B52" s="2" t="s">
        <v>167</v>
      </c>
      <c r="C52" s="43">
        <f>PI()/4*C50^2</f>
        <v>0.19634954084936207</v>
      </c>
      <c r="D52" s="4" t="s">
        <v>120</v>
      </c>
      <c r="G52" s="4"/>
      <c r="H52" s="4"/>
      <c r="P52" s="4"/>
      <c r="Q52" s="4"/>
      <c r="R52" s="4"/>
      <c r="S52" s="4"/>
      <c r="T52" s="4"/>
      <c r="U52" s="4"/>
      <c r="V52" s="4"/>
      <c r="W52" s="4"/>
    </row>
    <row r="53" spans="1:23" ht="18.75" hidden="1" x14ac:dyDescent="0.35">
      <c r="B53" s="2" t="s">
        <v>169</v>
      </c>
      <c r="C53" s="43">
        <f>4*C52/(C56*C54)</f>
        <v>2.6036236114362872</v>
      </c>
      <c r="G53" s="4"/>
      <c r="H53" s="4"/>
      <c r="P53" s="4"/>
      <c r="Q53" s="4"/>
      <c r="R53" s="4"/>
      <c r="S53" s="4"/>
      <c r="T53" s="4"/>
      <c r="U53" s="4"/>
      <c r="V53" s="4"/>
      <c r="W53" s="4"/>
    </row>
    <row r="54" spans="1:23" ht="18.75" hidden="1" x14ac:dyDescent="0.35">
      <c r="A54" s="4" t="s">
        <v>100</v>
      </c>
      <c r="B54" s="2" t="s">
        <v>170</v>
      </c>
      <c r="C54" s="42">
        <f>C42-2*3</f>
        <v>18</v>
      </c>
      <c r="D54" s="4" t="s">
        <v>21</v>
      </c>
      <c r="G54" s="4"/>
      <c r="H54" s="4"/>
      <c r="P54" s="4"/>
      <c r="Q54" s="4"/>
      <c r="R54" s="4"/>
      <c r="S54" s="4"/>
      <c r="T54" s="4"/>
      <c r="U54" s="4"/>
      <c r="V54" s="4"/>
      <c r="W54" s="4"/>
    </row>
    <row r="55" spans="1:23" ht="18.75" hidden="1" x14ac:dyDescent="0.35">
      <c r="A55" s="4" t="s">
        <v>99</v>
      </c>
      <c r="B55" s="2" t="s">
        <v>406</v>
      </c>
      <c r="C55" s="45">
        <v>385.99833999999998</v>
      </c>
      <c r="D55" s="4" t="s">
        <v>120</v>
      </c>
      <c r="G55" s="4"/>
      <c r="H55" s="4"/>
      <c r="P55" s="4"/>
      <c r="Q55" s="4"/>
      <c r="R55" s="4"/>
      <c r="S55" s="4"/>
      <c r="T55" s="4"/>
      <c r="U55" s="4"/>
      <c r="V55" s="4"/>
      <c r="W55" s="4"/>
    </row>
    <row r="56" spans="1:23" ht="18.75" hidden="1" x14ac:dyDescent="0.35">
      <c r="A56" s="4" t="s">
        <v>204</v>
      </c>
      <c r="B56" s="2" t="s">
        <v>171</v>
      </c>
      <c r="C56" s="43">
        <f>0.45*(C58/C55-1)*(f_prime_c/fy)</f>
        <v>1.6758655555358094E-2</v>
      </c>
      <c r="G56" s="4"/>
      <c r="H56" s="4"/>
      <c r="P56" s="4"/>
      <c r="Q56" s="4"/>
      <c r="R56" s="4"/>
      <c r="S56" s="4"/>
      <c r="T56" s="4"/>
      <c r="U56" s="4"/>
      <c r="V56" s="4"/>
      <c r="W56" s="4"/>
    </row>
    <row r="57" spans="1:23" hidden="1" x14ac:dyDescent="0.2">
      <c r="C57" s="43"/>
      <c r="G57" s="4"/>
      <c r="H57" s="4"/>
      <c r="P57" s="4"/>
      <c r="Q57" s="4"/>
      <c r="R57" s="4"/>
      <c r="S57" s="4"/>
      <c r="T57" s="4"/>
      <c r="U57" s="4"/>
      <c r="V57" s="4"/>
      <c r="W57" s="4"/>
    </row>
    <row r="58" spans="1:23" ht="18.75" hidden="1" x14ac:dyDescent="0.35">
      <c r="A58" s="4" t="s">
        <v>98</v>
      </c>
      <c r="B58" s="2" t="s">
        <v>172</v>
      </c>
      <c r="C58" s="45">
        <v>623.93169999999998</v>
      </c>
      <c r="D58" s="4" t="s">
        <v>120</v>
      </c>
      <c r="G58" s="4"/>
      <c r="H58" s="4"/>
      <c r="P58" s="4"/>
      <c r="Q58" s="4"/>
      <c r="R58" s="4"/>
      <c r="S58" s="4"/>
      <c r="T58" s="4"/>
      <c r="U58" s="4"/>
      <c r="V58" s="4"/>
      <c r="W58" s="4"/>
    </row>
    <row r="59" spans="1:23" ht="18.75" hidden="1" x14ac:dyDescent="0.35">
      <c r="A59" s="4" t="s">
        <v>203</v>
      </c>
      <c r="B59" s="2" t="s">
        <v>174</v>
      </c>
      <c r="C59" s="43">
        <f>C43*PI()/4*C45^2</f>
        <v>4.4178646691106467</v>
      </c>
      <c r="D59" s="4" t="s">
        <v>120</v>
      </c>
      <c r="G59" s="4"/>
      <c r="H59" s="4"/>
      <c r="P59" s="4"/>
      <c r="Q59" s="4"/>
      <c r="R59" s="4"/>
      <c r="S59" s="4"/>
      <c r="T59" s="4"/>
      <c r="U59" s="4"/>
      <c r="V59" s="4"/>
      <c r="W59" s="4"/>
    </row>
    <row r="60" spans="1:23" ht="18.75" hidden="1" x14ac:dyDescent="0.35">
      <c r="A60" s="4" t="s">
        <v>202</v>
      </c>
      <c r="B60" s="2" t="s">
        <v>175</v>
      </c>
      <c r="C60" s="46">
        <f>C59/C58</f>
        <v>7.0806863461347564E-3</v>
      </c>
      <c r="D60" s="4" t="s">
        <v>22</v>
      </c>
      <c r="G60" s="4"/>
      <c r="H60" s="4"/>
      <c r="P60" s="4"/>
      <c r="Q60" s="4"/>
      <c r="R60" s="4"/>
      <c r="S60" s="4"/>
      <c r="T60" s="4"/>
      <c r="U60" s="4"/>
      <c r="V60" s="4"/>
      <c r="W60" s="4"/>
    </row>
    <row r="61" spans="1:23" ht="18.75" hidden="1" x14ac:dyDescent="0.35">
      <c r="B61" s="2" t="s">
        <v>177</v>
      </c>
      <c r="C61" s="43" t="e">
        <f>#REF!/'Nonconstrained Foundation'!C42</f>
        <v>#REF!</v>
      </c>
      <c r="G61" s="4"/>
      <c r="H61" s="4"/>
      <c r="P61" s="4"/>
      <c r="Q61" s="4"/>
      <c r="R61" s="4"/>
      <c r="S61" s="4"/>
      <c r="T61" s="4"/>
      <c r="U61" s="4"/>
      <c r="V61" s="4"/>
      <c r="W61" s="4"/>
    </row>
    <row r="62" spans="1:23" ht="18.75" hidden="1" x14ac:dyDescent="0.35">
      <c r="A62" s="4" t="s">
        <v>249</v>
      </c>
      <c r="B62" s="2" t="s">
        <v>250</v>
      </c>
      <c r="C62" s="43">
        <f>MAX(3*SQRT(f_prime_c)/fy*C58,200*C58/fy)</f>
        <v>2.0797723333333331</v>
      </c>
      <c r="D62" s="4" t="str">
        <f>IF(C59&lt;C62,"NG","OK")</f>
        <v>OK</v>
      </c>
      <c r="G62" s="4"/>
      <c r="H62" s="4"/>
      <c r="P62" s="4"/>
      <c r="Q62" s="4"/>
      <c r="R62" s="4"/>
      <c r="S62" s="4"/>
      <c r="T62" s="4"/>
      <c r="U62" s="4"/>
      <c r="V62" s="4"/>
      <c r="W62" s="4"/>
    </row>
    <row r="63" spans="1:23" hidden="1" x14ac:dyDescent="0.2">
      <c r="C63" s="43"/>
      <c r="G63" s="4"/>
      <c r="H63" s="4"/>
      <c r="P63" s="4"/>
      <c r="Q63" s="4"/>
      <c r="R63" s="4"/>
      <c r="S63" s="4"/>
      <c r="T63" s="4"/>
      <c r="U63" s="4"/>
      <c r="V63" s="4"/>
      <c r="W63" s="4"/>
    </row>
    <row r="64" spans="1:23" ht="18.75" hidden="1" x14ac:dyDescent="0.35">
      <c r="A64" s="4" t="s">
        <v>179</v>
      </c>
      <c r="B64" s="2" t="s">
        <v>178</v>
      </c>
      <c r="C64" s="42">
        <f>(0.85*f_prime_c*(C$58-C$59)-fy*C$59)/1000</f>
        <v>1643.8051249666642</v>
      </c>
      <c r="D64" s="4" t="s">
        <v>97</v>
      </c>
      <c r="G64" s="4"/>
      <c r="H64" s="4"/>
      <c r="P64" s="4"/>
      <c r="Q64" s="4"/>
      <c r="R64" s="4"/>
      <c r="S64" s="4"/>
      <c r="T64" s="4"/>
      <c r="U64" s="4"/>
      <c r="V64" s="4"/>
      <c r="W64" s="4"/>
    </row>
    <row r="65" spans="1:23" ht="18.75" hidden="1" x14ac:dyDescent="0.35">
      <c r="A65" s="4" t="s">
        <v>96</v>
      </c>
      <c r="B65" s="2" t="s">
        <v>187</v>
      </c>
      <c r="C65" s="42">
        <f>$C$15*$C$17*C64</f>
        <v>854.77866498266542</v>
      </c>
      <c r="D65" s="4" t="s">
        <v>97</v>
      </c>
      <c r="G65" s="4"/>
      <c r="H65" s="4"/>
      <c r="P65" s="4"/>
      <c r="Q65" s="4"/>
      <c r="R65" s="4"/>
      <c r="S65" s="4"/>
      <c r="T65" s="4"/>
      <c r="U65" s="4"/>
      <c r="V65" s="4"/>
      <c r="W65" s="4"/>
    </row>
    <row r="66" spans="1:23" ht="18.75" hidden="1" x14ac:dyDescent="0.35">
      <c r="A66" s="4" t="s">
        <v>461</v>
      </c>
      <c r="B66" s="2" t="s">
        <v>256</v>
      </c>
      <c r="C66" s="43">
        <f>(fy/1000)*C46*C43</f>
        <v>265.07188014663876</v>
      </c>
      <c r="D66" s="4" t="s">
        <v>97</v>
      </c>
      <c r="G66" s="4"/>
      <c r="H66" s="4"/>
      <c r="P66" s="4"/>
      <c r="Q66" s="4"/>
      <c r="R66" s="4"/>
      <c r="S66" s="4"/>
      <c r="T66" s="4"/>
      <c r="U66" s="4"/>
      <c r="V66" s="4"/>
      <c r="W66" s="4"/>
    </row>
    <row r="67" spans="1:23" hidden="1" x14ac:dyDescent="0.2">
      <c r="C67" s="43"/>
      <c r="G67" s="4"/>
      <c r="H67" s="4"/>
      <c r="P67" s="4"/>
      <c r="Q67" s="4"/>
      <c r="R67" s="4"/>
      <c r="S67" s="4"/>
      <c r="T67" s="4"/>
      <c r="U67" s="4"/>
      <c r="V67" s="4"/>
      <c r="W67" s="4"/>
    </row>
    <row r="68" spans="1:23" hidden="1" x14ac:dyDescent="0.2">
      <c r="B68" s="4" t="s">
        <v>449</v>
      </c>
      <c r="C68" s="65">
        <v>4.4195000000000002</v>
      </c>
      <c r="D68" s="4" t="s">
        <v>21</v>
      </c>
      <c r="G68" s="4"/>
      <c r="H68" s="4"/>
      <c r="P68" s="4"/>
      <c r="Q68" s="4"/>
      <c r="R68" s="4"/>
      <c r="S68" s="4"/>
      <c r="T68" s="4"/>
      <c r="U68" s="4"/>
      <c r="V68" s="4"/>
      <c r="W68" s="4"/>
    </row>
    <row r="69" spans="1:23" hidden="1" x14ac:dyDescent="0.2">
      <c r="B69" s="4"/>
      <c r="C69" s="65">
        <v>8.4609000000000005</v>
      </c>
      <c r="D69" s="4" t="s">
        <v>21</v>
      </c>
      <c r="G69" s="4"/>
      <c r="H69" s="4"/>
      <c r="P69" s="4"/>
      <c r="Q69" s="4"/>
      <c r="R69" s="4"/>
      <c r="S69" s="4"/>
      <c r="T69" s="4"/>
      <c r="U69" s="4"/>
      <c r="V69" s="4"/>
      <c r="W69" s="4"/>
    </row>
    <row r="70" spans="1:23" hidden="1" x14ac:dyDescent="0.2">
      <c r="B70" s="4"/>
      <c r="C70" s="65">
        <v>15</v>
      </c>
      <c r="D70" s="4" t="s">
        <v>21</v>
      </c>
      <c r="G70" s="4"/>
      <c r="H70" s="4"/>
      <c r="M70" s="2"/>
      <c r="N70" s="3"/>
      <c r="O70" s="3"/>
      <c r="S70" s="4"/>
      <c r="T70" s="4"/>
      <c r="U70" s="4"/>
      <c r="V70" s="4"/>
      <c r="W70" s="4"/>
    </row>
    <row r="71" spans="1:23" hidden="1" x14ac:dyDescent="0.2">
      <c r="B71" s="4"/>
      <c r="C71" s="65">
        <v>21.539100000000001</v>
      </c>
      <c r="D71" s="4" t="s">
        <v>21</v>
      </c>
      <c r="G71" s="4"/>
      <c r="H71" s="4"/>
      <c r="M71" s="2"/>
      <c r="N71" s="3"/>
      <c r="O71" s="3"/>
      <c r="S71" s="4"/>
      <c r="T71" s="4"/>
      <c r="U71" s="4"/>
      <c r="V71" s="4"/>
      <c r="W71" s="4"/>
    </row>
    <row r="72" spans="1:23" hidden="1" x14ac:dyDescent="0.2">
      <c r="B72" s="4"/>
      <c r="C72" s="65">
        <v>25.580500000000001</v>
      </c>
      <c r="D72" s="4" t="s">
        <v>21</v>
      </c>
      <c r="G72" s="4"/>
      <c r="H72" s="4"/>
      <c r="M72" s="2"/>
      <c r="N72" s="3"/>
      <c r="O72" s="3"/>
      <c r="S72" s="4"/>
      <c r="T72" s="4"/>
      <c r="U72" s="4"/>
      <c r="V72" s="4"/>
      <c r="W72" s="4"/>
    </row>
    <row r="73" spans="1:23" hidden="1" x14ac:dyDescent="0.2">
      <c r="B73" s="4"/>
      <c r="C73" s="67"/>
      <c r="G73" s="4"/>
      <c r="H73" s="4"/>
      <c r="M73" s="3"/>
      <c r="N73" s="3"/>
      <c r="O73" s="3"/>
      <c r="S73" s="4"/>
      <c r="T73" s="4"/>
      <c r="U73" s="4"/>
      <c r="V73" s="4"/>
      <c r="W73" s="4"/>
    </row>
    <row r="74" spans="1:23" hidden="1" x14ac:dyDescent="0.2">
      <c r="A74" s="66" t="s">
        <v>459</v>
      </c>
      <c r="B74" s="4"/>
      <c r="C74" s="67"/>
      <c r="G74" s="4"/>
      <c r="H74" s="4"/>
      <c r="M74" s="3"/>
      <c r="N74" s="3"/>
      <c r="O74" s="3"/>
      <c r="S74" s="4"/>
      <c r="T74" s="4"/>
      <c r="U74" s="4"/>
      <c r="V74" s="4"/>
      <c r="W74" s="4"/>
    </row>
    <row r="75" spans="1:23" ht="18.75" hidden="1" x14ac:dyDescent="0.35">
      <c r="A75" s="4" t="s">
        <v>200</v>
      </c>
      <c r="B75" s="2" t="s">
        <v>337</v>
      </c>
      <c r="C75" s="51">
        <f>(C$70+C$71+C$72)/3</f>
        <v>20.706533333333336</v>
      </c>
      <c r="D75" s="4" t="s">
        <v>21</v>
      </c>
      <c r="G75" s="4"/>
      <c r="H75" s="4" t="s">
        <v>197</v>
      </c>
      <c r="K75" s="3"/>
      <c r="L75" s="3"/>
      <c r="P75" s="4"/>
      <c r="Q75" s="4"/>
      <c r="R75" s="4"/>
      <c r="S75" s="4"/>
      <c r="T75" s="4"/>
      <c r="U75" s="4"/>
      <c r="V75" s="4"/>
      <c r="W75" s="4"/>
    </row>
    <row r="76" spans="1:23" ht="18.75" hidden="1" x14ac:dyDescent="0.35">
      <c r="A76" s="4" t="s">
        <v>201</v>
      </c>
      <c r="B76" s="2" t="s">
        <v>338</v>
      </c>
      <c r="C76" s="43">
        <f>$C$10/($C$10+$C$11)*C75</f>
        <v>12.254887074829934</v>
      </c>
      <c r="D76" s="4" t="s">
        <v>21</v>
      </c>
      <c r="G76" s="4"/>
      <c r="H76" s="4" t="s">
        <v>192</v>
      </c>
      <c r="K76" s="3"/>
      <c r="L76" s="3"/>
      <c r="P76" s="4"/>
      <c r="Q76" s="4"/>
      <c r="R76" s="4"/>
      <c r="S76" s="4"/>
      <c r="T76" s="4"/>
      <c r="U76" s="4"/>
      <c r="V76" s="4"/>
      <c r="W76" s="4"/>
    </row>
    <row r="77" spans="1:23" ht="18.75" hidden="1" x14ac:dyDescent="0.35">
      <c r="A77" s="4" t="s">
        <v>429</v>
      </c>
      <c r="B77" s="2" t="s">
        <v>339</v>
      </c>
      <c r="C77" s="43">
        <f>$C$14*C76</f>
        <v>10.416654013605443</v>
      </c>
      <c r="D77" s="4" t="s">
        <v>21</v>
      </c>
      <c r="E77" s="48" t="s">
        <v>222</v>
      </c>
      <c r="G77" s="4"/>
      <c r="H77" s="4" t="s">
        <v>193</v>
      </c>
      <c r="K77" s="3">
        <v>181.8443</v>
      </c>
      <c r="L77" s="3" t="s">
        <v>120</v>
      </c>
      <c r="P77" s="4"/>
      <c r="Q77" s="4"/>
      <c r="R77" s="4"/>
      <c r="S77" s="4"/>
      <c r="T77" s="4"/>
      <c r="U77" s="4"/>
      <c r="V77" s="4"/>
      <c r="W77" s="4"/>
    </row>
    <row r="78" spans="1:23" ht="18.75" hidden="1" x14ac:dyDescent="0.35">
      <c r="A78" s="4" t="s">
        <v>430</v>
      </c>
      <c r="B78" s="2" t="s">
        <v>340</v>
      </c>
      <c r="C78" s="43">
        <f>K77</f>
        <v>181.8443</v>
      </c>
      <c r="D78" s="4" t="s">
        <v>120</v>
      </c>
      <c r="G78" s="4"/>
      <c r="H78" s="4" t="s">
        <v>194</v>
      </c>
      <c r="K78" s="4">
        <v>59.374600000000001</v>
      </c>
      <c r="L78" s="3" t="s">
        <v>21</v>
      </c>
      <c r="P78" s="4"/>
      <c r="Q78" s="4"/>
      <c r="R78" s="4"/>
      <c r="S78" s="4"/>
      <c r="T78" s="4"/>
      <c r="U78" s="4"/>
      <c r="V78" s="4"/>
      <c r="W78" s="4"/>
    </row>
    <row r="79" spans="1:23" ht="18.75" hidden="1" x14ac:dyDescent="0.35">
      <c r="A79" s="4" t="s">
        <v>431</v>
      </c>
      <c r="B79" s="57" t="s">
        <v>341</v>
      </c>
      <c r="C79" s="58">
        <f>0.85*f_prime_c*(C78-4*C$46)/1000</f>
        <v>554.86273117032124</v>
      </c>
      <c r="D79" s="39" t="s">
        <v>97</v>
      </c>
      <c r="E79" s="9" t="s">
        <v>221</v>
      </c>
      <c r="F79" s="39"/>
      <c r="G79" s="4"/>
      <c r="H79" s="4" t="s">
        <v>195</v>
      </c>
      <c r="J79" s="4" t="s">
        <v>198</v>
      </c>
      <c r="K79" s="3">
        <v>0</v>
      </c>
      <c r="L79" s="3" t="s">
        <v>21</v>
      </c>
      <c r="P79" s="4"/>
      <c r="Q79" s="4"/>
      <c r="R79" s="4"/>
      <c r="S79" s="4"/>
      <c r="T79" s="4"/>
      <c r="U79" s="4"/>
      <c r="V79" s="4"/>
      <c r="W79" s="4"/>
    </row>
    <row r="80" spans="1:23" ht="18.75" hidden="1" x14ac:dyDescent="0.35">
      <c r="A80" s="4" t="s">
        <v>432</v>
      </c>
      <c r="B80" s="2" t="s">
        <v>342</v>
      </c>
      <c r="C80" s="43">
        <f>C76-C77+K80</f>
        <v>5.9885330612244907</v>
      </c>
      <c r="D80" s="4" t="s">
        <v>21</v>
      </c>
      <c r="E80" s="9"/>
      <c r="G80" s="4"/>
      <c r="H80" s="4"/>
      <c r="J80" s="4" t="s">
        <v>199</v>
      </c>
      <c r="K80" s="3">
        <v>4.1502999999999997</v>
      </c>
      <c r="L80" s="3" t="s">
        <v>21</v>
      </c>
      <c r="P80" s="4"/>
      <c r="Q80" s="4"/>
      <c r="R80" s="4"/>
      <c r="S80" s="4"/>
      <c r="T80" s="4"/>
      <c r="U80" s="4"/>
      <c r="V80" s="4"/>
      <c r="W80" s="4"/>
    </row>
    <row r="81" spans="1:28" ht="18.75" hidden="1" x14ac:dyDescent="0.35">
      <c r="A81" s="4" t="s">
        <v>433</v>
      </c>
      <c r="B81" s="2" t="s">
        <v>343</v>
      </c>
      <c r="C81" s="52">
        <f>(C76-C$68)/C76*$C$10</f>
        <v>1.9181050858288716E-3</v>
      </c>
      <c r="D81" s="4" t="s">
        <v>22</v>
      </c>
      <c r="E81" s="9"/>
      <c r="G81" s="4"/>
      <c r="H81" s="4" t="s">
        <v>196</v>
      </c>
      <c r="J81" s="4" t="s">
        <v>223</v>
      </c>
      <c r="K81" s="41">
        <v>4420.8067000000001</v>
      </c>
      <c r="L81" s="3" t="s">
        <v>225</v>
      </c>
      <c r="P81" s="4"/>
      <c r="Q81" s="4"/>
      <c r="R81" s="4"/>
      <c r="S81" s="4"/>
      <c r="T81" s="4"/>
      <c r="U81" s="4"/>
      <c r="V81" s="4"/>
      <c r="W81" s="4"/>
    </row>
    <row r="82" spans="1:28" ht="18.75" hidden="1" x14ac:dyDescent="0.35">
      <c r="A82" s="4" t="s">
        <v>434</v>
      </c>
      <c r="B82" s="2" t="s">
        <v>344</v>
      </c>
      <c r="C82" s="43">
        <f>IF(ABS(C81)&gt;$C$11,fy/1000,(ModulusElasticity/1000)*C81)</f>
        <v>55.625047489037279</v>
      </c>
      <c r="D82" s="4" t="s">
        <v>244</v>
      </c>
      <c r="E82" s="48" t="s">
        <v>315</v>
      </c>
      <c r="G82" s="4"/>
      <c r="H82" s="4"/>
      <c r="J82" s="4" t="s">
        <v>224</v>
      </c>
      <c r="K82" s="41">
        <v>6299.6513999999997</v>
      </c>
      <c r="L82" s="3" t="s">
        <v>225</v>
      </c>
      <c r="P82" s="4"/>
      <c r="Q82" s="4"/>
      <c r="R82" s="4"/>
      <c r="S82" s="4"/>
      <c r="T82" s="4"/>
      <c r="U82" s="4"/>
      <c r="V82" s="4"/>
      <c r="W82" s="4"/>
    </row>
    <row r="83" spans="1:28" ht="18.75" hidden="1" x14ac:dyDescent="0.35">
      <c r="A83" s="4" t="s">
        <v>435</v>
      </c>
      <c r="B83" s="57" t="s">
        <v>345</v>
      </c>
      <c r="C83" s="58">
        <f>C82*(2*$C$46)</f>
        <v>49.148786403883939</v>
      </c>
      <c r="D83" s="39" t="s">
        <v>97</v>
      </c>
      <c r="E83" s="9" t="s">
        <v>316</v>
      </c>
      <c r="F83" s="39"/>
      <c r="G83" s="4"/>
      <c r="H83" s="4" t="s">
        <v>226</v>
      </c>
      <c r="J83" s="4" t="s">
        <v>227</v>
      </c>
      <c r="K83" s="3">
        <v>0</v>
      </c>
      <c r="L83" s="3"/>
      <c r="P83" s="4"/>
      <c r="Q83" s="4"/>
      <c r="R83" s="4"/>
      <c r="S83" s="4"/>
      <c r="T83" s="4"/>
      <c r="U83" s="4"/>
      <c r="V83" s="4"/>
      <c r="W83" s="4"/>
    </row>
    <row r="84" spans="1:28" ht="18.75" hidden="1" x14ac:dyDescent="0.35">
      <c r="A84" s="4" t="s">
        <v>229</v>
      </c>
      <c r="B84" s="2" t="s">
        <v>346</v>
      </c>
      <c r="C84" s="43">
        <f>C76-C$68</f>
        <v>7.8353870748299341</v>
      </c>
      <c r="D84" s="4" t="s">
        <v>21</v>
      </c>
      <c r="G84" s="4"/>
      <c r="H84" s="4" t="s">
        <v>228</v>
      </c>
      <c r="J84" s="4" t="s">
        <v>223</v>
      </c>
      <c r="K84" s="3">
        <v>4.9306000000000001</v>
      </c>
      <c r="L84" s="3"/>
      <c r="P84" s="4"/>
      <c r="Q84" s="4"/>
      <c r="R84" s="4"/>
      <c r="S84" s="4"/>
      <c r="T84" s="4"/>
      <c r="U84" s="4"/>
      <c r="V84" s="4"/>
      <c r="W84" s="4"/>
      <c r="Z84" s="2"/>
      <c r="AA84" s="2"/>
      <c r="AB84" s="3"/>
    </row>
    <row r="85" spans="1:28" ht="18.75" hidden="1" x14ac:dyDescent="0.35">
      <c r="A85" s="4" t="s">
        <v>436</v>
      </c>
      <c r="B85" s="2" t="s">
        <v>347</v>
      </c>
      <c r="C85" s="52">
        <f>(C76-C$69)/C76*$C$10</f>
        <v>9.2876916408858481E-4</v>
      </c>
      <c r="D85" s="4" t="s">
        <v>22</v>
      </c>
      <c r="G85" s="4"/>
      <c r="H85" s="4"/>
      <c r="J85" s="4" t="s">
        <v>224</v>
      </c>
      <c r="K85" s="3">
        <v>5.8857999999999997</v>
      </c>
      <c r="L85" s="3"/>
      <c r="P85" s="4"/>
      <c r="Q85" s="4"/>
      <c r="R85" s="4"/>
      <c r="S85" s="4"/>
      <c r="T85" s="4"/>
      <c r="U85" s="4"/>
      <c r="V85" s="4"/>
      <c r="W85" s="4"/>
    </row>
    <row r="86" spans="1:28" ht="18.75" hidden="1" x14ac:dyDescent="0.35">
      <c r="A86" s="4" t="s">
        <v>437</v>
      </c>
      <c r="B86" s="2" t="s">
        <v>348</v>
      </c>
      <c r="C86" s="43">
        <f>IF(ABS(C85)&gt;$C$11,fy/1000,(ModulusElasticity/1000)*C85)</f>
        <v>26.934305758568961</v>
      </c>
      <c r="D86" s="4" t="s">
        <v>244</v>
      </c>
      <c r="E86" s="48"/>
      <c r="G86" s="4"/>
      <c r="H86" s="4" t="s">
        <v>189</v>
      </c>
      <c r="K86" s="3"/>
      <c r="L86" s="3"/>
      <c r="P86" s="4"/>
      <c r="Q86" s="4"/>
      <c r="R86" s="4"/>
      <c r="S86" s="4"/>
      <c r="T86" s="4"/>
      <c r="U86" s="4"/>
      <c r="V86" s="4"/>
      <c r="W86" s="4"/>
    </row>
    <row r="87" spans="1:28" ht="17.25" hidden="1" x14ac:dyDescent="0.3">
      <c r="A87" s="4" t="s">
        <v>438</v>
      </c>
      <c r="B87" s="57" t="s">
        <v>349</v>
      </c>
      <c r="C87" s="58">
        <f>C86*(2*$C$46)</f>
        <v>23.798423559561048</v>
      </c>
      <c r="D87" s="39" t="s">
        <v>97</v>
      </c>
      <c r="E87" s="9"/>
      <c r="F87" s="39"/>
      <c r="G87" s="4"/>
      <c r="H87" s="4" t="s">
        <v>190</v>
      </c>
      <c r="K87" s="3"/>
      <c r="L87" s="3"/>
      <c r="P87" s="4"/>
      <c r="Q87" s="4"/>
      <c r="R87" s="4"/>
      <c r="S87" s="4"/>
      <c r="T87" s="4"/>
      <c r="U87" s="4"/>
      <c r="V87" s="4"/>
      <c r="W87" s="4"/>
    </row>
    <row r="88" spans="1:28" ht="18.75" hidden="1" x14ac:dyDescent="0.35">
      <c r="A88" s="4" t="s">
        <v>230</v>
      </c>
      <c r="B88" s="2" t="s">
        <v>350</v>
      </c>
      <c r="C88" s="43">
        <f>C76-C$69</f>
        <v>3.7939870748299338</v>
      </c>
      <c r="D88" s="4" t="s">
        <v>21</v>
      </c>
      <c r="G88" s="4"/>
      <c r="H88" s="4" t="s">
        <v>191</v>
      </c>
      <c r="L88" s="3"/>
      <c r="P88" s="4"/>
      <c r="Q88" s="4"/>
      <c r="R88" s="4"/>
      <c r="S88" s="4"/>
      <c r="T88" s="4"/>
      <c r="U88" s="4"/>
      <c r="V88" s="4"/>
      <c r="W88" s="4"/>
    </row>
    <row r="89" spans="1:28" ht="18.75" hidden="1" x14ac:dyDescent="0.35">
      <c r="A89" s="4" t="s">
        <v>439</v>
      </c>
      <c r="B89" s="2" t="s">
        <v>351</v>
      </c>
      <c r="C89" s="52">
        <f>(C76-C$70)/C76*$C$10</f>
        <v>-6.7200446036133567E-4</v>
      </c>
      <c r="D89" s="4" t="s">
        <v>22</v>
      </c>
      <c r="G89" s="4"/>
      <c r="H89" s="4"/>
      <c r="P89" s="4"/>
      <c r="Q89" s="4"/>
      <c r="R89" s="4"/>
      <c r="S89" s="4"/>
      <c r="T89" s="4"/>
      <c r="U89" s="4"/>
      <c r="V89" s="4"/>
      <c r="W89" s="4"/>
    </row>
    <row r="90" spans="1:28" ht="18.75" hidden="1" x14ac:dyDescent="0.35">
      <c r="A90" s="4" t="s">
        <v>440</v>
      </c>
      <c r="B90" s="2" t="s">
        <v>352</v>
      </c>
      <c r="C90" s="43">
        <f>IF(ABS(C89)&gt;$C$11,fy/1000,(ModulusElasticity/1000)*C89)</f>
        <v>-19.488129350478733</v>
      </c>
      <c r="D90" s="4" t="s">
        <v>244</v>
      </c>
      <c r="E90" s="48" t="s">
        <v>314</v>
      </c>
      <c r="G90" s="4"/>
      <c r="H90" s="4"/>
      <c r="R90" s="4"/>
      <c r="S90" s="4"/>
      <c r="T90" s="4"/>
      <c r="U90" s="4"/>
      <c r="V90" s="4"/>
      <c r="W90" s="4"/>
    </row>
    <row r="91" spans="1:28" ht="18.75" hidden="1" x14ac:dyDescent="0.35">
      <c r="A91" s="4" t="s">
        <v>441</v>
      </c>
      <c r="B91" s="57" t="s">
        <v>354</v>
      </c>
      <c r="C91" s="58">
        <f>C90*(2*$C$46)</f>
        <v>-17.219183624907643</v>
      </c>
      <c r="D91" s="39" t="s">
        <v>97</v>
      </c>
      <c r="E91" s="9" t="s">
        <v>313</v>
      </c>
      <c r="F91" s="39"/>
      <c r="G91" s="4"/>
      <c r="H91" s="4"/>
      <c r="R91" s="4"/>
      <c r="S91" s="4"/>
      <c r="T91" s="4"/>
      <c r="U91" s="4"/>
      <c r="V91" s="4"/>
      <c r="W91" s="4"/>
    </row>
    <row r="92" spans="1:28" ht="18.75" hidden="1" x14ac:dyDescent="0.35">
      <c r="A92" s="4" t="s">
        <v>231</v>
      </c>
      <c r="B92" s="2" t="s">
        <v>353</v>
      </c>
      <c r="C92" s="43">
        <f>C76-C$70</f>
        <v>-2.7451129251700657</v>
      </c>
      <c r="D92" s="4" t="s">
        <v>21</v>
      </c>
      <c r="G92" s="4"/>
      <c r="H92" s="4"/>
      <c r="P92" s="4"/>
      <c r="Q92" s="4"/>
      <c r="R92" s="4"/>
      <c r="S92" s="4"/>
      <c r="T92" s="4"/>
      <c r="U92" s="4"/>
      <c r="V92" s="4"/>
      <c r="W92" s="4"/>
    </row>
    <row r="93" spans="1:28" ht="18.75" hidden="1" x14ac:dyDescent="0.35">
      <c r="A93" s="4" t="s">
        <v>442</v>
      </c>
      <c r="B93" s="2" t="s">
        <v>355</v>
      </c>
      <c r="C93" s="52">
        <f>(C76-C$71)/C76*$C$10</f>
        <v>-2.272778084811257E-3</v>
      </c>
      <c r="D93" s="4" t="s">
        <v>22</v>
      </c>
      <c r="G93" s="4"/>
      <c r="H93" s="4"/>
      <c r="P93" s="4"/>
      <c r="Q93" s="4"/>
      <c r="R93" s="4"/>
      <c r="S93" s="4"/>
      <c r="T93" s="4"/>
      <c r="U93" s="4"/>
      <c r="V93" s="4"/>
      <c r="W93" s="4"/>
    </row>
    <row r="94" spans="1:28" ht="18.75" hidden="1" x14ac:dyDescent="0.35">
      <c r="A94" s="4" t="s">
        <v>443</v>
      </c>
      <c r="B94" s="2" t="s">
        <v>356</v>
      </c>
      <c r="C94" s="43">
        <f>IF(ABS(C93)&gt;$C$11,IF(C93&lt;0,-fy/1000,fy/1000),(ModulusElasticity/1000)*C93)</f>
        <v>-60</v>
      </c>
      <c r="D94" s="4" t="s">
        <v>244</v>
      </c>
      <c r="G94" s="4"/>
      <c r="H94" s="4"/>
      <c r="P94" s="2"/>
      <c r="Q94" s="31"/>
      <c r="R94" s="31"/>
      <c r="S94" s="4"/>
      <c r="T94" s="4"/>
      <c r="U94" s="4"/>
      <c r="V94" s="4"/>
      <c r="W94" s="4"/>
    </row>
    <row r="95" spans="1:28" ht="18.75" hidden="1" x14ac:dyDescent="0.35">
      <c r="A95" s="4" t="s">
        <v>445</v>
      </c>
      <c r="B95" s="2" t="s">
        <v>359</v>
      </c>
      <c r="C95" s="52">
        <f>(C76-C$72)/C76*$C$10</f>
        <v>-3.2621140065515431E-3</v>
      </c>
      <c r="D95" s="4" t="s">
        <v>22</v>
      </c>
      <c r="G95" s="4"/>
      <c r="H95" s="4"/>
      <c r="P95" s="2"/>
      <c r="Q95" s="31"/>
      <c r="R95" s="31"/>
      <c r="S95" s="4"/>
      <c r="T95" s="4"/>
      <c r="U95" s="4"/>
      <c r="V95" s="4"/>
      <c r="W95" s="4"/>
    </row>
    <row r="96" spans="1:28" ht="18.75" hidden="1" x14ac:dyDescent="0.35">
      <c r="A96" s="4" t="s">
        <v>233</v>
      </c>
      <c r="B96" s="2" t="s">
        <v>360</v>
      </c>
      <c r="C96" s="43">
        <f>IF(ABS(C95)&gt;$C$11,IF(C95&lt;0,-fy/1000,fy/1000),(ModulusElasticity/1000)*C95)</f>
        <v>-60</v>
      </c>
      <c r="D96" s="4" t="s">
        <v>244</v>
      </c>
      <c r="G96" s="4"/>
      <c r="H96" s="4"/>
      <c r="P96" s="4"/>
      <c r="Q96" s="2"/>
      <c r="R96" s="2"/>
      <c r="S96" s="4"/>
      <c r="T96" s="4"/>
      <c r="U96" s="4"/>
      <c r="V96" s="4"/>
      <c r="W96" s="4"/>
    </row>
    <row r="97" spans="1:23" ht="17.25" hidden="1" x14ac:dyDescent="0.3">
      <c r="A97" s="4" t="s">
        <v>445</v>
      </c>
      <c r="B97" s="57" t="s">
        <v>361</v>
      </c>
      <c r="C97" s="58">
        <f>C96*(2*$C$46)</f>
        <v>-53.014376029327757</v>
      </c>
      <c r="D97" s="39" t="s">
        <v>97</v>
      </c>
      <c r="G97" s="4"/>
      <c r="H97" s="4"/>
      <c r="P97" s="4"/>
      <c r="S97" s="4"/>
      <c r="T97" s="4"/>
      <c r="U97" s="4"/>
      <c r="V97" s="4"/>
      <c r="W97" s="4"/>
    </row>
    <row r="98" spans="1:23" ht="18.75" hidden="1" x14ac:dyDescent="0.35">
      <c r="A98" s="4" t="s">
        <v>233</v>
      </c>
      <c r="B98" s="2" t="s">
        <v>362</v>
      </c>
      <c r="C98" s="43">
        <f>C76-C$72</f>
        <v>-13.325612925170066</v>
      </c>
      <c r="D98" s="4" t="s">
        <v>21</v>
      </c>
      <c r="G98" s="4"/>
      <c r="H98" s="4"/>
      <c r="P98" s="2"/>
      <c r="Q98" s="8"/>
      <c r="R98" s="8"/>
      <c r="S98" s="4"/>
      <c r="T98" s="4"/>
      <c r="U98" s="4"/>
      <c r="V98" s="4"/>
      <c r="W98" s="4"/>
    </row>
    <row r="99" spans="1:23" ht="18.75" hidden="1" x14ac:dyDescent="0.35">
      <c r="A99" s="4" t="s">
        <v>446</v>
      </c>
      <c r="B99" s="2" t="s">
        <v>363</v>
      </c>
      <c r="C99" s="59" t="e">
        <f>C79+C83+C87+C91+#REF!+C97</f>
        <v>#REF!</v>
      </c>
      <c r="D99" s="4" t="s">
        <v>97</v>
      </c>
      <c r="E99" s="9" t="s">
        <v>237</v>
      </c>
      <c r="G99" s="4"/>
      <c r="H99" s="4"/>
      <c r="P99" s="2"/>
      <c r="Q99" s="8"/>
      <c r="R99" s="8"/>
      <c r="S99" s="4"/>
      <c r="T99" s="4"/>
      <c r="U99" s="4"/>
      <c r="V99" s="4"/>
      <c r="W99" s="4"/>
    </row>
    <row r="100" spans="1:23" ht="18.75" hidden="1" x14ac:dyDescent="0.35">
      <c r="A100" s="4" t="s">
        <v>447</v>
      </c>
      <c r="B100" s="2" t="s">
        <v>364</v>
      </c>
      <c r="C100" s="60" t="e">
        <f>C79*C80+C83*C84+C87*C88+C91*C92+#REF!*#REF!+C97*C98</f>
        <v>#REF!</v>
      </c>
      <c r="D100" s="4" t="s">
        <v>234</v>
      </c>
      <c r="E100" s="9" t="s">
        <v>236</v>
      </c>
      <c r="G100" s="4"/>
      <c r="H100" s="4"/>
      <c r="P100" s="2"/>
      <c r="Q100" s="8"/>
      <c r="R100" s="8"/>
      <c r="S100" s="4"/>
      <c r="T100" s="4"/>
      <c r="U100" s="4"/>
      <c r="V100" s="4"/>
      <c r="W100" s="4"/>
    </row>
    <row r="101" spans="1:23" ht="15" hidden="1" thickBot="1" x14ac:dyDescent="0.25">
      <c r="C101" s="61" t="e">
        <f>C100/12</f>
        <v>#REF!</v>
      </c>
      <c r="D101" s="4" t="s">
        <v>235</v>
      </c>
      <c r="G101" s="4"/>
      <c r="H101" s="4"/>
      <c r="P101" s="2"/>
      <c r="Q101" s="8"/>
      <c r="R101" s="8"/>
      <c r="S101" s="4"/>
      <c r="T101" s="4"/>
      <c r="U101" s="4"/>
      <c r="V101" s="4"/>
      <c r="W101" s="4"/>
    </row>
    <row r="102" spans="1:23" hidden="1" x14ac:dyDescent="0.2">
      <c r="C102" s="42"/>
      <c r="G102" s="4"/>
      <c r="H102" s="4"/>
      <c r="P102" s="2"/>
      <c r="Q102" s="8"/>
      <c r="R102" s="8"/>
      <c r="S102" s="4"/>
      <c r="T102" s="4"/>
      <c r="U102" s="4"/>
      <c r="V102" s="4"/>
      <c r="W102" s="4"/>
    </row>
    <row r="103" spans="1:23" hidden="1" x14ac:dyDescent="0.2">
      <c r="A103" s="66" t="s">
        <v>460</v>
      </c>
      <c r="C103" s="42"/>
      <c r="G103" s="4"/>
      <c r="H103" s="4"/>
      <c r="R103" s="4"/>
      <c r="S103" s="4"/>
      <c r="T103" s="4"/>
      <c r="U103" s="4"/>
      <c r="V103" s="4"/>
      <c r="W103" s="4"/>
    </row>
    <row r="104" spans="1:23" ht="18.75" hidden="1" x14ac:dyDescent="0.35">
      <c r="A104" s="4" t="s">
        <v>200</v>
      </c>
      <c r="B104" s="63" t="s">
        <v>369</v>
      </c>
      <c r="C104" s="51">
        <f>(C$69+C$70+C$71+C$72)/4</f>
        <v>17.645125</v>
      </c>
      <c r="D104" s="4" t="s">
        <v>21</v>
      </c>
      <c r="G104" s="4"/>
      <c r="H104" s="4" t="s">
        <v>197</v>
      </c>
      <c r="K104" s="3"/>
      <c r="L104" s="3"/>
      <c r="P104" s="4"/>
      <c r="Q104" s="4"/>
      <c r="R104" s="4"/>
      <c r="S104" s="4"/>
      <c r="T104" s="4"/>
      <c r="U104" s="4"/>
      <c r="V104" s="4"/>
      <c r="W104" s="4"/>
    </row>
    <row r="105" spans="1:23" ht="18.75" hidden="1" x14ac:dyDescent="0.35">
      <c r="A105" s="4" t="s">
        <v>201</v>
      </c>
      <c r="B105" s="63" t="s">
        <v>370</v>
      </c>
      <c r="C105" s="43">
        <v>5.75</v>
      </c>
      <c r="D105" s="4" t="s">
        <v>21</v>
      </c>
      <c r="G105" s="4"/>
      <c r="H105" s="4" t="s">
        <v>303</v>
      </c>
      <c r="K105" s="3"/>
      <c r="L105" s="3"/>
      <c r="P105" s="4"/>
      <c r="Q105" s="4"/>
      <c r="R105" s="4"/>
      <c r="S105" s="4"/>
      <c r="T105" s="4"/>
      <c r="U105" s="4"/>
      <c r="V105" s="4"/>
      <c r="W105" s="4"/>
    </row>
    <row r="106" spans="1:23" ht="18.75" hidden="1" x14ac:dyDescent="0.35">
      <c r="A106" s="4" t="s">
        <v>408</v>
      </c>
      <c r="B106" s="63" t="s">
        <v>371</v>
      </c>
      <c r="C106" s="43">
        <f>$C$14*C105</f>
        <v>4.8875000000000002</v>
      </c>
      <c r="D106" s="4" t="s">
        <v>21</v>
      </c>
      <c r="E106" s="48" t="s">
        <v>222</v>
      </c>
      <c r="G106" s="4"/>
      <c r="H106" s="4" t="s">
        <v>326</v>
      </c>
      <c r="K106" s="3">
        <v>57.945999999999998</v>
      </c>
      <c r="L106" s="3" t="s">
        <v>120</v>
      </c>
      <c r="P106" s="4"/>
      <c r="Q106" s="4"/>
      <c r="R106" s="4"/>
      <c r="S106" s="4"/>
      <c r="T106" s="4"/>
      <c r="U106" s="4"/>
      <c r="V106" s="4"/>
      <c r="W106" s="4"/>
    </row>
    <row r="107" spans="1:23" ht="18.75" hidden="1" x14ac:dyDescent="0.35">
      <c r="A107" s="4" t="s">
        <v>409</v>
      </c>
      <c r="B107" s="63" t="s">
        <v>372</v>
      </c>
      <c r="C107" s="43">
        <f>K106</f>
        <v>57.945999999999998</v>
      </c>
      <c r="D107" s="4" t="s">
        <v>120</v>
      </c>
      <c r="G107" s="4"/>
      <c r="H107" s="4" t="s">
        <v>327</v>
      </c>
      <c r="K107" s="3">
        <v>40.078200000000002</v>
      </c>
      <c r="L107" s="3" t="s">
        <v>21</v>
      </c>
      <c r="P107" s="4"/>
      <c r="Q107" s="4"/>
      <c r="R107" s="4"/>
      <c r="S107" s="4"/>
      <c r="T107" s="4"/>
      <c r="U107" s="4"/>
      <c r="V107" s="4"/>
      <c r="W107" s="4"/>
    </row>
    <row r="108" spans="1:23" ht="18.75" hidden="1" x14ac:dyDescent="0.35">
      <c r="A108" s="4" t="s">
        <v>410</v>
      </c>
      <c r="B108" s="64" t="s">
        <v>373</v>
      </c>
      <c r="C108" s="58">
        <f>0.85*f_prime_c*(C107-2*C$46)/1000</f>
        <v>175.82360339766058</v>
      </c>
      <c r="D108" s="39" t="s">
        <v>97</v>
      </c>
      <c r="E108" s="9" t="s">
        <v>221</v>
      </c>
      <c r="G108" s="4"/>
      <c r="H108" s="4" t="s">
        <v>238</v>
      </c>
      <c r="K108" s="3">
        <v>0</v>
      </c>
      <c r="L108" s="3" t="s">
        <v>21</v>
      </c>
      <c r="P108" s="4"/>
      <c r="Q108" s="4"/>
      <c r="R108" s="4"/>
      <c r="S108" s="4"/>
      <c r="T108" s="4"/>
      <c r="U108" s="4"/>
      <c r="V108" s="4"/>
      <c r="W108" s="4"/>
    </row>
    <row r="109" spans="1:23" ht="18.75" hidden="1" x14ac:dyDescent="0.35">
      <c r="A109" s="4" t="s">
        <v>411</v>
      </c>
      <c r="B109" s="63" t="s">
        <v>374</v>
      </c>
      <c r="C109" s="43">
        <f>C105-C106+K109</f>
        <v>2.7181999999999995</v>
      </c>
      <c r="D109" s="4" t="s">
        <v>21</v>
      </c>
      <c r="E109" s="9"/>
      <c r="G109" s="4"/>
      <c r="H109" s="4" t="s">
        <v>328</v>
      </c>
      <c r="K109" s="3">
        <v>1.8556999999999999</v>
      </c>
      <c r="L109" s="3" t="s">
        <v>21</v>
      </c>
      <c r="P109" s="4"/>
      <c r="Q109" s="4"/>
      <c r="R109" s="4"/>
      <c r="S109" s="4"/>
      <c r="T109" s="4"/>
      <c r="U109" s="4"/>
      <c r="V109" s="4"/>
      <c r="W109" s="4"/>
    </row>
    <row r="110" spans="1:23" ht="18.75" hidden="1" x14ac:dyDescent="0.35">
      <c r="A110" s="4" t="s">
        <v>412</v>
      </c>
      <c r="B110" s="63" t="s">
        <v>375</v>
      </c>
      <c r="C110" s="52">
        <f>(C105-C$68)/C105*$C$10</f>
        <v>6.9417391304347814E-4</v>
      </c>
      <c r="D110" s="4" t="s">
        <v>22</v>
      </c>
      <c r="E110" s="9"/>
      <c r="G110" s="4"/>
      <c r="H110" s="4" t="s">
        <v>329</v>
      </c>
      <c r="K110" s="3"/>
      <c r="L110" s="3" t="s">
        <v>225</v>
      </c>
      <c r="P110" s="4"/>
      <c r="Q110" s="4"/>
      <c r="R110" s="4"/>
      <c r="S110" s="4"/>
      <c r="T110" s="4"/>
      <c r="U110" s="4"/>
      <c r="V110" s="4"/>
      <c r="W110" s="4"/>
    </row>
    <row r="111" spans="1:23" ht="18.75" hidden="1" x14ac:dyDescent="0.35">
      <c r="A111" s="4" t="s">
        <v>413</v>
      </c>
      <c r="B111" s="63" t="s">
        <v>376</v>
      </c>
      <c r="C111" s="43">
        <f>IF(ABS(C110)&gt;$C$11,fy/1000,(ModulusElasticity/1000)*C110)</f>
        <v>20.131043478260867</v>
      </c>
      <c r="D111" s="4" t="s">
        <v>244</v>
      </c>
      <c r="E111" s="48" t="s">
        <v>315</v>
      </c>
      <c r="G111" s="4"/>
      <c r="H111" s="4" t="s">
        <v>330</v>
      </c>
      <c r="K111" s="3"/>
      <c r="L111" s="3" t="s">
        <v>225</v>
      </c>
      <c r="P111" s="4"/>
      <c r="Q111" s="4"/>
      <c r="R111" s="4"/>
      <c r="S111" s="4"/>
      <c r="T111" s="4"/>
      <c r="U111" s="4"/>
      <c r="V111" s="4"/>
      <c r="W111" s="4"/>
    </row>
    <row r="112" spans="1:23" ht="18.75" hidden="1" x14ac:dyDescent="0.35">
      <c r="A112" s="4" t="s">
        <v>414</v>
      </c>
      <c r="B112" s="64" t="s">
        <v>377</v>
      </c>
      <c r="C112" s="58">
        <f>C111*(2*$C$46)</f>
        <v>17.787245146987797</v>
      </c>
      <c r="D112" s="39" t="s">
        <v>97</v>
      </c>
      <c r="E112" s="9" t="s">
        <v>316</v>
      </c>
      <c r="G112" s="4"/>
      <c r="H112" s="4" t="s">
        <v>239</v>
      </c>
      <c r="K112" s="3"/>
      <c r="L112" s="3"/>
      <c r="P112" s="4"/>
      <c r="Q112" s="4"/>
      <c r="R112" s="4"/>
      <c r="S112" s="4"/>
      <c r="T112" s="4"/>
      <c r="U112" s="4"/>
      <c r="V112" s="4"/>
      <c r="W112" s="4"/>
    </row>
    <row r="113" spans="1:23" ht="18.75" hidden="1" x14ac:dyDescent="0.35">
      <c r="A113" s="4" t="s">
        <v>229</v>
      </c>
      <c r="B113" s="63" t="s">
        <v>378</v>
      </c>
      <c r="C113" s="43">
        <f>C105-C$68</f>
        <v>1.3304999999999998</v>
      </c>
      <c r="D113" s="4" t="s">
        <v>21</v>
      </c>
      <c r="G113" s="4"/>
      <c r="H113" s="4" t="s">
        <v>331</v>
      </c>
      <c r="K113" s="3"/>
      <c r="L113" s="3"/>
      <c r="P113" s="4"/>
      <c r="Q113" s="4"/>
      <c r="R113" s="4"/>
      <c r="S113" s="4"/>
      <c r="T113" s="4"/>
      <c r="U113" s="4"/>
      <c r="V113" s="4"/>
      <c r="W113" s="4"/>
    </row>
    <row r="114" spans="1:23" ht="18.75" hidden="1" x14ac:dyDescent="0.35">
      <c r="A114" s="4" t="s">
        <v>415</v>
      </c>
      <c r="B114" s="63" t="s">
        <v>497</v>
      </c>
      <c r="C114" s="52">
        <f>(C105-C$69)/C105*$C$10</f>
        <v>-1.4143826086956525E-3</v>
      </c>
      <c r="D114" s="4" t="s">
        <v>22</v>
      </c>
      <c r="G114" s="4"/>
      <c r="H114" s="4" t="s">
        <v>332</v>
      </c>
      <c r="K114" s="3"/>
      <c r="L114" s="3"/>
      <c r="P114" s="4"/>
      <c r="Q114" s="4"/>
      <c r="R114" s="4"/>
      <c r="S114" s="4"/>
      <c r="T114" s="4"/>
      <c r="U114" s="4"/>
      <c r="V114" s="4"/>
      <c r="W114" s="4"/>
    </row>
    <row r="115" spans="1:23" ht="18.75" hidden="1" x14ac:dyDescent="0.35">
      <c r="A115" s="4" t="s">
        <v>416</v>
      </c>
      <c r="B115" s="63" t="s">
        <v>498</v>
      </c>
      <c r="C115" s="43">
        <f>IF(ABS(C114)&gt;$C$11,fy/1000,(ModulusElasticity/1000)*C114)</f>
        <v>-41.017095652173921</v>
      </c>
      <c r="D115" s="4" t="s">
        <v>244</v>
      </c>
      <c r="E115" s="48" t="s">
        <v>314</v>
      </c>
      <c r="G115" s="4"/>
      <c r="H115" s="4" t="s">
        <v>189</v>
      </c>
      <c r="K115" s="3"/>
      <c r="L115" s="3"/>
      <c r="P115" s="4"/>
      <c r="Q115" s="4"/>
      <c r="R115" s="4"/>
      <c r="S115" s="4"/>
      <c r="T115" s="4"/>
      <c r="U115" s="4"/>
      <c r="V115" s="4"/>
      <c r="W115" s="4"/>
    </row>
    <row r="116" spans="1:23" ht="18.75" hidden="1" x14ac:dyDescent="0.35">
      <c r="A116" s="4" t="s">
        <v>417</v>
      </c>
      <c r="B116" s="64" t="s">
        <v>394</v>
      </c>
      <c r="C116" s="58">
        <f>C115*(2*$C$46)</f>
        <v>-36.241595542254217</v>
      </c>
      <c r="D116" s="39" t="s">
        <v>97</v>
      </c>
      <c r="E116" s="9" t="s">
        <v>313</v>
      </c>
      <c r="G116" s="4"/>
      <c r="H116" s="4" t="s">
        <v>333</v>
      </c>
      <c r="K116" s="3"/>
      <c r="L116" s="3"/>
      <c r="P116" s="4"/>
      <c r="Q116" s="4"/>
      <c r="R116" s="4"/>
      <c r="S116" s="4"/>
      <c r="T116" s="4"/>
      <c r="U116" s="4"/>
      <c r="V116" s="4"/>
      <c r="W116" s="4"/>
    </row>
    <row r="117" spans="1:23" ht="18.75" hidden="1" x14ac:dyDescent="0.35">
      <c r="A117" s="4" t="s">
        <v>230</v>
      </c>
      <c r="B117" s="63" t="s">
        <v>379</v>
      </c>
      <c r="C117" s="43">
        <f>C105-C$69</f>
        <v>-2.7109000000000005</v>
      </c>
      <c r="D117" s="4" t="s">
        <v>21</v>
      </c>
      <c r="G117" s="4"/>
      <c r="H117" s="4" t="s">
        <v>334</v>
      </c>
      <c r="K117" s="3"/>
      <c r="L117" s="3"/>
      <c r="P117" s="4"/>
      <c r="Q117" s="4"/>
      <c r="R117" s="4"/>
      <c r="S117" s="4"/>
      <c r="T117" s="4"/>
      <c r="U117" s="4"/>
      <c r="V117" s="4"/>
      <c r="W117" s="4"/>
    </row>
    <row r="118" spans="1:23" ht="18.75" hidden="1" x14ac:dyDescent="0.35">
      <c r="A118" s="4" t="s">
        <v>418</v>
      </c>
      <c r="B118" s="63" t="s">
        <v>380</v>
      </c>
      <c r="C118" s="52">
        <f>(C105-C$70)/C105*$C$10</f>
        <v>-4.8260869565217397E-3</v>
      </c>
      <c r="D118" s="4" t="s">
        <v>22</v>
      </c>
      <c r="G118" s="4"/>
      <c r="H118" s="4"/>
      <c r="R118" s="4"/>
      <c r="S118" s="4"/>
      <c r="T118" s="4"/>
      <c r="U118" s="4"/>
      <c r="V118" s="4"/>
      <c r="W118" s="4"/>
    </row>
    <row r="119" spans="1:23" ht="18.75" hidden="1" x14ac:dyDescent="0.35">
      <c r="A119" s="4" t="s">
        <v>419</v>
      </c>
      <c r="B119" s="63" t="s">
        <v>381</v>
      </c>
      <c r="C119" s="43">
        <f>IF(ABS(C118)&gt;$C$11,IF(C118&lt;0,-fy/1000,fy/1000),(ModulusElasticity/1000)*C118)</f>
        <v>-60</v>
      </c>
      <c r="D119" s="4" t="s">
        <v>244</v>
      </c>
      <c r="G119" s="4"/>
      <c r="H119" s="3"/>
      <c r="I119" s="3" t="s">
        <v>197</v>
      </c>
      <c r="J119" s="3"/>
      <c r="K119" s="3"/>
      <c r="L119" s="3"/>
      <c r="M119" s="3"/>
      <c r="R119" s="4"/>
      <c r="S119" s="4"/>
      <c r="T119" s="4"/>
      <c r="U119" s="4"/>
      <c r="V119" s="4"/>
      <c r="W119" s="4"/>
    </row>
    <row r="120" spans="1:23" ht="18.75" hidden="1" x14ac:dyDescent="0.35">
      <c r="A120" s="4" t="s">
        <v>420</v>
      </c>
      <c r="B120" s="64" t="s">
        <v>382</v>
      </c>
      <c r="C120" s="58">
        <f>C119*(2*$C$46)</f>
        <v>-53.014376029327757</v>
      </c>
      <c r="D120" s="39" t="s">
        <v>97</v>
      </c>
      <c r="G120" s="4"/>
      <c r="H120" s="4"/>
      <c r="I120" s="2" t="s">
        <v>241</v>
      </c>
      <c r="J120" s="2" t="s">
        <v>240</v>
      </c>
      <c r="K120" s="2" t="s">
        <v>253</v>
      </c>
      <c r="L120" s="2" t="s">
        <v>254</v>
      </c>
      <c r="M120" s="2" t="s">
        <v>335</v>
      </c>
      <c r="R120" s="4"/>
      <c r="S120" s="4"/>
      <c r="T120" s="4"/>
      <c r="U120" s="4"/>
      <c r="V120" s="4"/>
      <c r="W120" s="4"/>
    </row>
    <row r="121" spans="1:23" ht="18.75" hidden="1" x14ac:dyDescent="0.35">
      <c r="A121" s="4" t="s">
        <v>231</v>
      </c>
      <c r="B121" s="63" t="s">
        <v>383</v>
      </c>
      <c r="C121" s="43">
        <f>C105-C$70</f>
        <v>-9.25</v>
      </c>
      <c r="D121" s="4" t="s">
        <v>21</v>
      </c>
      <c r="G121" s="4"/>
      <c r="H121" s="4"/>
      <c r="I121" s="3" t="s">
        <v>234</v>
      </c>
      <c r="J121" s="3" t="s">
        <v>97</v>
      </c>
      <c r="K121" s="3" t="s">
        <v>234</v>
      </c>
      <c r="L121" s="3" t="s">
        <v>97</v>
      </c>
      <c r="M121" s="3" t="s">
        <v>97</v>
      </c>
      <c r="R121" s="4"/>
      <c r="S121" s="4"/>
      <c r="T121" s="4"/>
      <c r="U121" s="4"/>
      <c r="V121" s="4"/>
      <c r="W121" s="4"/>
    </row>
    <row r="122" spans="1:23" ht="18.75" hidden="1" x14ac:dyDescent="0.35">
      <c r="C122" s="43"/>
      <c r="G122" s="4"/>
      <c r="H122" s="2" t="s">
        <v>242</v>
      </c>
      <c r="I122" s="33">
        <v>0</v>
      </c>
      <c r="J122" s="33">
        <f>C64</f>
        <v>1643.8051249666642</v>
      </c>
      <c r="K122" s="33">
        <f>$C$15*I122</f>
        <v>0</v>
      </c>
      <c r="L122" s="33">
        <f>$C$15*J122</f>
        <v>1068.4733312283317</v>
      </c>
      <c r="M122" s="33">
        <f>$C$17*$C$15*J122</f>
        <v>854.77866498266542</v>
      </c>
      <c r="R122" s="4"/>
      <c r="S122" s="4"/>
      <c r="T122" s="4"/>
      <c r="U122" s="4"/>
      <c r="V122" s="4"/>
      <c r="W122" s="4"/>
    </row>
    <row r="123" spans="1:23" ht="18.75" hidden="1" x14ac:dyDescent="0.35">
      <c r="C123" s="43"/>
      <c r="G123" s="4"/>
      <c r="H123" s="2" t="s">
        <v>335</v>
      </c>
      <c r="I123" s="33" t="e">
        <f>(M122-L122)/(M124-L122)*K124</f>
        <v>#REF!</v>
      </c>
      <c r="J123" s="33" t="e">
        <f>J122-I123/I124*(J122-J124)</f>
        <v>#REF!</v>
      </c>
      <c r="K123" s="33" t="e">
        <f>I123</f>
        <v>#REF!</v>
      </c>
      <c r="L123" s="33" t="e">
        <f>$C$15*J123</f>
        <v>#REF!</v>
      </c>
      <c r="M123" s="33">
        <f>M122</f>
        <v>854.77866498266542</v>
      </c>
      <c r="R123" s="4"/>
      <c r="S123" s="4"/>
      <c r="T123" s="4"/>
      <c r="U123" s="4"/>
      <c r="V123" s="4"/>
      <c r="W123" s="4"/>
    </row>
    <row r="124" spans="1:23" ht="18.75" hidden="1" x14ac:dyDescent="0.35">
      <c r="C124" s="43"/>
      <c r="G124" s="4"/>
      <c r="H124" s="2" t="s">
        <v>403</v>
      </c>
      <c r="I124" s="33" t="e">
        <f>C100</f>
        <v>#REF!</v>
      </c>
      <c r="J124" s="33" t="e">
        <f>C99</f>
        <v>#REF!</v>
      </c>
      <c r="K124" s="33" t="e">
        <f>$C$15*I124</f>
        <v>#REF!</v>
      </c>
      <c r="L124" s="33" t="e">
        <f>$C$15*J124</f>
        <v>#REF!</v>
      </c>
      <c r="M124" s="33" t="e">
        <f>$C$15*J124</f>
        <v>#REF!</v>
      </c>
      <c r="R124" s="4"/>
      <c r="S124" s="4"/>
      <c r="T124" s="4"/>
      <c r="U124" s="4"/>
      <c r="V124" s="4"/>
      <c r="W124" s="4"/>
    </row>
    <row r="125" spans="1:23" ht="18.75" hidden="1" x14ac:dyDescent="0.35">
      <c r="C125" s="43"/>
      <c r="G125" s="4"/>
      <c r="H125" s="2" t="s">
        <v>404</v>
      </c>
      <c r="I125" s="33">
        <f>C135</f>
        <v>2978.5708364646098</v>
      </c>
      <c r="J125" s="33">
        <f>C134</f>
        <v>-1.6738750855891311</v>
      </c>
      <c r="K125" s="33">
        <f>$C$15*I125</f>
        <v>1936.0710437019964</v>
      </c>
      <c r="L125" s="33">
        <f>$C$15*J125</f>
        <v>-1.0880188056329352</v>
      </c>
      <c r="M125" s="33">
        <f>$C$15*J125</f>
        <v>-1.0880188056329352</v>
      </c>
      <c r="R125" s="4"/>
      <c r="S125" s="4"/>
      <c r="T125" s="4"/>
      <c r="U125" s="4"/>
      <c r="V125" s="4"/>
      <c r="W125" s="4"/>
    </row>
    <row r="126" spans="1:23" ht="18.75" hidden="1" x14ac:dyDescent="0.35">
      <c r="A126" s="4" t="s">
        <v>421</v>
      </c>
      <c r="B126" s="63" t="s">
        <v>384</v>
      </c>
      <c r="C126" s="52">
        <f>(C105-C$71)/C105*$C$10</f>
        <v>-8.2377913043478277E-3</v>
      </c>
      <c r="D126" s="4" t="s">
        <v>22</v>
      </c>
      <c r="G126" s="4"/>
      <c r="H126" s="2" t="s">
        <v>255</v>
      </c>
      <c r="I126" s="33">
        <v>0</v>
      </c>
      <c r="J126" s="33">
        <f>-C66</f>
        <v>-265.07188014663876</v>
      </c>
      <c r="K126" s="33">
        <f>$C$15*I126</f>
        <v>0</v>
      </c>
      <c r="L126" s="33">
        <f>$C$15*J126</f>
        <v>-172.2967220953152</v>
      </c>
      <c r="M126" s="33">
        <f>$C$15*J126</f>
        <v>-172.2967220953152</v>
      </c>
      <c r="R126" s="4"/>
      <c r="S126" s="4"/>
      <c r="T126" s="4"/>
      <c r="U126" s="4"/>
      <c r="V126" s="4"/>
      <c r="W126" s="4"/>
    </row>
    <row r="127" spans="1:23" ht="18.75" hidden="1" x14ac:dyDescent="0.35">
      <c r="A127" s="4" t="s">
        <v>422</v>
      </c>
      <c r="B127" s="63" t="s">
        <v>385</v>
      </c>
      <c r="C127" s="43">
        <f>IF(ABS(C126)&gt;$C$11,IF(C126&lt;0,-fy/1000,fy/1000),(ModulusElasticity/1000)*C126)</f>
        <v>-60</v>
      </c>
      <c r="D127" s="4" t="s">
        <v>244</v>
      </c>
      <c r="G127" s="4"/>
      <c r="H127" s="2"/>
      <c r="I127" s="33"/>
      <c r="J127" s="33"/>
      <c r="K127" s="33"/>
      <c r="L127" s="33"/>
      <c r="M127" s="33"/>
      <c r="R127" s="4"/>
      <c r="S127" s="4"/>
      <c r="T127" s="4"/>
      <c r="U127" s="4"/>
      <c r="V127" s="4"/>
      <c r="W127" s="4"/>
    </row>
    <row r="128" spans="1:23" ht="18.75" hidden="1" x14ac:dyDescent="0.35">
      <c r="A128" s="4" t="s">
        <v>423</v>
      </c>
      <c r="B128" s="64" t="s">
        <v>386</v>
      </c>
      <c r="C128" s="58">
        <f>C127*(2*$C$46)</f>
        <v>-53.014376029327757</v>
      </c>
      <c r="D128" s="39" t="s">
        <v>97</v>
      </c>
      <c r="G128" s="4"/>
      <c r="H128" s="4"/>
      <c r="I128" s="2" t="s">
        <v>246</v>
      </c>
      <c r="J128" s="2" t="s">
        <v>245</v>
      </c>
      <c r="K128" s="2" t="s">
        <v>251</v>
      </c>
      <c r="L128" s="2" t="s">
        <v>252</v>
      </c>
      <c r="M128" s="2" t="s">
        <v>336</v>
      </c>
      <c r="R128" s="4"/>
      <c r="S128" s="4"/>
      <c r="T128" s="4"/>
      <c r="U128" s="4"/>
      <c r="V128" s="4"/>
      <c r="W128" s="4"/>
    </row>
    <row r="129" spans="1:23" ht="18.75" hidden="1" x14ac:dyDescent="0.35">
      <c r="A129" s="4" t="s">
        <v>232</v>
      </c>
      <c r="B129" s="63" t="s">
        <v>387</v>
      </c>
      <c r="C129" s="43">
        <f>C105-C$71</f>
        <v>-15.789100000000001</v>
      </c>
      <c r="D129" s="4" t="s">
        <v>21</v>
      </c>
      <c r="G129" s="4"/>
      <c r="H129" s="4"/>
      <c r="I129" s="3" t="s">
        <v>244</v>
      </c>
      <c r="J129" s="3" t="s">
        <v>244</v>
      </c>
      <c r="K129" s="3" t="s">
        <v>244</v>
      </c>
      <c r="L129" s="3" t="s">
        <v>244</v>
      </c>
      <c r="M129" s="3" t="s">
        <v>244</v>
      </c>
      <c r="R129" s="4"/>
      <c r="S129" s="4"/>
      <c r="T129" s="4"/>
      <c r="U129" s="4"/>
      <c r="V129" s="4"/>
      <c r="W129" s="4"/>
    </row>
    <row r="130" spans="1:23" ht="18.75" hidden="1" x14ac:dyDescent="0.35">
      <c r="A130" s="4" t="s">
        <v>424</v>
      </c>
      <c r="B130" s="63" t="s">
        <v>388</v>
      </c>
      <c r="C130" s="52">
        <f>(C105-C$72)/C105*$C$10</f>
        <v>-1.0346347826086956E-2</v>
      </c>
      <c r="D130" s="4" t="s">
        <v>22</v>
      </c>
      <c r="G130" s="4"/>
      <c r="H130" s="2" t="s">
        <v>242</v>
      </c>
      <c r="I130" s="8">
        <f>I122/($C$58*$C$42)</f>
        <v>0</v>
      </c>
      <c r="J130" s="8">
        <f>J122/$C$58</f>
        <v>2.6345914544278872</v>
      </c>
      <c r="K130" s="8">
        <f>K122/(C$58*C$42)</f>
        <v>0</v>
      </c>
      <c r="L130" s="8">
        <f>L122/(C$58)</f>
        <v>1.7124844453781267</v>
      </c>
      <c r="M130" s="8">
        <f>M122/C$58</f>
        <v>1.3699875563025015</v>
      </c>
      <c r="R130" s="4"/>
      <c r="S130" s="4"/>
      <c r="T130" s="4"/>
      <c r="U130" s="4"/>
      <c r="V130" s="4"/>
      <c r="W130" s="4"/>
    </row>
    <row r="131" spans="1:23" ht="18.75" hidden="1" x14ac:dyDescent="0.35">
      <c r="A131" s="4" t="s">
        <v>233</v>
      </c>
      <c r="B131" s="63" t="s">
        <v>389</v>
      </c>
      <c r="C131" s="43">
        <f>IF(ABS(C130)&gt;$C$11,IF(C130&lt;0,-fy/1000,fy/1000),(ModulusElasticity/1000)*C130)</f>
        <v>-60</v>
      </c>
      <c r="D131" s="4" t="s">
        <v>244</v>
      </c>
      <c r="G131" s="4"/>
      <c r="H131" s="2" t="s">
        <v>335</v>
      </c>
      <c r="I131" s="8" t="e">
        <f>I123/($C$58*$C$42)</f>
        <v>#REF!</v>
      </c>
      <c r="J131" s="8" t="e">
        <f>J123/$C$58</f>
        <v>#REF!</v>
      </c>
      <c r="K131" s="8" t="e">
        <f>K123/(C$58*C$42)</f>
        <v>#REF!</v>
      </c>
      <c r="L131" s="8" t="e">
        <f>L123/(C$58)</f>
        <v>#REF!</v>
      </c>
      <c r="M131" s="8">
        <f>M123/C$58</f>
        <v>1.3699875563025015</v>
      </c>
      <c r="R131" s="4"/>
      <c r="S131" s="4"/>
      <c r="T131" s="4"/>
      <c r="U131" s="4"/>
      <c r="V131" s="4"/>
      <c r="W131" s="4"/>
    </row>
    <row r="132" spans="1:23" ht="18.75" hidden="1" x14ac:dyDescent="0.35">
      <c r="A132" s="4" t="s">
        <v>424</v>
      </c>
      <c r="B132" s="64" t="s">
        <v>390</v>
      </c>
      <c r="C132" s="58">
        <f>C131*(2*$C$46)</f>
        <v>-53.014376029327757</v>
      </c>
      <c r="D132" s="39" t="s">
        <v>97</v>
      </c>
      <c r="G132" s="4"/>
      <c r="H132" s="2" t="s">
        <v>403</v>
      </c>
      <c r="I132" s="8" t="e">
        <f>I124/($C$58*$C$42)</f>
        <v>#REF!</v>
      </c>
      <c r="J132" s="8" t="e">
        <f>J124/$C$58</f>
        <v>#REF!</v>
      </c>
      <c r="K132" s="8" t="e">
        <f>K124/(C$58*C$42)</f>
        <v>#REF!</v>
      </c>
      <c r="L132" s="8" t="e">
        <f>L124/(C$58)</f>
        <v>#REF!</v>
      </c>
      <c r="M132" s="8" t="e">
        <f>M124/C$58</f>
        <v>#REF!</v>
      </c>
      <c r="R132" s="4"/>
      <c r="S132" s="4"/>
      <c r="T132" s="4"/>
      <c r="U132" s="4"/>
      <c r="V132" s="4"/>
      <c r="W132" s="4"/>
    </row>
    <row r="133" spans="1:23" ht="18.75" hidden="1" x14ac:dyDescent="0.35">
      <c r="A133" s="4" t="s">
        <v>233</v>
      </c>
      <c r="B133" s="63" t="s">
        <v>391</v>
      </c>
      <c r="C133" s="43">
        <f>C105-C$72</f>
        <v>-19.830500000000001</v>
      </c>
      <c r="D133" s="4" t="s">
        <v>21</v>
      </c>
      <c r="G133" s="4"/>
      <c r="H133" s="2" t="s">
        <v>404</v>
      </c>
      <c r="I133" s="8">
        <f>I125/($C$58*$C$42)</f>
        <v>0.19891138434868019</v>
      </c>
      <c r="J133" s="8">
        <f>J125/$C$58</f>
        <v>-2.6827857690018492E-3</v>
      </c>
      <c r="K133" s="8">
        <f>K125/(C$58*C$42)</f>
        <v>0.12929239982664212</v>
      </c>
      <c r="L133" s="8">
        <f>L125/(C$58)</f>
        <v>-1.7438107498512021E-3</v>
      </c>
      <c r="M133" s="8">
        <f>M125/C$58</f>
        <v>-1.7438107498512021E-3</v>
      </c>
      <c r="R133" s="4"/>
      <c r="S133" s="4"/>
      <c r="T133" s="4"/>
      <c r="U133" s="4"/>
      <c r="V133" s="4"/>
      <c r="W133" s="4"/>
    </row>
    <row r="134" spans="1:23" ht="18.75" hidden="1" x14ac:dyDescent="0.35">
      <c r="A134" s="4" t="s">
        <v>425</v>
      </c>
      <c r="B134" s="63" t="s">
        <v>392</v>
      </c>
      <c r="C134" s="59">
        <f>C108+C112+C116+C120+C128+C132</f>
        <v>-1.6738750855891311</v>
      </c>
      <c r="D134" s="4" t="s">
        <v>97</v>
      </c>
      <c r="E134" s="9" t="s">
        <v>237</v>
      </c>
      <c r="G134" s="4"/>
      <c r="H134" s="2" t="s">
        <v>255</v>
      </c>
      <c r="I134" s="8">
        <f>I126/($C$58*$C$42)</f>
        <v>0</v>
      </c>
      <c r="J134" s="8">
        <f>J126/$C$58</f>
        <v>-0.4248411807680853</v>
      </c>
      <c r="K134" s="8">
        <f>K126/(C$58*C$42)</f>
        <v>0</v>
      </c>
      <c r="L134" s="8">
        <f>L126/(C$58)</f>
        <v>-0.27614676749925549</v>
      </c>
      <c r="M134" s="8">
        <f>M126/C$58</f>
        <v>-0.27614676749925549</v>
      </c>
      <c r="R134" s="4"/>
      <c r="S134" s="4"/>
      <c r="T134" s="4"/>
      <c r="U134" s="4"/>
      <c r="V134" s="4"/>
      <c r="W134" s="4"/>
    </row>
    <row r="135" spans="1:23" ht="18.75" hidden="1" x14ac:dyDescent="0.35">
      <c r="A135" s="4" t="s">
        <v>426</v>
      </c>
      <c r="B135" s="63" t="s">
        <v>393</v>
      </c>
      <c r="C135" s="60">
        <f>C108*C109+C112*C113+C116*C117+C120*C121+C128*C129+C132*C133</f>
        <v>2978.5708364646098</v>
      </c>
      <c r="D135" s="4" t="s">
        <v>234</v>
      </c>
      <c r="E135" s="9" t="s">
        <v>236</v>
      </c>
      <c r="G135" s="4"/>
      <c r="H135" s="3"/>
      <c r="I135" s="3"/>
      <c r="J135" s="3"/>
      <c r="K135" s="3"/>
      <c r="L135" s="3"/>
      <c r="M135" s="3"/>
      <c r="R135" s="4"/>
      <c r="S135" s="4"/>
      <c r="T135" s="4"/>
      <c r="U135" s="4"/>
      <c r="V135" s="4"/>
      <c r="W135" s="4"/>
    </row>
    <row r="136" spans="1:23" ht="15" hidden="1" thickBot="1" x14ac:dyDescent="0.25">
      <c r="C136" s="61">
        <f>C135/12</f>
        <v>248.21423637205081</v>
      </c>
      <c r="D136" s="4" t="s">
        <v>235</v>
      </c>
      <c r="G136" s="4"/>
      <c r="H136" s="3"/>
      <c r="I136" s="3"/>
      <c r="J136" s="3"/>
      <c r="K136" s="3"/>
      <c r="L136" s="3"/>
      <c r="M136" s="3"/>
      <c r="R136" s="4"/>
      <c r="S136" s="4"/>
      <c r="T136" s="4"/>
      <c r="U136" s="4"/>
      <c r="V136" s="4"/>
      <c r="W136" s="4"/>
    </row>
    <row r="137" spans="1:23" hidden="1" x14ac:dyDescent="0.2">
      <c r="G137" s="4"/>
      <c r="H137" s="3"/>
      <c r="I137" s="3"/>
      <c r="J137" s="3"/>
      <c r="K137" s="3"/>
      <c r="L137" s="3"/>
      <c r="M137" s="3"/>
      <c r="R137" s="4"/>
      <c r="S137" s="4"/>
      <c r="T137" s="4"/>
      <c r="U137" s="4"/>
      <c r="V137" s="4"/>
      <c r="W137" s="4"/>
    </row>
    <row r="138" spans="1:23" hidden="1" x14ac:dyDescent="0.2">
      <c r="G138" s="4"/>
      <c r="H138" s="3"/>
      <c r="I138" s="3"/>
      <c r="J138" s="3"/>
      <c r="K138" s="3"/>
      <c r="L138" s="3"/>
      <c r="M138" s="3"/>
      <c r="R138" s="4"/>
      <c r="S138" s="4"/>
      <c r="T138" s="4"/>
      <c r="U138" s="4"/>
      <c r="V138" s="4"/>
      <c r="W138" s="4"/>
    </row>
    <row r="139" spans="1:23" hidden="1" x14ac:dyDescent="0.2">
      <c r="G139" s="4"/>
      <c r="H139" s="3"/>
      <c r="I139" s="3"/>
      <c r="J139" s="3"/>
      <c r="K139" s="3"/>
      <c r="L139" s="3"/>
      <c r="M139" s="3"/>
      <c r="R139" s="4"/>
      <c r="S139" s="4"/>
      <c r="T139" s="4"/>
      <c r="U139" s="4"/>
      <c r="V139" s="4"/>
      <c r="W139" s="4"/>
    </row>
    <row r="140" spans="1:23" hidden="1" x14ac:dyDescent="0.2">
      <c r="G140" s="4"/>
      <c r="H140" s="3"/>
      <c r="I140" s="3"/>
      <c r="J140" s="3"/>
      <c r="K140" s="3"/>
      <c r="L140" s="3"/>
      <c r="M140" s="3"/>
      <c r="R140" s="4"/>
      <c r="S140" s="4"/>
      <c r="T140" s="4"/>
      <c r="U140" s="4"/>
      <c r="V140" s="4"/>
      <c r="W140" s="4"/>
    </row>
    <row r="141" spans="1:23" hidden="1" x14ac:dyDescent="0.2">
      <c r="G141" s="4"/>
      <c r="H141" s="3"/>
      <c r="I141" s="3"/>
      <c r="J141" s="3"/>
      <c r="K141" s="3"/>
      <c r="L141" s="3"/>
      <c r="M141" s="3"/>
      <c r="R141" s="4"/>
      <c r="S141" s="4"/>
      <c r="T141" s="4"/>
      <c r="U141" s="4"/>
      <c r="V141" s="4"/>
      <c r="W141" s="4"/>
    </row>
    <row r="142" spans="1:23" hidden="1" x14ac:dyDescent="0.2">
      <c r="G142" s="4"/>
      <c r="H142" s="3"/>
      <c r="I142" s="3"/>
      <c r="J142" s="3"/>
      <c r="K142" s="3"/>
      <c r="L142" s="3"/>
      <c r="M142" s="3"/>
      <c r="R142" s="4"/>
      <c r="S142" s="4"/>
      <c r="T142" s="4"/>
      <c r="U142" s="4"/>
      <c r="V142" s="4"/>
      <c r="W142" s="4"/>
    </row>
    <row r="143" spans="1:23" hidden="1" x14ac:dyDescent="0.2">
      <c r="G143" s="4"/>
      <c r="H143" s="3"/>
      <c r="I143" s="3"/>
      <c r="J143" s="3"/>
      <c r="K143" s="3"/>
      <c r="L143" s="3"/>
      <c r="M143" s="3"/>
      <c r="R143" s="4"/>
      <c r="S143" s="4"/>
      <c r="T143" s="4"/>
      <c r="U143" s="4"/>
      <c r="V143" s="4"/>
      <c r="W143" s="4"/>
    </row>
    <row r="144" spans="1:23" hidden="1" x14ac:dyDescent="0.2">
      <c r="G144" s="4"/>
      <c r="H144" s="3"/>
      <c r="I144" s="3"/>
      <c r="J144" s="3"/>
      <c r="K144" s="3"/>
      <c r="L144" s="3"/>
      <c r="M144" s="3"/>
      <c r="R144" s="4"/>
      <c r="S144" s="4"/>
      <c r="T144" s="4"/>
      <c r="U144" s="4"/>
      <c r="V144" s="4"/>
      <c r="W144" s="4"/>
    </row>
    <row r="145" spans="7:23" hidden="1" x14ac:dyDescent="0.2">
      <c r="G145" s="4"/>
      <c r="H145" s="3"/>
      <c r="I145" s="3"/>
      <c r="J145" s="3"/>
      <c r="K145" s="3"/>
      <c r="L145" s="3"/>
      <c r="M145" s="3"/>
      <c r="R145" s="4"/>
      <c r="S145" s="4"/>
      <c r="T145" s="4"/>
      <c r="U145" s="4"/>
      <c r="V145" s="4"/>
      <c r="W145" s="4"/>
    </row>
    <row r="146" spans="7:23" hidden="1" x14ac:dyDescent="0.2">
      <c r="G146" s="4"/>
      <c r="H146" s="3"/>
      <c r="I146" s="3"/>
      <c r="J146" s="3"/>
      <c r="K146" s="3"/>
      <c r="L146" s="3"/>
      <c r="M146" s="3"/>
      <c r="R146" s="4"/>
      <c r="S146" s="4"/>
      <c r="T146" s="4"/>
      <c r="U146" s="4"/>
      <c r="V146" s="4"/>
      <c r="W146" s="4"/>
    </row>
    <row r="147" spans="7:23" hidden="1" x14ac:dyDescent="0.2">
      <c r="G147" s="4"/>
      <c r="H147" s="3"/>
      <c r="I147" s="3"/>
      <c r="J147" s="3"/>
      <c r="K147" s="3"/>
      <c r="L147" s="3"/>
      <c r="M147" s="3"/>
      <c r="R147" s="4"/>
      <c r="S147" s="4"/>
      <c r="T147" s="4"/>
      <c r="U147" s="4"/>
      <c r="V147" s="4"/>
      <c r="W147" s="4"/>
    </row>
    <row r="148" spans="7:23" hidden="1" x14ac:dyDescent="0.2">
      <c r="G148" s="4"/>
      <c r="H148" s="3"/>
      <c r="I148" s="3"/>
      <c r="J148" s="3"/>
      <c r="K148" s="3"/>
      <c r="L148" s="3"/>
      <c r="M148" s="3"/>
      <c r="R148" s="4"/>
      <c r="S148" s="4"/>
      <c r="T148" s="4"/>
      <c r="U148" s="4"/>
      <c r="V148" s="4"/>
      <c r="W148" s="4"/>
    </row>
    <row r="149" spans="7:23" hidden="1" x14ac:dyDescent="0.2">
      <c r="G149" s="4"/>
      <c r="H149" s="3"/>
      <c r="I149" s="3"/>
      <c r="J149" s="3"/>
      <c r="K149" s="3"/>
      <c r="L149" s="3"/>
      <c r="M149" s="3"/>
      <c r="R149" s="4"/>
      <c r="S149" s="4"/>
      <c r="T149" s="4"/>
      <c r="U149" s="4"/>
      <c r="V149" s="4"/>
      <c r="W149" s="4"/>
    </row>
    <row r="150" spans="7:23" hidden="1" x14ac:dyDescent="0.2">
      <c r="G150" s="4"/>
      <c r="H150" s="3"/>
      <c r="I150" s="3"/>
      <c r="J150" s="3"/>
      <c r="K150" s="3"/>
      <c r="L150" s="3"/>
      <c r="M150" s="3"/>
      <c r="R150" s="4"/>
      <c r="S150" s="4"/>
      <c r="T150" s="4"/>
      <c r="U150" s="4"/>
      <c r="V150" s="4"/>
      <c r="W150" s="4"/>
    </row>
    <row r="151" spans="7:23" hidden="1" x14ac:dyDescent="0.2">
      <c r="G151" s="4"/>
      <c r="H151" s="3"/>
      <c r="I151" s="3"/>
      <c r="J151" s="3"/>
      <c r="K151" s="3"/>
      <c r="L151" s="3"/>
      <c r="M151" s="3"/>
      <c r="R151" s="4"/>
      <c r="S151" s="4"/>
      <c r="T151" s="4"/>
      <c r="U151" s="4"/>
      <c r="V151" s="4"/>
      <c r="W151" s="4"/>
    </row>
    <row r="152" spans="7:23" hidden="1" x14ac:dyDescent="0.2">
      <c r="G152" s="4"/>
      <c r="H152" s="3"/>
      <c r="I152" s="3"/>
      <c r="J152" s="3"/>
      <c r="K152" s="3"/>
      <c r="L152" s="3"/>
      <c r="M152" s="3"/>
      <c r="R152" s="4"/>
      <c r="S152" s="4"/>
      <c r="T152" s="4"/>
      <c r="U152" s="4"/>
      <c r="V152" s="4"/>
      <c r="W152" s="4"/>
    </row>
    <row r="153" spans="7:23" hidden="1" x14ac:dyDescent="0.2">
      <c r="G153" s="4"/>
      <c r="H153" s="3"/>
      <c r="I153" s="3"/>
      <c r="J153" s="3"/>
      <c r="K153" s="3"/>
      <c r="L153" s="3"/>
      <c r="M153" s="3"/>
      <c r="R153" s="4"/>
      <c r="S153" s="4"/>
      <c r="T153" s="4"/>
      <c r="U153" s="4"/>
      <c r="V153" s="4"/>
      <c r="W153" s="4"/>
    </row>
    <row r="154" spans="7:23" hidden="1" x14ac:dyDescent="0.2">
      <c r="G154" s="4"/>
      <c r="H154" s="3"/>
      <c r="I154" s="3"/>
      <c r="J154" s="3"/>
      <c r="K154" s="3"/>
      <c r="L154" s="3"/>
      <c r="M154" s="3"/>
      <c r="R154" s="4"/>
      <c r="S154" s="4"/>
      <c r="T154" s="4"/>
      <c r="U154" s="4"/>
      <c r="V154" s="4"/>
      <c r="W154" s="4"/>
    </row>
    <row r="155" spans="7:23" hidden="1" x14ac:dyDescent="0.2">
      <c r="G155" s="4"/>
      <c r="H155" s="3"/>
      <c r="I155" s="3"/>
      <c r="J155" s="3"/>
      <c r="K155" s="3"/>
      <c r="L155" s="3"/>
      <c r="M155" s="3"/>
      <c r="R155" s="4"/>
      <c r="S155" s="4"/>
      <c r="T155" s="4"/>
      <c r="U155" s="4"/>
      <c r="V155" s="4"/>
      <c r="W155" s="4"/>
    </row>
    <row r="156" spans="7:23" hidden="1" x14ac:dyDescent="0.2">
      <c r="G156" s="4"/>
      <c r="H156" s="3"/>
      <c r="I156" s="3"/>
      <c r="J156" s="3"/>
      <c r="K156" s="3"/>
      <c r="L156" s="3"/>
      <c r="M156" s="3"/>
      <c r="R156" s="4"/>
      <c r="S156" s="4"/>
      <c r="T156" s="4"/>
      <c r="U156" s="4"/>
      <c r="V156" s="4"/>
      <c r="W156" s="4"/>
    </row>
    <row r="157" spans="7:23" hidden="1" x14ac:dyDescent="0.2">
      <c r="G157" s="4"/>
      <c r="H157" s="3"/>
      <c r="I157" s="3"/>
      <c r="J157" s="3"/>
      <c r="K157" s="3"/>
      <c r="L157" s="3"/>
      <c r="M157" s="3"/>
      <c r="R157" s="4"/>
      <c r="S157" s="4"/>
      <c r="T157" s="4"/>
      <c r="U157" s="4"/>
      <c r="V157" s="4"/>
      <c r="W157" s="4"/>
    </row>
    <row r="158" spans="7:23" hidden="1" x14ac:dyDescent="0.2">
      <c r="G158" s="4"/>
      <c r="H158" s="3"/>
      <c r="I158" s="3"/>
      <c r="J158" s="3"/>
      <c r="K158" s="3"/>
      <c r="L158" s="3"/>
      <c r="M158" s="3"/>
      <c r="R158" s="4"/>
      <c r="S158" s="4"/>
      <c r="T158" s="4"/>
      <c r="U158" s="4"/>
      <c r="V158" s="4"/>
      <c r="W158" s="4"/>
    </row>
    <row r="159" spans="7:23" hidden="1" x14ac:dyDescent="0.2">
      <c r="G159" s="4"/>
      <c r="H159" s="3"/>
      <c r="I159" s="3"/>
      <c r="J159" s="3"/>
      <c r="K159" s="3"/>
      <c r="L159" s="3"/>
      <c r="M159" s="3"/>
      <c r="R159" s="4"/>
      <c r="S159" s="4"/>
      <c r="T159" s="4"/>
      <c r="U159" s="4"/>
      <c r="V159" s="4"/>
      <c r="W159" s="4"/>
    </row>
    <row r="160" spans="7:23" hidden="1" x14ac:dyDescent="0.2">
      <c r="G160" s="4"/>
      <c r="H160" s="3"/>
      <c r="I160" s="3"/>
      <c r="J160" s="3"/>
      <c r="K160" s="3"/>
      <c r="L160" s="3"/>
      <c r="M160" s="3"/>
      <c r="R160" s="4"/>
      <c r="S160" s="4"/>
      <c r="T160" s="4"/>
      <c r="U160" s="4"/>
      <c r="V160" s="4"/>
      <c r="W160" s="4"/>
    </row>
    <row r="161" spans="7:23" hidden="1" x14ac:dyDescent="0.2">
      <c r="G161" s="4"/>
      <c r="H161" s="3"/>
      <c r="I161" s="3"/>
      <c r="J161" s="3"/>
      <c r="K161" s="3"/>
      <c r="L161" s="3"/>
      <c r="M161" s="3"/>
      <c r="R161" s="4"/>
      <c r="S161" s="4"/>
      <c r="T161" s="4"/>
      <c r="U161" s="4"/>
      <c r="V161" s="4"/>
      <c r="W161" s="4"/>
    </row>
    <row r="162" spans="7:23" hidden="1" x14ac:dyDescent="0.2">
      <c r="G162" s="4"/>
      <c r="H162" s="3"/>
      <c r="I162" s="3"/>
      <c r="J162" s="3"/>
      <c r="K162" s="3"/>
      <c r="L162" s="3"/>
      <c r="M162" s="3"/>
      <c r="R162" s="4"/>
      <c r="S162" s="4"/>
      <c r="T162" s="4"/>
      <c r="U162" s="4"/>
      <c r="V162" s="4"/>
      <c r="W162" s="4"/>
    </row>
    <row r="163" spans="7:23" hidden="1" x14ac:dyDescent="0.2">
      <c r="G163" s="4"/>
      <c r="H163" s="3"/>
      <c r="I163" s="3"/>
      <c r="J163" s="3"/>
      <c r="K163" s="3"/>
      <c r="L163" s="3"/>
      <c r="M163" s="3"/>
      <c r="R163" s="4"/>
      <c r="S163" s="4"/>
      <c r="T163" s="4"/>
      <c r="U163" s="4"/>
      <c r="V163" s="4"/>
      <c r="W163" s="4"/>
    </row>
    <row r="164" spans="7:23" hidden="1" x14ac:dyDescent="0.2">
      <c r="G164" s="4"/>
      <c r="H164" s="3"/>
      <c r="I164" s="3"/>
      <c r="J164" s="3"/>
      <c r="K164" s="3"/>
      <c r="L164" s="3"/>
      <c r="M164" s="3"/>
      <c r="R164" s="4"/>
      <c r="S164" s="4"/>
      <c r="T164" s="4"/>
      <c r="U164" s="4"/>
      <c r="V164" s="4"/>
      <c r="W164" s="4"/>
    </row>
    <row r="165" spans="7:23" hidden="1" x14ac:dyDescent="0.2">
      <c r="G165" s="4"/>
      <c r="H165" s="3"/>
      <c r="I165" s="3"/>
      <c r="J165" s="3"/>
      <c r="K165" s="3"/>
      <c r="L165" s="3"/>
      <c r="M165" s="3"/>
      <c r="R165" s="4"/>
      <c r="S165" s="4"/>
      <c r="T165" s="4"/>
      <c r="U165" s="4"/>
      <c r="V165" s="4"/>
      <c r="W165" s="4"/>
    </row>
    <row r="166" spans="7:23" hidden="1" x14ac:dyDescent="0.2">
      <c r="G166" s="4"/>
      <c r="H166" s="3"/>
      <c r="I166" s="3"/>
      <c r="J166" s="3"/>
      <c r="K166" s="3"/>
      <c r="L166" s="3"/>
      <c r="M166" s="3"/>
      <c r="R166" s="4"/>
      <c r="S166" s="4"/>
      <c r="T166" s="4"/>
      <c r="U166" s="4"/>
      <c r="V166" s="4"/>
      <c r="W166" s="4"/>
    </row>
    <row r="167" spans="7:23" hidden="1" x14ac:dyDescent="0.2">
      <c r="G167" s="4"/>
      <c r="H167" s="3"/>
      <c r="I167" s="3"/>
      <c r="J167" s="3"/>
      <c r="K167" s="3"/>
      <c r="L167" s="3"/>
      <c r="M167" s="3"/>
      <c r="R167" s="4"/>
      <c r="S167" s="4"/>
      <c r="T167" s="4"/>
      <c r="U167" s="4"/>
      <c r="V167" s="4"/>
      <c r="W167" s="4"/>
    </row>
    <row r="168" spans="7:23" hidden="1" x14ac:dyDescent="0.2">
      <c r="G168" s="4"/>
      <c r="H168" s="3"/>
      <c r="I168" s="3"/>
      <c r="J168" s="3"/>
      <c r="K168" s="3"/>
      <c r="L168" s="3"/>
      <c r="M168" s="3"/>
      <c r="R168" s="4"/>
      <c r="S168" s="4"/>
      <c r="T168" s="4"/>
      <c r="U168" s="4"/>
      <c r="V168" s="4"/>
      <c r="W168" s="4"/>
    </row>
    <row r="169" spans="7:23" hidden="1" x14ac:dyDescent="0.2">
      <c r="G169" s="4"/>
      <c r="H169" s="3"/>
      <c r="I169" s="3"/>
      <c r="J169" s="3"/>
      <c r="K169" s="3"/>
      <c r="L169" s="3"/>
      <c r="M169" s="3"/>
      <c r="R169" s="4"/>
      <c r="S169" s="4"/>
      <c r="T169" s="4"/>
      <c r="U169" s="4"/>
      <c r="V169" s="4"/>
      <c r="W169" s="4"/>
    </row>
    <row r="170" spans="7:23" hidden="1" x14ac:dyDescent="0.2">
      <c r="G170" s="4"/>
      <c r="H170" s="3"/>
      <c r="I170" s="3"/>
      <c r="J170" s="3"/>
      <c r="K170" s="3"/>
      <c r="L170" s="3"/>
      <c r="M170" s="3"/>
      <c r="R170" s="4"/>
      <c r="S170" s="4"/>
      <c r="T170" s="4"/>
      <c r="U170" s="4"/>
      <c r="V170" s="4"/>
      <c r="W170" s="4"/>
    </row>
    <row r="171" spans="7:23" hidden="1" x14ac:dyDescent="0.2">
      <c r="G171" s="4"/>
      <c r="H171" s="3"/>
      <c r="I171" s="3"/>
      <c r="J171" s="3"/>
      <c r="K171" s="3"/>
      <c r="L171" s="3"/>
      <c r="M171" s="3"/>
      <c r="R171" s="4"/>
      <c r="S171" s="4"/>
      <c r="T171" s="4"/>
      <c r="U171" s="4"/>
      <c r="V171" s="4"/>
      <c r="W171" s="4"/>
    </row>
    <row r="172" spans="7:23" hidden="1" x14ac:dyDescent="0.2">
      <c r="G172" s="4"/>
      <c r="H172" s="3"/>
      <c r="I172" s="3"/>
      <c r="J172" s="3"/>
      <c r="K172" s="3"/>
      <c r="L172" s="3"/>
      <c r="M172" s="3"/>
      <c r="R172" s="4"/>
      <c r="S172" s="4"/>
      <c r="T172" s="4"/>
      <c r="U172" s="4"/>
      <c r="V172" s="4"/>
      <c r="W172" s="4"/>
    </row>
    <row r="173" spans="7:23" hidden="1" x14ac:dyDescent="0.2">
      <c r="G173" s="4"/>
      <c r="H173" s="3"/>
      <c r="I173" s="3"/>
      <c r="J173" s="3"/>
      <c r="K173" s="3"/>
      <c r="L173" s="3"/>
      <c r="M173" s="3"/>
      <c r="R173" s="4"/>
      <c r="S173" s="4"/>
      <c r="T173" s="4"/>
      <c r="U173" s="4"/>
      <c r="V173" s="4"/>
      <c r="W173" s="4"/>
    </row>
    <row r="174" spans="7:23" hidden="1" x14ac:dyDescent="0.2">
      <c r="G174" s="4"/>
      <c r="H174" s="3"/>
      <c r="I174" s="3"/>
      <c r="J174" s="3"/>
      <c r="K174" s="3"/>
      <c r="L174" s="3"/>
      <c r="M174" s="3"/>
      <c r="R174" s="4"/>
      <c r="S174" s="4"/>
      <c r="T174" s="4"/>
      <c r="U174" s="4"/>
      <c r="V174" s="4"/>
      <c r="W174" s="4"/>
    </row>
    <row r="175" spans="7:23" hidden="1" x14ac:dyDescent="0.2">
      <c r="G175" s="4"/>
      <c r="H175" s="3"/>
      <c r="I175" s="3"/>
      <c r="J175" s="3"/>
      <c r="K175" s="3"/>
      <c r="L175" s="3"/>
      <c r="M175" s="3"/>
      <c r="R175" s="4"/>
      <c r="S175" s="4"/>
      <c r="T175" s="4"/>
      <c r="U175" s="4"/>
      <c r="V175" s="4"/>
      <c r="W175" s="4"/>
    </row>
    <row r="176" spans="7:23" hidden="1" x14ac:dyDescent="0.2">
      <c r="G176" s="4"/>
      <c r="H176" s="3"/>
      <c r="I176" s="3"/>
      <c r="J176" s="3"/>
      <c r="K176" s="3"/>
      <c r="L176" s="3"/>
      <c r="M176" s="3"/>
      <c r="R176" s="4"/>
      <c r="S176" s="4"/>
      <c r="T176" s="4"/>
      <c r="U176" s="4"/>
      <c r="V176" s="4"/>
      <c r="W176" s="4"/>
    </row>
    <row r="177" spans="7:23" hidden="1" x14ac:dyDescent="0.2">
      <c r="G177" s="4"/>
      <c r="H177" s="3"/>
      <c r="I177" s="3"/>
      <c r="J177" s="3"/>
      <c r="K177" s="3"/>
      <c r="L177" s="3"/>
      <c r="M177" s="3"/>
      <c r="R177" s="4"/>
      <c r="S177" s="4"/>
      <c r="T177" s="4"/>
      <c r="U177" s="4"/>
      <c r="V177" s="4"/>
      <c r="W177" s="4"/>
    </row>
    <row r="178" spans="7:23" hidden="1" x14ac:dyDescent="0.2">
      <c r="G178" s="4"/>
      <c r="H178" s="3"/>
      <c r="I178" s="3"/>
      <c r="J178" s="3"/>
      <c r="K178" s="3"/>
      <c r="L178" s="3"/>
      <c r="M178" s="3"/>
      <c r="R178" s="4"/>
      <c r="S178" s="4"/>
      <c r="T178" s="4"/>
      <c r="U178" s="4"/>
      <c r="V178" s="4"/>
      <c r="W178" s="4"/>
    </row>
    <row r="179" spans="7:23" hidden="1" x14ac:dyDescent="0.2">
      <c r="G179" s="4"/>
      <c r="H179" s="3"/>
      <c r="I179" s="3"/>
      <c r="J179" s="3"/>
      <c r="K179" s="3"/>
      <c r="L179" s="3"/>
      <c r="M179" s="3"/>
      <c r="R179" s="4"/>
      <c r="S179" s="4"/>
      <c r="T179" s="4"/>
      <c r="U179" s="4"/>
      <c r="V179" s="4"/>
      <c r="W179" s="4"/>
    </row>
    <row r="180" spans="7:23" hidden="1" x14ac:dyDescent="0.2">
      <c r="G180" s="4"/>
      <c r="H180" s="3"/>
      <c r="I180" s="3"/>
      <c r="J180" s="3"/>
      <c r="K180" s="3"/>
      <c r="L180" s="3"/>
      <c r="M180" s="3"/>
      <c r="R180" s="4"/>
      <c r="S180" s="4"/>
      <c r="T180" s="4"/>
      <c r="U180" s="4"/>
      <c r="V180" s="4"/>
      <c r="W180" s="4"/>
    </row>
    <row r="181" spans="7:23" hidden="1" x14ac:dyDescent="0.2">
      <c r="G181" s="4"/>
      <c r="H181" s="3"/>
      <c r="I181" s="3"/>
      <c r="J181" s="3"/>
      <c r="K181" s="3"/>
      <c r="L181" s="3"/>
      <c r="M181" s="3"/>
      <c r="R181" s="4"/>
      <c r="S181" s="4"/>
      <c r="T181" s="4"/>
      <c r="U181" s="4"/>
      <c r="V181" s="4"/>
      <c r="W181" s="4"/>
    </row>
    <row r="182" spans="7:23" hidden="1" x14ac:dyDescent="0.2">
      <c r="G182" s="4"/>
      <c r="H182" s="3"/>
      <c r="I182" s="3"/>
      <c r="J182" s="3"/>
      <c r="K182" s="3"/>
      <c r="L182" s="3"/>
      <c r="M182" s="3"/>
      <c r="R182" s="4"/>
      <c r="S182" s="4"/>
      <c r="T182" s="4"/>
      <c r="U182" s="4"/>
      <c r="V182" s="4"/>
      <c r="W182" s="4"/>
    </row>
    <row r="183" spans="7:23" hidden="1" x14ac:dyDescent="0.2">
      <c r="G183" s="4"/>
      <c r="H183" s="3"/>
      <c r="I183" s="3"/>
      <c r="J183" s="3"/>
      <c r="K183" s="3"/>
      <c r="L183" s="3"/>
      <c r="M183" s="3"/>
      <c r="R183" s="4"/>
      <c r="S183" s="4"/>
      <c r="T183" s="4"/>
      <c r="U183" s="4"/>
      <c r="V183" s="4"/>
      <c r="W183" s="4"/>
    </row>
    <row r="184" spans="7:23" hidden="1" x14ac:dyDescent="0.2">
      <c r="G184" s="4"/>
      <c r="H184" s="3"/>
      <c r="I184" s="3"/>
      <c r="J184" s="3"/>
      <c r="K184" s="3"/>
      <c r="L184" s="3"/>
      <c r="M184" s="3"/>
      <c r="R184" s="4"/>
      <c r="S184" s="4"/>
      <c r="T184" s="4"/>
      <c r="U184" s="4"/>
      <c r="V184" s="4"/>
      <c r="W184" s="4"/>
    </row>
    <row r="185" spans="7:23" hidden="1" x14ac:dyDescent="0.2">
      <c r="G185" s="4"/>
      <c r="H185" s="3"/>
      <c r="I185" s="3"/>
      <c r="J185" s="3"/>
      <c r="K185" s="3"/>
      <c r="L185" s="3"/>
      <c r="M185" s="3"/>
      <c r="R185" s="4"/>
      <c r="S185" s="4"/>
      <c r="T185" s="4"/>
      <c r="U185" s="4"/>
      <c r="V185" s="4"/>
      <c r="W185" s="4"/>
    </row>
    <row r="186" spans="7:23" hidden="1" x14ac:dyDescent="0.2">
      <c r="G186" s="4"/>
      <c r="H186" s="3"/>
      <c r="I186" s="3"/>
      <c r="J186" s="3"/>
      <c r="K186" s="3"/>
      <c r="L186" s="3"/>
      <c r="M186" s="3"/>
      <c r="R186" s="4"/>
      <c r="S186" s="4"/>
      <c r="T186" s="4"/>
      <c r="U186" s="4"/>
      <c r="V186" s="4"/>
      <c r="W186" s="4"/>
    </row>
    <row r="187" spans="7:23" hidden="1" x14ac:dyDescent="0.2">
      <c r="G187" s="4"/>
      <c r="H187" s="3"/>
      <c r="I187" s="3"/>
      <c r="J187" s="3"/>
      <c r="K187" s="3"/>
      <c r="L187" s="3"/>
      <c r="M187" s="3"/>
      <c r="R187" s="4"/>
      <c r="S187" s="4"/>
      <c r="T187" s="4"/>
      <c r="U187" s="4"/>
      <c r="V187" s="4"/>
      <c r="W187" s="4"/>
    </row>
    <row r="188" spans="7:23" hidden="1" x14ac:dyDescent="0.2">
      <c r="G188" s="4"/>
      <c r="H188" s="3"/>
      <c r="I188" s="3"/>
      <c r="J188" s="3"/>
      <c r="K188" s="3"/>
      <c r="L188" s="3"/>
      <c r="M188" s="3"/>
      <c r="R188" s="4"/>
      <c r="S188" s="4"/>
      <c r="T188" s="4"/>
      <c r="U188" s="4"/>
      <c r="V188" s="4"/>
      <c r="W188" s="4"/>
    </row>
    <row r="189" spans="7:23" hidden="1" x14ac:dyDescent="0.2">
      <c r="G189" s="4"/>
      <c r="H189" s="3"/>
      <c r="I189" s="3"/>
      <c r="J189" s="3"/>
      <c r="K189" s="3"/>
      <c r="L189" s="3"/>
      <c r="M189" s="3"/>
      <c r="R189" s="4"/>
      <c r="S189" s="4"/>
      <c r="T189" s="4"/>
      <c r="U189" s="4"/>
      <c r="V189" s="4"/>
      <c r="W189" s="4"/>
    </row>
    <row r="190" spans="7:23" hidden="1" x14ac:dyDescent="0.2">
      <c r="G190" s="4"/>
      <c r="H190" s="3"/>
      <c r="I190" s="3"/>
      <c r="J190" s="3"/>
      <c r="K190" s="3"/>
      <c r="L190" s="3"/>
      <c r="M190" s="3"/>
      <c r="R190" s="4"/>
      <c r="S190" s="4"/>
      <c r="T190" s="4"/>
      <c r="U190" s="4"/>
      <c r="V190" s="4"/>
      <c r="W190" s="4"/>
    </row>
    <row r="191" spans="7:23" hidden="1" x14ac:dyDescent="0.2">
      <c r="G191" s="4"/>
      <c r="H191" s="3"/>
      <c r="I191" s="3"/>
      <c r="J191" s="3"/>
      <c r="K191" s="3"/>
      <c r="L191" s="3"/>
      <c r="M191" s="3"/>
      <c r="R191" s="4"/>
      <c r="S191" s="4"/>
      <c r="T191" s="4"/>
      <c r="U191" s="4"/>
      <c r="V191" s="4"/>
      <c r="W191" s="4"/>
    </row>
    <row r="192" spans="7:23" x14ac:dyDescent="0.2">
      <c r="G192" s="4"/>
      <c r="H192" s="3"/>
      <c r="I192" s="3"/>
      <c r="J192" s="3"/>
      <c r="K192" s="3"/>
      <c r="L192" s="3"/>
      <c r="M192" s="3"/>
      <c r="R192" s="4"/>
      <c r="S192" s="4"/>
      <c r="T192" s="4"/>
      <c r="U192" s="4"/>
      <c r="V192" s="4"/>
      <c r="W192" s="4"/>
    </row>
    <row r="193" spans="2:23" ht="15" x14ac:dyDescent="0.25">
      <c r="B193" s="84" t="s">
        <v>551</v>
      </c>
      <c r="G193" s="4"/>
      <c r="H193" s="3"/>
      <c r="I193" s="3"/>
      <c r="J193" s="3"/>
      <c r="K193" s="3"/>
      <c r="L193" s="3"/>
      <c r="M193" s="3"/>
      <c r="R193" s="4"/>
      <c r="S193" s="4"/>
      <c r="T193" s="4"/>
      <c r="U193" s="4"/>
      <c r="V193" s="4"/>
      <c r="W193" s="4"/>
    </row>
    <row r="194" spans="2:23" x14ac:dyDescent="0.2">
      <c r="G194" s="4"/>
      <c r="H194" s="3"/>
      <c r="I194" s="3"/>
      <c r="J194" s="3"/>
      <c r="K194" s="3"/>
      <c r="L194" s="3"/>
      <c r="M194" s="3"/>
      <c r="R194" s="4"/>
      <c r="S194" s="4"/>
      <c r="T194" s="4"/>
      <c r="U194" s="4"/>
      <c r="V194" s="4"/>
      <c r="W194" s="4"/>
    </row>
    <row r="195" spans="2:23" x14ac:dyDescent="0.2">
      <c r="G195" s="4"/>
      <c r="H195" s="3"/>
      <c r="I195" s="3"/>
      <c r="J195" s="3"/>
      <c r="K195" s="3"/>
      <c r="L195" s="3"/>
      <c r="M195" s="3"/>
      <c r="R195" s="4"/>
      <c r="S195" s="4"/>
      <c r="T195" s="4"/>
      <c r="U195" s="4"/>
      <c r="V195" s="4"/>
      <c r="W195" s="4"/>
    </row>
    <row r="196" spans="2:23" x14ac:dyDescent="0.2">
      <c r="G196" s="4"/>
      <c r="H196" s="3"/>
      <c r="I196" s="3"/>
      <c r="J196" s="3"/>
      <c r="K196" s="3"/>
      <c r="L196" s="3"/>
      <c r="M196" s="3"/>
      <c r="R196" s="4"/>
      <c r="S196" s="4"/>
      <c r="T196" s="4"/>
      <c r="U196" s="4"/>
      <c r="V196" s="4"/>
      <c r="W196" s="4"/>
    </row>
    <row r="197" spans="2:23" x14ac:dyDescent="0.2">
      <c r="G197" s="4"/>
      <c r="H197" s="3"/>
      <c r="I197" s="3"/>
      <c r="J197" s="3"/>
      <c r="K197" s="3"/>
      <c r="L197" s="3"/>
      <c r="M197" s="3"/>
      <c r="R197" s="4"/>
      <c r="S197" s="4"/>
      <c r="T197" s="4"/>
      <c r="U197" s="4"/>
      <c r="V197" s="4"/>
      <c r="W197" s="4"/>
    </row>
    <row r="198" spans="2:23" x14ac:dyDescent="0.2">
      <c r="G198" s="4"/>
      <c r="H198" s="3"/>
      <c r="I198" s="3"/>
      <c r="J198" s="3"/>
      <c r="K198" s="3"/>
      <c r="L198" s="3"/>
      <c r="M198" s="3"/>
      <c r="R198" s="4"/>
      <c r="S198" s="4"/>
      <c r="T198" s="4"/>
      <c r="U198" s="4"/>
      <c r="V198" s="4"/>
      <c r="W198" s="4"/>
    </row>
    <row r="199" spans="2:23" x14ac:dyDescent="0.2">
      <c r="G199" s="4"/>
      <c r="H199" s="3"/>
      <c r="I199" s="3"/>
      <c r="J199" s="3"/>
      <c r="K199" s="3"/>
      <c r="L199" s="3"/>
      <c r="M199" s="3"/>
      <c r="R199" s="4"/>
      <c r="S199" s="4"/>
      <c r="T199" s="4"/>
      <c r="U199" s="4"/>
      <c r="V199" s="4"/>
      <c r="W199" s="4"/>
    </row>
    <row r="200" spans="2:23" x14ac:dyDescent="0.2">
      <c r="G200" s="4"/>
      <c r="H200" s="3"/>
      <c r="I200" s="3"/>
      <c r="J200" s="3"/>
      <c r="K200" s="3"/>
      <c r="L200" s="3"/>
      <c r="M200" s="3"/>
      <c r="R200" s="4"/>
      <c r="S200" s="4"/>
      <c r="T200" s="4"/>
      <c r="U200" s="4"/>
      <c r="V200" s="4"/>
      <c r="W200" s="4"/>
    </row>
    <row r="201" spans="2:23" x14ac:dyDescent="0.2">
      <c r="G201" s="4"/>
      <c r="H201" s="3"/>
      <c r="I201" s="3"/>
      <c r="J201" s="3"/>
      <c r="K201" s="3"/>
      <c r="L201" s="3"/>
      <c r="M201" s="3"/>
      <c r="R201" s="4"/>
      <c r="S201" s="4"/>
      <c r="T201" s="4"/>
      <c r="U201" s="4"/>
      <c r="V201" s="4"/>
      <c r="W201" s="4"/>
    </row>
    <row r="202" spans="2:23" x14ac:dyDescent="0.2">
      <c r="G202" s="4"/>
      <c r="H202" s="3"/>
      <c r="I202" s="3"/>
      <c r="J202" s="3"/>
      <c r="K202" s="3"/>
      <c r="L202" s="3"/>
      <c r="M202" s="3"/>
      <c r="R202" s="4"/>
      <c r="S202" s="4"/>
      <c r="T202" s="4"/>
      <c r="U202" s="4"/>
      <c r="V202" s="4"/>
      <c r="W202" s="4"/>
    </row>
    <row r="203" spans="2:23" x14ac:dyDescent="0.2">
      <c r="G203" s="4"/>
      <c r="H203" s="3"/>
      <c r="I203" s="3"/>
      <c r="J203" s="3"/>
      <c r="K203" s="3"/>
      <c r="L203" s="3"/>
      <c r="M203" s="3"/>
      <c r="R203" s="4"/>
      <c r="S203" s="4"/>
      <c r="T203" s="4"/>
      <c r="U203" s="4"/>
      <c r="V203" s="4"/>
      <c r="W203" s="4"/>
    </row>
    <row r="204" spans="2:23" x14ac:dyDescent="0.2">
      <c r="G204" s="4"/>
      <c r="H204" s="3"/>
      <c r="I204" s="3"/>
      <c r="J204" s="3"/>
      <c r="K204" s="3"/>
      <c r="L204" s="3"/>
      <c r="M204" s="3"/>
      <c r="R204" s="4"/>
      <c r="S204" s="4"/>
      <c r="T204" s="4"/>
      <c r="U204" s="4"/>
      <c r="V204" s="4"/>
      <c r="W204" s="4"/>
    </row>
    <row r="205" spans="2:23" x14ac:dyDescent="0.2">
      <c r="G205" s="4"/>
      <c r="H205" s="3"/>
      <c r="I205" s="3"/>
      <c r="J205" s="3"/>
      <c r="K205" s="3"/>
      <c r="L205" s="3"/>
      <c r="M205" s="3"/>
      <c r="R205" s="4"/>
      <c r="S205" s="4"/>
      <c r="T205" s="4"/>
      <c r="U205" s="4"/>
      <c r="V205" s="4"/>
      <c r="W205" s="4"/>
    </row>
    <row r="206" spans="2:23" x14ac:dyDescent="0.2">
      <c r="G206" s="4"/>
      <c r="H206" s="3"/>
      <c r="I206" s="3"/>
      <c r="J206" s="3"/>
      <c r="K206" s="3"/>
      <c r="L206" s="3"/>
      <c r="M206" s="3"/>
      <c r="R206" s="4"/>
      <c r="S206" s="4"/>
      <c r="T206" s="4"/>
      <c r="U206" s="4"/>
      <c r="V206" s="4"/>
      <c r="W206" s="4"/>
    </row>
    <row r="207" spans="2:23" x14ac:dyDescent="0.2">
      <c r="G207" s="4"/>
      <c r="H207" s="3"/>
      <c r="I207" s="3"/>
      <c r="J207" s="3"/>
      <c r="K207" s="3"/>
      <c r="L207" s="3"/>
      <c r="M207" s="3"/>
      <c r="R207" s="4"/>
      <c r="S207" s="4"/>
      <c r="T207" s="4"/>
      <c r="U207" s="4"/>
      <c r="V207" s="4"/>
      <c r="W207" s="4"/>
    </row>
    <row r="208" spans="2:23" x14ac:dyDescent="0.2">
      <c r="G208" s="4"/>
      <c r="H208" s="3"/>
      <c r="I208" s="3"/>
      <c r="J208" s="3"/>
      <c r="K208" s="3"/>
      <c r="L208" s="3"/>
      <c r="M208" s="3"/>
      <c r="R208" s="4"/>
      <c r="S208" s="4"/>
      <c r="T208" s="4"/>
      <c r="U208" s="4"/>
      <c r="V208" s="4"/>
      <c r="W208" s="4"/>
    </row>
    <row r="209" spans="1:23" x14ac:dyDescent="0.2">
      <c r="G209" s="4"/>
      <c r="H209" s="3"/>
      <c r="I209" s="3"/>
      <c r="J209" s="3"/>
      <c r="K209" s="3"/>
      <c r="L209" s="3"/>
      <c r="M209" s="3"/>
      <c r="R209" s="4"/>
      <c r="S209" s="4"/>
      <c r="T209" s="4"/>
      <c r="U209" s="4"/>
      <c r="V209" s="4"/>
      <c r="W209" s="4"/>
    </row>
    <row r="210" spans="1:23" x14ac:dyDescent="0.2">
      <c r="G210" s="4"/>
      <c r="H210" s="3"/>
      <c r="I210" s="3"/>
      <c r="J210" s="3"/>
      <c r="K210" s="3"/>
      <c r="L210" s="3"/>
      <c r="M210" s="3"/>
      <c r="R210" s="4"/>
      <c r="S210" s="4"/>
      <c r="T210" s="4"/>
      <c r="U210" s="4"/>
      <c r="V210" s="4"/>
      <c r="W210" s="4"/>
    </row>
    <row r="211" spans="1:23" x14ac:dyDescent="0.2">
      <c r="G211" s="4"/>
      <c r="H211" s="3"/>
      <c r="I211" s="3"/>
      <c r="J211" s="3"/>
      <c r="K211" s="3"/>
      <c r="L211" s="3"/>
      <c r="M211" s="3"/>
      <c r="R211" s="4"/>
      <c r="S211" s="4"/>
      <c r="T211" s="4"/>
      <c r="U211" s="4"/>
      <c r="V211" s="4"/>
      <c r="W211" s="4"/>
    </row>
    <row r="212" spans="1:23" x14ac:dyDescent="0.2">
      <c r="B212" s="4"/>
      <c r="G212" s="4"/>
      <c r="H212" s="3"/>
      <c r="I212" s="3"/>
      <c r="J212" s="3"/>
      <c r="K212" s="3"/>
      <c r="L212" s="3"/>
      <c r="M212" s="3"/>
      <c r="R212" s="4"/>
      <c r="S212" s="4"/>
      <c r="T212" s="4"/>
      <c r="U212" s="4"/>
      <c r="V212" s="4"/>
      <c r="W212" s="4"/>
    </row>
    <row r="213" spans="1:23" x14ac:dyDescent="0.2">
      <c r="B213" s="4"/>
      <c r="G213" s="4"/>
      <c r="H213" s="3"/>
      <c r="I213" s="3"/>
      <c r="J213" s="3"/>
      <c r="K213" s="3"/>
      <c r="L213" s="3"/>
      <c r="M213" s="3"/>
      <c r="R213" s="4"/>
      <c r="S213" s="4"/>
      <c r="T213" s="4"/>
      <c r="U213" s="4"/>
      <c r="V213" s="4"/>
      <c r="W213" s="4"/>
    </row>
    <row r="214" spans="1:23" x14ac:dyDescent="0.2">
      <c r="B214" s="3" t="s">
        <v>448</v>
      </c>
      <c r="C214" s="65">
        <v>4.4520999999999997</v>
      </c>
      <c r="D214" s="4" t="s">
        <v>21</v>
      </c>
      <c r="G214" s="4"/>
      <c r="H214" s="3"/>
      <c r="I214" s="3"/>
      <c r="J214" s="3"/>
      <c r="K214" s="3"/>
      <c r="L214" s="3"/>
      <c r="M214" s="3"/>
      <c r="R214" s="4"/>
      <c r="S214" s="4"/>
      <c r="T214" s="4"/>
      <c r="U214" s="4"/>
      <c r="V214" s="4"/>
      <c r="W214" s="4"/>
    </row>
    <row r="215" spans="1:23" x14ac:dyDescent="0.2">
      <c r="B215" s="2" t="s">
        <v>542</v>
      </c>
      <c r="C215" s="65">
        <v>8.0594000000000001</v>
      </c>
      <c r="D215" s="4" t="s">
        <v>21</v>
      </c>
      <c r="G215" s="4"/>
      <c r="H215" s="3"/>
      <c r="I215" s="3"/>
      <c r="J215" s="3"/>
      <c r="K215" s="3"/>
      <c r="L215" s="3"/>
      <c r="M215" s="3"/>
      <c r="R215" s="4"/>
      <c r="S215" s="4"/>
      <c r="T215" s="4"/>
      <c r="U215" s="4"/>
      <c r="V215" s="4"/>
      <c r="W215" s="4"/>
    </row>
    <row r="216" spans="1:23" x14ac:dyDescent="0.2">
      <c r="C216" s="65">
        <v>14.307399999999999</v>
      </c>
      <c r="D216" s="4" t="s">
        <v>21</v>
      </c>
      <c r="G216" s="4"/>
      <c r="H216" s="3"/>
      <c r="I216" s="3"/>
      <c r="J216" s="3"/>
      <c r="K216" s="3"/>
      <c r="L216" s="3"/>
      <c r="M216" s="3"/>
      <c r="R216" s="4"/>
      <c r="S216" s="4"/>
      <c r="T216" s="4"/>
      <c r="U216" s="4"/>
      <c r="V216" s="4"/>
      <c r="W216" s="4"/>
    </row>
    <row r="217" spans="1:23" x14ac:dyDescent="0.2">
      <c r="C217" s="65">
        <v>21.521999999999998</v>
      </c>
      <c r="D217" s="4" t="s">
        <v>21</v>
      </c>
      <c r="G217" s="4"/>
      <c r="H217" s="3"/>
      <c r="I217" s="3"/>
      <c r="J217" s="3"/>
      <c r="K217" s="3"/>
      <c r="L217" s="3"/>
      <c r="M217" s="3"/>
      <c r="R217" s="4"/>
      <c r="S217" s="4"/>
      <c r="T217" s="4"/>
      <c r="U217" s="4"/>
      <c r="V217" s="4"/>
      <c r="W217" s="4"/>
    </row>
    <row r="218" spans="1:23" x14ac:dyDescent="0.2">
      <c r="C218" s="65">
        <v>27.77</v>
      </c>
      <c r="D218" s="4" t="s">
        <v>21</v>
      </c>
      <c r="H218" s="3"/>
      <c r="I218" s="3"/>
      <c r="J218" s="3"/>
      <c r="K218" s="3"/>
      <c r="L218" s="3"/>
      <c r="M218" s="3"/>
      <c r="R218" s="4"/>
      <c r="S218" s="4"/>
      <c r="T218" s="4"/>
      <c r="U218" s="4"/>
      <c r="V218" s="4"/>
      <c r="W218" s="4"/>
    </row>
    <row r="219" spans="1:23" x14ac:dyDescent="0.2">
      <c r="C219" s="65">
        <v>31.377300000000002</v>
      </c>
      <c r="D219" s="4" t="s">
        <v>21</v>
      </c>
      <c r="H219" s="3"/>
      <c r="I219" s="3"/>
      <c r="J219" s="3"/>
      <c r="K219" s="3"/>
      <c r="L219" s="3"/>
      <c r="M219" s="3"/>
      <c r="R219" s="4"/>
      <c r="S219" s="4"/>
      <c r="T219" s="4"/>
      <c r="U219" s="4"/>
      <c r="V219" s="4"/>
      <c r="W219" s="4"/>
    </row>
    <row r="220" spans="1:23" x14ac:dyDescent="0.2">
      <c r="B220" s="4"/>
      <c r="C220" s="4"/>
      <c r="H220" s="3"/>
      <c r="I220" s="3"/>
      <c r="J220" s="3"/>
      <c r="K220" s="3"/>
      <c r="L220" s="3"/>
      <c r="M220" s="3"/>
      <c r="R220" s="4"/>
      <c r="S220" s="4"/>
      <c r="T220" s="4"/>
      <c r="U220" s="4"/>
      <c r="V220" s="4"/>
      <c r="W220" s="4"/>
    </row>
    <row r="221" spans="1:23" ht="18.75" x14ac:dyDescent="0.35">
      <c r="A221" s="4" t="s">
        <v>427</v>
      </c>
      <c r="B221" s="2" t="s">
        <v>159</v>
      </c>
      <c r="C221" s="45">
        <v>3</v>
      </c>
      <c r="D221" s="4" t="s">
        <v>0</v>
      </c>
      <c r="H221" s="3"/>
      <c r="I221" s="3"/>
      <c r="J221" s="3"/>
      <c r="K221" s="3"/>
      <c r="L221" s="3"/>
      <c r="M221" s="3"/>
      <c r="R221" s="4"/>
      <c r="S221" s="4"/>
      <c r="T221" s="4"/>
      <c r="U221" s="4"/>
      <c r="V221" s="4"/>
      <c r="W221" s="4"/>
    </row>
    <row r="222" spans="1:23" x14ac:dyDescent="0.2">
      <c r="C222" s="42">
        <f>C221*12</f>
        <v>36</v>
      </c>
      <c r="D222" s="4" t="s">
        <v>21</v>
      </c>
      <c r="H222" s="4"/>
      <c r="K222" s="3"/>
      <c r="L222" s="3"/>
      <c r="M222" s="3"/>
      <c r="R222" s="4"/>
      <c r="S222" s="4"/>
      <c r="T222" s="4"/>
      <c r="U222" s="4"/>
      <c r="V222" s="4"/>
      <c r="W222" s="4"/>
    </row>
    <row r="223" spans="1:23" ht="18.75" x14ac:dyDescent="0.35">
      <c r="A223" s="4" t="s">
        <v>210</v>
      </c>
      <c r="B223" s="2" t="s">
        <v>161</v>
      </c>
      <c r="C223" s="44">
        <v>12</v>
      </c>
      <c r="E223" s="4" t="s">
        <v>462</v>
      </c>
      <c r="H223" s="4"/>
      <c r="K223" s="3"/>
      <c r="L223" s="3"/>
      <c r="M223" s="3"/>
      <c r="R223" s="4"/>
      <c r="S223" s="4"/>
      <c r="T223" s="4"/>
      <c r="U223" s="4"/>
      <c r="V223" s="4"/>
      <c r="W223" s="4"/>
    </row>
    <row r="224" spans="1:23" ht="18.75" x14ac:dyDescent="0.35">
      <c r="A224" s="4" t="s">
        <v>428</v>
      </c>
      <c r="B224" s="2" t="s">
        <v>163</v>
      </c>
      <c r="C224" s="44">
        <v>7</v>
      </c>
      <c r="E224" s="4" t="s">
        <v>462</v>
      </c>
      <c r="H224" s="4"/>
      <c r="K224" s="3"/>
      <c r="L224" s="3"/>
      <c r="M224" s="3"/>
      <c r="R224" s="4"/>
      <c r="S224" s="4"/>
      <c r="T224" s="4"/>
      <c r="U224" s="4"/>
      <c r="V224" s="4"/>
      <c r="W224" s="4"/>
    </row>
    <row r="225" spans="1:23" x14ac:dyDescent="0.2">
      <c r="C225" s="46">
        <f>C224/8</f>
        <v>0.875</v>
      </c>
      <c r="D225" s="4" t="s">
        <v>21</v>
      </c>
      <c r="H225" s="4"/>
      <c r="K225" s="3"/>
      <c r="L225" s="3"/>
      <c r="M225" s="3"/>
      <c r="R225" s="4"/>
      <c r="S225" s="4"/>
      <c r="T225" s="4"/>
      <c r="U225" s="4"/>
      <c r="V225" s="4"/>
      <c r="W225" s="4"/>
    </row>
    <row r="226" spans="1:23" ht="18.75" x14ac:dyDescent="0.35">
      <c r="A226" s="4" t="s">
        <v>209</v>
      </c>
      <c r="B226" s="2" t="s">
        <v>185</v>
      </c>
      <c r="C226" s="43">
        <f>PI()/4*C225^2</f>
        <v>0.6013204688511713</v>
      </c>
      <c r="D226" s="4" t="s">
        <v>120</v>
      </c>
      <c r="H226" s="4"/>
      <c r="K226" s="3"/>
      <c r="L226" s="3"/>
      <c r="M226" s="3"/>
      <c r="R226" s="4"/>
      <c r="S226" s="4"/>
      <c r="T226" s="4"/>
      <c r="U226" s="4"/>
      <c r="V226" s="4"/>
      <c r="W226" s="4"/>
    </row>
    <row r="227" spans="1:23" x14ac:dyDescent="0.2">
      <c r="A227" s="4" t="s">
        <v>208</v>
      </c>
      <c r="C227" s="46">
        <f>C222-(2*3+2*C230+C225)</f>
        <v>27.875</v>
      </c>
      <c r="D227" s="4" t="s">
        <v>21</v>
      </c>
      <c r="H227" s="4"/>
      <c r="K227" s="3"/>
      <c r="L227" s="3"/>
      <c r="M227" s="3"/>
      <c r="R227" s="4"/>
      <c r="S227" s="4"/>
      <c r="T227" s="4"/>
      <c r="U227" s="4"/>
      <c r="V227" s="4"/>
      <c r="W227" s="4"/>
    </row>
    <row r="228" spans="1:23" x14ac:dyDescent="0.2">
      <c r="B228" s="4"/>
      <c r="C228" s="49">
        <f>C227/C222</f>
        <v>0.77430555555555558</v>
      </c>
      <c r="H228" s="4"/>
      <c r="K228" s="3"/>
      <c r="L228" s="3"/>
      <c r="M228" s="3"/>
      <c r="R228" s="4"/>
      <c r="S228" s="4"/>
      <c r="T228" s="4"/>
      <c r="U228" s="4"/>
      <c r="V228" s="4"/>
      <c r="W228" s="4"/>
    </row>
    <row r="229" spans="1:23" ht="18.75" x14ac:dyDescent="0.35">
      <c r="A229" s="4" t="s">
        <v>207</v>
      </c>
      <c r="B229" s="2" t="s">
        <v>165</v>
      </c>
      <c r="C229" s="44">
        <v>5</v>
      </c>
      <c r="E229" s="4" t="s">
        <v>462</v>
      </c>
      <c r="H229" s="31"/>
      <c r="I229" s="3"/>
      <c r="J229" s="3"/>
      <c r="K229" s="3"/>
      <c r="L229" s="3"/>
      <c r="M229" s="3"/>
      <c r="R229" s="4"/>
      <c r="S229" s="4"/>
      <c r="T229" s="4"/>
      <c r="U229" s="4"/>
      <c r="V229" s="4"/>
      <c r="W229" s="4"/>
    </row>
    <row r="230" spans="1:23" x14ac:dyDescent="0.2">
      <c r="C230" s="46">
        <f>C229/8</f>
        <v>0.625</v>
      </c>
      <c r="D230" s="4" t="s">
        <v>21</v>
      </c>
      <c r="H230" s="31"/>
      <c r="I230" s="3"/>
      <c r="J230" s="3"/>
      <c r="K230" s="3"/>
      <c r="L230" s="3"/>
      <c r="M230" s="3"/>
      <c r="R230" s="4"/>
      <c r="S230" s="4"/>
      <c r="T230" s="4"/>
      <c r="U230" s="4"/>
      <c r="V230" s="4"/>
      <c r="W230" s="4"/>
    </row>
    <row r="231" spans="1:23" ht="18.75" x14ac:dyDescent="0.35">
      <c r="A231" s="4" t="s">
        <v>206</v>
      </c>
      <c r="B231" s="2" t="s">
        <v>299</v>
      </c>
      <c r="C231" s="44">
        <v>6</v>
      </c>
      <c r="D231" s="4" t="s">
        <v>21</v>
      </c>
      <c r="E231" s="4" t="s">
        <v>462</v>
      </c>
      <c r="H231" s="31"/>
      <c r="I231" s="3"/>
      <c r="J231" s="3"/>
      <c r="K231" s="3"/>
      <c r="L231" s="3"/>
      <c r="M231" s="3"/>
      <c r="R231" s="4"/>
      <c r="S231" s="4"/>
      <c r="T231" s="4"/>
      <c r="U231" s="4"/>
      <c r="V231" s="4"/>
      <c r="W231" s="4"/>
    </row>
    <row r="232" spans="1:23" ht="18.75" x14ac:dyDescent="0.35">
      <c r="A232" s="4" t="s">
        <v>205</v>
      </c>
      <c r="B232" s="2" t="s">
        <v>168</v>
      </c>
      <c r="C232" s="43">
        <f>PI()/4*C230^2</f>
        <v>0.30679615757712825</v>
      </c>
      <c r="D232" s="4" t="s">
        <v>120</v>
      </c>
      <c r="H232" s="31"/>
      <c r="I232" s="3"/>
      <c r="J232" s="3"/>
      <c r="K232" s="3"/>
      <c r="L232" s="3"/>
      <c r="M232" s="3"/>
      <c r="R232" s="4"/>
      <c r="S232" s="4"/>
      <c r="T232" s="4"/>
      <c r="U232" s="4"/>
      <c r="V232" s="4"/>
      <c r="W232" s="4"/>
    </row>
    <row r="233" spans="1:23" ht="18.75" x14ac:dyDescent="0.35">
      <c r="B233" s="2" t="s">
        <v>169</v>
      </c>
      <c r="C233" s="43">
        <f>4*C232/(C236*C234)</f>
        <v>3.1877186165274907</v>
      </c>
      <c r="H233" s="2"/>
      <c r="I233" s="3"/>
      <c r="J233" s="3"/>
      <c r="K233" s="3"/>
      <c r="L233" s="3"/>
      <c r="M233" s="3"/>
      <c r="R233" s="4"/>
      <c r="S233" s="4"/>
      <c r="T233" s="4"/>
      <c r="U233" s="4"/>
      <c r="V233" s="4"/>
      <c r="W233" s="4"/>
    </row>
    <row r="234" spans="1:23" ht="18.75" x14ac:dyDescent="0.35">
      <c r="A234" s="4" t="s">
        <v>100</v>
      </c>
      <c r="B234" s="2" t="s">
        <v>405</v>
      </c>
      <c r="C234" s="42">
        <f>C222-2*3</f>
        <v>30</v>
      </c>
      <c r="D234" s="4" t="s">
        <v>21</v>
      </c>
      <c r="H234" s="2"/>
      <c r="I234" s="3"/>
      <c r="J234" s="3"/>
      <c r="K234" s="3"/>
      <c r="L234" s="3"/>
      <c r="M234" s="3"/>
      <c r="R234" s="4"/>
      <c r="S234" s="4"/>
      <c r="T234" s="4"/>
      <c r="U234" s="4"/>
      <c r="V234" s="4"/>
      <c r="W234" s="4"/>
    </row>
    <row r="235" spans="1:23" ht="18.75" x14ac:dyDescent="0.35">
      <c r="A235" s="4" t="s">
        <v>99</v>
      </c>
      <c r="B235" s="2" t="s">
        <v>407</v>
      </c>
      <c r="C235" s="45">
        <v>623.93169999999998</v>
      </c>
      <c r="D235" s="4" t="s">
        <v>120</v>
      </c>
      <c r="H235" s="2"/>
      <c r="I235" s="3"/>
      <c r="M235" s="3"/>
      <c r="R235" s="4"/>
      <c r="S235" s="4"/>
      <c r="T235" s="4"/>
      <c r="U235" s="4"/>
      <c r="V235" s="4"/>
      <c r="W235" s="4"/>
    </row>
    <row r="236" spans="1:23" ht="18.75" x14ac:dyDescent="0.35">
      <c r="A236" s="4" t="s">
        <v>204</v>
      </c>
      <c r="B236" s="2" t="s">
        <v>300</v>
      </c>
      <c r="C236" s="43">
        <f>0.45*(C237/C235-1)*(f_prime_c/fy)</f>
        <v>1.2832423204334706E-2</v>
      </c>
      <c r="D236" s="4" t="s">
        <v>120</v>
      </c>
      <c r="H236" s="4"/>
      <c r="R236" s="4"/>
      <c r="S236" s="4"/>
      <c r="T236" s="4"/>
      <c r="U236" s="4"/>
      <c r="V236" s="4"/>
      <c r="W236" s="4"/>
    </row>
    <row r="237" spans="1:23" ht="18.75" x14ac:dyDescent="0.35">
      <c r="A237" s="4" t="s">
        <v>98</v>
      </c>
      <c r="B237" s="2" t="s">
        <v>173</v>
      </c>
      <c r="C237" s="45">
        <v>918.42570000000001</v>
      </c>
      <c r="D237" s="4" t="s">
        <v>120</v>
      </c>
      <c r="H237" s="4"/>
      <c r="R237" s="4"/>
      <c r="S237" s="4"/>
      <c r="T237" s="4"/>
      <c r="U237" s="4"/>
      <c r="V237" s="4"/>
      <c r="W237" s="4"/>
    </row>
    <row r="238" spans="1:23" ht="18.75" x14ac:dyDescent="0.35">
      <c r="A238" s="4" t="s">
        <v>203</v>
      </c>
      <c r="B238" s="2" t="s">
        <v>301</v>
      </c>
      <c r="C238" s="43">
        <f>C223*PI()/4*C225^2</f>
        <v>7.2158456262140565</v>
      </c>
      <c r="D238" s="4" t="s">
        <v>120</v>
      </c>
      <c r="H238" s="4"/>
      <c r="R238" s="4"/>
      <c r="S238" s="4"/>
      <c r="T238" s="4"/>
      <c r="U238" s="4"/>
      <c r="V238" s="4"/>
      <c r="W238" s="4"/>
    </row>
    <row r="239" spans="1:23" ht="18.75" x14ac:dyDescent="0.35">
      <c r="A239" s="4" t="s">
        <v>202</v>
      </c>
      <c r="B239" s="2" t="s">
        <v>176</v>
      </c>
      <c r="C239" s="43">
        <f>C238/C237</f>
        <v>7.8567549081151114E-3</v>
      </c>
      <c r="E239" s="4" t="s">
        <v>463</v>
      </c>
      <c r="H239" s="4"/>
      <c r="R239" s="4"/>
      <c r="S239" s="4"/>
      <c r="T239" s="4"/>
      <c r="U239" s="4"/>
      <c r="V239" s="4"/>
      <c r="W239" s="4"/>
    </row>
    <row r="240" spans="1:23" ht="18.75" x14ac:dyDescent="0.35">
      <c r="B240" s="2" t="s">
        <v>302</v>
      </c>
      <c r="C240" s="43" t="e">
        <f>#REF!/'Nonconstrained Foundation'!C222</f>
        <v>#REF!</v>
      </c>
      <c r="H240" s="4"/>
      <c r="R240" s="4"/>
      <c r="S240" s="4"/>
      <c r="T240" s="4"/>
      <c r="U240" s="4"/>
      <c r="V240" s="4"/>
      <c r="W240" s="4"/>
    </row>
    <row r="241" spans="1:23" ht="18.75" x14ac:dyDescent="0.35">
      <c r="A241" s="4" t="s">
        <v>533</v>
      </c>
      <c r="B241" s="2" t="s">
        <v>496</v>
      </c>
      <c r="C241" s="43">
        <f>MAX(3*SQRT(f_prime_c)/fy*C222*C279,200*C222*C279/fy)</f>
        <v>3.2267720000000004</v>
      </c>
      <c r="D241" s="4" t="str">
        <f>IF(C238&lt;C241,"NG","OK")</f>
        <v>OK</v>
      </c>
      <c r="E241" s="4" t="s">
        <v>466</v>
      </c>
      <c r="H241" s="4"/>
      <c r="R241" s="4"/>
      <c r="S241" s="4"/>
      <c r="T241" s="4"/>
      <c r="U241" s="4"/>
      <c r="V241" s="4"/>
      <c r="W241" s="4"/>
    </row>
    <row r="242" spans="1:23" ht="18.75" x14ac:dyDescent="0.35">
      <c r="A242" s="4" t="s">
        <v>179</v>
      </c>
      <c r="B242" s="2" t="s">
        <v>494</v>
      </c>
      <c r="C242" s="42">
        <f>(0.85*f_prime_c*(C$237-C$238)-fy*C$238)/1000</f>
        <v>2374.7146262163847</v>
      </c>
      <c r="D242" s="4" t="s">
        <v>97</v>
      </c>
      <c r="E242" s="4" t="s">
        <v>495</v>
      </c>
      <c r="H242" s="4"/>
      <c r="R242" s="4"/>
      <c r="S242" s="4"/>
      <c r="T242" s="4"/>
      <c r="U242" s="4"/>
      <c r="V242" s="4"/>
      <c r="W242" s="4"/>
    </row>
    <row r="243" spans="1:23" ht="18.75" x14ac:dyDescent="0.35">
      <c r="A243" s="4" t="s">
        <v>96</v>
      </c>
      <c r="B243" s="2" t="s">
        <v>450</v>
      </c>
      <c r="C243" s="42">
        <f>$C$15*$C$17*C242</f>
        <v>1234.85160563252</v>
      </c>
      <c r="D243" s="4" t="s">
        <v>97</v>
      </c>
      <c r="E243" s="4" t="s">
        <v>465</v>
      </c>
      <c r="H243" s="4"/>
      <c r="R243" s="4"/>
      <c r="S243" s="4"/>
      <c r="T243" s="4"/>
      <c r="U243" s="4"/>
      <c r="V243" s="4"/>
      <c r="W243" s="4"/>
    </row>
    <row r="244" spans="1:23" ht="18.75" x14ac:dyDescent="0.35">
      <c r="A244" s="4" t="s">
        <v>461</v>
      </c>
      <c r="B244" s="2" t="s">
        <v>256</v>
      </c>
      <c r="C244" s="42">
        <f>(fy/1000)*C226*C223</f>
        <v>432.95073757284337</v>
      </c>
      <c r="D244" s="4" t="s">
        <v>97</v>
      </c>
      <c r="H244" s="4"/>
      <c r="R244" s="4"/>
      <c r="S244" s="4"/>
      <c r="T244" s="4"/>
      <c r="U244" s="4"/>
      <c r="V244" s="4"/>
      <c r="W244" s="4"/>
    </row>
    <row r="245" spans="1:23" x14ac:dyDescent="0.2">
      <c r="C245" s="47"/>
      <c r="H245" s="4"/>
      <c r="R245" s="4"/>
      <c r="S245" s="4"/>
      <c r="T245" s="4"/>
      <c r="U245" s="4"/>
      <c r="V245" s="4"/>
      <c r="W245" s="4"/>
    </row>
    <row r="246" spans="1:23" ht="15" x14ac:dyDescent="0.25">
      <c r="B246" s="1" t="s">
        <v>553</v>
      </c>
      <c r="C246" s="4"/>
      <c r="H246" s="4"/>
      <c r="R246" s="4"/>
      <c r="S246" s="4"/>
      <c r="T246" s="4"/>
      <c r="U246" s="4"/>
      <c r="V246" s="4"/>
      <c r="W246" s="4"/>
    </row>
    <row r="247" spans="1:23" x14ac:dyDescent="0.2">
      <c r="B247" s="4"/>
      <c r="C247" s="4"/>
      <c r="H247" s="4"/>
      <c r="R247" s="4"/>
      <c r="S247" s="4"/>
      <c r="T247" s="4"/>
      <c r="U247" s="4"/>
      <c r="V247" s="4"/>
      <c r="W247" s="4"/>
    </row>
    <row r="248" spans="1:23" x14ac:dyDescent="0.2">
      <c r="B248" s="4"/>
      <c r="C248" s="4"/>
      <c r="H248" s="4"/>
      <c r="R248" s="4"/>
      <c r="S248" s="4"/>
      <c r="T248" s="4"/>
      <c r="U248" s="4"/>
      <c r="V248" s="4"/>
      <c r="W248" s="4"/>
    </row>
    <row r="249" spans="1:23" x14ac:dyDescent="0.2">
      <c r="B249" s="4"/>
      <c r="C249" s="4"/>
      <c r="H249" s="4"/>
      <c r="R249" s="4"/>
      <c r="S249" s="4"/>
      <c r="T249" s="4"/>
      <c r="U249" s="4"/>
      <c r="V249" s="4"/>
      <c r="W249" s="4"/>
    </row>
    <row r="250" spans="1:23" x14ac:dyDescent="0.2">
      <c r="B250" s="4"/>
      <c r="C250" s="4"/>
      <c r="H250" s="4"/>
      <c r="R250" s="4"/>
      <c r="S250" s="4"/>
      <c r="T250" s="4"/>
      <c r="U250" s="4"/>
      <c r="V250" s="4"/>
      <c r="W250" s="4"/>
    </row>
    <row r="251" spans="1:23" x14ac:dyDescent="0.2">
      <c r="B251" s="4"/>
      <c r="C251" s="4"/>
      <c r="H251" s="4"/>
      <c r="R251" s="4"/>
      <c r="S251" s="4"/>
      <c r="T251" s="4"/>
      <c r="U251" s="4"/>
      <c r="V251" s="4"/>
      <c r="W251" s="4"/>
    </row>
    <row r="252" spans="1:23" x14ac:dyDescent="0.2">
      <c r="B252" s="4"/>
      <c r="C252" s="4"/>
      <c r="H252" s="4"/>
      <c r="R252" s="4"/>
      <c r="S252" s="4"/>
      <c r="T252" s="4"/>
      <c r="U252" s="4"/>
      <c r="V252" s="4"/>
      <c r="W252" s="4"/>
    </row>
    <row r="253" spans="1:23" x14ac:dyDescent="0.2">
      <c r="B253" s="4"/>
      <c r="C253" s="4"/>
      <c r="H253" s="4"/>
      <c r="R253" s="4"/>
      <c r="S253" s="4"/>
      <c r="T253" s="4"/>
      <c r="U253" s="4"/>
      <c r="V253" s="4"/>
      <c r="W253" s="4"/>
    </row>
    <row r="254" spans="1:23" x14ac:dyDescent="0.2">
      <c r="B254" s="4"/>
      <c r="C254" s="4"/>
      <c r="H254" s="4"/>
      <c r="R254" s="4"/>
      <c r="S254" s="4"/>
      <c r="T254" s="4"/>
      <c r="U254" s="4"/>
      <c r="V254" s="4"/>
      <c r="W254" s="4"/>
    </row>
    <row r="255" spans="1:23" x14ac:dyDescent="0.2">
      <c r="B255" s="4"/>
      <c r="C255" s="4"/>
      <c r="H255" s="4"/>
      <c r="R255" s="4"/>
      <c r="S255" s="4"/>
      <c r="T255" s="4"/>
      <c r="U255" s="4"/>
      <c r="V255" s="4"/>
      <c r="W255" s="4"/>
    </row>
    <row r="256" spans="1:23" x14ac:dyDescent="0.2">
      <c r="B256" s="4"/>
      <c r="C256" s="4"/>
      <c r="H256" s="4"/>
      <c r="R256" s="4"/>
      <c r="S256" s="4"/>
      <c r="T256" s="4"/>
      <c r="U256" s="4"/>
      <c r="V256" s="4"/>
      <c r="W256" s="4"/>
    </row>
    <row r="257" spans="2:23" x14ac:dyDescent="0.2">
      <c r="B257" s="4"/>
      <c r="C257" s="4"/>
      <c r="H257" s="4"/>
      <c r="R257" s="4"/>
      <c r="S257" s="4"/>
      <c r="T257" s="4"/>
      <c r="U257" s="4"/>
      <c r="V257" s="4"/>
      <c r="W257" s="4"/>
    </row>
    <row r="258" spans="2:23" x14ac:dyDescent="0.2">
      <c r="B258" s="4"/>
      <c r="C258" s="4"/>
      <c r="H258" s="4"/>
      <c r="R258" s="4"/>
      <c r="S258" s="4"/>
      <c r="T258" s="4"/>
      <c r="U258" s="4"/>
      <c r="V258" s="4"/>
      <c r="W258" s="4"/>
    </row>
    <row r="259" spans="2:23" x14ac:dyDescent="0.2">
      <c r="B259" s="4"/>
      <c r="C259" s="4"/>
      <c r="H259" s="4"/>
      <c r="R259" s="4"/>
      <c r="S259" s="4"/>
      <c r="T259" s="4"/>
      <c r="U259" s="4"/>
      <c r="V259" s="4"/>
      <c r="W259" s="4"/>
    </row>
    <row r="260" spans="2:23" x14ac:dyDescent="0.2">
      <c r="B260" s="4"/>
      <c r="C260" s="4"/>
      <c r="H260" s="4"/>
      <c r="R260" s="4"/>
      <c r="S260" s="4"/>
      <c r="T260" s="4"/>
      <c r="U260" s="4"/>
      <c r="V260" s="4"/>
      <c r="W260" s="4"/>
    </row>
    <row r="261" spans="2:23" x14ac:dyDescent="0.2">
      <c r="B261" s="4"/>
      <c r="C261" s="4"/>
      <c r="H261" s="4"/>
      <c r="R261" s="4"/>
      <c r="S261" s="4"/>
      <c r="T261" s="4"/>
      <c r="U261" s="4"/>
      <c r="V261" s="4"/>
      <c r="W261" s="4"/>
    </row>
    <row r="262" spans="2:23" ht="15" x14ac:dyDescent="0.25">
      <c r="B262" s="84" t="s">
        <v>552</v>
      </c>
      <c r="C262" s="4"/>
      <c r="H262" s="4"/>
      <c r="R262" s="4"/>
      <c r="S262" s="4"/>
      <c r="T262" s="4"/>
      <c r="U262" s="4"/>
      <c r="V262" s="4"/>
      <c r="W262" s="4"/>
    </row>
    <row r="263" spans="2:23" x14ac:dyDescent="0.2">
      <c r="B263" s="3" t="s">
        <v>192</v>
      </c>
      <c r="C263" s="3"/>
      <c r="H263" s="4"/>
      <c r="R263" s="4"/>
      <c r="S263" s="4"/>
      <c r="T263" s="4"/>
      <c r="U263" s="4"/>
      <c r="V263" s="4"/>
      <c r="W263" s="4"/>
    </row>
    <row r="264" spans="2:23" ht="16.5" x14ac:dyDescent="0.2">
      <c r="B264" s="3" t="s">
        <v>304</v>
      </c>
      <c r="C264" s="3">
        <v>305.10899999999998</v>
      </c>
      <c r="D264" s="41" t="s">
        <v>120</v>
      </c>
      <c r="H264" s="4"/>
      <c r="R264" s="4"/>
      <c r="S264" s="4"/>
      <c r="T264" s="4"/>
      <c r="U264" s="4"/>
      <c r="V264" s="4"/>
      <c r="W264" s="4"/>
    </row>
    <row r="265" spans="2:23" x14ac:dyDescent="0.2">
      <c r="B265" s="3" t="s">
        <v>305</v>
      </c>
      <c r="C265" s="3">
        <v>75.600099999999998</v>
      </c>
      <c r="D265" s="41" t="s">
        <v>21</v>
      </c>
      <c r="H265" s="4"/>
      <c r="R265" s="4"/>
      <c r="S265" s="4"/>
      <c r="T265" s="4"/>
      <c r="U265" s="4"/>
      <c r="V265" s="4"/>
      <c r="W265" s="4"/>
    </row>
    <row r="266" spans="2:23" x14ac:dyDescent="0.2">
      <c r="B266" s="3" t="s">
        <v>238</v>
      </c>
      <c r="C266" s="3">
        <v>0</v>
      </c>
      <c r="D266" s="41" t="s">
        <v>21</v>
      </c>
      <c r="H266" s="4"/>
      <c r="R266" s="4"/>
      <c r="S266" s="4"/>
      <c r="T266" s="4"/>
      <c r="U266" s="4"/>
      <c r="V266" s="4"/>
      <c r="W266" s="4"/>
    </row>
    <row r="267" spans="2:23" x14ac:dyDescent="0.2">
      <c r="B267" s="3" t="s">
        <v>306</v>
      </c>
      <c r="C267" s="3">
        <v>5.4988000000000001</v>
      </c>
      <c r="D267" s="41" t="s">
        <v>21</v>
      </c>
      <c r="H267" s="4"/>
      <c r="R267" s="4"/>
      <c r="S267" s="4"/>
      <c r="T267" s="4"/>
      <c r="U267" s="4"/>
      <c r="V267" s="4"/>
      <c r="W267" s="4"/>
    </row>
    <row r="268" spans="2:23" ht="16.5" x14ac:dyDescent="0.2">
      <c r="B268" s="3" t="s">
        <v>307</v>
      </c>
      <c r="C268" s="3"/>
      <c r="D268" s="41" t="s">
        <v>225</v>
      </c>
      <c r="H268" s="4"/>
      <c r="R268" s="4"/>
      <c r="S268" s="4"/>
      <c r="T268" s="4"/>
      <c r="U268" s="4"/>
      <c r="V268" s="4"/>
      <c r="W268" s="4"/>
    </row>
    <row r="269" spans="2:23" ht="16.5" x14ac:dyDescent="0.2">
      <c r="B269" s="3" t="s">
        <v>308</v>
      </c>
      <c r="C269" s="3"/>
      <c r="D269" s="41" t="s">
        <v>225</v>
      </c>
      <c r="H269" s="4"/>
      <c r="R269" s="4"/>
      <c r="S269" s="4"/>
      <c r="T269" s="4"/>
      <c r="U269" s="4"/>
      <c r="V269" s="4"/>
      <c r="W269" s="4"/>
    </row>
    <row r="270" spans="2:23" x14ac:dyDescent="0.2">
      <c r="B270" s="3" t="s">
        <v>239</v>
      </c>
      <c r="C270" s="3"/>
      <c r="H270" s="4"/>
      <c r="R270" s="4"/>
      <c r="S270" s="4"/>
      <c r="T270" s="4"/>
      <c r="U270" s="4"/>
      <c r="V270" s="4"/>
      <c r="W270" s="4"/>
    </row>
    <row r="271" spans="2:23" x14ac:dyDescent="0.2">
      <c r="B271" s="3" t="s">
        <v>309</v>
      </c>
      <c r="C271" s="3"/>
      <c r="H271" s="4"/>
      <c r="R271" s="4"/>
      <c r="S271" s="4"/>
      <c r="T271" s="4"/>
      <c r="U271" s="4"/>
      <c r="V271" s="4"/>
      <c r="W271" s="4"/>
    </row>
    <row r="272" spans="2:23" x14ac:dyDescent="0.2">
      <c r="B272" s="3" t="s">
        <v>310</v>
      </c>
      <c r="C272" s="3"/>
      <c r="H272" s="4"/>
      <c r="R272" s="4"/>
      <c r="S272" s="4"/>
      <c r="T272" s="4"/>
      <c r="U272" s="4"/>
      <c r="V272" s="4"/>
      <c r="W272" s="4"/>
    </row>
    <row r="273" spans="1:23" x14ac:dyDescent="0.2">
      <c r="B273" s="41" t="s">
        <v>189</v>
      </c>
      <c r="C273" s="3"/>
      <c r="H273" s="4"/>
      <c r="R273" s="4"/>
      <c r="S273" s="4"/>
      <c r="T273" s="4"/>
      <c r="U273" s="4"/>
      <c r="V273" s="4"/>
      <c r="W273" s="4"/>
    </row>
    <row r="274" spans="1:23" x14ac:dyDescent="0.2">
      <c r="B274" s="3" t="s">
        <v>311</v>
      </c>
      <c r="C274" s="3"/>
      <c r="H274" s="4"/>
      <c r="R274" s="4"/>
      <c r="S274" s="4"/>
      <c r="T274" s="4"/>
      <c r="U274" s="4"/>
      <c r="V274" s="4"/>
      <c r="W274" s="4"/>
    </row>
    <row r="275" spans="1:23" x14ac:dyDescent="0.2">
      <c r="B275" s="3" t="s">
        <v>312</v>
      </c>
      <c r="C275" s="3"/>
      <c r="H275" s="4"/>
      <c r="R275" s="4"/>
      <c r="S275" s="4"/>
      <c r="T275" s="4"/>
      <c r="U275" s="4"/>
      <c r="V275" s="4"/>
      <c r="W275" s="4"/>
    </row>
    <row r="276" spans="1:23" ht="15" customHeight="1" x14ac:dyDescent="0.2">
      <c r="C276" s="3"/>
      <c r="H276" s="4"/>
      <c r="R276" s="4"/>
      <c r="S276" s="4"/>
      <c r="T276" s="4"/>
      <c r="U276" s="4"/>
      <c r="V276" s="4"/>
      <c r="W276" s="4"/>
    </row>
    <row r="277" spans="1:23" ht="15" x14ac:dyDescent="0.25">
      <c r="A277" s="1" t="s">
        <v>482</v>
      </c>
      <c r="C277" s="4"/>
      <c r="H277" s="4"/>
      <c r="R277" s="4"/>
      <c r="S277" s="4"/>
      <c r="T277" s="4"/>
      <c r="U277" s="4"/>
      <c r="V277" s="4"/>
      <c r="W277" s="4"/>
    </row>
    <row r="278" spans="1:23" x14ac:dyDescent="0.2">
      <c r="A278" s="66" t="s">
        <v>459</v>
      </c>
      <c r="C278" s="47"/>
      <c r="H278" s="4"/>
      <c r="R278" s="4"/>
      <c r="S278" s="4"/>
      <c r="T278" s="4"/>
      <c r="U278" s="4"/>
      <c r="V278" s="4"/>
      <c r="W278" s="4"/>
    </row>
    <row r="279" spans="1:23" ht="18.75" x14ac:dyDescent="0.35">
      <c r="A279" s="4" t="s">
        <v>200</v>
      </c>
      <c r="B279" s="2" t="s">
        <v>337</v>
      </c>
      <c r="C279" s="43">
        <f>(C$217+C$218+C$219)/3</f>
        <v>26.88976666666667</v>
      </c>
      <c r="D279" s="4" t="s">
        <v>21</v>
      </c>
      <c r="E279" s="2"/>
      <c r="G279" s="4"/>
      <c r="H279" s="4"/>
      <c r="R279" s="4"/>
      <c r="S279" s="4"/>
      <c r="T279" s="4"/>
      <c r="U279" s="4"/>
      <c r="V279" s="4"/>
      <c r="W279" s="4"/>
    </row>
    <row r="280" spans="1:23" ht="18.75" x14ac:dyDescent="0.35">
      <c r="A280" s="4" t="s">
        <v>201</v>
      </c>
      <c r="B280" s="2" t="s">
        <v>338</v>
      </c>
      <c r="C280" s="43">
        <f>$C$10/($C$10+$C$11)*C279</f>
        <v>15.914351700680275</v>
      </c>
      <c r="D280" s="4" t="s">
        <v>21</v>
      </c>
      <c r="E280" s="2"/>
      <c r="G280" s="4"/>
      <c r="H280" s="4"/>
      <c r="N280" s="3"/>
      <c r="O280" s="3"/>
      <c r="P280" s="4"/>
      <c r="Q280" s="4"/>
      <c r="R280" s="4"/>
      <c r="S280" s="4"/>
      <c r="T280" s="4"/>
      <c r="U280" s="4"/>
      <c r="V280" s="4"/>
      <c r="W280" s="4"/>
    </row>
    <row r="281" spans="1:23" ht="18.75" x14ac:dyDescent="0.35">
      <c r="A281" s="4" t="s">
        <v>429</v>
      </c>
      <c r="B281" s="2" t="s">
        <v>539</v>
      </c>
      <c r="C281" s="43">
        <f>$C$14*C280</f>
        <v>13.527198945578233</v>
      </c>
      <c r="D281" s="4" t="s">
        <v>21</v>
      </c>
      <c r="E281" s="2"/>
      <c r="G281" s="4"/>
      <c r="H281" s="4"/>
      <c r="N281" s="3"/>
      <c r="O281" s="3"/>
      <c r="P281" s="4"/>
      <c r="Q281" s="4"/>
      <c r="R281" s="4"/>
      <c r="S281" s="4"/>
      <c r="T281" s="4"/>
      <c r="U281" s="4"/>
      <c r="V281" s="4"/>
      <c r="W281" s="4"/>
    </row>
    <row r="282" spans="1:23" ht="18.75" x14ac:dyDescent="0.35">
      <c r="A282" s="4" t="s">
        <v>430</v>
      </c>
      <c r="B282" s="2" t="s">
        <v>340</v>
      </c>
      <c r="C282" s="43">
        <f>C264</f>
        <v>305.10899999999998</v>
      </c>
      <c r="D282" s="4" t="s">
        <v>120</v>
      </c>
      <c r="E282" s="2"/>
      <c r="G282" s="4"/>
      <c r="H282" s="4"/>
      <c r="N282" s="3"/>
      <c r="O282" s="3"/>
      <c r="P282" s="4"/>
      <c r="Q282" s="4"/>
      <c r="R282" s="4"/>
      <c r="S282" s="4"/>
      <c r="T282" s="4"/>
      <c r="U282" s="4"/>
      <c r="V282" s="4"/>
      <c r="W282" s="4"/>
    </row>
    <row r="283" spans="1:23" ht="17.25" x14ac:dyDescent="0.3">
      <c r="A283" s="39" t="s">
        <v>431</v>
      </c>
      <c r="B283" s="57" t="s">
        <v>538</v>
      </c>
      <c r="C283" s="58">
        <f>0.85*f_prime_c*(C282-6*C$226)/1000</f>
        <v>929.00019408211381</v>
      </c>
      <c r="D283" s="39" t="s">
        <v>97</v>
      </c>
      <c r="E283" s="2"/>
      <c r="G283" s="4"/>
      <c r="H283" s="4"/>
      <c r="N283" s="3"/>
      <c r="O283" s="3"/>
      <c r="P283" s="4"/>
      <c r="Q283" s="4"/>
      <c r="R283" s="4"/>
      <c r="S283" s="4"/>
      <c r="T283" s="4"/>
      <c r="U283" s="4"/>
      <c r="V283" s="4"/>
      <c r="W283" s="4"/>
    </row>
    <row r="284" spans="1:23" ht="18.75" x14ac:dyDescent="0.35">
      <c r="A284" s="4" t="s">
        <v>432</v>
      </c>
      <c r="B284" s="2" t="s">
        <v>342</v>
      </c>
      <c r="C284" s="43">
        <f>C280-C281+C267</f>
        <v>7.8859527551020419</v>
      </c>
      <c r="D284" s="4" t="s">
        <v>21</v>
      </c>
      <c r="E284" s="2"/>
      <c r="G284" s="4"/>
      <c r="H284" s="4"/>
      <c r="N284" s="3"/>
      <c r="O284" s="3"/>
      <c r="P284" s="4"/>
      <c r="Q284" s="4"/>
      <c r="R284" s="4"/>
      <c r="S284" s="4"/>
      <c r="T284" s="4"/>
      <c r="U284" s="4"/>
      <c r="V284" s="4"/>
      <c r="W284" s="4"/>
    </row>
    <row r="285" spans="1:23" ht="18.75" x14ac:dyDescent="0.35">
      <c r="A285" s="4" t="s">
        <v>433</v>
      </c>
      <c r="B285" s="2" t="s">
        <v>343</v>
      </c>
      <c r="C285" s="52">
        <f>(C280-C$214)/C280*$C$10</f>
        <v>2.1607386683914322E-3</v>
      </c>
      <c r="D285" s="4" t="s">
        <v>22</v>
      </c>
      <c r="E285" s="2"/>
      <c r="G285" s="4"/>
      <c r="H285" s="4"/>
      <c r="N285" s="3"/>
      <c r="O285" s="3"/>
      <c r="P285" s="4"/>
      <c r="Q285" s="4"/>
      <c r="R285" s="4"/>
      <c r="S285" s="4"/>
      <c r="T285" s="4"/>
      <c r="U285" s="4"/>
      <c r="V285" s="4"/>
      <c r="W285" s="4"/>
    </row>
    <row r="286" spans="1:23" ht="18.75" x14ac:dyDescent="0.35">
      <c r="A286" s="4" t="s">
        <v>434</v>
      </c>
      <c r="B286" s="2" t="s">
        <v>540</v>
      </c>
      <c r="C286" s="43">
        <f>IF(ABS(C285)&gt;$C$11,fy/1000,(ModulusElasticity/1000)*C285)</f>
        <v>60</v>
      </c>
      <c r="D286" s="4" t="s">
        <v>244</v>
      </c>
      <c r="E286" s="2"/>
      <c r="G286" s="4"/>
      <c r="H286" s="4"/>
      <c r="N286" s="3"/>
      <c r="O286" s="3"/>
      <c r="P286" s="4"/>
      <c r="Q286" s="4"/>
      <c r="R286" s="4"/>
      <c r="S286" s="4"/>
      <c r="T286" s="4"/>
      <c r="U286" s="4"/>
      <c r="V286" s="4"/>
      <c r="W286" s="4"/>
    </row>
    <row r="287" spans="1:23" ht="17.25" x14ac:dyDescent="0.3">
      <c r="A287" s="4" t="s">
        <v>435</v>
      </c>
      <c r="B287" s="57" t="s">
        <v>541</v>
      </c>
      <c r="C287" s="58">
        <f>C286*(2*$C$46)</f>
        <v>53.014376029327757</v>
      </c>
      <c r="D287" s="39" t="s">
        <v>97</v>
      </c>
      <c r="E287" s="2"/>
      <c r="G287" s="4"/>
      <c r="H287" s="4"/>
      <c r="N287" s="3"/>
      <c r="O287" s="3"/>
      <c r="P287" s="4"/>
      <c r="Q287" s="4"/>
      <c r="R287" s="4"/>
      <c r="S287" s="4"/>
      <c r="T287" s="4"/>
      <c r="U287" s="4"/>
      <c r="V287" s="4"/>
      <c r="W287" s="4"/>
    </row>
    <row r="288" spans="1:23" ht="18.75" x14ac:dyDescent="0.35">
      <c r="A288" s="4" t="s">
        <v>229</v>
      </c>
      <c r="B288" s="2" t="s">
        <v>346</v>
      </c>
      <c r="C288" s="43">
        <f>C280-C$214</f>
        <v>11.462251700680275</v>
      </c>
      <c r="D288" s="4" t="s">
        <v>21</v>
      </c>
      <c r="E288" s="2"/>
      <c r="G288" s="4"/>
      <c r="H288" s="4"/>
      <c r="N288" s="3"/>
      <c r="O288" s="3"/>
      <c r="P288" s="4"/>
      <c r="Q288" s="4"/>
      <c r="R288" s="4"/>
      <c r="S288" s="4"/>
      <c r="T288" s="4"/>
      <c r="U288" s="4"/>
      <c r="V288" s="4"/>
      <c r="W288" s="4"/>
    </row>
    <row r="289" spans="1:23" ht="18.75" x14ac:dyDescent="0.35">
      <c r="A289" s="4" t="s">
        <v>436</v>
      </c>
      <c r="B289" s="2" t="s">
        <v>347</v>
      </c>
      <c r="C289" s="52">
        <f>(C280-C$215)/C280*$C$10</f>
        <v>1.4807298182956156E-3</v>
      </c>
      <c r="D289" s="4" t="s">
        <v>22</v>
      </c>
      <c r="E289" s="2"/>
      <c r="G289" s="4"/>
      <c r="H289" s="4"/>
      <c r="N289" s="3"/>
      <c r="O289" s="3"/>
      <c r="P289" s="4"/>
      <c r="Q289" s="4"/>
      <c r="R289" s="4"/>
      <c r="S289" s="4"/>
      <c r="T289" s="4"/>
      <c r="U289" s="4"/>
      <c r="V289" s="4"/>
      <c r="W289" s="4"/>
    </row>
    <row r="290" spans="1:23" ht="18.75" x14ac:dyDescent="0.35">
      <c r="A290" s="4" t="s">
        <v>437</v>
      </c>
      <c r="B290" s="2" t="s">
        <v>348</v>
      </c>
      <c r="C290" s="43">
        <f>IF(ABS(C289)&gt;$C$11,fy/1000,(ModulusElasticity/1000)*C289)</f>
        <v>42.941164730572851</v>
      </c>
      <c r="D290" s="4" t="s">
        <v>244</v>
      </c>
      <c r="E290" s="2"/>
      <c r="G290" s="4"/>
      <c r="H290" s="4"/>
      <c r="N290" s="3"/>
      <c r="O290" s="3"/>
      <c r="P290" s="4"/>
      <c r="Q290" s="4"/>
      <c r="R290" s="4"/>
      <c r="S290" s="4"/>
      <c r="T290" s="4"/>
      <c r="U290" s="4"/>
      <c r="V290" s="4"/>
      <c r="W290" s="4"/>
    </row>
    <row r="291" spans="1:23" ht="17.25" x14ac:dyDescent="0.3">
      <c r="A291" s="4" t="s">
        <v>438</v>
      </c>
      <c r="B291" s="57" t="s">
        <v>349</v>
      </c>
      <c r="C291" s="58">
        <f>C290*(2*$C$46)</f>
        <v>37.941650902731595</v>
      </c>
      <c r="D291" s="39" t="s">
        <v>97</v>
      </c>
      <c r="E291" s="2"/>
      <c r="G291" s="4"/>
      <c r="H291" s="4"/>
      <c r="N291" s="3"/>
      <c r="O291" s="3"/>
      <c r="P291" s="4"/>
      <c r="Q291" s="4"/>
      <c r="R291" s="4"/>
      <c r="S291" s="4"/>
      <c r="T291" s="4"/>
      <c r="U291" s="4"/>
      <c r="V291" s="4"/>
      <c r="W291" s="4"/>
    </row>
    <row r="292" spans="1:23" ht="18.75" x14ac:dyDescent="0.35">
      <c r="A292" s="4" t="s">
        <v>230</v>
      </c>
      <c r="B292" s="2" t="s">
        <v>350</v>
      </c>
      <c r="C292" s="43">
        <f>C280-C$215</f>
        <v>7.8549517006802745</v>
      </c>
      <c r="D292" s="4" t="s">
        <v>21</v>
      </c>
      <c r="E292" s="2"/>
      <c r="G292" s="4"/>
      <c r="H292" s="4"/>
      <c r="N292" s="3"/>
      <c r="O292" s="3"/>
      <c r="P292" s="4"/>
      <c r="Q292" s="4"/>
      <c r="R292" s="4"/>
      <c r="S292" s="4"/>
      <c r="T292" s="4"/>
      <c r="U292" s="4"/>
      <c r="V292" s="4"/>
      <c r="W292" s="4"/>
    </row>
    <row r="293" spans="1:23" ht="18.75" x14ac:dyDescent="0.35">
      <c r="A293" s="4" t="s">
        <v>451</v>
      </c>
      <c r="B293" s="2" t="s">
        <v>499</v>
      </c>
      <c r="C293" s="52">
        <f>(C280-C$216)/C280*$C$10</f>
        <v>3.0292500710756275E-4</v>
      </c>
      <c r="D293" s="4" t="s">
        <v>22</v>
      </c>
      <c r="E293" s="2"/>
      <c r="G293" s="4"/>
      <c r="H293" s="4"/>
      <c r="N293" s="3"/>
      <c r="O293" s="3"/>
      <c r="P293" s="4"/>
      <c r="Q293" s="4"/>
      <c r="R293" s="4"/>
      <c r="S293" s="4"/>
      <c r="T293" s="4"/>
      <c r="U293" s="4"/>
      <c r="V293" s="4"/>
      <c r="W293" s="4"/>
    </row>
    <row r="294" spans="1:23" ht="18.75" x14ac:dyDescent="0.35">
      <c r="A294" s="4" t="s">
        <v>452</v>
      </c>
      <c r="B294" s="2" t="s">
        <v>493</v>
      </c>
      <c r="C294" s="43">
        <f>IF(ABS(C293)&gt;$C$11,fy/1000,(ModulusElasticity/1000)*C293)</f>
        <v>8.7848252061193204</v>
      </c>
      <c r="D294" s="4" t="s">
        <v>244</v>
      </c>
      <c r="E294" s="2"/>
      <c r="G294" s="4"/>
      <c r="H294" s="4"/>
      <c r="N294" s="3"/>
      <c r="O294" s="3"/>
      <c r="P294" s="4"/>
      <c r="Q294" s="4"/>
      <c r="R294" s="4"/>
      <c r="S294" s="4"/>
      <c r="T294" s="4"/>
      <c r="U294" s="4"/>
      <c r="V294" s="4"/>
      <c r="W294" s="4"/>
    </row>
    <row r="295" spans="1:23" ht="17.25" x14ac:dyDescent="0.3">
      <c r="A295" s="4" t="s">
        <v>453</v>
      </c>
      <c r="B295" s="57" t="s">
        <v>365</v>
      </c>
      <c r="C295" s="58">
        <f>C294*(2*$C$46)</f>
        <v>7.7620337804854396</v>
      </c>
      <c r="D295" s="39" t="s">
        <v>97</v>
      </c>
      <c r="E295" s="2"/>
      <c r="G295" s="4"/>
      <c r="H295" s="4"/>
      <c r="N295" s="3"/>
      <c r="O295" s="3"/>
      <c r="P295" s="4"/>
      <c r="Q295" s="4"/>
      <c r="R295" s="4"/>
      <c r="S295" s="4"/>
      <c r="T295" s="4"/>
      <c r="U295" s="4"/>
      <c r="V295" s="4"/>
      <c r="W295" s="4"/>
    </row>
    <row r="296" spans="1:23" ht="18.75" x14ac:dyDescent="0.35">
      <c r="A296" s="4" t="s">
        <v>454</v>
      </c>
      <c r="B296" s="2" t="s">
        <v>366</v>
      </c>
      <c r="C296" s="43">
        <f>C280-C$216</f>
        <v>1.6069517006802752</v>
      </c>
      <c r="D296" s="4" t="s">
        <v>21</v>
      </c>
      <c r="E296" s="2"/>
      <c r="G296" s="4"/>
      <c r="H296" s="4"/>
      <c r="N296" s="3"/>
      <c r="O296" s="3"/>
      <c r="P296" s="4"/>
      <c r="Q296" s="4"/>
      <c r="R296" s="4"/>
      <c r="S296" s="4"/>
      <c r="T296" s="4"/>
      <c r="U296" s="4"/>
      <c r="V296" s="4"/>
      <c r="W296" s="4"/>
    </row>
    <row r="297" spans="1:23" ht="18.75" x14ac:dyDescent="0.35">
      <c r="A297" s="4" t="s">
        <v>455</v>
      </c>
      <c r="B297" s="2" t="s">
        <v>367</v>
      </c>
      <c r="C297" s="52">
        <f>(C280-C$217)/C280*$C$10</f>
        <v>-1.0570926930840707E-3</v>
      </c>
      <c r="D297" s="4" t="s">
        <v>22</v>
      </c>
      <c r="E297" s="2"/>
      <c r="G297" s="4"/>
      <c r="H297" s="4"/>
      <c r="N297" s="3"/>
      <c r="O297" s="3"/>
      <c r="P297" s="4"/>
      <c r="Q297" s="4"/>
      <c r="R297" s="4"/>
      <c r="S297" s="4"/>
      <c r="T297" s="4"/>
      <c r="U297" s="4"/>
      <c r="V297" s="4"/>
      <c r="W297" s="4"/>
    </row>
    <row r="298" spans="1:23" ht="18.75" x14ac:dyDescent="0.35">
      <c r="A298" s="4" t="s">
        <v>456</v>
      </c>
      <c r="B298" s="2" t="s">
        <v>543</v>
      </c>
      <c r="C298" s="43">
        <f>IF(ABS(C297)&gt;$C$11,IF(C297&lt;0,-fy/1000,fy/1000),(ModulusElasticity/1000)*C297)</f>
        <v>-30.655688099438052</v>
      </c>
      <c r="D298" s="4" t="s">
        <v>244</v>
      </c>
      <c r="E298" s="2"/>
      <c r="G298" s="4"/>
      <c r="H298" s="4"/>
      <c r="N298" s="3"/>
      <c r="O298" s="3"/>
      <c r="P298" s="4"/>
      <c r="Q298" s="4"/>
      <c r="R298" s="4"/>
      <c r="S298" s="4"/>
      <c r="T298" s="4"/>
      <c r="U298" s="4"/>
      <c r="V298" s="4"/>
      <c r="W298" s="4"/>
    </row>
    <row r="299" spans="1:23" ht="17.25" x14ac:dyDescent="0.3">
      <c r="A299" s="4" t="s">
        <v>457</v>
      </c>
      <c r="B299" s="57" t="s">
        <v>544</v>
      </c>
      <c r="C299" s="58">
        <f>C298*(2*$C$46)</f>
        <v>-27.086536272356614</v>
      </c>
      <c r="D299" s="39" t="s">
        <v>97</v>
      </c>
      <c r="E299" s="2"/>
      <c r="G299" s="4"/>
      <c r="H299" s="4"/>
      <c r="N299" s="3"/>
      <c r="O299" s="3"/>
      <c r="P299" s="4"/>
      <c r="Q299" s="4"/>
      <c r="R299" s="4"/>
      <c r="S299" s="4"/>
      <c r="T299" s="4"/>
      <c r="U299" s="4"/>
      <c r="V299" s="4"/>
      <c r="W299" s="4"/>
    </row>
    <row r="300" spans="1:23" ht="18.75" x14ac:dyDescent="0.35">
      <c r="A300" s="4" t="s">
        <v>458</v>
      </c>
      <c r="B300" s="2" t="s">
        <v>368</v>
      </c>
      <c r="C300" s="43">
        <f>C280-C$217</f>
        <v>-5.6076482993197239</v>
      </c>
      <c r="D300" s="4" t="s">
        <v>21</v>
      </c>
      <c r="E300" s="2"/>
      <c r="G300" s="4"/>
      <c r="H300" s="4"/>
      <c r="N300" s="3"/>
      <c r="O300" s="3"/>
      <c r="P300" s="4"/>
      <c r="Q300" s="4"/>
      <c r="R300" s="4"/>
      <c r="S300" s="4"/>
      <c r="T300" s="4"/>
      <c r="U300" s="4"/>
      <c r="V300" s="4"/>
      <c r="W300" s="4"/>
    </row>
    <row r="301" spans="1:23" ht="18.75" x14ac:dyDescent="0.35">
      <c r="A301" s="4" t="s">
        <v>442</v>
      </c>
      <c r="B301" s="2" t="s">
        <v>355</v>
      </c>
      <c r="C301" s="52">
        <f>(C280-C$218)/C280*$C$10</f>
        <v>-2.2348975042721241E-3</v>
      </c>
      <c r="D301" s="4" t="s">
        <v>22</v>
      </c>
      <c r="E301" s="2"/>
      <c r="G301" s="4"/>
      <c r="H301" s="4"/>
      <c r="N301" s="3"/>
      <c r="O301" s="3"/>
      <c r="P301" s="4"/>
      <c r="Q301" s="4"/>
      <c r="R301" s="4"/>
      <c r="S301" s="4"/>
      <c r="T301" s="4"/>
      <c r="U301" s="4"/>
      <c r="V301" s="4"/>
      <c r="W301" s="4"/>
    </row>
    <row r="302" spans="1:23" ht="18.75" x14ac:dyDescent="0.35">
      <c r="A302" s="4" t="s">
        <v>443</v>
      </c>
      <c r="B302" s="2" t="s">
        <v>356</v>
      </c>
      <c r="C302" s="43">
        <f>IF(ABS(C301)&gt;$C$11,IF(C301&lt;0,-fy/1000,fy/1000),(ModulusElasticity/1000)*C301)</f>
        <v>-60</v>
      </c>
      <c r="D302" s="4" t="s">
        <v>244</v>
      </c>
      <c r="E302" s="2"/>
      <c r="G302" s="4"/>
      <c r="H302" s="4"/>
      <c r="N302" s="3"/>
      <c r="O302" s="3"/>
      <c r="P302" s="4"/>
      <c r="Q302" s="4"/>
      <c r="R302" s="4"/>
      <c r="S302" s="4"/>
      <c r="T302" s="4"/>
      <c r="U302" s="4"/>
      <c r="V302" s="4"/>
      <c r="W302" s="4"/>
    </row>
    <row r="303" spans="1:23" ht="17.25" x14ac:dyDescent="0.3">
      <c r="A303" s="4" t="s">
        <v>444</v>
      </c>
      <c r="B303" s="57" t="s">
        <v>357</v>
      </c>
      <c r="C303" s="58">
        <f>C302*(2*$C$46)</f>
        <v>-53.014376029327757</v>
      </c>
      <c r="D303" s="39" t="s">
        <v>97</v>
      </c>
      <c r="E303" s="2"/>
      <c r="G303" s="4"/>
      <c r="H303" s="4"/>
      <c r="N303" s="3"/>
      <c r="O303" s="3"/>
      <c r="P303" s="4"/>
      <c r="Q303" s="4"/>
      <c r="R303" s="4"/>
      <c r="S303" s="4"/>
      <c r="T303" s="4"/>
      <c r="U303" s="4"/>
      <c r="V303" s="4"/>
      <c r="W303" s="4"/>
    </row>
    <row r="304" spans="1:23" ht="18.75" x14ac:dyDescent="0.35">
      <c r="A304" s="4" t="s">
        <v>232</v>
      </c>
      <c r="B304" s="2" t="s">
        <v>358</v>
      </c>
      <c r="C304" s="43">
        <f>C280-C$218</f>
        <v>-11.855648299319725</v>
      </c>
      <c r="D304" s="4" t="s">
        <v>21</v>
      </c>
      <c r="E304" s="2"/>
      <c r="G304" s="3"/>
      <c r="H304" s="4"/>
      <c r="N304" s="3"/>
      <c r="O304" s="3"/>
      <c r="P304" s="4"/>
      <c r="Q304" s="4"/>
      <c r="R304" s="4"/>
      <c r="S304" s="4"/>
      <c r="T304" s="4"/>
      <c r="U304" s="4"/>
      <c r="V304" s="4"/>
      <c r="W304" s="4"/>
    </row>
    <row r="305" spans="1:23" ht="18.75" x14ac:dyDescent="0.35">
      <c r="A305" s="4" t="s">
        <v>445</v>
      </c>
      <c r="B305" s="2" t="s">
        <v>359</v>
      </c>
      <c r="C305" s="52">
        <f>(C280-C$219)/C280*$C$10</f>
        <v>-2.9149063543679409E-3</v>
      </c>
      <c r="D305" s="4" t="s">
        <v>22</v>
      </c>
      <c r="E305" s="2"/>
      <c r="F305" s="2"/>
      <c r="H305" s="3"/>
      <c r="N305" s="3"/>
      <c r="O305" s="3"/>
      <c r="P305" s="4"/>
      <c r="Q305" s="4"/>
      <c r="R305" s="4"/>
      <c r="S305" s="4"/>
      <c r="T305" s="4"/>
      <c r="U305" s="4"/>
      <c r="V305" s="4"/>
      <c r="W305" s="4"/>
    </row>
    <row r="306" spans="1:23" ht="18.75" x14ac:dyDescent="0.35">
      <c r="A306" s="4" t="s">
        <v>233</v>
      </c>
      <c r="B306" s="2" t="s">
        <v>360</v>
      </c>
      <c r="C306" s="43">
        <f>IF(ABS(C305)&gt;$C$11,IF(C305&lt;0,-fy/1000,fy/1000),(ModulusElasticity/1000)*C305)</f>
        <v>-60</v>
      </c>
      <c r="D306" s="4" t="s">
        <v>244</v>
      </c>
      <c r="E306" s="2"/>
      <c r="F306" s="3"/>
      <c r="G306" s="3"/>
      <c r="H306" s="2"/>
      <c r="N306" s="3"/>
      <c r="O306" s="3"/>
      <c r="P306" s="4"/>
      <c r="Q306" s="4"/>
      <c r="R306" s="4"/>
      <c r="S306" s="4"/>
      <c r="T306" s="4"/>
      <c r="U306" s="4"/>
      <c r="V306" s="4"/>
      <c r="W306" s="4"/>
    </row>
    <row r="307" spans="1:23" ht="17.25" x14ac:dyDescent="0.3">
      <c r="A307" s="4" t="s">
        <v>445</v>
      </c>
      <c r="B307" s="57" t="s">
        <v>361</v>
      </c>
      <c r="C307" s="58">
        <f>C306*(2*$C$46)</f>
        <v>-53.014376029327757</v>
      </c>
      <c r="D307" s="39" t="s">
        <v>97</v>
      </c>
      <c r="E307" s="2"/>
      <c r="F307" s="8"/>
      <c r="G307" s="8"/>
      <c r="H307" s="3"/>
      <c r="N307" s="3"/>
      <c r="O307" s="3"/>
      <c r="P307" s="4"/>
      <c r="Q307" s="4"/>
      <c r="R307" s="4"/>
      <c r="S307" s="4"/>
      <c r="T307" s="4"/>
      <c r="U307" s="4"/>
      <c r="V307" s="4"/>
      <c r="W307" s="4"/>
    </row>
    <row r="308" spans="1:23" ht="19.5" thickBot="1" x14ac:dyDescent="0.4">
      <c r="A308" s="4" t="s">
        <v>233</v>
      </c>
      <c r="B308" s="2" t="s">
        <v>362</v>
      </c>
      <c r="C308" s="43">
        <f>C280-C$219</f>
        <v>-15.462948299319727</v>
      </c>
      <c r="D308" s="4" t="s">
        <v>21</v>
      </c>
      <c r="E308" s="2"/>
      <c r="F308" s="8"/>
      <c r="G308" s="8"/>
      <c r="H308" s="8"/>
      <c r="N308" s="3"/>
      <c r="O308" s="3"/>
      <c r="P308" s="4"/>
      <c r="Q308" s="4"/>
      <c r="R308" s="4"/>
      <c r="S308" s="4"/>
      <c r="T308" s="4"/>
      <c r="U308" s="4"/>
      <c r="V308" s="4"/>
      <c r="W308" s="4"/>
    </row>
    <row r="309" spans="1:23" ht="18.75" x14ac:dyDescent="0.35">
      <c r="A309" s="4" t="s">
        <v>446</v>
      </c>
      <c r="B309" s="2" t="s">
        <v>237</v>
      </c>
      <c r="C309" s="59">
        <f>C283+C287+C291+C295+C299+C303+C307</f>
        <v>894.60296646364645</v>
      </c>
      <c r="D309" s="4" t="s">
        <v>97</v>
      </c>
      <c r="E309" s="2"/>
      <c r="F309" s="8"/>
      <c r="G309" s="8"/>
      <c r="H309" s="8"/>
      <c r="N309" s="3"/>
      <c r="O309" s="3"/>
      <c r="P309" s="4"/>
      <c r="Q309" s="4"/>
      <c r="R309" s="4"/>
      <c r="S309" s="4"/>
      <c r="T309" s="4"/>
      <c r="U309" s="4"/>
      <c r="V309" s="4"/>
      <c r="W309" s="4"/>
    </row>
    <row r="310" spans="1:23" ht="18.75" x14ac:dyDescent="0.35">
      <c r="A310" s="4" t="s">
        <v>447</v>
      </c>
      <c r="B310" s="2" t="s">
        <v>236</v>
      </c>
      <c r="C310" s="60">
        <f>C283*C284+C287*C288+C291*C292+C295*C296+C299*C300+C303*C304</f>
        <v>9024.6303765578996</v>
      </c>
      <c r="D310" s="4" t="s">
        <v>234</v>
      </c>
      <c r="E310" s="2"/>
      <c r="F310" s="8"/>
      <c r="G310" s="8"/>
      <c r="H310" s="8"/>
      <c r="N310" s="3"/>
      <c r="O310" s="3"/>
      <c r="P310" s="4"/>
      <c r="Q310" s="4"/>
      <c r="R310" s="4"/>
      <c r="S310" s="4"/>
      <c r="T310" s="4"/>
      <c r="U310" s="4"/>
      <c r="V310" s="4"/>
      <c r="W310" s="4"/>
    </row>
    <row r="311" spans="1:23" ht="15" thickBot="1" x14ac:dyDescent="0.25">
      <c r="C311" s="61">
        <f>C310/12</f>
        <v>752.05253137982493</v>
      </c>
      <c r="D311" s="4" t="s">
        <v>235</v>
      </c>
      <c r="E311" s="2"/>
      <c r="F311" s="8"/>
      <c r="G311" s="8"/>
      <c r="H311" s="8"/>
      <c r="N311" s="3"/>
      <c r="O311" s="3"/>
      <c r="P311" s="4"/>
      <c r="Q311" s="4"/>
      <c r="R311" s="4"/>
      <c r="S311" s="4"/>
      <c r="T311" s="4"/>
      <c r="U311" s="4"/>
      <c r="V311" s="4"/>
      <c r="W311" s="4"/>
    </row>
    <row r="312" spans="1:23" x14ac:dyDescent="0.2">
      <c r="E312" s="2"/>
      <c r="F312" s="8"/>
      <c r="G312" s="8"/>
      <c r="H312" s="8"/>
      <c r="N312" s="3"/>
      <c r="O312" s="3"/>
      <c r="P312" s="4"/>
      <c r="Q312" s="4"/>
      <c r="R312" s="4"/>
      <c r="S312" s="4"/>
      <c r="T312" s="4"/>
      <c r="U312" s="4"/>
      <c r="V312" s="4"/>
      <c r="W312" s="4"/>
    </row>
    <row r="313" spans="1:23" ht="15" x14ac:dyDescent="0.25">
      <c r="B313" s="1" t="s">
        <v>554</v>
      </c>
      <c r="E313" s="2"/>
      <c r="F313" s="8"/>
      <c r="G313" s="8"/>
      <c r="H313" s="8"/>
      <c r="N313" s="3"/>
      <c r="O313" s="3"/>
      <c r="P313" s="4"/>
      <c r="Q313" s="4"/>
      <c r="R313" s="4"/>
      <c r="S313" s="4"/>
      <c r="T313" s="4"/>
      <c r="U313" s="4"/>
      <c r="V313" s="4"/>
      <c r="W313" s="4"/>
    </row>
    <row r="314" spans="1:23" x14ac:dyDescent="0.2">
      <c r="E314" s="2"/>
      <c r="F314" s="8"/>
      <c r="G314" s="8"/>
      <c r="H314" s="8"/>
      <c r="N314" s="3"/>
      <c r="O314" s="3"/>
      <c r="P314" s="4"/>
      <c r="Q314" s="4"/>
      <c r="R314" s="4"/>
      <c r="S314" s="4"/>
      <c r="T314" s="4"/>
      <c r="U314" s="4"/>
      <c r="V314" s="4"/>
      <c r="W314" s="4"/>
    </row>
    <row r="315" spans="1:23" x14ac:dyDescent="0.2">
      <c r="E315" s="2"/>
      <c r="F315" s="8"/>
      <c r="G315" s="8"/>
      <c r="H315" s="8"/>
      <c r="N315" s="3"/>
      <c r="O315" s="3"/>
      <c r="P315" s="4"/>
      <c r="Q315" s="4"/>
      <c r="R315" s="4"/>
      <c r="S315" s="4"/>
      <c r="T315" s="4"/>
      <c r="U315" s="4"/>
      <c r="V315" s="4"/>
      <c r="W315" s="4"/>
    </row>
    <row r="316" spans="1:23" x14ac:dyDescent="0.2">
      <c r="E316" s="2"/>
      <c r="F316" s="8"/>
      <c r="G316" s="8"/>
      <c r="H316" s="8"/>
      <c r="N316" s="3"/>
      <c r="O316" s="3"/>
      <c r="P316" s="4"/>
      <c r="Q316" s="4"/>
      <c r="R316" s="4"/>
      <c r="S316" s="4"/>
      <c r="T316" s="4"/>
      <c r="U316" s="4"/>
      <c r="V316" s="4"/>
      <c r="W316" s="4"/>
    </row>
    <row r="317" spans="1:23" x14ac:dyDescent="0.2">
      <c r="E317" s="2"/>
      <c r="F317" s="8"/>
      <c r="G317" s="8"/>
      <c r="H317" s="8"/>
      <c r="N317" s="3"/>
      <c r="O317" s="3"/>
      <c r="P317" s="4"/>
      <c r="Q317" s="4"/>
      <c r="R317" s="4"/>
      <c r="S317" s="4"/>
      <c r="T317" s="4"/>
      <c r="U317" s="4"/>
      <c r="V317" s="4"/>
      <c r="W317" s="4"/>
    </row>
    <row r="318" spans="1:23" x14ac:dyDescent="0.2">
      <c r="E318" s="2"/>
      <c r="F318" s="8"/>
      <c r="G318" s="8"/>
      <c r="H318" s="8"/>
      <c r="N318" s="3"/>
      <c r="O318" s="3"/>
      <c r="P318" s="4"/>
      <c r="Q318" s="4"/>
      <c r="R318" s="4"/>
      <c r="S318" s="4"/>
      <c r="T318" s="4"/>
      <c r="U318" s="4"/>
      <c r="V318" s="4"/>
      <c r="W318" s="4"/>
    </row>
    <row r="319" spans="1:23" x14ac:dyDescent="0.2">
      <c r="E319" s="2"/>
      <c r="F319" s="8"/>
      <c r="G319" s="8"/>
      <c r="H319" s="8"/>
      <c r="N319" s="3"/>
      <c r="O319" s="3"/>
      <c r="P319" s="4"/>
      <c r="Q319" s="4"/>
      <c r="R319" s="4"/>
      <c r="S319" s="4"/>
      <c r="T319" s="4"/>
      <c r="U319" s="4"/>
      <c r="V319" s="4"/>
      <c r="W319" s="4"/>
    </row>
    <row r="320" spans="1:23" x14ac:dyDescent="0.2">
      <c r="E320" s="2"/>
      <c r="F320" s="8"/>
      <c r="G320" s="8"/>
      <c r="H320" s="8"/>
      <c r="N320" s="3"/>
      <c r="O320" s="3"/>
      <c r="P320" s="4"/>
      <c r="Q320" s="4"/>
      <c r="R320" s="4"/>
      <c r="S320" s="4"/>
      <c r="T320" s="4"/>
      <c r="U320" s="4"/>
      <c r="V320" s="4"/>
      <c r="W320" s="4"/>
    </row>
    <row r="321" spans="2:23" x14ac:dyDescent="0.2">
      <c r="E321" s="2"/>
      <c r="F321" s="8"/>
      <c r="G321" s="8"/>
      <c r="H321" s="8"/>
      <c r="N321" s="3"/>
      <c r="O321" s="3"/>
      <c r="P321" s="4"/>
      <c r="Q321" s="4"/>
      <c r="R321" s="4"/>
      <c r="S321" s="4"/>
      <c r="T321" s="4"/>
      <c r="U321" s="4"/>
      <c r="V321" s="4"/>
      <c r="W321" s="4"/>
    </row>
    <row r="322" spans="2:23" x14ac:dyDescent="0.2">
      <c r="E322" s="2"/>
      <c r="F322" s="8"/>
      <c r="G322" s="8"/>
      <c r="H322" s="8"/>
      <c r="N322" s="3"/>
      <c r="O322" s="3"/>
      <c r="P322" s="4"/>
      <c r="Q322" s="4"/>
      <c r="R322" s="4"/>
      <c r="S322" s="4"/>
      <c r="T322" s="4"/>
      <c r="U322" s="4"/>
      <c r="V322" s="4"/>
      <c r="W322" s="4"/>
    </row>
    <row r="323" spans="2:23" x14ac:dyDescent="0.2">
      <c r="E323" s="2"/>
      <c r="F323" s="8"/>
      <c r="G323" s="8"/>
      <c r="H323" s="8"/>
      <c r="N323" s="3"/>
      <c r="O323" s="3"/>
      <c r="P323" s="4"/>
      <c r="Q323" s="4"/>
      <c r="R323" s="4"/>
      <c r="S323" s="4"/>
      <c r="T323" s="4"/>
      <c r="U323" s="4"/>
      <c r="V323" s="4"/>
      <c r="W323" s="4"/>
    </row>
    <row r="324" spans="2:23" x14ac:dyDescent="0.2">
      <c r="E324" s="2"/>
      <c r="F324" s="8"/>
      <c r="G324" s="8"/>
      <c r="H324" s="8"/>
      <c r="N324" s="3"/>
      <c r="O324" s="3"/>
      <c r="P324" s="4"/>
      <c r="Q324" s="4"/>
      <c r="R324" s="4"/>
      <c r="S324" s="4"/>
      <c r="T324" s="4"/>
      <c r="U324" s="4"/>
      <c r="V324" s="4"/>
      <c r="W324" s="4"/>
    </row>
    <row r="325" spans="2:23" x14ac:dyDescent="0.2">
      <c r="E325" s="2"/>
      <c r="F325" s="8"/>
      <c r="G325" s="8"/>
      <c r="H325" s="8"/>
      <c r="N325" s="3"/>
      <c r="O325" s="3"/>
      <c r="P325" s="4"/>
      <c r="Q325" s="4"/>
      <c r="R325" s="4"/>
      <c r="S325" s="4"/>
      <c r="T325" s="4"/>
      <c r="U325" s="4"/>
      <c r="V325" s="4"/>
      <c r="W325" s="4"/>
    </row>
    <row r="326" spans="2:23" x14ac:dyDescent="0.2">
      <c r="E326" s="2"/>
      <c r="F326" s="8"/>
      <c r="G326" s="8"/>
      <c r="H326" s="8"/>
      <c r="N326" s="3"/>
      <c r="O326" s="3"/>
      <c r="P326" s="4"/>
      <c r="Q326" s="4"/>
      <c r="R326" s="4"/>
      <c r="S326" s="4"/>
      <c r="T326" s="4"/>
      <c r="U326" s="4"/>
      <c r="V326" s="4"/>
      <c r="W326" s="4"/>
    </row>
    <row r="327" spans="2:23" x14ac:dyDescent="0.2">
      <c r="E327" s="2"/>
      <c r="F327" s="8"/>
      <c r="G327" s="8"/>
      <c r="H327" s="8"/>
      <c r="N327" s="3"/>
      <c r="O327" s="3"/>
      <c r="P327" s="4"/>
      <c r="Q327" s="4"/>
      <c r="R327" s="4"/>
      <c r="S327" s="4"/>
      <c r="T327" s="4"/>
      <c r="U327" s="4"/>
      <c r="V327" s="4"/>
      <c r="W327" s="4"/>
    </row>
    <row r="328" spans="2:23" x14ac:dyDescent="0.2">
      <c r="E328" s="2"/>
      <c r="F328" s="8"/>
      <c r="G328" s="8"/>
      <c r="H328" s="8"/>
      <c r="N328" s="3"/>
      <c r="O328" s="3"/>
      <c r="P328" s="4"/>
      <c r="Q328" s="4"/>
      <c r="R328" s="4"/>
      <c r="S328" s="4"/>
      <c r="T328" s="4"/>
      <c r="U328" s="4"/>
      <c r="V328" s="4"/>
      <c r="W328" s="4"/>
    </row>
    <row r="329" spans="2:23" ht="15" x14ac:dyDescent="0.25">
      <c r="B329" s="84" t="s">
        <v>552</v>
      </c>
      <c r="E329" s="2"/>
      <c r="F329" s="8"/>
      <c r="G329" s="8"/>
      <c r="H329" s="8"/>
      <c r="N329" s="3"/>
      <c r="O329" s="3"/>
      <c r="P329" s="4"/>
      <c r="Q329" s="4"/>
      <c r="R329" s="4"/>
      <c r="S329" s="4"/>
      <c r="T329" s="4"/>
      <c r="U329" s="4"/>
      <c r="V329" s="4"/>
      <c r="W329" s="4"/>
    </row>
    <row r="330" spans="2:23" x14ac:dyDescent="0.2">
      <c r="B330" s="4" t="s">
        <v>555</v>
      </c>
      <c r="C330" s="4"/>
      <c r="G330" s="4"/>
      <c r="H330" s="8"/>
      <c r="N330" s="3"/>
      <c r="O330" s="3"/>
      <c r="P330" s="4"/>
      <c r="Q330" s="4"/>
      <c r="R330" s="4"/>
      <c r="S330" s="4"/>
      <c r="T330" s="4"/>
      <c r="U330" s="4"/>
      <c r="V330" s="4"/>
      <c r="W330" s="4"/>
    </row>
    <row r="331" spans="2:23" ht="16.5" x14ac:dyDescent="0.2">
      <c r="B331" s="4" t="s">
        <v>317</v>
      </c>
      <c r="C331" s="4">
        <v>72.217799999999997</v>
      </c>
      <c r="D331" s="3" t="s">
        <v>120</v>
      </c>
      <c r="G331" s="4"/>
      <c r="H331" s="8"/>
      <c r="N331" s="3"/>
      <c r="O331" s="3"/>
      <c r="P331" s="4"/>
      <c r="Q331" s="4"/>
      <c r="R331" s="4"/>
      <c r="S331" s="4"/>
      <c r="T331" s="4"/>
      <c r="U331" s="4"/>
      <c r="V331" s="4"/>
      <c r="W331" s="4"/>
    </row>
    <row r="332" spans="2:23" x14ac:dyDescent="0.2">
      <c r="B332" s="4" t="s">
        <v>318</v>
      </c>
      <c r="C332" s="4">
        <v>46.3035</v>
      </c>
      <c r="D332" s="3" t="s">
        <v>21</v>
      </c>
      <c r="G332" s="4"/>
      <c r="H332" s="8"/>
      <c r="N332" s="3"/>
      <c r="O332" s="3"/>
      <c r="P332" s="4"/>
      <c r="Q332" s="4"/>
      <c r="R332" s="4"/>
      <c r="S332" s="4"/>
      <c r="T332" s="4"/>
      <c r="U332" s="4"/>
      <c r="V332" s="4"/>
      <c r="W332" s="4"/>
    </row>
    <row r="333" spans="2:23" x14ac:dyDescent="0.2">
      <c r="B333" s="4" t="s">
        <v>238</v>
      </c>
      <c r="C333" s="4">
        <v>0</v>
      </c>
      <c r="D333" s="3" t="s">
        <v>21</v>
      </c>
      <c r="G333" s="4"/>
      <c r="H333" s="8"/>
      <c r="N333" s="3"/>
      <c r="O333" s="3"/>
      <c r="P333" s="4"/>
      <c r="Q333" s="4"/>
      <c r="R333" s="4"/>
      <c r="S333" s="4"/>
      <c r="T333" s="4"/>
      <c r="U333" s="4"/>
      <c r="V333" s="4"/>
      <c r="W333" s="4"/>
    </row>
    <row r="334" spans="2:23" x14ac:dyDescent="0.2">
      <c r="B334" s="4" t="s">
        <v>319</v>
      </c>
      <c r="C334" s="4">
        <v>1.9830000000000001</v>
      </c>
      <c r="D334" s="3" t="s">
        <v>21</v>
      </c>
      <c r="G334" s="4"/>
      <c r="H334" s="8"/>
      <c r="N334" s="3"/>
      <c r="O334" s="3"/>
      <c r="P334" s="4"/>
      <c r="Q334" s="4"/>
      <c r="R334" s="4"/>
      <c r="S334" s="4"/>
      <c r="T334" s="4"/>
      <c r="U334" s="4"/>
      <c r="V334" s="4"/>
      <c r="W334" s="4"/>
    </row>
    <row r="335" spans="2:23" ht="16.5" x14ac:dyDescent="0.2">
      <c r="B335" s="4" t="s">
        <v>320</v>
      </c>
      <c r="C335" s="4"/>
      <c r="D335" s="3" t="s">
        <v>225</v>
      </c>
      <c r="G335" s="4"/>
      <c r="H335" s="8"/>
      <c r="N335" s="3"/>
      <c r="O335" s="3"/>
      <c r="P335" s="4"/>
      <c r="Q335" s="4"/>
      <c r="R335" s="4"/>
      <c r="S335" s="4"/>
      <c r="T335" s="4"/>
      <c r="U335" s="4"/>
      <c r="V335" s="4"/>
      <c r="W335" s="4"/>
    </row>
    <row r="336" spans="2:23" ht="16.5" x14ac:dyDescent="0.2">
      <c r="B336" s="4" t="s">
        <v>321</v>
      </c>
      <c r="C336" s="4"/>
      <c r="D336" s="3" t="s">
        <v>225</v>
      </c>
      <c r="G336" s="4"/>
      <c r="H336" s="8"/>
      <c r="N336" s="3"/>
      <c r="O336" s="3"/>
      <c r="P336" s="4"/>
      <c r="Q336" s="4"/>
      <c r="R336" s="4"/>
      <c r="S336" s="4"/>
      <c r="T336" s="4"/>
      <c r="U336" s="4"/>
      <c r="V336" s="4"/>
      <c r="W336" s="4"/>
    </row>
    <row r="337" spans="1:23" x14ac:dyDescent="0.2">
      <c r="B337" s="4" t="s">
        <v>239</v>
      </c>
      <c r="C337" s="4"/>
      <c r="G337" s="4"/>
      <c r="H337" s="8"/>
      <c r="N337" s="3"/>
      <c r="O337" s="3"/>
      <c r="P337" s="4"/>
      <c r="Q337" s="4"/>
      <c r="R337" s="4"/>
      <c r="S337" s="4"/>
      <c r="T337" s="4"/>
      <c r="U337" s="4"/>
      <c r="V337" s="4"/>
      <c r="W337" s="4"/>
    </row>
    <row r="338" spans="1:23" x14ac:dyDescent="0.2">
      <c r="B338" s="4" t="s">
        <v>322</v>
      </c>
      <c r="C338" s="4"/>
      <c r="G338" s="4"/>
      <c r="H338" s="8"/>
      <c r="N338" s="3"/>
      <c r="O338" s="3"/>
      <c r="P338" s="4"/>
      <c r="Q338" s="4"/>
      <c r="R338" s="4"/>
      <c r="S338" s="4"/>
      <c r="T338" s="4"/>
      <c r="U338" s="4"/>
      <c r="V338" s="4"/>
      <c r="W338" s="4"/>
    </row>
    <row r="339" spans="1:23" x14ac:dyDescent="0.2">
      <c r="B339" s="4" t="s">
        <v>323</v>
      </c>
      <c r="C339" s="4"/>
      <c r="G339" s="4"/>
      <c r="H339" s="8"/>
      <c r="N339" s="3"/>
      <c r="O339" s="3"/>
      <c r="P339" s="4"/>
      <c r="Q339" s="4"/>
      <c r="R339" s="4"/>
      <c r="S339" s="4"/>
      <c r="T339" s="4"/>
      <c r="U339" s="4"/>
      <c r="V339" s="4"/>
      <c r="W339" s="4"/>
    </row>
    <row r="340" spans="1:23" x14ac:dyDescent="0.2">
      <c r="B340" s="4" t="s">
        <v>189</v>
      </c>
      <c r="C340" s="4"/>
      <c r="G340" s="4"/>
      <c r="H340" s="8"/>
      <c r="N340" s="3"/>
      <c r="O340" s="3"/>
      <c r="P340" s="4"/>
      <c r="Q340" s="4"/>
      <c r="R340" s="4"/>
      <c r="S340" s="4"/>
      <c r="T340" s="4"/>
      <c r="U340" s="4"/>
      <c r="V340" s="4"/>
      <c r="W340" s="4"/>
    </row>
    <row r="341" spans="1:23" x14ac:dyDescent="0.2">
      <c r="B341" s="4" t="s">
        <v>324</v>
      </c>
      <c r="C341" s="4"/>
      <c r="G341" s="4"/>
      <c r="H341" s="8"/>
      <c r="N341" s="3"/>
      <c r="O341" s="3"/>
      <c r="P341" s="4"/>
      <c r="Q341" s="4"/>
      <c r="R341" s="4"/>
      <c r="S341" s="4"/>
      <c r="T341" s="4"/>
      <c r="U341" s="4"/>
      <c r="V341" s="4"/>
      <c r="W341" s="4"/>
    </row>
    <row r="342" spans="1:23" x14ac:dyDescent="0.2">
      <c r="B342" s="4" t="s">
        <v>325</v>
      </c>
      <c r="C342" s="4"/>
      <c r="G342" s="4"/>
      <c r="H342" s="8"/>
      <c r="N342" s="3"/>
      <c r="O342" s="3"/>
      <c r="P342" s="4"/>
      <c r="Q342" s="4"/>
      <c r="R342" s="4"/>
      <c r="S342" s="4"/>
      <c r="T342" s="4"/>
      <c r="U342" s="4"/>
      <c r="V342" s="4"/>
      <c r="W342" s="4"/>
    </row>
    <row r="343" spans="1:23" x14ac:dyDescent="0.2">
      <c r="E343" s="2"/>
      <c r="F343" s="8"/>
      <c r="G343" s="8"/>
      <c r="H343" s="8"/>
      <c r="N343" s="3"/>
      <c r="O343" s="3"/>
      <c r="P343" s="4"/>
      <c r="Q343" s="4"/>
      <c r="R343" s="4"/>
      <c r="S343" s="4"/>
      <c r="T343" s="4"/>
      <c r="U343" s="4"/>
      <c r="V343" s="4"/>
      <c r="W343" s="4"/>
    </row>
    <row r="344" spans="1:23" x14ac:dyDescent="0.2">
      <c r="A344" s="66" t="s">
        <v>460</v>
      </c>
      <c r="C344" s="47"/>
      <c r="E344" s="2"/>
      <c r="G344" s="4"/>
      <c r="H344" s="8"/>
      <c r="N344" s="3"/>
      <c r="O344" s="3"/>
      <c r="P344" s="4"/>
      <c r="Q344" s="4"/>
      <c r="R344" s="4"/>
      <c r="S344" s="4"/>
      <c r="T344" s="4"/>
      <c r="U344" s="4"/>
      <c r="V344" s="4"/>
      <c r="W344" s="4"/>
    </row>
    <row r="345" spans="1:23" ht="18.75" x14ac:dyDescent="0.35">
      <c r="A345" s="4" t="s">
        <v>200</v>
      </c>
      <c r="B345" s="63" t="s">
        <v>369</v>
      </c>
      <c r="C345" s="43">
        <f>(C$215+C$216+C$217+C$218+C$219)/5</f>
        <v>20.607220000000002</v>
      </c>
      <c r="D345" s="4" t="s">
        <v>21</v>
      </c>
      <c r="E345" s="2"/>
      <c r="G345" s="4"/>
      <c r="H345" s="4"/>
      <c r="P345" s="4"/>
      <c r="Q345" s="4"/>
      <c r="R345" s="4"/>
      <c r="S345" s="4"/>
      <c r="T345" s="4"/>
      <c r="U345" s="4"/>
      <c r="V345" s="4"/>
      <c r="W345" s="4"/>
    </row>
    <row r="346" spans="1:23" ht="18.75" x14ac:dyDescent="0.35">
      <c r="A346" s="4" t="s">
        <v>201</v>
      </c>
      <c r="B346" s="63" t="s">
        <v>370</v>
      </c>
      <c r="C346" s="43">
        <v>6</v>
      </c>
      <c r="D346" s="4" t="s">
        <v>21</v>
      </c>
      <c r="E346" s="2"/>
      <c r="G346" s="4"/>
      <c r="H346" s="4"/>
      <c r="P346" s="4"/>
      <c r="Q346" s="4"/>
      <c r="R346" s="4"/>
      <c r="S346" s="4"/>
      <c r="T346" s="4"/>
      <c r="U346" s="4"/>
      <c r="V346" s="4"/>
      <c r="W346" s="4"/>
    </row>
    <row r="347" spans="1:23" ht="18.75" x14ac:dyDescent="0.35">
      <c r="A347" s="4" t="s">
        <v>408</v>
      </c>
      <c r="B347" s="2" t="s">
        <v>546</v>
      </c>
      <c r="C347" s="43">
        <f>$C$14*C346</f>
        <v>5.0999999999999996</v>
      </c>
      <c r="D347" s="4" t="s">
        <v>21</v>
      </c>
      <c r="E347" s="2"/>
      <c r="G347" s="4"/>
      <c r="H347" s="4"/>
      <c r="P347" s="4"/>
      <c r="Q347" s="4"/>
      <c r="R347" s="4"/>
      <c r="S347" s="4"/>
      <c r="T347" s="4"/>
      <c r="U347" s="4"/>
      <c r="V347" s="4"/>
      <c r="W347" s="4"/>
    </row>
    <row r="348" spans="1:23" ht="18.75" x14ac:dyDescent="0.35">
      <c r="A348" s="4" t="s">
        <v>409</v>
      </c>
      <c r="B348" s="63" t="s">
        <v>372</v>
      </c>
      <c r="C348" s="43">
        <f>C331</f>
        <v>72.217799999999997</v>
      </c>
      <c r="D348" s="4" t="s">
        <v>120</v>
      </c>
      <c r="E348" s="2"/>
      <c r="G348" s="4"/>
      <c r="H348" s="4"/>
      <c r="P348" s="4"/>
      <c r="Q348" s="4"/>
      <c r="R348" s="4"/>
      <c r="S348" s="4"/>
      <c r="T348" s="4"/>
      <c r="U348" s="4"/>
      <c r="V348" s="4"/>
      <c r="W348" s="4"/>
    </row>
    <row r="349" spans="1:23" ht="17.25" x14ac:dyDescent="0.3">
      <c r="A349" s="4" t="s">
        <v>410</v>
      </c>
      <c r="B349" s="57" t="s">
        <v>545</v>
      </c>
      <c r="C349" s="58">
        <f>0.85*f_prime_c*(C348-2*C$226)/1000</f>
        <v>218.81545886070464</v>
      </c>
      <c r="D349" s="39" t="s">
        <v>97</v>
      </c>
      <c r="E349" s="2"/>
      <c r="G349" s="4"/>
      <c r="H349" s="4"/>
      <c r="P349" s="4"/>
      <c r="Q349" s="4"/>
      <c r="R349" s="4"/>
      <c r="S349" s="4"/>
      <c r="T349" s="4"/>
      <c r="U349" s="4"/>
      <c r="V349" s="4"/>
      <c r="W349" s="4"/>
    </row>
    <row r="350" spans="1:23" ht="18.75" x14ac:dyDescent="0.35">
      <c r="A350" s="4" t="s">
        <v>411</v>
      </c>
      <c r="B350" s="63" t="s">
        <v>374</v>
      </c>
      <c r="C350" s="43">
        <f>C346-C347+C334</f>
        <v>2.8830000000000005</v>
      </c>
      <c r="D350" s="4" t="s">
        <v>21</v>
      </c>
      <c r="E350" s="2"/>
      <c r="G350" s="4"/>
      <c r="H350" s="4"/>
      <c r="P350" s="4"/>
      <c r="Q350" s="4"/>
      <c r="R350" s="4"/>
      <c r="S350" s="4"/>
      <c r="T350" s="4"/>
      <c r="U350" s="4"/>
      <c r="V350" s="4"/>
      <c r="W350" s="4"/>
    </row>
    <row r="351" spans="1:23" ht="18.75" x14ac:dyDescent="0.35">
      <c r="A351" s="4" t="s">
        <v>412</v>
      </c>
      <c r="B351" s="63" t="s">
        <v>375</v>
      </c>
      <c r="C351" s="52">
        <f>(C346-C$214)/C346*$C$10</f>
        <v>7.7395000000000025E-4</v>
      </c>
      <c r="D351" s="4" t="s">
        <v>22</v>
      </c>
      <c r="E351" s="2"/>
      <c r="G351" s="4"/>
      <c r="H351" s="4"/>
      <c r="P351" s="4"/>
      <c r="Q351" s="4"/>
      <c r="R351" s="4"/>
      <c r="S351" s="4"/>
      <c r="T351" s="4"/>
      <c r="U351" s="4"/>
      <c r="V351" s="4"/>
      <c r="W351" s="4"/>
    </row>
    <row r="352" spans="1:23" ht="18.75" x14ac:dyDescent="0.35">
      <c r="A352" s="4" t="s">
        <v>413</v>
      </c>
      <c r="B352" s="2" t="s">
        <v>547</v>
      </c>
      <c r="C352" s="43">
        <f>IF(ABS(C351)&gt;$C$11,fy/1000,(ModulusElasticity/1000)*C351)</f>
        <v>22.444550000000007</v>
      </c>
      <c r="D352" s="4" t="s">
        <v>244</v>
      </c>
      <c r="E352" s="2"/>
      <c r="G352" s="4"/>
      <c r="H352" s="4"/>
      <c r="P352" s="4"/>
      <c r="Q352" s="4"/>
      <c r="R352" s="4"/>
      <c r="S352" s="4"/>
      <c r="T352" s="4"/>
      <c r="U352" s="4"/>
      <c r="V352" s="4"/>
      <c r="W352" s="4"/>
    </row>
    <row r="353" spans="1:23" ht="17.25" x14ac:dyDescent="0.3">
      <c r="A353" s="4" t="s">
        <v>414</v>
      </c>
      <c r="B353" s="57" t="s">
        <v>548</v>
      </c>
      <c r="C353" s="58">
        <f>C352*(2*$C$46)</f>
        <v>19.83139689181748</v>
      </c>
      <c r="D353" s="39" t="s">
        <v>97</v>
      </c>
      <c r="E353" s="2"/>
      <c r="G353" s="4"/>
      <c r="H353" s="4"/>
      <c r="P353" s="4"/>
      <c r="Q353" s="4"/>
      <c r="R353" s="4"/>
      <c r="S353" s="4"/>
      <c r="T353" s="4"/>
      <c r="U353" s="4"/>
      <c r="V353" s="4"/>
      <c r="W353" s="4"/>
    </row>
    <row r="354" spans="1:23" ht="18.75" x14ac:dyDescent="0.35">
      <c r="A354" s="4" t="s">
        <v>229</v>
      </c>
      <c r="B354" s="63" t="s">
        <v>378</v>
      </c>
      <c r="C354" s="43">
        <f>C346-C$214</f>
        <v>1.5479000000000003</v>
      </c>
      <c r="D354" s="4" t="s">
        <v>21</v>
      </c>
      <c r="E354" s="2"/>
      <c r="G354" s="4"/>
      <c r="H354" s="4"/>
      <c r="P354" s="4"/>
      <c r="Q354" s="4"/>
      <c r="R354" s="4"/>
      <c r="S354" s="4"/>
      <c r="T354" s="4"/>
      <c r="U354" s="4"/>
      <c r="V354" s="4"/>
      <c r="W354" s="4"/>
    </row>
    <row r="355" spans="1:23" ht="18.75" x14ac:dyDescent="0.35">
      <c r="A355" s="4" t="s">
        <v>415</v>
      </c>
      <c r="B355" s="63" t="s">
        <v>497</v>
      </c>
      <c r="C355" s="52">
        <f>(C346-C$215)/C346*$C$10</f>
        <v>-1.0296999999999999E-3</v>
      </c>
      <c r="D355" s="4" t="s">
        <v>22</v>
      </c>
      <c r="E355" s="2"/>
      <c r="G355" s="4"/>
      <c r="H355" s="4"/>
      <c r="P355" s="4"/>
      <c r="Q355" s="4"/>
      <c r="R355" s="4"/>
      <c r="S355" s="4"/>
      <c r="T355" s="4"/>
      <c r="U355" s="4"/>
      <c r="V355" s="4"/>
      <c r="W355" s="4"/>
    </row>
    <row r="356" spans="1:23" ht="18.75" x14ac:dyDescent="0.35">
      <c r="A356" s="4" t="s">
        <v>416</v>
      </c>
      <c r="B356" s="2" t="s">
        <v>549</v>
      </c>
      <c r="C356" s="43">
        <f>IF(ABS(C355)&gt;$C$11,fy/1000,(ModulusElasticity/1000)*C355)</f>
        <v>-29.861299999999996</v>
      </c>
      <c r="D356" s="4" t="s">
        <v>244</v>
      </c>
      <c r="E356" s="2"/>
      <c r="G356" s="4"/>
      <c r="H356" s="4"/>
      <c r="P356" s="4"/>
      <c r="Q356" s="4"/>
      <c r="R356" s="4"/>
      <c r="S356" s="4"/>
      <c r="T356" s="4"/>
      <c r="U356" s="4"/>
      <c r="V356" s="4"/>
      <c r="W356" s="4"/>
    </row>
    <row r="357" spans="1:23" ht="17.25" x14ac:dyDescent="0.3">
      <c r="A357" s="4" t="s">
        <v>417</v>
      </c>
      <c r="B357" s="57" t="s">
        <v>550</v>
      </c>
      <c r="C357" s="58">
        <f>C356*(2*$C$46)</f>
        <v>-26.384636448742746</v>
      </c>
      <c r="D357" s="39" t="s">
        <v>97</v>
      </c>
      <c r="E357" s="2"/>
      <c r="G357" s="4"/>
      <c r="H357" s="4"/>
      <c r="P357" s="4"/>
      <c r="Q357" s="4"/>
      <c r="R357" s="4"/>
      <c r="S357" s="4"/>
      <c r="T357" s="4"/>
      <c r="U357" s="4"/>
      <c r="V357" s="4"/>
      <c r="W357" s="4"/>
    </row>
    <row r="358" spans="1:23" ht="18.75" x14ac:dyDescent="0.35">
      <c r="A358" s="4" t="s">
        <v>230</v>
      </c>
      <c r="B358" s="63" t="s">
        <v>379</v>
      </c>
      <c r="C358" s="43">
        <f>C346-C$215</f>
        <v>-2.0594000000000001</v>
      </c>
      <c r="D358" s="4" t="s">
        <v>21</v>
      </c>
      <c r="E358" s="2"/>
      <c r="G358" s="4"/>
      <c r="H358" s="4"/>
      <c r="P358" s="4"/>
      <c r="Q358" s="4"/>
      <c r="R358" s="4"/>
      <c r="S358" s="4"/>
      <c r="T358" s="4"/>
      <c r="U358" s="4"/>
      <c r="V358" s="4"/>
      <c r="W358" s="4"/>
    </row>
    <row r="359" spans="1:23" ht="18.75" x14ac:dyDescent="0.35">
      <c r="A359" s="4" t="s">
        <v>418</v>
      </c>
      <c r="B359" s="2" t="s">
        <v>395</v>
      </c>
      <c r="C359" s="52">
        <f>(C346-C$216)/C346*$C$10</f>
        <v>-4.1536999999999998E-3</v>
      </c>
      <c r="D359" s="4" t="s">
        <v>22</v>
      </c>
      <c r="E359" s="2"/>
      <c r="G359" s="4"/>
      <c r="H359" s="4"/>
      <c r="N359" s="3"/>
      <c r="O359" s="3"/>
      <c r="P359" s="4"/>
      <c r="Q359" s="4"/>
      <c r="R359" s="4"/>
      <c r="S359" s="4"/>
      <c r="T359" s="4"/>
      <c r="U359" s="4"/>
      <c r="V359" s="4"/>
      <c r="W359" s="4"/>
    </row>
    <row r="360" spans="1:23" ht="18.75" x14ac:dyDescent="0.35">
      <c r="A360" s="4" t="s">
        <v>419</v>
      </c>
      <c r="B360" s="2" t="s">
        <v>396</v>
      </c>
      <c r="C360" s="43">
        <f>IF(ABS(C359)&gt;$C$11,IF(C359&lt;0,-fy/1000,fy/1000),(ModulusElasticity/1000)*C359)</f>
        <v>-60</v>
      </c>
      <c r="D360" s="4" t="s">
        <v>244</v>
      </c>
      <c r="E360" s="2"/>
      <c r="G360" s="4"/>
      <c r="H360" s="4"/>
      <c r="N360" s="3"/>
      <c r="O360" s="3"/>
      <c r="P360" s="4"/>
      <c r="Q360" s="4"/>
      <c r="R360" s="4"/>
      <c r="S360" s="4"/>
      <c r="T360" s="4"/>
      <c r="U360" s="4"/>
      <c r="V360" s="4"/>
      <c r="W360" s="4"/>
    </row>
    <row r="361" spans="1:23" ht="17.25" x14ac:dyDescent="0.3">
      <c r="A361" s="4" t="s">
        <v>420</v>
      </c>
      <c r="B361" s="57" t="s">
        <v>397</v>
      </c>
      <c r="C361" s="58">
        <f>C360*(2*$C$46)</f>
        <v>-53.014376029327757</v>
      </c>
      <c r="D361" s="39" t="s">
        <v>97</v>
      </c>
      <c r="E361" s="2"/>
      <c r="G361" s="4"/>
      <c r="H361" s="4"/>
      <c r="N361" s="3"/>
      <c r="O361" s="3"/>
      <c r="P361" s="4"/>
      <c r="Q361" s="4"/>
      <c r="R361" s="4"/>
      <c r="S361" s="4"/>
      <c r="T361" s="4"/>
      <c r="U361" s="4"/>
      <c r="V361" s="4"/>
      <c r="W361" s="4"/>
    </row>
    <row r="362" spans="1:23" ht="18.75" x14ac:dyDescent="0.35">
      <c r="A362" s="4" t="s">
        <v>231</v>
      </c>
      <c r="B362" s="2" t="s">
        <v>398</v>
      </c>
      <c r="C362" s="43">
        <f>C346-C$216</f>
        <v>-8.3073999999999995</v>
      </c>
      <c r="D362" s="4" t="s">
        <v>21</v>
      </c>
      <c r="E362" s="2"/>
      <c r="G362" s="4"/>
      <c r="H362" s="4"/>
      <c r="N362" s="3"/>
      <c r="O362" s="3"/>
      <c r="P362" s="4"/>
      <c r="Q362" s="4"/>
      <c r="R362" s="4"/>
      <c r="S362" s="4"/>
      <c r="T362" s="4"/>
      <c r="U362" s="4"/>
      <c r="V362" s="4"/>
      <c r="W362" s="4"/>
    </row>
    <row r="363" spans="1:23" ht="18.75" x14ac:dyDescent="0.35">
      <c r="A363" s="4" t="s">
        <v>455</v>
      </c>
      <c r="B363" s="2" t="s">
        <v>399</v>
      </c>
      <c r="C363" s="52">
        <f>(C346-C$217)/C346*$C$10</f>
        <v>-7.7609999999999997E-3</v>
      </c>
      <c r="D363" s="4" t="s">
        <v>22</v>
      </c>
      <c r="E363" s="2"/>
      <c r="G363" s="4"/>
      <c r="H363" s="4"/>
      <c r="N363" s="3"/>
      <c r="O363" s="3"/>
      <c r="P363" s="4"/>
      <c r="Q363" s="4"/>
      <c r="R363" s="4"/>
      <c r="S363" s="4"/>
      <c r="T363" s="4"/>
      <c r="U363" s="4"/>
      <c r="V363" s="4"/>
      <c r="W363" s="4"/>
    </row>
    <row r="364" spans="1:23" ht="18.75" x14ac:dyDescent="0.35">
      <c r="A364" s="4" t="s">
        <v>456</v>
      </c>
      <c r="B364" s="2" t="s">
        <v>400</v>
      </c>
      <c r="C364" s="43">
        <f>IF(ABS(C363)&gt;$C$11,IF(C363&lt;0,-fy/1000,fy/1000),(ModulusElasticity/1000)*C363)</f>
        <v>-60</v>
      </c>
      <c r="D364" s="4" t="s">
        <v>244</v>
      </c>
      <c r="E364" s="2"/>
      <c r="G364" s="4"/>
      <c r="H364" s="4"/>
      <c r="N364" s="3"/>
      <c r="O364" s="3"/>
      <c r="P364" s="4"/>
      <c r="Q364" s="4"/>
      <c r="R364" s="4"/>
      <c r="S364" s="4"/>
      <c r="T364" s="4"/>
      <c r="U364" s="4"/>
      <c r="V364" s="4"/>
      <c r="W364" s="4"/>
    </row>
    <row r="365" spans="1:23" ht="17.25" x14ac:dyDescent="0.3">
      <c r="A365" s="4" t="s">
        <v>457</v>
      </c>
      <c r="B365" s="57" t="s">
        <v>401</v>
      </c>
      <c r="C365" s="58">
        <f>C364*(2*$C$46)</f>
        <v>-53.014376029327757</v>
      </c>
      <c r="D365" s="39" t="s">
        <v>97</v>
      </c>
      <c r="E365" s="2"/>
      <c r="G365" s="4"/>
      <c r="H365" s="4"/>
      <c r="N365" s="3"/>
      <c r="O365" s="3"/>
      <c r="P365" s="4"/>
      <c r="Q365" s="4"/>
      <c r="R365" s="4"/>
      <c r="S365" s="4"/>
      <c r="T365" s="4"/>
      <c r="U365" s="4"/>
      <c r="V365" s="4"/>
      <c r="W365" s="4"/>
    </row>
    <row r="366" spans="1:23" ht="18.75" x14ac:dyDescent="0.35">
      <c r="A366" s="4" t="s">
        <v>458</v>
      </c>
      <c r="B366" s="2" t="s">
        <v>402</v>
      </c>
      <c r="C366" s="43">
        <f>C346-C$217</f>
        <v>-15.521999999999998</v>
      </c>
      <c r="D366" s="4" t="s">
        <v>21</v>
      </c>
      <c r="E366" s="2"/>
      <c r="G366" s="4"/>
      <c r="H366" s="4"/>
      <c r="N366" s="3"/>
      <c r="O366" s="3"/>
      <c r="P366" s="4"/>
      <c r="Q366" s="4"/>
      <c r="R366" s="4"/>
      <c r="S366" s="4"/>
      <c r="T366" s="4"/>
      <c r="U366" s="4"/>
      <c r="V366" s="4"/>
      <c r="W366" s="4"/>
    </row>
    <row r="367" spans="1:23" ht="18.75" x14ac:dyDescent="0.35">
      <c r="A367" s="4" t="s">
        <v>421</v>
      </c>
      <c r="B367" s="63" t="s">
        <v>384</v>
      </c>
      <c r="C367" s="52">
        <f>(C346-C$218)/C346*$C$10</f>
        <v>-1.0885000000000001E-2</v>
      </c>
      <c r="D367" s="4" t="s">
        <v>22</v>
      </c>
      <c r="E367" s="2"/>
      <c r="G367" s="4"/>
      <c r="H367" s="4"/>
      <c r="N367" s="3"/>
      <c r="O367" s="3"/>
      <c r="P367" s="4"/>
      <c r="Q367" s="4"/>
      <c r="R367" s="4"/>
      <c r="S367" s="4"/>
      <c r="T367" s="4"/>
      <c r="U367" s="4"/>
      <c r="V367" s="4"/>
      <c r="W367" s="4"/>
    </row>
    <row r="368" spans="1:23" ht="18.75" x14ac:dyDescent="0.35">
      <c r="A368" s="4" t="s">
        <v>422</v>
      </c>
      <c r="B368" s="63" t="s">
        <v>385</v>
      </c>
      <c r="C368" s="43">
        <f>IF(ABS(C367)&gt;$C$11,IF(C367&lt;0,-fy/1000,fy/1000),(ModulusElasticity/1000)*C367)</f>
        <v>-60</v>
      </c>
      <c r="D368" s="4" t="s">
        <v>244</v>
      </c>
      <c r="E368" s="2"/>
      <c r="G368" s="4"/>
      <c r="H368" s="4"/>
      <c r="N368" s="3"/>
      <c r="O368" s="3"/>
      <c r="P368" s="4"/>
      <c r="Q368" s="4"/>
      <c r="R368" s="4"/>
      <c r="S368" s="4"/>
      <c r="T368" s="4"/>
      <c r="U368" s="4"/>
      <c r="V368" s="4"/>
      <c r="W368" s="4"/>
    </row>
    <row r="369" spans="1:23" ht="17.25" x14ac:dyDescent="0.3">
      <c r="A369" s="4" t="s">
        <v>423</v>
      </c>
      <c r="B369" s="64" t="s">
        <v>386</v>
      </c>
      <c r="C369" s="58">
        <f>C368*(2*$C$46)</f>
        <v>-53.014376029327757</v>
      </c>
      <c r="D369" s="39" t="s">
        <v>97</v>
      </c>
      <c r="E369" s="2"/>
      <c r="F369" s="47"/>
      <c r="G369" s="4"/>
      <c r="H369" s="4"/>
      <c r="N369" s="3"/>
      <c r="O369" s="3"/>
      <c r="P369" s="4"/>
      <c r="Q369" s="4"/>
      <c r="R369" s="4"/>
      <c r="S369" s="4"/>
      <c r="T369" s="4"/>
      <c r="U369" s="4"/>
      <c r="V369" s="4"/>
      <c r="W369" s="4"/>
    </row>
    <row r="370" spans="1:23" ht="18.75" x14ac:dyDescent="0.35">
      <c r="A370" s="4" t="s">
        <v>232</v>
      </c>
      <c r="B370" s="63" t="s">
        <v>387</v>
      </c>
      <c r="C370" s="43">
        <f>C346-C$218</f>
        <v>-21.77</v>
      </c>
      <c r="D370" s="4" t="s">
        <v>21</v>
      </c>
      <c r="E370" s="2"/>
      <c r="G370" s="4"/>
      <c r="H370" s="4"/>
      <c r="N370" s="3"/>
      <c r="O370" s="3"/>
      <c r="P370" s="4"/>
      <c r="Q370" s="4"/>
      <c r="R370" s="4"/>
      <c r="S370" s="4"/>
      <c r="T370" s="4"/>
      <c r="U370" s="4"/>
      <c r="V370" s="4"/>
      <c r="W370" s="4"/>
    </row>
    <row r="371" spans="1:23" ht="18.75" x14ac:dyDescent="0.35">
      <c r="A371" s="4" t="s">
        <v>424</v>
      </c>
      <c r="B371" s="63" t="s">
        <v>388</v>
      </c>
      <c r="C371" s="52">
        <f>(C346-C$219)/C346*$C$10</f>
        <v>-1.2688650000000003E-2</v>
      </c>
      <c r="D371" s="4" t="s">
        <v>22</v>
      </c>
      <c r="E371" s="2"/>
      <c r="G371" s="4"/>
      <c r="H371" s="4"/>
      <c r="N371" s="3"/>
      <c r="O371" s="3"/>
      <c r="P371" s="4"/>
      <c r="Q371" s="4"/>
      <c r="R371" s="4"/>
      <c r="S371" s="4"/>
      <c r="T371" s="4"/>
      <c r="U371" s="4"/>
      <c r="V371" s="4"/>
      <c r="W371" s="4"/>
    </row>
    <row r="372" spans="1:23" ht="18.75" x14ac:dyDescent="0.35">
      <c r="A372" s="4" t="s">
        <v>233</v>
      </c>
      <c r="B372" s="63" t="s">
        <v>389</v>
      </c>
      <c r="C372" s="43">
        <f>IF(ABS(C371)&gt;$C$11,IF(C371&lt;0,-fy/1000,fy/1000),(ModulusElasticity/1000)*C371)</f>
        <v>-60</v>
      </c>
      <c r="D372" s="4" t="s">
        <v>244</v>
      </c>
      <c r="E372" s="2"/>
      <c r="G372" s="4"/>
      <c r="H372" s="4"/>
      <c r="N372" s="3"/>
      <c r="O372" s="3"/>
      <c r="P372" s="4"/>
      <c r="Q372" s="4"/>
      <c r="R372" s="4"/>
      <c r="S372" s="4"/>
      <c r="T372" s="4"/>
      <c r="U372" s="4"/>
      <c r="V372" s="4"/>
      <c r="W372" s="4"/>
    </row>
    <row r="373" spans="1:23" ht="17.25" x14ac:dyDescent="0.3">
      <c r="A373" s="4" t="s">
        <v>424</v>
      </c>
      <c r="B373" s="64" t="s">
        <v>390</v>
      </c>
      <c r="C373" s="58">
        <f>C372*(2*$C$46)</f>
        <v>-53.014376029327757</v>
      </c>
      <c r="D373" s="39" t="s">
        <v>97</v>
      </c>
      <c r="E373" s="2"/>
      <c r="G373" s="4"/>
      <c r="H373" s="4"/>
      <c r="N373" s="3"/>
      <c r="O373" s="3"/>
      <c r="P373" s="4"/>
      <c r="Q373" s="4"/>
      <c r="R373" s="4"/>
      <c r="S373" s="4"/>
      <c r="T373" s="4"/>
      <c r="U373" s="4"/>
      <c r="V373" s="4"/>
      <c r="W373" s="4"/>
    </row>
    <row r="374" spans="1:23" ht="19.5" thickBot="1" x14ac:dyDescent="0.4">
      <c r="A374" s="4" t="s">
        <v>233</v>
      </c>
      <c r="B374" s="63" t="s">
        <v>391</v>
      </c>
      <c r="C374" s="43">
        <f>C346-C$219</f>
        <v>-25.377300000000002</v>
      </c>
      <c r="D374" s="4" t="s">
        <v>21</v>
      </c>
      <c r="E374" s="2"/>
      <c r="G374" s="4"/>
      <c r="H374" s="4"/>
      <c r="N374" s="3"/>
      <c r="O374" s="3"/>
      <c r="P374" s="4"/>
      <c r="Q374" s="4"/>
      <c r="R374" s="4"/>
      <c r="S374" s="4"/>
      <c r="T374" s="4"/>
      <c r="U374" s="4"/>
      <c r="V374" s="4"/>
      <c r="W374" s="4"/>
    </row>
    <row r="375" spans="1:23" ht="18.75" x14ac:dyDescent="0.35">
      <c r="A375" s="4" t="s">
        <v>425</v>
      </c>
      <c r="B375" s="2" t="s">
        <v>237</v>
      </c>
      <c r="C375" s="59">
        <f>C349+C353+C357+C361+C365+C369+C373</f>
        <v>0.20471518646833431</v>
      </c>
      <c r="D375" s="4" t="s">
        <v>97</v>
      </c>
      <c r="E375" s="2"/>
      <c r="G375" s="4"/>
      <c r="H375" s="4"/>
      <c r="N375" s="3"/>
      <c r="O375" s="3"/>
      <c r="P375" s="4"/>
      <c r="Q375" s="4"/>
      <c r="R375" s="4"/>
      <c r="S375" s="4"/>
      <c r="T375" s="4"/>
      <c r="U375" s="4"/>
      <c r="V375" s="4"/>
      <c r="W375" s="4"/>
    </row>
    <row r="376" spans="1:23" ht="18.75" x14ac:dyDescent="0.35">
      <c r="A376" s="4" t="s">
        <v>426</v>
      </c>
      <c r="B376" s="2" t="s">
        <v>236</v>
      </c>
      <c r="C376" s="60">
        <f>C349*C350+C353*C354+C357*C358+C361*C362+C365*C366+C369*C370+C373*C374</f>
        <v>4478.6639705675843</v>
      </c>
      <c r="D376" s="4" t="s">
        <v>234</v>
      </c>
      <c r="E376" s="2"/>
      <c r="G376" s="4"/>
      <c r="H376" s="4"/>
      <c r="N376" s="3"/>
      <c r="O376" s="3"/>
      <c r="P376" s="4"/>
      <c r="Q376" s="4"/>
      <c r="R376" s="4"/>
      <c r="S376" s="4"/>
      <c r="T376" s="4"/>
      <c r="U376" s="4"/>
      <c r="V376" s="4"/>
      <c r="W376" s="4"/>
    </row>
    <row r="377" spans="1:23" ht="15" thickBot="1" x14ac:dyDescent="0.25">
      <c r="C377" s="61">
        <f>C376/12</f>
        <v>373.22199754729871</v>
      </c>
      <c r="D377" s="4" t="s">
        <v>235</v>
      </c>
      <c r="E377" s="2"/>
      <c r="G377" s="4"/>
      <c r="H377" s="4"/>
      <c r="N377" s="3"/>
      <c r="O377" s="3"/>
      <c r="P377" s="4"/>
      <c r="Q377" s="4"/>
      <c r="R377" s="4"/>
      <c r="S377" s="4"/>
      <c r="T377" s="4"/>
      <c r="U377" s="4"/>
      <c r="V377" s="4"/>
      <c r="W377" s="4"/>
    </row>
    <row r="378" spans="1:23" x14ac:dyDescent="0.2">
      <c r="E378" s="2"/>
      <c r="G378" s="4"/>
      <c r="H378" s="4"/>
      <c r="N378" s="3"/>
      <c r="O378" s="3"/>
      <c r="P378" s="4"/>
      <c r="Q378" s="4"/>
      <c r="R378" s="4"/>
      <c r="S378" s="4"/>
      <c r="T378" s="4"/>
      <c r="U378" s="4"/>
      <c r="V378" s="4"/>
      <c r="W378" s="4"/>
    </row>
    <row r="379" spans="1:23" ht="18.75" x14ac:dyDescent="0.35">
      <c r="A379" s="13"/>
      <c r="B379" s="72" t="s">
        <v>241</v>
      </c>
      <c r="C379" s="72" t="s">
        <v>240</v>
      </c>
      <c r="D379" s="72" t="s">
        <v>253</v>
      </c>
      <c r="E379" s="72" t="s">
        <v>254</v>
      </c>
      <c r="F379" s="72" t="s">
        <v>335</v>
      </c>
      <c r="G379" s="4"/>
      <c r="H379" s="4"/>
      <c r="N379" s="3"/>
      <c r="O379" s="3"/>
      <c r="P379" s="4"/>
      <c r="Q379" s="4"/>
      <c r="R379" s="4"/>
      <c r="S379" s="4"/>
      <c r="T379" s="4"/>
      <c r="U379" s="4"/>
      <c r="V379" s="4"/>
      <c r="W379" s="4"/>
    </row>
    <row r="380" spans="1:23" x14ac:dyDescent="0.2">
      <c r="A380" s="20"/>
      <c r="B380" s="73" t="s">
        <v>234</v>
      </c>
      <c r="C380" s="73" t="s">
        <v>97</v>
      </c>
      <c r="D380" s="73" t="s">
        <v>234</v>
      </c>
      <c r="E380" s="73" t="s">
        <v>97</v>
      </c>
      <c r="F380" s="73" t="s">
        <v>97</v>
      </c>
      <c r="G380" s="4"/>
      <c r="H380" s="4"/>
      <c r="N380" s="3"/>
      <c r="O380" s="3"/>
      <c r="P380" s="4"/>
      <c r="Q380" s="4"/>
      <c r="R380" s="4"/>
      <c r="S380" s="4"/>
      <c r="T380" s="4"/>
      <c r="U380" s="4"/>
      <c r="V380" s="4"/>
      <c r="W380" s="4"/>
    </row>
    <row r="381" spans="1:23" ht="18.75" x14ac:dyDescent="0.35">
      <c r="A381" s="70" t="s">
        <v>242</v>
      </c>
      <c r="B381" s="71">
        <v>0</v>
      </c>
      <c r="C381" s="71">
        <f>C242</f>
        <v>2374.7146262163847</v>
      </c>
      <c r="D381" s="71">
        <f>$C$15*B381</f>
        <v>0</v>
      </c>
      <c r="E381" s="71">
        <f>$C$15*C381</f>
        <v>1543.5645070406501</v>
      </c>
      <c r="F381" s="71">
        <f>$C$17*$C$15*C381</f>
        <v>1234.85160563252</v>
      </c>
      <c r="G381" s="4"/>
      <c r="H381" s="4"/>
      <c r="N381" s="3"/>
      <c r="O381" s="3"/>
      <c r="P381" s="4"/>
      <c r="Q381" s="4"/>
      <c r="R381" s="4"/>
      <c r="S381" s="4"/>
      <c r="T381" s="4"/>
      <c r="U381" s="4"/>
      <c r="V381" s="4"/>
      <c r="W381" s="4"/>
    </row>
    <row r="382" spans="1:23" ht="18.75" x14ac:dyDescent="0.35">
      <c r="A382" s="68" t="s">
        <v>335</v>
      </c>
      <c r="B382" s="69">
        <f>(F381-E381)/(F383-E381)*D383</f>
        <v>1882.3038176380269</v>
      </c>
      <c r="C382" s="69">
        <f>C381-B382/B383*(C381-C383)</f>
        <v>2066.0017248082545</v>
      </c>
      <c r="D382" s="69">
        <f>B382</f>
        <v>1882.3038176380269</v>
      </c>
      <c r="E382" s="69">
        <f>$C$15*C382</f>
        <v>1342.9011211253655</v>
      </c>
      <c r="F382" s="69">
        <f>F381</f>
        <v>1234.85160563252</v>
      </c>
      <c r="G382" s="4"/>
      <c r="H382" s="4"/>
      <c r="N382" s="3"/>
      <c r="O382" s="3"/>
      <c r="P382" s="4"/>
      <c r="Q382" s="4"/>
      <c r="R382" s="4"/>
      <c r="S382" s="4"/>
      <c r="T382" s="4"/>
      <c r="U382" s="4"/>
      <c r="V382" s="4"/>
      <c r="W382" s="4"/>
    </row>
    <row r="383" spans="1:23" ht="18.75" x14ac:dyDescent="0.35">
      <c r="A383" s="68" t="s">
        <v>403</v>
      </c>
      <c r="B383" s="69">
        <f>C310</f>
        <v>9024.6303765578996</v>
      </c>
      <c r="C383" s="69">
        <f>C309</f>
        <v>894.60296646364645</v>
      </c>
      <c r="D383" s="69">
        <f>$C$15*B383</f>
        <v>5866.0097447626349</v>
      </c>
      <c r="E383" s="69">
        <f>$C$15*C383</f>
        <v>581.49192820137023</v>
      </c>
      <c r="F383" s="69">
        <f>$C$15*C383</f>
        <v>581.49192820137023</v>
      </c>
      <c r="G383" s="4"/>
      <c r="H383" s="4"/>
      <c r="N383" s="3"/>
      <c r="O383" s="3"/>
      <c r="P383" s="4"/>
      <c r="Q383" s="4"/>
      <c r="R383" s="4"/>
      <c r="S383" s="4"/>
      <c r="T383" s="4"/>
      <c r="U383" s="4"/>
      <c r="V383" s="4"/>
      <c r="W383" s="4"/>
    </row>
    <row r="384" spans="1:23" ht="18.75" x14ac:dyDescent="0.35">
      <c r="A384" s="68" t="s">
        <v>404</v>
      </c>
      <c r="B384" s="69">
        <f>C376</f>
        <v>4478.6639705675843</v>
      </c>
      <c r="C384" s="69">
        <f>C375</f>
        <v>0.20471518646833431</v>
      </c>
      <c r="D384" s="69">
        <f>$C$15*B384</f>
        <v>2911.1315808689301</v>
      </c>
      <c r="E384" s="69">
        <f>$C$15*C384</f>
        <v>0.13306487120441732</v>
      </c>
      <c r="F384" s="69">
        <f>$C$15*C384</f>
        <v>0.13306487120441732</v>
      </c>
      <c r="G384" s="4"/>
      <c r="H384" s="4"/>
      <c r="N384" s="3"/>
      <c r="O384" s="3"/>
      <c r="P384" s="4"/>
      <c r="Q384" s="4"/>
      <c r="R384" s="4"/>
      <c r="S384" s="4"/>
      <c r="T384" s="4"/>
      <c r="U384" s="4"/>
      <c r="V384" s="4"/>
      <c r="W384" s="4"/>
    </row>
    <row r="385" spans="1:23" ht="18.75" x14ac:dyDescent="0.35">
      <c r="A385" s="68" t="s">
        <v>255</v>
      </c>
      <c r="B385" s="69">
        <v>0</v>
      </c>
      <c r="C385" s="69">
        <f>-C244</f>
        <v>-432.95073757284337</v>
      </c>
      <c r="D385" s="69">
        <f>$C$15*B385</f>
        <v>0</v>
      </c>
      <c r="E385" s="69">
        <f>$C$15*C385</f>
        <v>-281.4179794223482</v>
      </c>
      <c r="F385" s="69">
        <f>$C$15*C385</f>
        <v>-281.4179794223482</v>
      </c>
      <c r="G385" s="4"/>
      <c r="H385" s="4"/>
      <c r="N385" s="3"/>
      <c r="O385" s="3"/>
      <c r="P385" s="4"/>
      <c r="Q385" s="4"/>
      <c r="R385" s="4"/>
      <c r="S385" s="4"/>
      <c r="T385" s="4"/>
      <c r="U385" s="4"/>
      <c r="V385" s="4"/>
      <c r="W385" s="4"/>
    </row>
    <row r="386" spans="1:23" x14ac:dyDescent="0.2">
      <c r="H386" s="4"/>
      <c r="N386" s="3"/>
      <c r="O386" s="3"/>
      <c r="P386" s="4"/>
      <c r="Q386" s="4"/>
      <c r="R386" s="4"/>
      <c r="S386" s="4"/>
      <c r="T386" s="4"/>
      <c r="U386" s="4"/>
      <c r="V386" s="4"/>
      <c r="W386" s="4"/>
    </row>
    <row r="387" spans="1:23" x14ac:dyDescent="0.2">
      <c r="H387" s="4"/>
      <c r="R387" s="4"/>
      <c r="S387" s="4"/>
      <c r="T387" s="4"/>
      <c r="U387" s="4"/>
      <c r="V387" s="4"/>
      <c r="W387" s="4"/>
    </row>
    <row r="388" spans="1:23" x14ac:dyDescent="0.2">
      <c r="H388" s="4"/>
      <c r="I388" s="3"/>
      <c r="J388" s="3"/>
      <c r="K388" s="3"/>
      <c r="L388" s="3"/>
      <c r="M388" s="3"/>
    </row>
    <row r="396" spans="1:23" x14ac:dyDescent="0.2">
      <c r="H396" s="4"/>
    </row>
    <row r="397" spans="1:23" x14ac:dyDescent="0.2">
      <c r="H397" s="4"/>
    </row>
    <row r="398" spans="1:23" x14ac:dyDescent="0.2">
      <c r="H398" s="4"/>
    </row>
    <row r="399" spans="1:23" x14ac:dyDescent="0.2">
      <c r="H399" s="4"/>
    </row>
    <row r="400" spans="1:23" x14ac:dyDescent="0.2">
      <c r="H400" s="4"/>
    </row>
    <row r="401" spans="8:8" x14ac:dyDescent="0.2">
      <c r="H401" s="4"/>
    </row>
    <row r="402" spans="8:8" x14ac:dyDescent="0.2">
      <c r="H402" s="4"/>
    </row>
    <row r="403" spans="8:8" x14ac:dyDescent="0.2">
      <c r="H403" s="4"/>
    </row>
    <row r="404" spans="8:8" x14ac:dyDescent="0.2">
      <c r="H404" s="4"/>
    </row>
    <row r="405" spans="8:8" x14ac:dyDescent="0.2">
      <c r="H405" s="4"/>
    </row>
    <row r="406" spans="8:8" x14ac:dyDescent="0.2">
      <c r="H406" s="4"/>
    </row>
    <row r="407" spans="8:8" x14ac:dyDescent="0.2">
      <c r="H407" s="4"/>
    </row>
    <row r="408" spans="8:8" x14ac:dyDescent="0.2">
      <c r="H408" s="4"/>
    </row>
    <row r="409" spans="8:8" x14ac:dyDescent="0.2">
      <c r="H409" s="4"/>
    </row>
    <row r="410" spans="8:8" x14ac:dyDescent="0.2">
      <c r="H410" s="4"/>
    </row>
    <row r="411" spans="8:8" x14ac:dyDescent="0.2">
      <c r="H411" s="4"/>
    </row>
    <row r="435" spans="1:23" ht="15" x14ac:dyDescent="0.25">
      <c r="A435" s="1" t="s">
        <v>480</v>
      </c>
    </row>
    <row r="436" spans="1:23" ht="18.75" x14ac:dyDescent="0.35">
      <c r="A436" s="4" t="s">
        <v>470</v>
      </c>
      <c r="B436" s="2" t="s">
        <v>472</v>
      </c>
      <c r="C436" s="42">
        <f>C222</f>
        <v>36</v>
      </c>
      <c r="D436" s="4" t="s">
        <v>21</v>
      </c>
      <c r="E436" s="4" t="s">
        <v>474</v>
      </c>
    </row>
    <row r="437" spans="1:23" ht="15" x14ac:dyDescent="0.25">
      <c r="A437" s="4" t="s">
        <v>471</v>
      </c>
      <c r="B437" s="74" t="s">
        <v>101</v>
      </c>
      <c r="C437" s="75">
        <v>1</v>
      </c>
      <c r="D437" s="4" t="s">
        <v>22</v>
      </c>
      <c r="E437" s="4" t="s">
        <v>473</v>
      </c>
    </row>
    <row r="438" spans="1:23" ht="18.75" x14ac:dyDescent="0.2">
      <c r="A438" s="81" t="s">
        <v>483</v>
      </c>
      <c r="B438" s="34" t="s">
        <v>490</v>
      </c>
      <c r="C438" s="85">
        <f>$C$16*(2*C437*SQRT(f_prime_c)*$C$436*$C$279)/1000</f>
        <v>87.424830499947248</v>
      </c>
      <c r="D438" s="81" t="s">
        <v>97</v>
      </c>
      <c r="E438" s="266" t="s">
        <v>491</v>
      </c>
      <c r="F438" s="266"/>
      <c r="G438" s="266"/>
    </row>
    <row r="439" spans="1:23" s="81" customFormat="1" ht="36.75" customHeight="1" x14ac:dyDescent="0.35">
      <c r="A439" s="4" t="s">
        <v>475</v>
      </c>
      <c r="B439" s="2" t="s">
        <v>535</v>
      </c>
      <c r="C439" s="43">
        <f>C4/C438</f>
        <v>8.9007481188482238</v>
      </c>
      <c r="D439" s="3" t="str">
        <f>IF(C439&gt;1,"NG","&lt; 1, OK")</f>
        <v>NG</v>
      </c>
      <c r="E439" s="4"/>
      <c r="F439" s="4"/>
      <c r="G439" s="2"/>
      <c r="H439" s="83"/>
      <c r="P439" s="35"/>
      <c r="Q439" s="35"/>
      <c r="R439" s="35"/>
      <c r="S439" s="35"/>
      <c r="T439" s="35"/>
      <c r="U439" s="35"/>
      <c r="V439" s="35"/>
      <c r="W439" s="35"/>
    </row>
    <row r="440" spans="1:23" x14ac:dyDescent="0.2">
      <c r="C440" s="47"/>
    </row>
    <row r="441" spans="1:23" ht="15" x14ac:dyDescent="0.25">
      <c r="A441" s="1" t="s">
        <v>481</v>
      </c>
    </row>
    <row r="442" spans="1:23" ht="18.75" x14ac:dyDescent="0.35">
      <c r="A442" s="4" t="s">
        <v>477</v>
      </c>
      <c r="B442" s="56" t="s">
        <v>476</v>
      </c>
      <c r="C442" s="42">
        <f>C237</f>
        <v>918.42570000000001</v>
      </c>
      <c r="D442" s="4" t="s">
        <v>120</v>
      </c>
      <c r="E442" s="4" t="s">
        <v>474</v>
      </c>
    </row>
    <row r="443" spans="1:23" ht="18.75" x14ac:dyDescent="0.35">
      <c r="A443" s="4" t="s">
        <v>479</v>
      </c>
      <c r="B443" s="56" t="s">
        <v>478</v>
      </c>
      <c r="C443" s="42">
        <f>2*PI()*(C222/2)</f>
        <v>113.09733552923255</v>
      </c>
      <c r="D443" s="4" t="s">
        <v>21</v>
      </c>
      <c r="E443" s="4" t="s">
        <v>474</v>
      </c>
    </row>
    <row r="444" spans="1:23" ht="18.75" x14ac:dyDescent="0.2">
      <c r="A444" s="81" t="s">
        <v>485</v>
      </c>
      <c r="B444" s="34" t="s">
        <v>488</v>
      </c>
      <c r="C444" s="82">
        <f>$C$16*SQRT(f_prime_c)*(C442^2/C443)</f>
        <v>336783.61264809594</v>
      </c>
      <c r="D444" s="81" t="s">
        <v>486</v>
      </c>
      <c r="E444" s="266" t="s">
        <v>492</v>
      </c>
      <c r="F444" s="266"/>
      <c r="G444" s="266"/>
    </row>
    <row r="445" spans="1:23" s="81" customFormat="1" ht="30.75" customHeight="1" x14ac:dyDescent="0.2">
      <c r="A445" s="4"/>
      <c r="B445" s="2"/>
      <c r="C445" s="42">
        <f>C444/1000</f>
        <v>336.78361264809593</v>
      </c>
      <c r="D445" s="4" t="s">
        <v>234</v>
      </c>
      <c r="E445" s="4"/>
      <c r="F445" s="4"/>
      <c r="G445" s="2"/>
      <c r="H445" s="83"/>
      <c r="P445" s="35"/>
      <c r="Q445" s="35"/>
      <c r="R445" s="35"/>
      <c r="S445" s="35"/>
      <c r="T445" s="35"/>
      <c r="U445" s="35"/>
      <c r="V445" s="35"/>
      <c r="W445" s="35"/>
    </row>
    <row r="446" spans="1:23" ht="18.75" x14ac:dyDescent="0.35">
      <c r="A446" s="4" t="s">
        <v>489</v>
      </c>
      <c r="B446" s="2" t="s">
        <v>487</v>
      </c>
      <c r="C446" s="43" t="e">
        <f>#REF!/C445</f>
        <v>#REF!</v>
      </c>
      <c r="D446" s="41" t="e">
        <f>IF(C446&gt;1,"NG","&lt; 1, Torsion can be neglected")</f>
        <v>#REF!</v>
      </c>
      <c r="E446" s="79"/>
      <c r="F446" s="79"/>
      <c r="G446" s="80"/>
    </row>
    <row r="448" spans="1:23" ht="18.75" x14ac:dyDescent="0.35">
      <c r="A448" s="4" t="s">
        <v>517</v>
      </c>
      <c r="B448" s="2" t="s">
        <v>520</v>
      </c>
      <c r="C448" s="31">
        <f>57000*SQRT(C6)</f>
        <v>3431854.4549558042</v>
      </c>
      <c r="D448" s="4" t="s">
        <v>23</v>
      </c>
    </row>
    <row r="449" spans="1:4" ht="18.75" x14ac:dyDescent="0.35">
      <c r="A449" s="4" t="s">
        <v>524</v>
      </c>
      <c r="B449" s="2" t="s">
        <v>525</v>
      </c>
      <c r="C449" s="8">
        <f>ModulusElasticity/$C$448</f>
        <v>8.4502418096788041</v>
      </c>
      <c r="D449" s="4" t="s">
        <v>22</v>
      </c>
    </row>
    <row r="450" spans="1:4" ht="18.75" x14ac:dyDescent="0.35">
      <c r="A450" s="4" t="s">
        <v>518</v>
      </c>
      <c r="B450" s="2" t="s">
        <v>521</v>
      </c>
      <c r="C450" s="31">
        <f>C222^4/64</f>
        <v>26244</v>
      </c>
      <c r="D450" s="4" t="s">
        <v>225</v>
      </c>
    </row>
    <row r="451" spans="1:4" x14ac:dyDescent="0.2">
      <c r="A451" s="4" t="s">
        <v>527</v>
      </c>
      <c r="B451" s="2" t="s">
        <v>63</v>
      </c>
      <c r="C451" s="47">
        <f>C279</f>
        <v>26.88976666666667</v>
      </c>
      <c r="D451" s="4" t="s">
        <v>21</v>
      </c>
    </row>
    <row r="452" spans="1:4" ht="18.75" x14ac:dyDescent="0.35">
      <c r="A452" s="4" t="s">
        <v>528</v>
      </c>
      <c r="B452" s="2" t="s">
        <v>529</v>
      </c>
      <c r="C452" s="76">
        <f>6*C226/818.1088</f>
        <v>4.4100770131149155E-3</v>
      </c>
    </row>
    <row r="453" spans="1:4" x14ac:dyDescent="0.2">
      <c r="B453" s="2" t="s">
        <v>530</v>
      </c>
      <c r="C453" s="76">
        <f>-C449*C452+SQRT((C449*C452)^2+2*C449*C452)</f>
        <v>0.23827181154313543</v>
      </c>
    </row>
    <row r="454" spans="1:4" ht="18.75" x14ac:dyDescent="0.35">
      <c r="A454" s="4" t="s">
        <v>522</v>
      </c>
      <c r="B454" s="2" t="s">
        <v>523</v>
      </c>
    </row>
    <row r="455" spans="1:4" ht="18.75" x14ac:dyDescent="0.35">
      <c r="A455" s="4" t="s">
        <v>516</v>
      </c>
      <c r="B455" s="2" t="s">
        <v>515</v>
      </c>
    </row>
    <row r="456" spans="1:4" ht="18.75" x14ac:dyDescent="0.35">
      <c r="A456" s="4" t="s">
        <v>519</v>
      </c>
      <c r="B456" s="2" t="s">
        <v>526</v>
      </c>
    </row>
    <row r="458" spans="1:4" x14ac:dyDescent="0.2">
      <c r="A458" s="4" t="s">
        <v>513</v>
      </c>
    </row>
    <row r="459" spans="1:4" ht="18.75" x14ac:dyDescent="0.35">
      <c r="A459" s="4" t="s">
        <v>510</v>
      </c>
      <c r="B459" s="2" t="s">
        <v>511</v>
      </c>
    </row>
    <row r="460" spans="1:4" ht="18.75" x14ac:dyDescent="0.35">
      <c r="A460" s="4" t="s">
        <v>512</v>
      </c>
      <c r="B460" s="2" t="s">
        <v>514</v>
      </c>
    </row>
  </sheetData>
  <mergeCells count="6">
    <mergeCell ref="E444:G444"/>
    <mergeCell ref="A2:A3"/>
    <mergeCell ref="B2:B3"/>
    <mergeCell ref="E22:G22"/>
    <mergeCell ref="E30:G30"/>
    <mergeCell ref="E438:G438"/>
  </mergeCells>
  <conditionalFormatting sqref="D62:E62">
    <cfRule type="containsText" dxfId="25" priority="9" operator="containsText" text="NG">
      <formula>NOT(ISERROR(SEARCH("NG",D62)))</formula>
    </cfRule>
    <cfRule type="containsText" dxfId="24" priority="10" operator="containsText" text="OK">
      <formula>NOT(ISERROR(SEARCH("OK",D62)))</formula>
    </cfRule>
  </conditionalFormatting>
  <conditionalFormatting sqref="D241">
    <cfRule type="containsText" dxfId="23" priority="7" operator="containsText" text="NG">
      <formula>NOT(ISERROR(SEARCH("NG",D241)))</formula>
    </cfRule>
    <cfRule type="containsText" dxfId="22" priority="8" operator="containsText" text="OK">
      <formula>NOT(ISERROR(SEARCH("OK",D241)))</formula>
    </cfRule>
  </conditionalFormatting>
  <conditionalFormatting sqref="D439">
    <cfRule type="containsText" dxfId="21" priority="5" operator="containsText" text="NG">
      <formula>NOT(ISERROR(SEARCH("NG",D439)))</formula>
    </cfRule>
    <cfRule type="containsText" dxfId="20" priority="6" operator="containsText" text="OK">
      <formula>NOT(ISERROR(SEARCH("OK",D439)))</formula>
    </cfRule>
  </conditionalFormatting>
  <conditionalFormatting sqref="D446:F446">
    <cfRule type="containsText" dxfId="19" priority="4" operator="containsText" text="Torsion">
      <formula>NOT(ISERROR(SEARCH("Torsion",D446)))</formula>
    </cfRule>
  </conditionalFormatting>
  <conditionalFormatting sqref="D446">
    <cfRule type="containsText" dxfId="18" priority="3" operator="containsText" text="NG">
      <formula>NOT(ISERROR(SEARCH("NG",D446)))</formula>
    </cfRule>
  </conditionalFormatting>
  <conditionalFormatting sqref="D39">
    <cfRule type="containsText" dxfId="17" priority="1" operator="containsText" text="OK">
      <formula>NOT(ISERROR(SEARCH("OK",D39)))</formula>
    </cfRule>
    <cfRule type="containsText" dxfId="16" priority="2" operator="containsText" text="NG">
      <formula>NOT(ISERROR(SEARCH("NG",D39)))</formula>
    </cfRule>
  </conditionalFormatting>
  <pageMargins left="0.7" right="0.7" top="0.8666666666666667" bottom="0.75" header="0.3" footer="0.3"/>
  <pageSetup scale="61" fitToHeight="0" orientation="portrait" r:id="rId1"/>
  <headerFooter>
    <oddHeader>&amp;L&amp;"Arial,Bold"&amp;20CBR
Street Light Pole Analysis</oddHeader>
  </headerFooter>
  <rowBreaks count="4" manualBreakCount="4">
    <brk id="246" max="16383" man="1"/>
    <brk id="312" max="16383" man="1"/>
    <brk id="378" max="16383" man="1"/>
    <brk id="447" max="1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B2BE-FFE8-4D52-81FB-EC7EAAB9A4D7}">
  <sheetPr>
    <pageSetUpPr fitToPage="1"/>
  </sheetPr>
  <dimension ref="A1:AC448"/>
  <sheetViews>
    <sheetView view="pageBreakPreview" zoomScaleNormal="100" zoomScaleSheetLayoutView="100" workbookViewId="0">
      <selection activeCell="D28" sqref="D28"/>
    </sheetView>
  </sheetViews>
  <sheetFormatPr defaultColWidth="9.140625" defaultRowHeight="14.25" x14ac:dyDescent="0.2"/>
  <cols>
    <col min="1" max="1" width="24.85546875" style="4" bestFit="1" customWidth="1"/>
    <col min="2" max="2" width="46.140625" style="2" bestFit="1" customWidth="1"/>
    <col min="3" max="3" width="17.85546875" style="31" bestFit="1" customWidth="1"/>
    <col min="4" max="5" width="9.140625" style="4"/>
    <col min="6" max="6" width="10.42578125" style="4" customWidth="1"/>
    <col min="7" max="7" width="14.42578125" style="2" customWidth="1"/>
    <col min="8" max="8" width="11.28515625" style="47" customWidth="1"/>
    <col min="9" max="9" width="10.7109375" style="4" bestFit="1" customWidth="1"/>
    <col min="10" max="10" width="9.140625" style="4"/>
    <col min="11" max="11" width="12.42578125" style="4" bestFit="1" customWidth="1"/>
    <col min="12" max="12" width="15.140625" style="4" customWidth="1"/>
    <col min="13" max="13" width="13" style="4" customWidth="1"/>
    <col min="14" max="14" width="10.7109375" style="4" bestFit="1" customWidth="1"/>
    <col min="15" max="15" width="11.28515625" style="4" bestFit="1" customWidth="1"/>
    <col min="16" max="16" width="12.42578125" style="3" bestFit="1" customWidth="1"/>
    <col min="17" max="17" width="10.42578125" style="3" bestFit="1" customWidth="1"/>
    <col min="18" max="23" width="10.42578125" style="3" customWidth="1"/>
    <col min="24" max="27" width="9.140625" style="4"/>
    <col min="28" max="28" width="10.7109375" style="4" bestFit="1" customWidth="1"/>
    <col min="29" max="29" width="9.140625" style="4"/>
    <col min="30" max="30" width="12.42578125" style="4" bestFit="1" customWidth="1"/>
    <col min="31" max="31" width="9.140625" style="4"/>
    <col min="32" max="32" width="10.42578125" style="4" bestFit="1" customWidth="1"/>
    <col min="33" max="16384" width="9.140625" style="4"/>
  </cols>
  <sheetData>
    <row r="1" spans="1:23" x14ac:dyDescent="0.2">
      <c r="A1" s="81"/>
      <c r="B1" s="86"/>
      <c r="C1" s="232"/>
      <c r="D1" s="81"/>
      <c r="E1" s="183"/>
      <c r="F1" s="183"/>
      <c r="G1" s="183"/>
      <c r="J1" s="3"/>
      <c r="M1" s="3"/>
      <c r="N1" s="3"/>
      <c r="O1" s="3"/>
      <c r="S1" s="4"/>
      <c r="T1" s="4"/>
      <c r="U1" s="4"/>
      <c r="V1" s="4"/>
      <c r="W1" s="4"/>
    </row>
    <row r="2" spans="1:23" ht="14.25" customHeight="1" x14ac:dyDescent="0.2">
      <c r="B2" s="235"/>
      <c r="C2" s="232"/>
      <c r="D2" s="81"/>
      <c r="E2" s="183"/>
      <c r="F2" s="183"/>
      <c r="G2" s="183"/>
      <c r="M2" s="3"/>
      <c r="N2" s="3"/>
      <c r="O2" s="3"/>
      <c r="S2" s="4"/>
      <c r="T2" s="4"/>
      <c r="U2" s="4"/>
      <c r="V2" s="4"/>
      <c r="W2" s="4"/>
    </row>
    <row r="3" spans="1:23" ht="14.25" customHeight="1" x14ac:dyDescent="0.2">
      <c r="A3" s="234" t="s">
        <v>1030</v>
      </c>
      <c r="B3" s="235"/>
      <c r="D3" s="41"/>
      <c r="E3" s="41"/>
      <c r="F3" s="41"/>
      <c r="G3" s="48"/>
      <c r="M3" s="3"/>
      <c r="N3" s="3"/>
      <c r="O3" s="3"/>
      <c r="S3" s="4"/>
      <c r="T3" s="4"/>
      <c r="U3" s="4"/>
      <c r="V3" s="4"/>
      <c r="W3" s="4"/>
    </row>
    <row r="4" spans="1:23" x14ac:dyDescent="0.2">
      <c r="A4" s="81"/>
      <c r="B4" s="86"/>
      <c r="C4" s="232"/>
      <c r="D4" s="81"/>
      <c r="E4" s="183"/>
      <c r="F4" s="183"/>
      <c r="G4" s="183"/>
      <c r="P4" s="4"/>
      <c r="Q4" s="4"/>
      <c r="R4" s="4"/>
      <c r="S4" s="4"/>
      <c r="T4" s="4"/>
      <c r="U4" s="4"/>
      <c r="V4" s="4"/>
      <c r="W4" s="4"/>
    </row>
    <row r="5" spans="1:23" x14ac:dyDescent="0.2">
      <c r="P5" s="4"/>
      <c r="Q5" s="4"/>
      <c r="R5" s="4"/>
      <c r="S5" s="4"/>
      <c r="T5" s="4"/>
      <c r="U5" s="4"/>
      <c r="V5" s="4"/>
      <c r="W5" s="4"/>
    </row>
    <row r="6" spans="1:23" ht="14.25" hidden="1" customHeight="1" x14ac:dyDescent="0.2">
      <c r="B6" s="2" t="s">
        <v>1048</v>
      </c>
      <c r="C6" s="6"/>
      <c r="G6" s="56"/>
      <c r="H6" s="19"/>
      <c r="P6" s="4"/>
      <c r="Q6" s="4"/>
      <c r="R6" s="4"/>
      <c r="S6" s="4"/>
      <c r="T6" s="4"/>
      <c r="U6" s="4"/>
      <c r="V6" s="4"/>
      <c r="W6" s="4"/>
    </row>
    <row r="7" spans="1:23" x14ac:dyDescent="0.2">
      <c r="C7" s="237"/>
      <c r="D7" s="17"/>
      <c r="G7" s="56"/>
      <c r="H7" s="19"/>
      <c r="P7" s="4"/>
      <c r="Q7" s="4"/>
      <c r="R7" s="4"/>
      <c r="S7" s="4"/>
      <c r="T7" s="4"/>
      <c r="U7" s="4"/>
      <c r="V7" s="4"/>
      <c r="W7" s="4"/>
    </row>
    <row r="8" spans="1:23" ht="18.75" hidden="1" customHeight="1" x14ac:dyDescent="0.2">
      <c r="G8" s="56"/>
      <c r="H8" s="19"/>
      <c r="P8" s="4"/>
      <c r="Q8" s="4"/>
      <c r="R8" s="4"/>
      <c r="S8" s="4"/>
      <c r="T8" s="4"/>
      <c r="U8" s="4"/>
      <c r="V8" s="4"/>
      <c r="W8" s="4"/>
    </row>
    <row r="9" spans="1:23" ht="14.25" hidden="1" customHeight="1" x14ac:dyDescent="0.2">
      <c r="G9" s="56"/>
      <c r="H9" s="19"/>
      <c r="P9" s="4"/>
      <c r="Q9" s="4"/>
      <c r="R9" s="4"/>
      <c r="S9" s="4"/>
      <c r="T9" s="4"/>
      <c r="U9" s="4"/>
      <c r="V9" s="4"/>
      <c r="W9" s="4"/>
    </row>
    <row r="10" spans="1:23" hidden="1" x14ac:dyDescent="0.2">
      <c r="C10" s="159"/>
      <c r="G10" s="56"/>
      <c r="H10" s="19"/>
      <c r="P10" s="4"/>
      <c r="Q10" s="4"/>
      <c r="R10" s="4"/>
      <c r="S10" s="4"/>
      <c r="T10" s="4"/>
      <c r="U10" s="4"/>
      <c r="V10" s="4"/>
      <c r="W10" s="4"/>
    </row>
    <row r="11" spans="1:23" hidden="1" x14ac:dyDescent="0.2">
      <c r="C11" s="233"/>
      <c r="G11" s="56"/>
      <c r="H11" s="19"/>
      <c r="P11" s="4"/>
      <c r="Q11" s="4"/>
      <c r="R11" s="4"/>
      <c r="S11" s="4"/>
      <c r="T11" s="4"/>
      <c r="U11" s="4"/>
      <c r="V11" s="4"/>
      <c r="W11" s="4"/>
    </row>
    <row r="12" spans="1:23" hidden="1" x14ac:dyDescent="0.2">
      <c r="C12" s="47"/>
      <c r="G12" s="56"/>
      <c r="H12" s="19"/>
      <c r="P12" s="4"/>
      <c r="Q12" s="4"/>
      <c r="R12" s="4"/>
      <c r="S12" s="4"/>
      <c r="T12" s="4"/>
      <c r="U12" s="4"/>
      <c r="V12" s="4"/>
      <c r="W12" s="4"/>
    </row>
    <row r="13" spans="1:23" hidden="1" x14ac:dyDescent="0.2">
      <c r="C13" s="159"/>
      <c r="G13" s="4"/>
      <c r="H13" s="4"/>
      <c r="P13" s="4"/>
      <c r="Q13" s="4"/>
      <c r="R13" s="4"/>
      <c r="S13" s="4"/>
      <c r="T13" s="4"/>
      <c r="U13" s="4"/>
      <c r="V13" s="4"/>
      <c r="W13" s="4"/>
    </row>
    <row r="14" spans="1:23" hidden="1" x14ac:dyDescent="0.2">
      <c r="C14" s="47"/>
      <c r="G14" s="4"/>
      <c r="H14" s="4"/>
      <c r="P14" s="4"/>
      <c r="Q14" s="4"/>
      <c r="R14" s="4"/>
      <c r="S14" s="4"/>
      <c r="T14" s="4"/>
      <c r="U14" s="4"/>
      <c r="V14" s="4"/>
      <c r="W14" s="4"/>
    </row>
    <row r="15" spans="1:23" hidden="1" x14ac:dyDescent="0.2">
      <c r="C15" s="47"/>
      <c r="G15" s="4"/>
      <c r="H15" s="4"/>
      <c r="P15" s="4"/>
      <c r="Q15" s="4"/>
      <c r="R15" s="4"/>
      <c r="S15" s="4"/>
      <c r="T15" s="4"/>
      <c r="U15" s="4"/>
      <c r="V15" s="4"/>
      <c r="W15" s="4"/>
    </row>
    <row r="16" spans="1:23" hidden="1" x14ac:dyDescent="0.2">
      <c r="C16" s="47"/>
      <c r="G16" s="4"/>
      <c r="H16" s="4"/>
      <c r="P16" s="4"/>
      <c r="Q16" s="4"/>
      <c r="R16" s="4"/>
      <c r="S16" s="4"/>
      <c r="T16" s="4"/>
      <c r="U16" s="4"/>
      <c r="V16" s="4"/>
      <c r="W16" s="4"/>
    </row>
    <row r="17" spans="1:23" hidden="1" x14ac:dyDescent="0.2">
      <c r="C17" s="47"/>
      <c r="G17" s="4"/>
      <c r="H17" s="4"/>
      <c r="P17" s="4"/>
      <c r="Q17" s="4"/>
      <c r="R17" s="4"/>
      <c r="S17" s="4"/>
      <c r="T17" s="4"/>
      <c r="U17" s="4"/>
      <c r="V17" s="4"/>
      <c r="W17" s="4"/>
    </row>
    <row r="18" spans="1:23" x14ac:dyDescent="0.2">
      <c r="B18" s="2" t="s">
        <v>1033</v>
      </c>
      <c r="C18" s="192">
        <v>15</v>
      </c>
      <c r="D18" s="4" t="s">
        <v>1031</v>
      </c>
      <c r="E18" s="4" t="s">
        <v>1042</v>
      </c>
      <c r="G18" s="4"/>
      <c r="H18" s="4"/>
      <c r="P18" s="4"/>
      <c r="Q18" s="4"/>
      <c r="R18" s="4"/>
      <c r="S18" s="4"/>
      <c r="T18" s="4"/>
      <c r="U18" s="4"/>
      <c r="V18" s="4"/>
      <c r="W18" s="4"/>
    </row>
    <row r="19" spans="1:23" ht="15" x14ac:dyDescent="0.25">
      <c r="A19" s="1"/>
      <c r="C19" s="193">
        <f>C18*12</f>
        <v>180</v>
      </c>
      <c r="D19" s="4" t="s">
        <v>1032</v>
      </c>
      <c r="P19" s="4"/>
      <c r="Q19" s="4"/>
      <c r="R19" s="4"/>
      <c r="S19" s="4"/>
      <c r="T19" s="4"/>
      <c r="U19" s="4"/>
      <c r="V19" s="4"/>
      <c r="W19" s="4"/>
    </row>
    <row r="20" spans="1:23" x14ac:dyDescent="0.2">
      <c r="A20" s="4" t="s">
        <v>1050</v>
      </c>
      <c r="C20" s="193"/>
      <c r="P20" s="4"/>
      <c r="Q20" s="4"/>
      <c r="R20" s="4"/>
      <c r="S20" s="4"/>
      <c r="T20" s="4"/>
      <c r="U20" s="4"/>
      <c r="V20" s="4"/>
      <c r="W20" s="4"/>
    </row>
    <row r="21" spans="1:23" ht="15" x14ac:dyDescent="0.25">
      <c r="A21" s="1"/>
      <c r="B21" s="2" t="s">
        <v>1039</v>
      </c>
      <c r="C21" s="51">
        <v>0.2</v>
      </c>
      <c r="P21" s="4"/>
      <c r="Q21" s="4"/>
      <c r="R21" s="4"/>
      <c r="S21" s="4"/>
      <c r="T21" s="4"/>
      <c r="U21" s="4"/>
      <c r="V21" s="4"/>
      <c r="W21" s="4"/>
    </row>
    <row r="22" spans="1:23" x14ac:dyDescent="0.2">
      <c r="B22" s="2" t="s">
        <v>1034</v>
      </c>
      <c r="C22" s="236">
        <v>0.375</v>
      </c>
      <c r="D22" s="4" t="s">
        <v>21</v>
      </c>
      <c r="P22" s="4"/>
      <c r="Q22" s="4"/>
      <c r="R22" s="4"/>
      <c r="S22" s="4"/>
      <c r="T22" s="4"/>
      <c r="U22" s="4"/>
      <c r="V22" s="4"/>
      <c r="W22" s="4"/>
    </row>
    <row r="23" spans="1:23" s="81" customFormat="1" x14ac:dyDescent="0.2">
      <c r="B23" s="34" t="s">
        <v>1035</v>
      </c>
      <c r="C23" s="193">
        <v>1925</v>
      </c>
      <c r="D23" s="4" t="s">
        <v>1036</v>
      </c>
      <c r="E23" s="81" t="s">
        <v>1041</v>
      </c>
      <c r="F23" s="183"/>
      <c r="G23" s="183"/>
      <c r="H23" s="83"/>
    </row>
    <row r="24" spans="1:23" s="81" customFormat="1" ht="15" x14ac:dyDescent="0.2">
      <c r="B24" s="34" t="s">
        <v>1037</v>
      </c>
      <c r="C24" s="51">
        <v>0.16</v>
      </c>
      <c r="D24" s="4"/>
      <c r="F24" s="183"/>
      <c r="G24" s="183"/>
      <c r="H24" s="83"/>
    </row>
    <row r="25" spans="1:23" s="81" customFormat="1" x14ac:dyDescent="0.2">
      <c r="B25" s="2"/>
      <c r="C25" s="42">
        <f>C24*C23</f>
        <v>308</v>
      </c>
      <c r="D25" s="17" t="s">
        <v>1043</v>
      </c>
      <c r="E25" s="81" t="s">
        <v>1044</v>
      </c>
      <c r="F25" s="183"/>
      <c r="G25" s="183"/>
      <c r="H25" s="83"/>
    </row>
    <row r="26" spans="1:23" x14ac:dyDescent="0.2">
      <c r="B26" s="34" t="s">
        <v>1046</v>
      </c>
      <c r="C26" s="239">
        <f>2*C25</f>
        <v>616</v>
      </c>
      <c r="D26" s="190" t="s">
        <v>1036</v>
      </c>
      <c r="E26" s="4" t="s">
        <v>1045</v>
      </c>
      <c r="G26" s="4"/>
      <c r="H26" s="4"/>
      <c r="P26" s="4"/>
      <c r="Q26" s="4"/>
      <c r="R26" s="4"/>
      <c r="S26" s="4"/>
      <c r="T26" s="4"/>
      <c r="U26" s="4"/>
      <c r="V26" s="4"/>
      <c r="W26" s="4"/>
    </row>
    <row r="27" spans="1:23" x14ac:dyDescent="0.2">
      <c r="B27" s="4"/>
      <c r="P27" s="4"/>
      <c r="Q27" s="4"/>
      <c r="R27" s="4"/>
      <c r="S27" s="4"/>
      <c r="T27" s="4"/>
      <c r="U27" s="4"/>
      <c r="V27" s="4"/>
      <c r="W27" s="4"/>
    </row>
    <row r="28" spans="1:23" ht="15.75" thickBot="1" x14ac:dyDescent="0.3">
      <c r="A28" s="1"/>
      <c r="B28" s="2" t="s">
        <v>1038</v>
      </c>
      <c r="C28" s="31">
        <v>150</v>
      </c>
      <c r="D28" s="4" t="s">
        <v>1036</v>
      </c>
      <c r="E28" s="3" t="s">
        <v>1040</v>
      </c>
      <c r="F28" s="31">
        <f>C26</f>
        <v>616</v>
      </c>
      <c r="G28" s="48" t="s">
        <v>1036</v>
      </c>
      <c r="P28" s="4"/>
      <c r="Q28" s="4"/>
      <c r="R28" s="4"/>
      <c r="S28" s="4"/>
      <c r="T28" s="4"/>
      <c r="U28" s="4"/>
      <c r="V28" s="4"/>
      <c r="W28" s="4"/>
    </row>
    <row r="29" spans="1:23" ht="15" thickBot="1" x14ac:dyDescent="0.25">
      <c r="C29" s="238" t="str">
        <f>IF(C28&lt;F28,"OK", "NG")</f>
        <v>OK</v>
      </c>
      <c r="P29" s="4"/>
      <c r="Q29" s="4"/>
      <c r="R29" s="4"/>
      <c r="S29" s="4"/>
      <c r="T29" s="4"/>
      <c r="U29" s="4"/>
      <c r="V29" s="4"/>
      <c r="W29" s="4"/>
    </row>
    <row r="30" spans="1:23" x14ac:dyDescent="0.2">
      <c r="C30" s="47"/>
      <c r="P30" s="4"/>
      <c r="Q30" s="4"/>
      <c r="R30" s="4"/>
      <c r="S30" s="4"/>
      <c r="T30" s="4"/>
      <c r="U30" s="4"/>
      <c r="V30" s="4"/>
      <c r="W30" s="4"/>
    </row>
    <row r="31" spans="1:23" x14ac:dyDescent="0.2">
      <c r="B31" s="283" t="s">
        <v>1047</v>
      </c>
      <c r="C31" s="283"/>
      <c r="D31" s="283"/>
      <c r="E31" s="283"/>
      <c r="F31" s="283"/>
      <c r="P31" s="4"/>
      <c r="Q31" s="4"/>
      <c r="R31" s="4"/>
      <c r="S31" s="4"/>
      <c r="T31" s="4"/>
      <c r="U31" s="4"/>
      <c r="V31" s="4"/>
      <c r="W31" s="4"/>
    </row>
    <row r="32" spans="1:23" x14ac:dyDescent="0.2">
      <c r="B32" s="283"/>
      <c r="C32" s="283"/>
      <c r="D32" s="283"/>
      <c r="E32" s="283"/>
      <c r="F32" s="283"/>
      <c r="P32" s="4"/>
      <c r="Q32" s="4"/>
      <c r="R32" s="4"/>
      <c r="S32" s="4"/>
      <c r="T32" s="4"/>
      <c r="U32" s="4"/>
      <c r="V32" s="4"/>
      <c r="W32" s="4"/>
    </row>
    <row r="33" spans="3:29" x14ac:dyDescent="0.2">
      <c r="P33" s="4"/>
      <c r="Q33" s="4"/>
      <c r="R33" s="4"/>
      <c r="S33" s="4"/>
      <c r="T33" s="4"/>
      <c r="U33" s="4"/>
      <c r="V33" s="4"/>
      <c r="W33" s="4"/>
    </row>
    <row r="34" spans="3:29" x14ac:dyDescent="0.2">
      <c r="C34" s="47"/>
      <c r="D34" s="3"/>
      <c r="P34" s="4"/>
      <c r="Q34" s="4"/>
      <c r="R34" s="4"/>
      <c r="S34" s="4"/>
      <c r="T34" s="4"/>
      <c r="U34" s="4"/>
      <c r="V34" s="4"/>
      <c r="W34" s="4"/>
    </row>
    <row r="35" spans="3:29" ht="14.25" hidden="1" customHeight="1" x14ac:dyDescent="0.2">
      <c r="C35" s="47"/>
      <c r="P35" s="4"/>
      <c r="Q35" s="4"/>
      <c r="R35" s="4"/>
      <c r="S35" s="4"/>
      <c r="T35" s="4"/>
      <c r="U35" s="4"/>
      <c r="V35" s="4"/>
      <c r="W35" s="4"/>
    </row>
    <row r="36" spans="3:29" ht="14.25" hidden="1" customHeight="1" x14ac:dyDescent="0.2">
      <c r="C36" s="47"/>
      <c r="G36" s="4"/>
      <c r="H36" s="4"/>
      <c r="P36" s="4"/>
      <c r="Q36" s="4"/>
      <c r="R36" s="4"/>
      <c r="S36" s="4"/>
      <c r="T36" s="4"/>
      <c r="U36" s="4"/>
      <c r="V36" s="4"/>
      <c r="W36" s="4"/>
    </row>
    <row r="37" spans="3:29" ht="14.25" hidden="1" customHeight="1" x14ac:dyDescent="0.2">
      <c r="G37" s="4"/>
      <c r="H37" s="4"/>
      <c r="P37" s="4"/>
      <c r="Q37" s="4"/>
      <c r="R37" s="4"/>
      <c r="S37" s="4"/>
      <c r="T37" s="4"/>
      <c r="U37" s="4"/>
      <c r="V37" s="4"/>
      <c r="W37" s="4"/>
    </row>
    <row r="38" spans="3:29" ht="14.25" hidden="1" customHeight="1" x14ac:dyDescent="0.2">
      <c r="C38" s="6"/>
      <c r="G38" s="4"/>
      <c r="H38" s="4"/>
      <c r="P38" s="4"/>
      <c r="Q38" s="4"/>
      <c r="R38" s="4"/>
      <c r="S38" s="4"/>
      <c r="T38" s="4"/>
      <c r="U38" s="4"/>
      <c r="V38" s="4"/>
      <c r="W38" s="4"/>
    </row>
    <row r="39" spans="3:29" ht="14.25" hidden="1" customHeight="1" x14ac:dyDescent="0.2">
      <c r="C39" s="6"/>
      <c r="G39" s="4"/>
      <c r="H39" s="4"/>
      <c r="P39" s="4"/>
      <c r="Q39" s="4"/>
      <c r="R39" s="4"/>
      <c r="S39" s="4"/>
      <c r="T39" s="4"/>
      <c r="U39" s="4"/>
      <c r="V39" s="4"/>
      <c r="W39" s="4"/>
      <c r="AC39" s="62"/>
    </row>
    <row r="40" spans="3:29" ht="14.25" hidden="1" customHeight="1" x14ac:dyDescent="0.2">
      <c r="C40" s="47"/>
      <c r="G40" s="4"/>
      <c r="H40" s="4"/>
      <c r="P40" s="4"/>
      <c r="Q40" s="4"/>
      <c r="R40" s="4"/>
      <c r="S40" s="4"/>
      <c r="T40" s="4"/>
      <c r="U40" s="4"/>
      <c r="V40" s="4"/>
      <c r="W40" s="4"/>
    </row>
    <row r="41" spans="3:29" ht="14.25" hidden="1" customHeight="1" x14ac:dyDescent="0.2">
      <c r="C41" s="47"/>
      <c r="G41" s="4"/>
      <c r="H41" s="4"/>
      <c r="P41" s="4"/>
      <c r="Q41" s="4"/>
      <c r="R41" s="4"/>
      <c r="S41" s="4"/>
      <c r="T41" s="4"/>
      <c r="U41" s="4"/>
      <c r="V41" s="4"/>
      <c r="W41" s="4"/>
    </row>
    <row r="42" spans="3:29" ht="14.25" hidden="1" customHeight="1" x14ac:dyDescent="0.2">
      <c r="C42" s="47"/>
      <c r="G42" s="4"/>
      <c r="H42" s="4"/>
      <c r="P42" s="4"/>
      <c r="Q42" s="4"/>
      <c r="R42" s="4"/>
      <c r="S42" s="4"/>
      <c r="T42" s="4"/>
      <c r="U42" s="4"/>
      <c r="V42" s="4"/>
      <c r="W42" s="4"/>
    </row>
    <row r="43" spans="3:29" ht="14.25" hidden="1" customHeight="1" x14ac:dyDescent="0.2">
      <c r="C43" s="12"/>
      <c r="G43" s="4"/>
      <c r="H43" s="4"/>
      <c r="P43" s="4"/>
      <c r="Q43" s="4"/>
      <c r="R43" s="4"/>
      <c r="S43" s="4"/>
      <c r="T43" s="4"/>
      <c r="U43" s="4"/>
      <c r="V43" s="4"/>
      <c r="W43" s="4"/>
    </row>
    <row r="44" spans="3:29" ht="14.25" hidden="1" customHeight="1" x14ac:dyDescent="0.2">
      <c r="C44" s="6"/>
      <c r="G44" s="4"/>
      <c r="H44" s="4"/>
      <c r="P44" s="4"/>
      <c r="Q44" s="4"/>
      <c r="R44" s="4"/>
      <c r="S44" s="4"/>
      <c r="T44" s="4"/>
      <c r="U44" s="4"/>
      <c r="V44" s="4"/>
      <c r="W44" s="4"/>
    </row>
    <row r="45" spans="3:29" ht="14.25" hidden="1" customHeight="1" x14ac:dyDescent="0.2">
      <c r="C45" s="47"/>
      <c r="G45" s="4"/>
      <c r="H45" s="4"/>
      <c r="P45" s="4"/>
      <c r="Q45" s="4"/>
      <c r="R45" s="4"/>
      <c r="S45" s="4"/>
      <c r="T45" s="4"/>
      <c r="U45" s="4"/>
      <c r="V45" s="4"/>
      <c r="W45" s="4"/>
    </row>
    <row r="46" spans="3:29" ht="14.25" hidden="1" customHeight="1" x14ac:dyDescent="0.2">
      <c r="C46" s="47"/>
      <c r="G46" s="4"/>
      <c r="H46" s="4"/>
      <c r="P46" s="4"/>
      <c r="Q46" s="4"/>
      <c r="R46" s="4"/>
      <c r="S46" s="4"/>
      <c r="T46" s="4"/>
      <c r="U46" s="4"/>
      <c r="V46" s="4"/>
      <c r="W46" s="4"/>
    </row>
    <row r="47" spans="3:29" ht="14.25" hidden="1" customHeight="1" x14ac:dyDescent="0.2">
      <c r="C47" s="47"/>
      <c r="G47" s="4"/>
      <c r="H47" s="4"/>
      <c r="P47" s="4"/>
      <c r="Q47" s="4"/>
      <c r="R47" s="4"/>
      <c r="S47" s="4"/>
      <c r="T47" s="4"/>
      <c r="U47" s="4"/>
      <c r="V47" s="4"/>
      <c r="W47" s="4"/>
    </row>
    <row r="48" spans="3:29" ht="14.25" hidden="1" customHeight="1" x14ac:dyDescent="0.2">
      <c r="C48" s="47"/>
      <c r="G48" s="4"/>
      <c r="H48" s="4"/>
      <c r="P48" s="4"/>
      <c r="Q48" s="4"/>
      <c r="R48" s="4"/>
      <c r="S48" s="4"/>
      <c r="T48" s="4"/>
      <c r="U48" s="4"/>
      <c r="V48" s="4"/>
      <c r="W48" s="4"/>
    </row>
    <row r="49" spans="2:23" ht="14.25" hidden="1" customHeight="1" x14ac:dyDescent="0.2">
      <c r="G49" s="4"/>
      <c r="H49" s="4"/>
      <c r="P49" s="4"/>
      <c r="Q49" s="4"/>
      <c r="R49" s="4"/>
      <c r="S49" s="4"/>
      <c r="T49" s="4"/>
      <c r="U49" s="4"/>
      <c r="V49" s="4"/>
      <c r="W49" s="4"/>
    </row>
    <row r="50" spans="2:23" ht="14.25" hidden="1" customHeight="1" x14ac:dyDescent="0.2">
      <c r="C50" s="152"/>
      <c r="G50" s="4"/>
      <c r="H50" s="4"/>
      <c r="P50" s="4"/>
      <c r="Q50" s="4"/>
      <c r="R50" s="4"/>
      <c r="S50" s="4"/>
      <c r="T50" s="4"/>
      <c r="U50" s="4"/>
      <c r="V50" s="4"/>
      <c r="W50" s="4"/>
    </row>
    <row r="51" spans="2:23" ht="14.25" hidden="1" customHeight="1" x14ac:dyDescent="0.2">
      <c r="C51" s="47"/>
      <c r="G51" s="4"/>
      <c r="H51" s="4"/>
      <c r="P51" s="4"/>
      <c r="Q51" s="4"/>
      <c r="R51" s="4"/>
      <c r="S51" s="4"/>
      <c r="T51" s="4"/>
      <c r="U51" s="4"/>
      <c r="V51" s="4"/>
      <c r="W51" s="4"/>
    </row>
    <row r="52" spans="2:23" ht="14.25" hidden="1" customHeight="1" x14ac:dyDescent="0.2">
      <c r="C52" s="47"/>
      <c r="G52" s="4"/>
      <c r="H52" s="4"/>
      <c r="P52" s="4"/>
      <c r="Q52" s="4"/>
      <c r="R52" s="4"/>
      <c r="S52" s="4"/>
      <c r="T52" s="4"/>
      <c r="U52" s="4"/>
      <c r="V52" s="4"/>
      <c r="W52" s="4"/>
    </row>
    <row r="53" spans="2:23" ht="14.25" hidden="1" customHeight="1" x14ac:dyDescent="0.2">
      <c r="C53" s="152"/>
      <c r="G53" s="4"/>
      <c r="H53" s="4"/>
      <c r="P53" s="4"/>
      <c r="Q53" s="4"/>
      <c r="R53" s="4"/>
      <c r="S53" s="4"/>
      <c r="T53" s="4"/>
      <c r="U53" s="4"/>
      <c r="V53" s="4"/>
      <c r="W53" s="4"/>
    </row>
    <row r="54" spans="2:23" ht="14.25" hidden="1" customHeight="1" x14ac:dyDescent="0.2">
      <c r="C54" s="47"/>
      <c r="G54" s="4"/>
      <c r="H54" s="4"/>
      <c r="P54" s="4"/>
      <c r="Q54" s="4"/>
      <c r="R54" s="4"/>
      <c r="S54" s="4"/>
      <c r="T54" s="4"/>
      <c r="U54" s="4"/>
      <c r="V54" s="4"/>
      <c r="W54" s="4"/>
    </row>
    <row r="55" spans="2:23" ht="14.25" hidden="1" customHeight="1" x14ac:dyDescent="0.2">
      <c r="C55" s="159"/>
      <c r="G55" s="4"/>
      <c r="H55" s="4"/>
      <c r="P55" s="4"/>
      <c r="Q55" s="4"/>
      <c r="R55" s="4"/>
      <c r="S55" s="4"/>
      <c r="T55" s="4"/>
      <c r="U55" s="4"/>
      <c r="V55" s="4"/>
      <c r="W55" s="4"/>
    </row>
    <row r="56" spans="2:23" ht="14.25" hidden="1" customHeight="1" x14ac:dyDescent="0.2">
      <c r="C56" s="47"/>
      <c r="G56" s="4"/>
      <c r="H56" s="4"/>
      <c r="P56" s="4"/>
      <c r="Q56" s="4"/>
      <c r="R56" s="4"/>
      <c r="S56" s="4"/>
      <c r="T56" s="4"/>
      <c r="U56" s="4"/>
      <c r="V56" s="4"/>
      <c r="W56" s="4"/>
    </row>
    <row r="57" spans="2:23" ht="14.25" hidden="1" customHeight="1" x14ac:dyDescent="0.2">
      <c r="C57" s="47"/>
      <c r="G57" s="4"/>
      <c r="H57" s="4"/>
      <c r="P57" s="4"/>
      <c r="Q57" s="4"/>
      <c r="R57" s="4"/>
      <c r="S57" s="4"/>
      <c r="T57" s="4"/>
      <c r="U57" s="4"/>
      <c r="V57" s="4"/>
      <c r="W57" s="4"/>
    </row>
    <row r="58" spans="2:23" ht="14.25" hidden="1" customHeight="1" x14ac:dyDescent="0.2">
      <c r="C58" s="47"/>
      <c r="G58" s="4"/>
      <c r="H58" s="4"/>
      <c r="P58" s="4"/>
      <c r="Q58" s="4"/>
      <c r="R58" s="4"/>
      <c r="S58" s="4"/>
      <c r="T58" s="4"/>
      <c r="U58" s="4"/>
      <c r="V58" s="4"/>
      <c r="W58" s="4"/>
    </row>
    <row r="59" spans="2:23" ht="14.25" hidden="1" customHeight="1" x14ac:dyDescent="0.2">
      <c r="G59" s="4"/>
      <c r="H59" s="4"/>
      <c r="P59" s="4"/>
      <c r="Q59" s="4"/>
      <c r="R59" s="4"/>
      <c r="S59" s="4"/>
      <c r="T59" s="4"/>
      <c r="U59" s="4"/>
      <c r="V59" s="4"/>
      <c r="W59" s="4"/>
    </row>
    <row r="60" spans="2:23" ht="14.25" hidden="1" customHeight="1" x14ac:dyDescent="0.2">
      <c r="G60" s="4"/>
      <c r="H60" s="4"/>
      <c r="P60" s="4"/>
      <c r="Q60" s="4"/>
      <c r="R60" s="4"/>
      <c r="S60" s="4"/>
      <c r="T60" s="4"/>
      <c r="U60" s="4"/>
      <c r="V60" s="4"/>
      <c r="W60" s="4"/>
    </row>
    <row r="61" spans="2:23" ht="14.25" hidden="1" customHeight="1" x14ac:dyDescent="0.2">
      <c r="C61" s="47"/>
      <c r="G61" s="4"/>
      <c r="H61" s="4"/>
      <c r="P61" s="4"/>
      <c r="Q61" s="4"/>
      <c r="R61" s="4"/>
      <c r="S61" s="4"/>
      <c r="T61" s="4"/>
      <c r="U61" s="4"/>
      <c r="V61" s="4"/>
      <c r="W61" s="4"/>
    </row>
    <row r="62" spans="2:23" ht="14.25" hidden="1" customHeight="1" x14ac:dyDescent="0.2">
      <c r="C62" s="47"/>
      <c r="G62" s="4"/>
      <c r="H62" s="4"/>
      <c r="P62" s="4"/>
      <c r="Q62" s="4"/>
      <c r="R62" s="4"/>
      <c r="S62" s="4"/>
      <c r="T62" s="4"/>
      <c r="U62" s="4"/>
      <c r="V62" s="4"/>
      <c r="W62" s="4"/>
    </row>
    <row r="63" spans="2:23" ht="14.25" hidden="1" customHeight="1" x14ac:dyDescent="0.2">
      <c r="B63" s="4"/>
      <c r="C63" s="3"/>
      <c r="G63" s="4"/>
      <c r="H63" s="4"/>
      <c r="P63" s="4"/>
      <c r="Q63" s="4"/>
      <c r="R63" s="4"/>
      <c r="S63" s="4"/>
      <c r="T63" s="4"/>
      <c r="U63" s="4"/>
      <c r="V63" s="4"/>
      <c r="W63" s="4"/>
    </row>
    <row r="64" spans="2:23" ht="14.25" hidden="1" customHeight="1" x14ac:dyDescent="0.2">
      <c r="B64" s="4"/>
      <c r="C64" s="3"/>
      <c r="G64" s="4"/>
      <c r="H64" s="4"/>
      <c r="M64" s="2"/>
      <c r="N64" s="3"/>
      <c r="O64" s="3"/>
      <c r="S64" s="4"/>
      <c r="T64" s="4"/>
      <c r="U64" s="4"/>
      <c r="V64" s="4"/>
      <c r="W64" s="4"/>
    </row>
    <row r="65" spans="1:28" ht="14.25" hidden="1" customHeight="1" x14ac:dyDescent="0.2">
      <c r="B65" s="4"/>
      <c r="C65" s="3"/>
      <c r="G65" s="4"/>
      <c r="H65" s="4"/>
      <c r="M65" s="2"/>
      <c r="N65" s="3"/>
      <c r="O65" s="3"/>
      <c r="S65" s="4"/>
      <c r="T65" s="4"/>
      <c r="U65" s="4"/>
      <c r="V65" s="4"/>
      <c r="W65" s="4"/>
    </row>
    <row r="66" spans="1:28" ht="14.25" hidden="1" customHeight="1" x14ac:dyDescent="0.2">
      <c r="B66" s="4"/>
      <c r="C66" s="3"/>
      <c r="G66" s="4"/>
      <c r="H66" s="4"/>
      <c r="M66" s="2"/>
      <c r="N66" s="3"/>
      <c r="O66" s="3"/>
      <c r="S66" s="4"/>
      <c r="T66" s="4"/>
      <c r="U66" s="4"/>
      <c r="V66" s="4"/>
      <c r="W66" s="4"/>
    </row>
    <row r="67" spans="1:28" ht="14.25" hidden="1" customHeight="1" x14ac:dyDescent="0.2">
      <c r="B67" s="4"/>
      <c r="C67" s="3"/>
      <c r="G67" s="4"/>
      <c r="H67" s="4"/>
      <c r="M67" s="3"/>
      <c r="N67" s="3"/>
      <c r="O67" s="3"/>
      <c r="S67" s="4"/>
      <c r="T67" s="4"/>
      <c r="U67" s="4"/>
      <c r="V67" s="4"/>
      <c r="W67" s="4"/>
    </row>
    <row r="68" spans="1:28" ht="14.25" hidden="1" customHeight="1" x14ac:dyDescent="0.2">
      <c r="B68" s="4"/>
      <c r="C68" s="4"/>
      <c r="G68" s="4"/>
      <c r="H68" s="4"/>
      <c r="M68" s="3"/>
      <c r="N68" s="3"/>
      <c r="O68" s="3"/>
      <c r="S68" s="4"/>
      <c r="T68" s="4"/>
      <c r="U68" s="4"/>
      <c r="V68" s="4"/>
      <c r="W68" s="4"/>
    </row>
    <row r="69" spans="1:28" ht="14.25" hidden="1" customHeight="1" x14ac:dyDescent="0.2">
      <c r="A69" s="66"/>
      <c r="B69" s="4"/>
      <c r="C69" s="4"/>
      <c r="G69" s="4"/>
      <c r="H69" s="4" t="s">
        <v>197</v>
      </c>
      <c r="K69" s="3"/>
      <c r="L69" s="3"/>
      <c r="P69" s="4"/>
      <c r="Q69" s="4"/>
      <c r="R69" s="4"/>
      <c r="S69" s="4"/>
      <c r="T69" s="4"/>
      <c r="U69" s="4"/>
      <c r="V69" s="4"/>
      <c r="W69" s="4"/>
    </row>
    <row r="70" spans="1:28" ht="14.25" hidden="1" customHeight="1" x14ac:dyDescent="0.2">
      <c r="C70" s="8"/>
      <c r="G70" s="4"/>
      <c r="H70" s="4" t="s">
        <v>192</v>
      </c>
      <c r="K70" s="3"/>
      <c r="L70" s="3"/>
      <c r="P70" s="4"/>
      <c r="Q70" s="4"/>
      <c r="R70" s="4"/>
      <c r="S70" s="4"/>
      <c r="T70" s="4"/>
      <c r="U70" s="4"/>
      <c r="V70" s="4"/>
      <c r="W70" s="4"/>
    </row>
    <row r="71" spans="1:28" ht="16.5" hidden="1" customHeight="1" x14ac:dyDescent="0.2">
      <c r="C71" s="47"/>
      <c r="G71" s="4"/>
      <c r="H71" s="4" t="s">
        <v>193</v>
      </c>
      <c r="K71" s="3">
        <v>181.8443</v>
      </c>
      <c r="L71" s="3" t="s">
        <v>120</v>
      </c>
      <c r="P71" s="4"/>
      <c r="Q71" s="4"/>
      <c r="R71" s="4"/>
      <c r="S71" s="4"/>
      <c r="T71" s="4"/>
      <c r="U71" s="4"/>
      <c r="V71" s="4"/>
      <c r="W71" s="4"/>
    </row>
    <row r="72" spans="1:28" ht="14.25" hidden="1" customHeight="1" x14ac:dyDescent="0.2">
      <c r="C72" s="47"/>
      <c r="E72" s="48"/>
      <c r="G72" s="4"/>
      <c r="H72" s="4" t="s">
        <v>194</v>
      </c>
      <c r="K72" s="4">
        <v>59.374600000000001</v>
      </c>
      <c r="L72" s="3" t="s">
        <v>21</v>
      </c>
      <c r="P72" s="4"/>
      <c r="Q72" s="4"/>
      <c r="R72" s="4"/>
      <c r="S72" s="4"/>
      <c r="T72" s="4"/>
      <c r="U72" s="4"/>
      <c r="V72" s="4"/>
      <c r="W72" s="4"/>
    </row>
    <row r="73" spans="1:28" ht="14.25" hidden="1" customHeight="1" x14ac:dyDescent="0.2">
      <c r="C73" s="47"/>
      <c r="G73" s="4"/>
      <c r="H73" s="4" t="s">
        <v>195</v>
      </c>
      <c r="J73" s="4" t="s">
        <v>198</v>
      </c>
      <c r="K73" s="3">
        <v>0</v>
      </c>
      <c r="L73" s="3" t="s">
        <v>21</v>
      </c>
      <c r="P73" s="4"/>
      <c r="Q73" s="4"/>
      <c r="R73" s="4"/>
      <c r="S73" s="4"/>
      <c r="T73" s="4"/>
      <c r="U73" s="4"/>
      <c r="V73" s="4"/>
      <c r="W73" s="4"/>
    </row>
    <row r="74" spans="1:28" ht="15" hidden="1" customHeight="1" x14ac:dyDescent="0.25">
      <c r="B74" s="57"/>
      <c r="C74" s="154"/>
      <c r="D74" s="39"/>
      <c r="E74" s="9"/>
      <c r="F74" s="39"/>
      <c r="G74" s="4"/>
      <c r="H74" s="4"/>
      <c r="J74" s="4" t="s">
        <v>199</v>
      </c>
      <c r="K74" s="3">
        <v>4.1502999999999997</v>
      </c>
      <c r="L74" s="3" t="s">
        <v>21</v>
      </c>
      <c r="P74" s="4"/>
      <c r="Q74" s="4"/>
      <c r="R74" s="4"/>
      <c r="S74" s="4"/>
      <c r="T74" s="4"/>
      <c r="U74" s="4"/>
      <c r="V74" s="4"/>
      <c r="W74" s="4"/>
    </row>
    <row r="75" spans="1:28" ht="16.5" hidden="1" customHeight="1" x14ac:dyDescent="0.2">
      <c r="C75" s="47"/>
      <c r="E75" s="9"/>
      <c r="G75" s="4"/>
      <c r="H75" s="4" t="s">
        <v>196</v>
      </c>
      <c r="J75" s="4" t="s">
        <v>223</v>
      </c>
      <c r="K75" s="41">
        <v>4420.8067000000001</v>
      </c>
      <c r="L75" s="3" t="s">
        <v>225</v>
      </c>
      <c r="P75" s="4"/>
      <c r="Q75" s="4"/>
      <c r="R75" s="4"/>
      <c r="S75" s="4"/>
      <c r="T75" s="4"/>
      <c r="U75" s="4"/>
      <c r="V75" s="4"/>
      <c r="W75" s="4"/>
    </row>
    <row r="76" spans="1:28" ht="16.5" hidden="1" customHeight="1" x14ac:dyDescent="0.2">
      <c r="C76" s="160"/>
      <c r="E76" s="9"/>
      <c r="G76" s="4"/>
      <c r="H76" s="4"/>
      <c r="J76" s="4" t="s">
        <v>224</v>
      </c>
      <c r="K76" s="41">
        <v>6299.6513999999997</v>
      </c>
      <c r="L76" s="3" t="s">
        <v>225</v>
      </c>
      <c r="P76" s="4"/>
      <c r="Q76" s="4"/>
      <c r="R76" s="4"/>
      <c r="S76" s="4"/>
      <c r="T76" s="4"/>
      <c r="U76" s="4"/>
      <c r="V76" s="4"/>
      <c r="W76" s="4"/>
    </row>
    <row r="77" spans="1:28" ht="14.25" hidden="1" customHeight="1" x14ac:dyDescent="0.2">
      <c r="C77" s="47"/>
      <c r="E77" s="48"/>
      <c r="G77" s="4"/>
      <c r="H77" s="4" t="s">
        <v>226</v>
      </c>
      <c r="J77" s="4" t="s">
        <v>227</v>
      </c>
      <c r="K77" s="3">
        <v>0</v>
      </c>
      <c r="L77" s="3"/>
      <c r="P77" s="4"/>
      <c r="Q77" s="4"/>
      <c r="R77" s="4"/>
      <c r="S77" s="4"/>
      <c r="T77" s="4"/>
      <c r="U77" s="4"/>
      <c r="V77" s="4"/>
      <c r="W77" s="4"/>
    </row>
    <row r="78" spans="1:28" ht="15" hidden="1" customHeight="1" x14ac:dyDescent="0.25">
      <c r="B78" s="57"/>
      <c r="C78" s="154"/>
      <c r="D78" s="39"/>
      <c r="E78" s="9"/>
      <c r="F78" s="39"/>
      <c r="G78" s="4"/>
      <c r="H78" s="4" t="s">
        <v>228</v>
      </c>
      <c r="J78" s="4" t="s">
        <v>223</v>
      </c>
      <c r="K78" s="3">
        <v>4.9306000000000001</v>
      </c>
      <c r="L78" s="3"/>
      <c r="P78" s="4"/>
      <c r="Q78" s="4"/>
      <c r="R78" s="4"/>
      <c r="S78" s="4"/>
      <c r="T78" s="4"/>
      <c r="U78" s="4"/>
      <c r="V78" s="4"/>
      <c r="W78" s="4"/>
      <c r="Z78" s="2"/>
      <c r="AA78" s="2"/>
      <c r="AB78" s="3"/>
    </row>
    <row r="79" spans="1:28" ht="14.25" hidden="1" customHeight="1" x14ac:dyDescent="0.2">
      <c r="C79" s="47"/>
      <c r="G79" s="4"/>
      <c r="H79" s="4"/>
      <c r="J79" s="4" t="s">
        <v>224</v>
      </c>
      <c r="K79" s="3">
        <v>5.8857999999999997</v>
      </c>
      <c r="L79" s="3"/>
      <c r="P79" s="4"/>
      <c r="Q79" s="4"/>
      <c r="R79" s="4"/>
      <c r="S79" s="4"/>
      <c r="T79" s="4"/>
      <c r="U79" s="4"/>
      <c r="V79" s="4"/>
      <c r="W79" s="4"/>
    </row>
    <row r="80" spans="1:28" ht="14.25" hidden="1" customHeight="1" x14ac:dyDescent="0.2">
      <c r="C80" s="160"/>
      <c r="G80" s="4"/>
      <c r="H80" s="4" t="s">
        <v>189</v>
      </c>
      <c r="K80" s="3"/>
      <c r="L80" s="3"/>
      <c r="P80" s="4"/>
      <c r="Q80" s="4"/>
      <c r="R80" s="4"/>
      <c r="S80" s="4"/>
      <c r="T80" s="4"/>
      <c r="U80" s="4"/>
      <c r="V80" s="4"/>
      <c r="W80" s="4"/>
    </row>
    <row r="81" spans="2:23" ht="14.25" hidden="1" customHeight="1" x14ac:dyDescent="0.2">
      <c r="C81" s="47"/>
      <c r="E81" s="48"/>
      <c r="G81" s="4"/>
      <c r="H81" s="4" t="s">
        <v>190</v>
      </c>
      <c r="K81" s="3"/>
      <c r="L81" s="3"/>
      <c r="P81" s="4"/>
      <c r="Q81" s="4"/>
      <c r="R81" s="4"/>
      <c r="S81" s="4"/>
      <c r="T81" s="4"/>
      <c r="U81" s="4"/>
      <c r="V81" s="4"/>
      <c r="W81" s="4"/>
    </row>
    <row r="82" spans="2:23" ht="15" hidden="1" customHeight="1" x14ac:dyDescent="0.25">
      <c r="B82" s="57"/>
      <c r="C82" s="154"/>
      <c r="D82" s="39"/>
      <c r="E82" s="9"/>
      <c r="F82" s="39"/>
      <c r="G82" s="4"/>
      <c r="H82" s="4" t="s">
        <v>191</v>
      </c>
      <c r="L82" s="3"/>
      <c r="P82" s="4"/>
      <c r="Q82" s="4"/>
      <c r="R82" s="4"/>
      <c r="S82" s="4"/>
      <c r="T82" s="4"/>
      <c r="U82" s="4"/>
      <c r="V82" s="4"/>
      <c r="W82" s="4"/>
    </row>
    <row r="83" spans="2:23" ht="14.25" hidden="1" customHeight="1" x14ac:dyDescent="0.2">
      <c r="C83" s="47"/>
      <c r="G83" s="4"/>
      <c r="H83" s="4"/>
      <c r="P83" s="4"/>
      <c r="Q83" s="4"/>
      <c r="R83" s="4"/>
      <c r="S83" s="4"/>
      <c r="T83" s="4"/>
      <c r="U83" s="4"/>
      <c r="V83" s="4"/>
      <c r="W83" s="4"/>
    </row>
    <row r="84" spans="2:23" ht="14.25" hidden="1" customHeight="1" x14ac:dyDescent="0.2">
      <c r="C84" s="160"/>
      <c r="G84" s="4"/>
      <c r="H84" s="4"/>
      <c r="R84" s="4"/>
      <c r="S84" s="4"/>
      <c r="T84" s="4"/>
      <c r="U84" s="4"/>
      <c r="V84" s="4"/>
      <c r="W84" s="4"/>
    </row>
    <row r="85" spans="2:23" ht="14.25" hidden="1" customHeight="1" x14ac:dyDescent="0.2">
      <c r="C85" s="47"/>
      <c r="E85" s="48"/>
      <c r="G85" s="4"/>
      <c r="H85" s="4"/>
      <c r="R85" s="4"/>
      <c r="S85" s="4"/>
      <c r="T85" s="4"/>
      <c r="U85" s="4"/>
      <c r="V85" s="4"/>
      <c r="W85" s="4"/>
    </row>
    <row r="86" spans="2:23" ht="15" hidden="1" customHeight="1" x14ac:dyDescent="0.25">
      <c r="B86" s="57"/>
      <c r="C86" s="154"/>
      <c r="D86" s="39"/>
      <c r="E86" s="9"/>
      <c r="F86" s="39"/>
      <c r="G86" s="4"/>
      <c r="H86" s="4"/>
      <c r="P86" s="4"/>
      <c r="Q86" s="4"/>
      <c r="R86" s="4"/>
      <c r="S86" s="4"/>
      <c r="T86" s="4"/>
      <c r="U86" s="4"/>
      <c r="V86" s="4"/>
      <c r="W86" s="4"/>
    </row>
    <row r="87" spans="2:23" ht="14.25" hidden="1" customHeight="1" x14ac:dyDescent="0.2">
      <c r="C87" s="47"/>
      <c r="G87" s="4"/>
      <c r="H87" s="4"/>
      <c r="P87" s="4"/>
      <c r="Q87" s="4"/>
      <c r="R87" s="4"/>
      <c r="S87" s="4"/>
      <c r="T87" s="4"/>
      <c r="U87" s="4"/>
      <c r="V87" s="4"/>
      <c r="W87" s="4"/>
    </row>
    <row r="88" spans="2:23" ht="14.25" hidden="1" customHeight="1" x14ac:dyDescent="0.2">
      <c r="C88" s="160"/>
      <c r="G88" s="4"/>
      <c r="H88" s="4"/>
      <c r="P88" s="2"/>
      <c r="Q88" s="31"/>
      <c r="R88" s="31"/>
      <c r="S88" s="4"/>
      <c r="T88" s="4"/>
      <c r="U88" s="4"/>
      <c r="V88" s="4"/>
      <c r="W88" s="4"/>
    </row>
    <row r="89" spans="2:23" ht="14.25" hidden="1" customHeight="1" x14ac:dyDescent="0.2">
      <c r="C89" s="47"/>
      <c r="G89" s="4"/>
      <c r="H89" s="4"/>
      <c r="P89" s="2"/>
      <c r="Q89" s="31"/>
      <c r="R89" s="31"/>
      <c r="S89" s="4"/>
      <c r="T89" s="4"/>
      <c r="U89" s="4"/>
      <c r="V89" s="4"/>
      <c r="W89" s="4"/>
    </row>
    <row r="90" spans="2:23" ht="14.25" hidden="1" customHeight="1" x14ac:dyDescent="0.2">
      <c r="C90" s="160"/>
      <c r="G90" s="4"/>
      <c r="H90" s="4"/>
      <c r="P90" s="4"/>
      <c r="Q90" s="2"/>
      <c r="R90" s="2"/>
      <c r="S90" s="4"/>
      <c r="T90" s="4"/>
      <c r="U90" s="4"/>
      <c r="V90" s="4"/>
      <c r="W90" s="4"/>
    </row>
    <row r="91" spans="2:23" ht="14.25" hidden="1" customHeight="1" x14ac:dyDescent="0.2">
      <c r="C91" s="47"/>
      <c r="G91" s="4"/>
      <c r="H91" s="4"/>
      <c r="P91" s="4"/>
      <c r="S91" s="4"/>
      <c r="T91" s="4"/>
      <c r="U91" s="4"/>
      <c r="V91" s="4"/>
      <c r="W91" s="4"/>
    </row>
    <row r="92" spans="2:23" ht="15" hidden="1" customHeight="1" x14ac:dyDescent="0.25">
      <c r="B92" s="57"/>
      <c r="C92" s="154"/>
      <c r="D92" s="39"/>
      <c r="G92" s="4"/>
      <c r="H92" s="4"/>
      <c r="P92" s="2"/>
      <c r="Q92" s="8"/>
      <c r="R92" s="8"/>
      <c r="S92" s="4"/>
      <c r="T92" s="4"/>
      <c r="U92" s="4"/>
      <c r="V92" s="4"/>
      <c r="W92" s="4"/>
    </row>
    <row r="93" spans="2:23" ht="14.25" hidden="1" customHeight="1" x14ac:dyDescent="0.2">
      <c r="C93" s="47"/>
      <c r="G93" s="4"/>
      <c r="H93" s="4"/>
      <c r="P93" s="2"/>
      <c r="Q93" s="8"/>
      <c r="R93" s="8"/>
      <c r="S93" s="4"/>
      <c r="T93" s="4"/>
      <c r="U93" s="4"/>
      <c r="V93" s="4"/>
      <c r="W93" s="4"/>
    </row>
    <row r="94" spans="2:23" ht="14.25" hidden="1" customHeight="1" x14ac:dyDescent="0.2">
      <c r="E94" s="9"/>
      <c r="G94" s="4"/>
      <c r="H94" s="4"/>
      <c r="P94" s="2"/>
      <c r="Q94" s="8"/>
      <c r="R94" s="8"/>
      <c r="S94" s="4"/>
      <c r="T94" s="4"/>
      <c r="U94" s="4"/>
      <c r="V94" s="4"/>
      <c r="W94" s="4"/>
    </row>
    <row r="95" spans="2:23" ht="14.25" hidden="1" customHeight="1" x14ac:dyDescent="0.2">
      <c r="E95" s="9"/>
      <c r="G95" s="4"/>
      <c r="H95" s="4"/>
      <c r="P95" s="2"/>
      <c r="Q95" s="8"/>
      <c r="R95" s="8"/>
      <c r="S95" s="4"/>
      <c r="T95" s="4"/>
      <c r="U95" s="4"/>
      <c r="V95" s="4"/>
      <c r="W95" s="4"/>
    </row>
    <row r="96" spans="2:23" ht="14.25" hidden="1" customHeight="1" x14ac:dyDescent="0.2">
      <c r="G96" s="4"/>
      <c r="H96" s="4"/>
      <c r="P96" s="2"/>
      <c r="Q96" s="8"/>
      <c r="R96" s="8"/>
      <c r="S96" s="4"/>
      <c r="T96" s="4"/>
      <c r="U96" s="4"/>
      <c r="V96" s="4"/>
      <c r="W96" s="4"/>
    </row>
    <row r="97" spans="1:23" ht="14.25" hidden="1" customHeight="1" x14ac:dyDescent="0.2">
      <c r="G97" s="4"/>
      <c r="H97" s="4"/>
      <c r="R97" s="4"/>
      <c r="S97" s="4"/>
      <c r="T97" s="4"/>
      <c r="U97" s="4"/>
      <c r="V97" s="4"/>
      <c r="W97" s="4"/>
    </row>
    <row r="98" spans="1:23" ht="14.25" hidden="1" customHeight="1" x14ac:dyDescent="0.2">
      <c r="A98" s="66"/>
      <c r="G98" s="4"/>
      <c r="H98" s="4" t="s">
        <v>197</v>
      </c>
      <c r="K98" s="3"/>
      <c r="L98" s="3"/>
      <c r="P98" s="4"/>
      <c r="Q98" s="4"/>
      <c r="R98" s="4"/>
      <c r="S98" s="4"/>
      <c r="T98" s="4"/>
      <c r="U98" s="4"/>
      <c r="V98" s="4"/>
      <c r="W98" s="4"/>
    </row>
    <row r="99" spans="1:23" ht="18.75" hidden="1" customHeight="1" x14ac:dyDescent="0.35">
      <c r="B99" s="63"/>
      <c r="C99" s="8"/>
      <c r="G99" s="4"/>
      <c r="H99" s="4" t="s">
        <v>303</v>
      </c>
      <c r="K99" s="3"/>
      <c r="L99" s="3"/>
      <c r="P99" s="4"/>
      <c r="Q99" s="4"/>
      <c r="R99" s="4"/>
      <c r="S99" s="4"/>
      <c r="T99" s="4"/>
      <c r="U99" s="4"/>
      <c r="V99" s="4"/>
      <c r="W99" s="4"/>
    </row>
    <row r="100" spans="1:23" ht="18.75" hidden="1" customHeight="1" x14ac:dyDescent="0.35">
      <c r="B100" s="63"/>
      <c r="C100" s="47"/>
      <c r="G100" s="4"/>
      <c r="H100" s="4" t="s">
        <v>326</v>
      </c>
      <c r="K100" s="3">
        <v>57.945999999999998</v>
      </c>
      <c r="L100" s="3" t="s">
        <v>120</v>
      </c>
      <c r="P100" s="4"/>
      <c r="Q100" s="4"/>
      <c r="R100" s="4"/>
      <c r="S100" s="4"/>
      <c r="T100" s="4"/>
      <c r="U100" s="4"/>
      <c r="V100" s="4"/>
      <c r="W100" s="4"/>
    </row>
    <row r="101" spans="1:23" ht="18.75" hidden="1" customHeight="1" x14ac:dyDescent="0.35">
      <c r="B101" s="63"/>
      <c r="C101" s="47"/>
      <c r="E101" s="48"/>
      <c r="G101" s="4"/>
      <c r="H101" s="4" t="s">
        <v>327</v>
      </c>
      <c r="K101" s="3">
        <v>40.078200000000002</v>
      </c>
      <c r="L101" s="3" t="s">
        <v>21</v>
      </c>
      <c r="P101" s="4"/>
      <c r="Q101" s="4"/>
      <c r="R101" s="4"/>
      <c r="S101" s="4"/>
      <c r="T101" s="4"/>
      <c r="U101" s="4"/>
      <c r="V101" s="4"/>
      <c r="W101" s="4"/>
    </row>
    <row r="102" spans="1:23" ht="18.75" hidden="1" customHeight="1" x14ac:dyDescent="0.35">
      <c r="B102" s="63"/>
      <c r="C102" s="47"/>
      <c r="G102" s="4"/>
      <c r="H102" s="4" t="s">
        <v>238</v>
      </c>
      <c r="K102" s="3">
        <v>0</v>
      </c>
      <c r="L102" s="3" t="s">
        <v>21</v>
      </c>
      <c r="P102" s="4"/>
      <c r="Q102" s="4"/>
      <c r="R102" s="4"/>
      <c r="S102" s="4"/>
      <c r="T102" s="4"/>
      <c r="U102" s="4"/>
      <c r="V102" s="4"/>
      <c r="W102" s="4"/>
    </row>
    <row r="103" spans="1:23" ht="17.25" hidden="1" customHeight="1" x14ac:dyDescent="0.3">
      <c r="B103" s="64"/>
      <c r="C103" s="154"/>
      <c r="D103" s="39"/>
      <c r="E103" s="9"/>
      <c r="G103" s="4"/>
      <c r="H103" s="4" t="s">
        <v>328</v>
      </c>
      <c r="K103" s="3">
        <v>1.8556999999999999</v>
      </c>
      <c r="L103" s="3" t="s">
        <v>21</v>
      </c>
      <c r="P103" s="4"/>
      <c r="Q103" s="4"/>
      <c r="R103" s="4"/>
      <c r="S103" s="4"/>
      <c r="T103" s="4"/>
      <c r="U103" s="4"/>
      <c r="V103" s="4"/>
      <c r="W103" s="4"/>
    </row>
    <row r="104" spans="1:23" ht="18.75" hidden="1" customHeight="1" x14ac:dyDescent="0.35">
      <c r="B104" s="63"/>
      <c r="C104" s="47"/>
      <c r="E104" s="9"/>
      <c r="G104" s="4"/>
      <c r="H104" s="4" t="s">
        <v>329</v>
      </c>
      <c r="K104" s="3"/>
      <c r="L104" s="3" t="s">
        <v>225</v>
      </c>
      <c r="P104" s="4"/>
      <c r="Q104" s="4"/>
      <c r="R104" s="4"/>
      <c r="S104" s="4"/>
      <c r="T104" s="4"/>
      <c r="U104" s="4"/>
      <c r="V104" s="4"/>
      <c r="W104" s="4"/>
    </row>
    <row r="105" spans="1:23" ht="18.75" hidden="1" customHeight="1" x14ac:dyDescent="0.35">
      <c r="B105" s="63"/>
      <c r="C105" s="160"/>
      <c r="E105" s="9"/>
      <c r="G105" s="4"/>
      <c r="H105" s="4" t="s">
        <v>330</v>
      </c>
      <c r="K105" s="3"/>
      <c r="L105" s="3" t="s">
        <v>225</v>
      </c>
      <c r="P105" s="4"/>
      <c r="Q105" s="4"/>
      <c r="R105" s="4"/>
      <c r="S105" s="4"/>
      <c r="T105" s="4"/>
      <c r="U105" s="4"/>
      <c r="V105" s="4"/>
      <c r="W105" s="4"/>
    </row>
    <row r="106" spans="1:23" ht="18.75" hidden="1" customHeight="1" x14ac:dyDescent="0.35">
      <c r="B106" s="63"/>
      <c r="C106" s="47"/>
      <c r="E106" s="48"/>
      <c r="G106" s="4"/>
      <c r="H106" s="4" t="s">
        <v>239</v>
      </c>
      <c r="K106" s="3"/>
      <c r="L106" s="3"/>
      <c r="P106" s="4"/>
      <c r="Q106" s="4"/>
      <c r="R106" s="4"/>
      <c r="S106" s="4"/>
      <c r="T106" s="4"/>
      <c r="U106" s="4"/>
      <c r="V106" s="4"/>
      <c r="W106" s="4"/>
    </row>
    <row r="107" spans="1:23" ht="17.25" hidden="1" customHeight="1" x14ac:dyDescent="0.3">
      <c r="B107" s="64"/>
      <c r="C107" s="154"/>
      <c r="D107" s="39"/>
      <c r="E107" s="9"/>
      <c r="G107" s="4"/>
      <c r="H107" s="4" t="s">
        <v>331</v>
      </c>
      <c r="K107" s="3"/>
      <c r="L107" s="3"/>
      <c r="P107" s="4"/>
      <c r="Q107" s="4"/>
      <c r="R107" s="4"/>
      <c r="S107" s="4"/>
      <c r="T107" s="4"/>
      <c r="U107" s="4"/>
      <c r="V107" s="4"/>
      <c r="W107" s="4"/>
    </row>
    <row r="108" spans="1:23" ht="18.75" hidden="1" customHeight="1" x14ac:dyDescent="0.35">
      <c r="B108" s="63"/>
      <c r="C108" s="47"/>
      <c r="G108" s="4"/>
      <c r="H108" s="4" t="s">
        <v>332</v>
      </c>
      <c r="K108" s="3"/>
      <c r="L108" s="3"/>
      <c r="P108" s="4"/>
      <c r="Q108" s="4"/>
      <c r="R108" s="4"/>
      <c r="S108" s="4"/>
      <c r="T108" s="4"/>
      <c r="U108" s="4"/>
      <c r="V108" s="4"/>
      <c r="W108" s="4"/>
    </row>
    <row r="109" spans="1:23" ht="18.75" hidden="1" customHeight="1" x14ac:dyDescent="0.35">
      <c r="B109" s="63"/>
      <c r="C109" s="160"/>
      <c r="G109" s="4"/>
      <c r="H109" s="4" t="s">
        <v>189</v>
      </c>
      <c r="K109" s="3"/>
      <c r="L109" s="3"/>
      <c r="P109" s="4"/>
      <c r="Q109" s="4"/>
      <c r="R109" s="4"/>
      <c r="S109" s="4"/>
      <c r="T109" s="4"/>
      <c r="U109" s="4"/>
      <c r="V109" s="4"/>
      <c r="W109" s="4"/>
    </row>
    <row r="110" spans="1:23" ht="18.75" hidden="1" customHeight="1" x14ac:dyDescent="0.35">
      <c r="B110" s="63"/>
      <c r="C110" s="47"/>
      <c r="E110" s="48"/>
      <c r="G110" s="4"/>
      <c r="H110" s="4" t="s">
        <v>333</v>
      </c>
      <c r="K110" s="3"/>
      <c r="L110" s="3"/>
      <c r="P110" s="4"/>
      <c r="Q110" s="4"/>
      <c r="R110" s="4"/>
      <c r="S110" s="4"/>
      <c r="T110" s="4"/>
      <c r="U110" s="4"/>
      <c r="V110" s="4"/>
      <c r="W110" s="4"/>
    </row>
    <row r="111" spans="1:23" ht="17.25" hidden="1" customHeight="1" x14ac:dyDescent="0.3">
      <c r="B111" s="64"/>
      <c r="C111" s="154"/>
      <c r="D111" s="39"/>
      <c r="E111" s="9"/>
      <c r="G111" s="4"/>
      <c r="H111" s="4" t="s">
        <v>334</v>
      </c>
      <c r="K111" s="3"/>
      <c r="L111" s="3"/>
      <c r="P111" s="4"/>
      <c r="Q111" s="4"/>
      <c r="R111" s="4"/>
      <c r="S111" s="4"/>
      <c r="T111" s="4"/>
      <c r="U111" s="4"/>
      <c r="V111" s="4"/>
      <c r="W111" s="4"/>
    </row>
    <row r="112" spans="1:23" ht="18.75" hidden="1" customHeight="1" x14ac:dyDescent="0.35">
      <c r="B112" s="63"/>
      <c r="C112" s="47"/>
      <c r="G112" s="4"/>
      <c r="H112" s="4"/>
      <c r="R112" s="4"/>
      <c r="S112" s="4"/>
      <c r="T112" s="4"/>
      <c r="U112" s="4"/>
      <c r="V112" s="4"/>
      <c r="W112" s="4"/>
    </row>
    <row r="113" spans="2:23" ht="18.75" hidden="1" customHeight="1" x14ac:dyDescent="0.35">
      <c r="B113" s="63"/>
      <c r="C113" s="160"/>
      <c r="G113" s="4"/>
      <c r="H113" s="3"/>
      <c r="I113" s="3" t="s">
        <v>197</v>
      </c>
      <c r="J113" s="3"/>
      <c r="K113" s="3"/>
      <c r="L113" s="3"/>
      <c r="M113" s="3"/>
      <c r="R113" s="4"/>
      <c r="S113" s="4"/>
      <c r="T113" s="4"/>
      <c r="U113" s="4"/>
      <c r="V113" s="4"/>
      <c r="W113" s="4"/>
    </row>
    <row r="114" spans="2:23" ht="18.75" hidden="1" customHeight="1" x14ac:dyDescent="0.35">
      <c r="B114" s="63"/>
      <c r="C114" s="47"/>
      <c r="G114" s="4"/>
      <c r="H114" s="4"/>
      <c r="I114" s="2" t="s">
        <v>241</v>
      </c>
      <c r="J114" s="2" t="s">
        <v>240</v>
      </c>
      <c r="K114" s="2" t="s">
        <v>253</v>
      </c>
      <c r="L114" s="2" t="s">
        <v>254</v>
      </c>
      <c r="M114" s="2" t="s">
        <v>335</v>
      </c>
      <c r="R114" s="4"/>
      <c r="S114" s="4"/>
      <c r="T114" s="4"/>
      <c r="U114" s="4"/>
      <c r="V114" s="4"/>
      <c r="W114" s="4"/>
    </row>
    <row r="115" spans="2:23" ht="17.25" hidden="1" customHeight="1" x14ac:dyDescent="0.3">
      <c r="B115" s="64"/>
      <c r="C115" s="154"/>
      <c r="D115" s="39"/>
      <c r="G115" s="4"/>
      <c r="H115" s="4"/>
      <c r="I115" s="3" t="s">
        <v>234</v>
      </c>
      <c r="J115" s="3" t="s">
        <v>97</v>
      </c>
      <c r="K115" s="3" t="s">
        <v>234</v>
      </c>
      <c r="L115" s="3" t="s">
        <v>97</v>
      </c>
      <c r="M115" s="3" t="s">
        <v>97</v>
      </c>
      <c r="R115" s="4"/>
      <c r="S115" s="4"/>
      <c r="T115" s="4"/>
      <c r="U115" s="4"/>
      <c r="V115" s="4"/>
      <c r="W115" s="4"/>
    </row>
    <row r="116" spans="2:23" ht="18.75" hidden="1" customHeight="1" x14ac:dyDescent="0.35">
      <c r="B116" s="63"/>
      <c r="C116" s="47"/>
      <c r="G116" s="4"/>
      <c r="H116" s="2" t="s">
        <v>242</v>
      </c>
      <c r="I116" s="33">
        <v>0</v>
      </c>
      <c r="J116" s="33">
        <f>C59</f>
        <v>0</v>
      </c>
      <c r="K116" s="33">
        <f>$C$15*I116</f>
        <v>0</v>
      </c>
      <c r="L116" s="33">
        <f>$C$15*J116</f>
        <v>0</v>
      </c>
      <c r="M116" s="33">
        <f>$C$17*$C$15*J116</f>
        <v>0</v>
      </c>
      <c r="R116" s="4"/>
      <c r="S116" s="4"/>
      <c r="T116" s="4"/>
      <c r="U116" s="4"/>
      <c r="V116" s="4"/>
      <c r="W116" s="4"/>
    </row>
    <row r="117" spans="2:23" ht="18.75" hidden="1" customHeight="1" x14ac:dyDescent="0.35">
      <c r="C117" s="47"/>
      <c r="G117" s="4"/>
      <c r="H117" s="2" t="s">
        <v>335</v>
      </c>
      <c r="I117" s="33" t="e">
        <f>(M116-L116)/(M118-L116)*K118</f>
        <v>#DIV/0!</v>
      </c>
      <c r="J117" s="33" t="e">
        <f>J116-I117/I118*(J116-J118)</f>
        <v>#DIV/0!</v>
      </c>
      <c r="K117" s="33" t="e">
        <f>I117</f>
        <v>#DIV/0!</v>
      </c>
      <c r="L117" s="33" t="e">
        <f>$C$15*J117</f>
        <v>#DIV/0!</v>
      </c>
      <c r="M117" s="33">
        <f>M116</f>
        <v>0</v>
      </c>
      <c r="R117" s="4"/>
      <c r="S117" s="4"/>
      <c r="T117" s="4"/>
      <c r="U117" s="4"/>
      <c r="V117" s="4"/>
      <c r="W117" s="4"/>
    </row>
    <row r="118" spans="2:23" ht="18.75" hidden="1" customHeight="1" x14ac:dyDescent="0.35">
      <c r="C118" s="47"/>
      <c r="G118" s="4"/>
      <c r="H118" s="2" t="s">
        <v>403</v>
      </c>
      <c r="I118" s="33">
        <f>C95</f>
        <v>0</v>
      </c>
      <c r="J118" s="33">
        <f>C94</f>
        <v>0</v>
      </c>
      <c r="K118" s="33">
        <f>$C$15*I118</f>
        <v>0</v>
      </c>
      <c r="L118" s="33">
        <f>$C$15*J118</f>
        <v>0</v>
      </c>
      <c r="M118" s="33">
        <f>$C$15*J118</f>
        <v>0</v>
      </c>
      <c r="R118" s="4"/>
      <c r="S118" s="4"/>
      <c r="T118" s="4"/>
      <c r="U118" s="4"/>
      <c r="V118" s="4"/>
      <c r="W118" s="4"/>
    </row>
    <row r="119" spans="2:23" ht="18.75" hidden="1" customHeight="1" x14ac:dyDescent="0.35">
      <c r="C119" s="47"/>
      <c r="G119" s="4"/>
      <c r="H119" s="2" t="s">
        <v>404</v>
      </c>
      <c r="I119" s="33">
        <f>C130</f>
        <v>0</v>
      </c>
      <c r="J119" s="33">
        <f>C129</f>
        <v>0</v>
      </c>
      <c r="K119" s="33">
        <f>$C$15*I119</f>
        <v>0</v>
      </c>
      <c r="L119" s="33">
        <f>$C$15*J119</f>
        <v>0</v>
      </c>
      <c r="M119" s="33">
        <f>$C$15*J119</f>
        <v>0</v>
      </c>
      <c r="R119" s="4"/>
      <c r="S119" s="4"/>
      <c r="T119" s="4"/>
      <c r="U119" s="4"/>
      <c r="V119" s="4"/>
      <c r="W119" s="4"/>
    </row>
    <row r="120" spans="2:23" ht="18.75" hidden="1" customHeight="1" x14ac:dyDescent="0.35">
      <c r="C120" s="47"/>
      <c r="G120" s="4"/>
      <c r="H120" s="2" t="s">
        <v>255</v>
      </c>
      <c r="I120" s="33">
        <v>0</v>
      </c>
      <c r="J120" s="33">
        <f>-C61</f>
        <v>0</v>
      </c>
      <c r="K120" s="33">
        <f>$C$15*I120</f>
        <v>0</v>
      </c>
      <c r="L120" s="33">
        <f>$C$15*J120</f>
        <v>0</v>
      </c>
      <c r="M120" s="33">
        <f>$C$15*J120</f>
        <v>0</v>
      </c>
      <c r="R120" s="4"/>
      <c r="S120" s="4"/>
      <c r="T120" s="4"/>
      <c r="U120" s="4"/>
      <c r="V120" s="4"/>
      <c r="W120" s="4"/>
    </row>
    <row r="121" spans="2:23" ht="18.75" hidden="1" customHeight="1" x14ac:dyDescent="0.35">
      <c r="B121" s="63"/>
      <c r="C121" s="160"/>
      <c r="G121" s="4"/>
      <c r="H121" s="2"/>
      <c r="I121" s="33"/>
      <c r="J121" s="33"/>
      <c r="K121" s="33"/>
      <c r="L121" s="33"/>
      <c r="M121" s="33"/>
      <c r="R121" s="4"/>
      <c r="S121" s="4"/>
      <c r="T121" s="4"/>
      <c r="U121" s="4"/>
      <c r="V121" s="4"/>
      <c r="W121" s="4"/>
    </row>
    <row r="122" spans="2:23" ht="18.75" hidden="1" customHeight="1" x14ac:dyDescent="0.35">
      <c r="B122" s="63"/>
      <c r="C122" s="47"/>
      <c r="G122" s="4"/>
      <c r="H122" s="4"/>
      <c r="I122" s="2" t="s">
        <v>246</v>
      </c>
      <c r="J122" s="2" t="s">
        <v>245</v>
      </c>
      <c r="K122" s="2" t="s">
        <v>251</v>
      </c>
      <c r="L122" s="2" t="s">
        <v>252</v>
      </c>
      <c r="M122" s="2" t="s">
        <v>336</v>
      </c>
      <c r="R122" s="4"/>
      <c r="S122" s="4"/>
      <c r="T122" s="4"/>
      <c r="U122" s="4"/>
      <c r="V122" s="4"/>
      <c r="W122" s="4"/>
    </row>
    <row r="123" spans="2:23" ht="17.25" hidden="1" customHeight="1" x14ac:dyDescent="0.3">
      <c r="B123" s="64"/>
      <c r="C123" s="154"/>
      <c r="D123" s="39"/>
      <c r="G123" s="4"/>
      <c r="H123" s="4"/>
      <c r="I123" s="3" t="s">
        <v>244</v>
      </c>
      <c r="J123" s="3" t="s">
        <v>244</v>
      </c>
      <c r="K123" s="3" t="s">
        <v>244</v>
      </c>
      <c r="L123" s="3" t="s">
        <v>244</v>
      </c>
      <c r="M123" s="3" t="s">
        <v>244</v>
      </c>
      <c r="R123" s="4"/>
      <c r="S123" s="4"/>
      <c r="T123" s="4"/>
      <c r="U123" s="4"/>
      <c r="V123" s="4"/>
      <c r="W123" s="4"/>
    </row>
    <row r="124" spans="2:23" ht="18.75" hidden="1" customHeight="1" x14ac:dyDescent="0.35">
      <c r="B124" s="63"/>
      <c r="C124" s="47"/>
      <c r="G124" s="4"/>
      <c r="H124" s="2" t="s">
        <v>242</v>
      </c>
      <c r="I124" s="8" t="e">
        <f>I116/($C$53*$C$37)</f>
        <v>#DIV/0!</v>
      </c>
      <c r="J124" s="8" t="e">
        <f>J116/$C$53</f>
        <v>#DIV/0!</v>
      </c>
      <c r="K124" s="8" t="e">
        <f>K116/(C$53*C$37)</f>
        <v>#DIV/0!</v>
      </c>
      <c r="L124" s="8" t="e">
        <f>L116/(C$53)</f>
        <v>#DIV/0!</v>
      </c>
      <c r="M124" s="8" t="e">
        <f>M116/C$53</f>
        <v>#DIV/0!</v>
      </c>
      <c r="R124" s="4"/>
      <c r="S124" s="4"/>
      <c r="T124" s="4"/>
      <c r="U124" s="4"/>
      <c r="V124" s="4"/>
      <c r="W124" s="4"/>
    </row>
    <row r="125" spans="2:23" ht="18.75" hidden="1" customHeight="1" x14ac:dyDescent="0.35">
      <c r="B125" s="63"/>
      <c r="C125" s="160"/>
      <c r="G125" s="4"/>
      <c r="H125" s="2" t="s">
        <v>335</v>
      </c>
      <c r="I125" s="8" t="e">
        <f>I117/($C$53*$C$37)</f>
        <v>#DIV/0!</v>
      </c>
      <c r="J125" s="8" t="e">
        <f>J117/$C$53</f>
        <v>#DIV/0!</v>
      </c>
      <c r="K125" s="8" t="e">
        <f>K117/(C$53*C$37)</f>
        <v>#DIV/0!</v>
      </c>
      <c r="L125" s="8" t="e">
        <f>L117/(C$53)</f>
        <v>#DIV/0!</v>
      </c>
      <c r="M125" s="8" t="e">
        <f>M117/C$53</f>
        <v>#DIV/0!</v>
      </c>
      <c r="R125" s="4"/>
      <c r="S125" s="4"/>
      <c r="T125" s="4"/>
      <c r="U125" s="4"/>
      <c r="V125" s="4"/>
      <c r="W125" s="4"/>
    </row>
    <row r="126" spans="2:23" ht="18.75" hidden="1" customHeight="1" x14ac:dyDescent="0.35">
      <c r="B126" s="63"/>
      <c r="C126" s="47"/>
      <c r="G126" s="4"/>
      <c r="H126" s="2" t="s">
        <v>403</v>
      </c>
      <c r="I126" s="8" t="e">
        <f>I118/($C$53*$C$37)</f>
        <v>#DIV/0!</v>
      </c>
      <c r="J126" s="8" t="e">
        <f>J118/$C$53</f>
        <v>#DIV/0!</v>
      </c>
      <c r="K126" s="8" t="e">
        <f>K118/(C$53*C$37)</f>
        <v>#DIV/0!</v>
      </c>
      <c r="L126" s="8" t="e">
        <f>L118/(C$53)</f>
        <v>#DIV/0!</v>
      </c>
      <c r="M126" s="8" t="e">
        <f>M118/C$53</f>
        <v>#DIV/0!</v>
      </c>
      <c r="R126" s="4"/>
      <c r="S126" s="4"/>
      <c r="T126" s="4"/>
      <c r="U126" s="4"/>
      <c r="V126" s="4"/>
      <c r="W126" s="4"/>
    </row>
    <row r="127" spans="2:23" ht="18.75" hidden="1" customHeight="1" x14ac:dyDescent="0.35">
      <c r="B127" s="64"/>
      <c r="C127" s="154"/>
      <c r="D127" s="39"/>
      <c r="G127" s="4"/>
      <c r="H127" s="2" t="s">
        <v>404</v>
      </c>
      <c r="I127" s="8" t="e">
        <f>I119/($C$53*$C$37)</f>
        <v>#DIV/0!</v>
      </c>
      <c r="J127" s="8" t="e">
        <f>J119/$C$53</f>
        <v>#DIV/0!</v>
      </c>
      <c r="K127" s="8" t="e">
        <f>K119/(C$53*C$37)</f>
        <v>#DIV/0!</v>
      </c>
      <c r="L127" s="8" t="e">
        <f>L119/(C$53)</f>
        <v>#DIV/0!</v>
      </c>
      <c r="M127" s="8" t="e">
        <f>M119/C$53</f>
        <v>#DIV/0!</v>
      </c>
      <c r="R127" s="4"/>
      <c r="S127" s="4"/>
      <c r="T127" s="4"/>
      <c r="U127" s="4"/>
      <c r="V127" s="4"/>
      <c r="W127" s="4"/>
    </row>
    <row r="128" spans="2:23" ht="18.75" hidden="1" customHeight="1" x14ac:dyDescent="0.35">
      <c r="B128" s="63"/>
      <c r="C128" s="47"/>
      <c r="G128" s="4"/>
      <c r="H128" s="2" t="s">
        <v>255</v>
      </c>
      <c r="I128" s="8" t="e">
        <f>I120/($C$53*$C$37)</f>
        <v>#DIV/0!</v>
      </c>
      <c r="J128" s="8" t="e">
        <f>J120/$C$53</f>
        <v>#DIV/0!</v>
      </c>
      <c r="K128" s="8" t="e">
        <f>K120/(C$53*C$37)</f>
        <v>#DIV/0!</v>
      </c>
      <c r="L128" s="8" t="e">
        <f>L120/(C$53)</f>
        <v>#DIV/0!</v>
      </c>
      <c r="M128" s="8" t="e">
        <f>M120/C$53</f>
        <v>#DIV/0!</v>
      </c>
      <c r="R128" s="4"/>
      <c r="S128" s="4"/>
      <c r="T128" s="4"/>
      <c r="U128" s="4"/>
      <c r="V128" s="4"/>
      <c r="W128" s="4"/>
    </row>
    <row r="129" spans="2:23" ht="18.75" hidden="1" customHeight="1" x14ac:dyDescent="0.35">
      <c r="B129" s="63"/>
      <c r="E129" s="9"/>
      <c r="G129" s="4"/>
      <c r="H129" s="3"/>
      <c r="I129" s="3"/>
      <c r="J129" s="3"/>
      <c r="K129" s="3"/>
      <c r="L129" s="3"/>
      <c r="M129" s="3"/>
      <c r="R129" s="4"/>
      <c r="S129" s="4"/>
      <c r="T129" s="4"/>
      <c r="U129" s="4"/>
      <c r="V129" s="4"/>
      <c r="W129" s="4"/>
    </row>
    <row r="130" spans="2:23" ht="18.75" hidden="1" customHeight="1" x14ac:dyDescent="0.35">
      <c r="B130" s="63"/>
      <c r="E130" s="9"/>
      <c r="G130" s="4"/>
      <c r="H130" s="3"/>
      <c r="I130" s="3"/>
      <c r="J130" s="3"/>
      <c r="K130" s="3"/>
      <c r="L130" s="3"/>
      <c r="M130" s="3"/>
      <c r="R130" s="4"/>
      <c r="S130" s="4"/>
      <c r="T130" s="4"/>
      <c r="U130" s="4"/>
      <c r="V130" s="4"/>
      <c r="W130" s="4"/>
    </row>
    <row r="131" spans="2:23" ht="14.25" hidden="1" customHeight="1" x14ac:dyDescent="0.2">
      <c r="G131" s="4"/>
      <c r="H131" s="3"/>
      <c r="I131" s="3"/>
      <c r="J131" s="3"/>
      <c r="K131" s="3"/>
      <c r="L131" s="3"/>
      <c r="M131" s="3"/>
      <c r="R131" s="4"/>
      <c r="S131" s="4"/>
      <c r="T131" s="4"/>
      <c r="U131" s="4"/>
      <c r="V131" s="4"/>
      <c r="W131" s="4"/>
    </row>
    <row r="132" spans="2:23" ht="14.25" hidden="1" customHeight="1" x14ac:dyDescent="0.2">
      <c r="G132" s="4"/>
      <c r="H132" s="3"/>
      <c r="I132" s="3"/>
      <c r="J132" s="3"/>
      <c r="K132" s="3"/>
      <c r="L132" s="3"/>
      <c r="M132" s="3"/>
      <c r="R132" s="4"/>
      <c r="S132" s="4"/>
      <c r="T132" s="4"/>
      <c r="U132" s="4"/>
      <c r="V132" s="4"/>
      <c r="W132" s="4"/>
    </row>
    <row r="133" spans="2:23" ht="14.25" hidden="1" customHeight="1" x14ac:dyDescent="0.2">
      <c r="G133" s="4"/>
      <c r="H133" s="3"/>
      <c r="I133" s="3"/>
      <c r="J133" s="3"/>
      <c r="K133" s="3"/>
      <c r="L133" s="3"/>
      <c r="M133" s="3"/>
      <c r="R133" s="4"/>
      <c r="S133" s="4"/>
      <c r="T133" s="4"/>
      <c r="U133" s="4"/>
      <c r="V133" s="4"/>
      <c r="W133" s="4"/>
    </row>
    <row r="134" spans="2:23" ht="14.25" hidden="1" customHeight="1" x14ac:dyDescent="0.2">
      <c r="G134" s="4"/>
      <c r="H134" s="3"/>
      <c r="I134" s="3"/>
      <c r="J134" s="3"/>
      <c r="K134" s="3"/>
      <c r="L134" s="3"/>
      <c r="M134" s="3"/>
      <c r="R134" s="4"/>
      <c r="S134" s="4"/>
      <c r="T134" s="4"/>
      <c r="U134" s="4"/>
      <c r="V134" s="4"/>
      <c r="W134" s="4"/>
    </row>
    <row r="135" spans="2:23" ht="14.25" hidden="1" customHeight="1" x14ac:dyDescent="0.2">
      <c r="G135" s="4"/>
      <c r="H135" s="3"/>
      <c r="I135" s="3"/>
      <c r="J135" s="3"/>
      <c r="K135" s="3"/>
      <c r="L135" s="3"/>
      <c r="M135" s="3"/>
      <c r="R135" s="4"/>
      <c r="S135" s="4"/>
      <c r="T135" s="4"/>
      <c r="U135" s="4"/>
      <c r="V135" s="4"/>
      <c r="W135" s="4"/>
    </row>
    <row r="136" spans="2:23" ht="14.25" hidden="1" customHeight="1" x14ac:dyDescent="0.2">
      <c r="G136" s="4"/>
      <c r="H136" s="3"/>
      <c r="I136" s="3"/>
      <c r="J136" s="3"/>
      <c r="K136" s="3"/>
      <c r="L136" s="3"/>
      <c r="M136" s="3"/>
      <c r="R136" s="4"/>
      <c r="S136" s="4"/>
      <c r="T136" s="4"/>
      <c r="U136" s="4"/>
      <c r="V136" s="4"/>
      <c r="W136" s="4"/>
    </row>
    <row r="137" spans="2:23" ht="14.25" hidden="1" customHeight="1" x14ac:dyDescent="0.2">
      <c r="G137" s="4"/>
      <c r="H137" s="3"/>
      <c r="I137" s="3"/>
      <c r="J137" s="3"/>
      <c r="K137" s="3"/>
      <c r="L137" s="3"/>
      <c r="M137" s="3"/>
      <c r="R137" s="4"/>
      <c r="S137" s="4"/>
      <c r="T137" s="4"/>
      <c r="U137" s="4"/>
      <c r="V137" s="4"/>
      <c r="W137" s="4"/>
    </row>
    <row r="138" spans="2:23" ht="14.25" hidden="1" customHeight="1" x14ac:dyDescent="0.2">
      <c r="G138" s="4"/>
      <c r="H138" s="3"/>
      <c r="I138" s="3"/>
      <c r="J138" s="3"/>
      <c r="K138" s="3"/>
      <c r="L138" s="3"/>
      <c r="M138" s="3"/>
      <c r="R138" s="4"/>
      <c r="S138" s="4"/>
      <c r="T138" s="4"/>
      <c r="U138" s="4"/>
      <c r="V138" s="4"/>
      <c r="W138" s="4"/>
    </row>
    <row r="139" spans="2:23" ht="14.25" hidden="1" customHeight="1" x14ac:dyDescent="0.2">
      <c r="G139" s="4"/>
      <c r="H139" s="3"/>
      <c r="I139" s="3"/>
      <c r="J139" s="3"/>
      <c r="K139" s="3"/>
      <c r="L139" s="3"/>
      <c r="M139" s="3"/>
      <c r="R139" s="4"/>
      <c r="S139" s="4"/>
      <c r="T139" s="4"/>
      <c r="U139" s="4"/>
      <c r="V139" s="4"/>
      <c r="W139" s="4"/>
    </row>
    <row r="140" spans="2:23" ht="14.25" hidden="1" customHeight="1" x14ac:dyDescent="0.2">
      <c r="G140" s="4"/>
      <c r="H140" s="3"/>
      <c r="I140" s="3"/>
      <c r="J140" s="3"/>
      <c r="K140" s="3"/>
      <c r="L140" s="3"/>
      <c r="M140" s="3"/>
      <c r="R140" s="4"/>
      <c r="S140" s="4"/>
      <c r="T140" s="4"/>
      <c r="U140" s="4"/>
      <c r="V140" s="4"/>
      <c r="W140" s="4"/>
    </row>
    <row r="141" spans="2:23" ht="14.25" hidden="1" customHeight="1" x14ac:dyDescent="0.2">
      <c r="G141" s="4"/>
      <c r="H141" s="3"/>
      <c r="I141" s="3"/>
      <c r="J141" s="3"/>
      <c r="K141" s="3"/>
      <c r="L141" s="3"/>
      <c r="M141" s="3"/>
      <c r="R141" s="4"/>
      <c r="S141" s="4"/>
      <c r="T141" s="4"/>
      <c r="U141" s="4"/>
      <c r="V141" s="4"/>
      <c r="W141" s="4"/>
    </row>
    <row r="142" spans="2:23" ht="14.25" hidden="1" customHeight="1" x14ac:dyDescent="0.2">
      <c r="G142" s="4"/>
      <c r="H142" s="3"/>
      <c r="I142" s="3"/>
      <c r="J142" s="3"/>
      <c r="K142" s="3"/>
      <c r="L142" s="3"/>
      <c r="M142" s="3"/>
      <c r="R142" s="4"/>
      <c r="S142" s="4"/>
      <c r="T142" s="4"/>
      <c r="U142" s="4"/>
      <c r="V142" s="4"/>
      <c r="W142" s="4"/>
    </row>
    <row r="143" spans="2:23" ht="14.25" hidden="1" customHeight="1" x14ac:dyDescent="0.2">
      <c r="G143" s="4"/>
      <c r="H143" s="3"/>
      <c r="I143" s="3"/>
      <c r="J143" s="3"/>
      <c r="K143" s="3"/>
      <c r="L143" s="3"/>
      <c r="M143" s="3"/>
      <c r="R143" s="4"/>
      <c r="S143" s="4"/>
      <c r="T143" s="4"/>
      <c r="U143" s="4"/>
      <c r="V143" s="4"/>
      <c r="W143" s="4"/>
    </row>
    <row r="144" spans="2:23" ht="14.25" hidden="1" customHeight="1" x14ac:dyDescent="0.2">
      <c r="G144" s="4"/>
      <c r="H144" s="3"/>
      <c r="I144" s="3"/>
      <c r="J144" s="3"/>
      <c r="K144" s="3"/>
      <c r="L144" s="3"/>
      <c r="M144" s="3"/>
      <c r="R144" s="4"/>
      <c r="S144" s="4"/>
      <c r="T144" s="4"/>
      <c r="U144" s="4"/>
      <c r="V144" s="4"/>
      <c r="W144" s="4"/>
    </row>
    <row r="145" spans="7:23" ht="14.25" hidden="1" customHeight="1" x14ac:dyDescent="0.2">
      <c r="G145" s="4"/>
      <c r="H145" s="3"/>
      <c r="I145" s="3"/>
      <c r="J145" s="3"/>
      <c r="K145" s="3"/>
      <c r="L145" s="3"/>
      <c r="M145" s="3"/>
      <c r="R145" s="4"/>
      <c r="S145" s="4"/>
      <c r="T145" s="4"/>
      <c r="U145" s="4"/>
      <c r="V145" s="4"/>
      <c r="W145" s="4"/>
    </row>
    <row r="146" spans="7:23" ht="14.25" hidden="1" customHeight="1" x14ac:dyDescent="0.2">
      <c r="G146" s="4"/>
      <c r="H146" s="3"/>
      <c r="I146" s="3"/>
      <c r="J146" s="3"/>
      <c r="K146" s="3"/>
      <c r="L146" s="3"/>
      <c r="M146" s="3"/>
      <c r="R146" s="4"/>
      <c r="S146" s="4"/>
      <c r="T146" s="4"/>
      <c r="U146" s="4"/>
      <c r="V146" s="4"/>
      <c r="W146" s="4"/>
    </row>
    <row r="147" spans="7:23" ht="14.25" hidden="1" customHeight="1" x14ac:dyDescent="0.2">
      <c r="G147" s="4"/>
      <c r="H147" s="3"/>
      <c r="I147" s="3"/>
      <c r="J147" s="3"/>
      <c r="K147" s="3"/>
      <c r="L147" s="3"/>
      <c r="M147" s="3"/>
      <c r="R147" s="4"/>
      <c r="S147" s="4"/>
      <c r="T147" s="4"/>
      <c r="U147" s="4"/>
      <c r="V147" s="4"/>
      <c r="W147" s="4"/>
    </row>
    <row r="148" spans="7:23" ht="14.25" hidden="1" customHeight="1" x14ac:dyDescent="0.2">
      <c r="G148" s="4"/>
      <c r="H148" s="3"/>
      <c r="I148" s="3"/>
      <c r="J148" s="3"/>
      <c r="K148" s="3"/>
      <c r="L148" s="3"/>
      <c r="M148" s="3"/>
      <c r="R148" s="4"/>
      <c r="S148" s="4"/>
      <c r="T148" s="4"/>
      <c r="U148" s="4"/>
      <c r="V148" s="4"/>
      <c r="W148" s="4"/>
    </row>
    <row r="149" spans="7:23" ht="14.25" hidden="1" customHeight="1" x14ac:dyDescent="0.2">
      <c r="G149" s="4"/>
      <c r="H149" s="3"/>
      <c r="I149" s="3"/>
      <c r="J149" s="3"/>
      <c r="K149" s="3"/>
      <c r="L149" s="3"/>
      <c r="M149" s="3"/>
      <c r="R149" s="4"/>
      <c r="S149" s="4"/>
      <c r="T149" s="4"/>
      <c r="U149" s="4"/>
      <c r="V149" s="4"/>
      <c r="W149" s="4"/>
    </row>
    <row r="150" spans="7:23" ht="14.25" hidden="1" customHeight="1" x14ac:dyDescent="0.2">
      <c r="G150" s="4"/>
      <c r="H150" s="3"/>
      <c r="I150" s="3"/>
      <c r="J150" s="3"/>
      <c r="K150" s="3"/>
      <c r="L150" s="3"/>
      <c r="M150" s="3"/>
      <c r="R150" s="4"/>
      <c r="S150" s="4"/>
      <c r="T150" s="4"/>
      <c r="U150" s="4"/>
      <c r="V150" s="4"/>
      <c r="W150" s="4"/>
    </row>
    <row r="151" spans="7:23" ht="14.25" hidden="1" customHeight="1" x14ac:dyDescent="0.2">
      <c r="G151" s="4"/>
      <c r="H151" s="3"/>
      <c r="I151" s="3"/>
      <c r="J151" s="3"/>
      <c r="K151" s="3"/>
      <c r="L151" s="3"/>
      <c r="M151" s="3"/>
      <c r="R151" s="4"/>
      <c r="S151" s="4"/>
      <c r="T151" s="4"/>
      <c r="U151" s="4"/>
      <c r="V151" s="4"/>
      <c r="W151" s="4"/>
    </row>
    <row r="152" spans="7:23" ht="14.25" hidden="1" customHeight="1" x14ac:dyDescent="0.2">
      <c r="G152" s="4"/>
      <c r="H152" s="3"/>
      <c r="I152" s="3"/>
      <c r="J152" s="3"/>
      <c r="K152" s="3"/>
      <c r="L152" s="3"/>
      <c r="M152" s="3"/>
      <c r="R152" s="4"/>
      <c r="S152" s="4"/>
      <c r="T152" s="4"/>
      <c r="U152" s="4"/>
      <c r="V152" s="4"/>
      <c r="W152" s="4"/>
    </row>
    <row r="153" spans="7:23" ht="14.25" hidden="1" customHeight="1" x14ac:dyDescent="0.2">
      <c r="G153" s="4"/>
      <c r="H153" s="3"/>
      <c r="I153" s="3"/>
      <c r="J153" s="3"/>
      <c r="K153" s="3"/>
      <c r="L153" s="3"/>
      <c r="M153" s="3"/>
      <c r="R153" s="4"/>
      <c r="S153" s="4"/>
      <c r="T153" s="4"/>
      <c r="U153" s="4"/>
      <c r="V153" s="4"/>
      <c r="W153" s="4"/>
    </row>
    <row r="154" spans="7:23" ht="14.25" hidden="1" customHeight="1" x14ac:dyDescent="0.2">
      <c r="G154" s="4"/>
      <c r="H154" s="3"/>
      <c r="I154" s="3"/>
      <c r="J154" s="3"/>
      <c r="K154" s="3"/>
      <c r="L154" s="3"/>
      <c r="M154" s="3"/>
      <c r="R154" s="4"/>
      <c r="S154" s="4"/>
      <c r="T154" s="4"/>
      <c r="U154" s="4"/>
      <c r="V154" s="4"/>
      <c r="W154" s="4"/>
    </row>
    <row r="155" spans="7:23" ht="14.25" hidden="1" customHeight="1" x14ac:dyDescent="0.2">
      <c r="G155" s="4"/>
      <c r="H155" s="3"/>
      <c r="I155" s="3"/>
      <c r="J155" s="3"/>
      <c r="K155" s="3"/>
      <c r="L155" s="3"/>
      <c r="M155" s="3"/>
      <c r="R155" s="4"/>
      <c r="S155" s="4"/>
      <c r="T155" s="4"/>
      <c r="U155" s="4"/>
      <c r="V155" s="4"/>
      <c r="W155" s="4"/>
    </row>
    <row r="156" spans="7:23" ht="14.25" hidden="1" customHeight="1" x14ac:dyDescent="0.2">
      <c r="G156" s="4"/>
      <c r="H156" s="3"/>
      <c r="I156" s="3"/>
      <c r="J156" s="3"/>
      <c r="K156" s="3"/>
      <c r="L156" s="3"/>
      <c r="M156" s="3"/>
      <c r="R156" s="4"/>
      <c r="S156" s="4"/>
      <c r="T156" s="4"/>
      <c r="U156" s="4"/>
      <c r="V156" s="4"/>
      <c r="W156" s="4"/>
    </row>
    <row r="157" spans="7:23" ht="14.25" hidden="1" customHeight="1" x14ac:dyDescent="0.2">
      <c r="G157" s="4"/>
      <c r="H157" s="3"/>
      <c r="I157" s="3"/>
      <c r="J157" s="3"/>
      <c r="K157" s="3"/>
      <c r="L157" s="3"/>
      <c r="M157" s="3"/>
      <c r="R157" s="4"/>
      <c r="S157" s="4"/>
      <c r="T157" s="4"/>
      <c r="U157" s="4"/>
      <c r="V157" s="4"/>
      <c r="W157" s="4"/>
    </row>
    <row r="158" spans="7:23" ht="14.25" hidden="1" customHeight="1" x14ac:dyDescent="0.2">
      <c r="G158" s="4"/>
      <c r="H158" s="3"/>
      <c r="I158" s="3"/>
      <c r="J158" s="3"/>
      <c r="K158" s="3"/>
      <c r="L158" s="3"/>
      <c r="M158" s="3"/>
      <c r="R158" s="4"/>
      <c r="S158" s="4"/>
      <c r="T158" s="4"/>
      <c r="U158" s="4"/>
      <c r="V158" s="4"/>
      <c r="W158" s="4"/>
    </row>
    <row r="159" spans="7:23" ht="14.25" hidden="1" customHeight="1" x14ac:dyDescent="0.2">
      <c r="G159" s="4"/>
      <c r="H159" s="3"/>
      <c r="I159" s="3"/>
      <c r="J159" s="3"/>
      <c r="K159" s="3"/>
      <c r="L159" s="3"/>
      <c r="M159" s="3"/>
      <c r="R159" s="4"/>
      <c r="S159" s="4"/>
      <c r="T159" s="4"/>
      <c r="U159" s="4"/>
      <c r="V159" s="4"/>
      <c r="W159" s="4"/>
    </row>
    <row r="160" spans="7:23" ht="14.25" hidden="1" customHeight="1" x14ac:dyDescent="0.2">
      <c r="G160" s="4"/>
      <c r="H160" s="3"/>
      <c r="I160" s="3"/>
      <c r="J160" s="3"/>
      <c r="K160" s="3"/>
      <c r="L160" s="3"/>
      <c r="M160" s="3"/>
      <c r="R160" s="4"/>
      <c r="S160" s="4"/>
      <c r="T160" s="4"/>
      <c r="U160" s="4"/>
      <c r="V160" s="4"/>
      <c r="W160" s="4"/>
    </row>
    <row r="161" spans="7:23" ht="14.25" hidden="1" customHeight="1" x14ac:dyDescent="0.2">
      <c r="G161" s="4"/>
      <c r="H161" s="3"/>
      <c r="I161" s="3"/>
      <c r="J161" s="3"/>
      <c r="K161" s="3"/>
      <c r="L161" s="3"/>
      <c r="M161" s="3"/>
      <c r="R161" s="4"/>
      <c r="S161" s="4"/>
      <c r="T161" s="4"/>
      <c r="U161" s="4"/>
      <c r="V161" s="4"/>
      <c r="W161" s="4"/>
    </row>
    <row r="162" spans="7:23" ht="14.25" hidden="1" customHeight="1" x14ac:dyDescent="0.2">
      <c r="G162" s="4"/>
      <c r="H162" s="3"/>
      <c r="I162" s="3"/>
      <c r="J162" s="3"/>
      <c r="K162" s="3"/>
      <c r="L162" s="3"/>
      <c r="M162" s="3"/>
      <c r="R162" s="4"/>
      <c r="S162" s="4"/>
      <c r="T162" s="4"/>
      <c r="U162" s="4"/>
      <c r="V162" s="4"/>
      <c r="W162" s="4"/>
    </row>
    <row r="163" spans="7:23" ht="14.25" hidden="1" customHeight="1" x14ac:dyDescent="0.2">
      <c r="G163" s="4"/>
      <c r="H163" s="3"/>
      <c r="I163" s="3"/>
      <c r="J163" s="3"/>
      <c r="K163" s="3"/>
      <c r="L163" s="3"/>
      <c r="M163" s="3"/>
      <c r="R163" s="4"/>
      <c r="S163" s="4"/>
      <c r="T163" s="4"/>
      <c r="U163" s="4"/>
      <c r="V163" s="4"/>
      <c r="W163" s="4"/>
    </row>
    <row r="164" spans="7:23" ht="14.25" hidden="1" customHeight="1" x14ac:dyDescent="0.2">
      <c r="G164" s="4"/>
      <c r="H164" s="3"/>
      <c r="I164" s="3"/>
      <c r="J164" s="3"/>
      <c r="K164" s="3"/>
      <c r="L164" s="3"/>
      <c r="M164" s="3"/>
      <c r="R164" s="4"/>
      <c r="S164" s="4"/>
      <c r="T164" s="4"/>
      <c r="U164" s="4"/>
      <c r="V164" s="4"/>
      <c r="W164" s="4"/>
    </row>
    <row r="165" spans="7:23" ht="14.25" hidden="1" customHeight="1" x14ac:dyDescent="0.2">
      <c r="G165" s="4"/>
      <c r="H165" s="3"/>
      <c r="I165" s="3"/>
      <c r="J165" s="3"/>
      <c r="K165" s="3"/>
      <c r="L165" s="3"/>
      <c r="M165" s="3"/>
      <c r="R165" s="4"/>
      <c r="S165" s="4"/>
      <c r="T165" s="4"/>
      <c r="U165" s="4"/>
      <c r="V165" s="4"/>
      <c r="W165" s="4"/>
    </row>
    <row r="166" spans="7:23" ht="14.25" hidden="1" customHeight="1" x14ac:dyDescent="0.2">
      <c r="G166" s="4"/>
      <c r="H166" s="3"/>
      <c r="I166" s="3"/>
      <c r="J166" s="3"/>
      <c r="K166" s="3"/>
      <c r="L166" s="3"/>
      <c r="M166" s="3"/>
      <c r="R166" s="4"/>
      <c r="S166" s="4"/>
      <c r="T166" s="4"/>
      <c r="U166" s="4"/>
      <c r="V166" s="4"/>
      <c r="W166" s="4"/>
    </row>
    <row r="167" spans="7:23" ht="14.25" hidden="1" customHeight="1" x14ac:dyDescent="0.2">
      <c r="G167" s="4"/>
      <c r="H167" s="3"/>
      <c r="I167" s="3"/>
      <c r="J167" s="3"/>
      <c r="K167" s="3"/>
      <c r="L167" s="3"/>
      <c r="M167" s="3"/>
      <c r="R167" s="4"/>
      <c r="S167" s="4"/>
      <c r="T167" s="4"/>
      <c r="U167" s="4"/>
      <c r="V167" s="4"/>
      <c r="W167" s="4"/>
    </row>
    <row r="168" spans="7:23" ht="14.25" hidden="1" customHeight="1" x14ac:dyDescent="0.2">
      <c r="G168" s="4"/>
      <c r="H168" s="3"/>
      <c r="I168" s="3"/>
      <c r="J168" s="3"/>
      <c r="K168" s="3"/>
      <c r="L168" s="3"/>
      <c r="M168" s="3"/>
      <c r="R168" s="4"/>
      <c r="S168" s="4"/>
      <c r="T168" s="4"/>
      <c r="U168" s="4"/>
      <c r="V168" s="4"/>
      <c r="W168" s="4"/>
    </row>
    <row r="169" spans="7:23" ht="14.25" hidden="1" customHeight="1" x14ac:dyDescent="0.2">
      <c r="G169" s="4"/>
      <c r="H169" s="3"/>
      <c r="I169" s="3"/>
      <c r="J169" s="3"/>
      <c r="K169" s="3"/>
      <c r="L169" s="3"/>
      <c r="M169" s="3"/>
      <c r="R169" s="4"/>
      <c r="S169" s="4"/>
      <c r="T169" s="4"/>
      <c r="U169" s="4"/>
      <c r="V169" s="4"/>
      <c r="W169" s="4"/>
    </row>
    <row r="170" spans="7:23" ht="14.25" hidden="1" customHeight="1" x14ac:dyDescent="0.2">
      <c r="G170" s="4"/>
      <c r="H170" s="3"/>
      <c r="I170" s="3"/>
      <c r="J170" s="3"/>
      <c r="K170" s="3"/>
      <c r="L170" s="3"/>
      <c r="M170" s="3"/>
      <c r="R170" s="4"/>
      <c r="S170" s="4"/>
      <c r="T170" s="4"/>
      <c r="U170" s="4"/>
      <c r="V170" s="4"/>
      <c r="W170" s="4"/>
    </row>
    <row r="171" spans="7:23" ht="14.25" hidden="1" customHeight="1" x14ac:dyDescent="0.2">
      <c r="G171" s="4"/>
      <c r="H171" s="3"/>
      <c r="I171" s="3"/>
      <c r="J171" s="3"/>
      <c r="K171" s="3"/>
      <c r="L171" s="3"/>
      <c r="M171" s="3"/>
      <c r="R171" s="4"/>
      <c r="S171" s="4"/>
      <c r="T171" s="4"/>
      <c r="U171" s="4"/>
      <c r="V171" s="4"/>
      <c r="W171" s="4"/>
    </row>
    <row r="172" spans="7:23" ht="14.25" hidden="1" customHeight="1" x14ac:dyDescent="0.2">
      <c r="G172" s="4"/>
      <c r="H172" s="3"/>
      <c r="I172" s="3"/>
      <c r="J172" s="3"/>
      <c r="K172" s="3"/>
      <c r="L172" s="3"/>
      <c r="M172" s="3"/>
      <c r="R172" s="4"/>
      <c r="S172" s="4"/>
      <c r="T172" s="4"/>
      <c r="U172" s="4"/>
      <c r="V172" s="4"/>
      <c r="W172" s="4"/>
    </row>
    <row r="173" spans="7:23" ht="14.25" hidden="1" customHeight="1" x14ac:dyDescent="0.2">
      <c r="G173" s="4"/>
      <c r="H173" s="3"/>
      <c r="I173" s="3"/>
      <c r="J173" s="3"/>
      <c r="K173" s="3"/>
      <c r="L173" s="3"/>
      <c r="M173" s="3"/>
      <c r="R173" s="4"/>
      <c r="S173" s="4"/>
      <c r="T173" s="4"/>
      <c r="U173" s="4"/>
      <c r="V173" s="4"/>
      <c r="W173" s="4"/>
    </row>
    <row r="174" spans="7:23" ht="14.25" hidden="1" customHeight="1" x14ac:dyDescent="0.2">
      <c r="G174" s="4"/>
      <c r="H174" s="3"/>
      <c r="I174" s="3"/>
      <c r="J174" s="3"/>
      <c r="K174" s="3"/>
      <c r="L174" s="3"/>
      <c r="M174" s="3"/>
      <c r="R174" s="4"/>
      <c r="S174" s="4"/>
      <c r="T174" s="4"/>
      <c r="U174" s="4"/>
      <c r="V174" s="4"/>
      <c r="W174" s="4"/>
    </row>
    <row r="175" spans="7:23" ht="14.25" hidden="1" customHeight="1" x14ac:dyDescent="0.2">
      <c r="G175" s="4"/>
      <c r="H175" s="3"/>
      <c r="I175" s="3"/>
      <c r="J175" s="3"/>
      <c r="K175" s="3"/>
      <c r="L175" s="3"/>
      <c r="M175" s="3"/>
      <c r="R175" s="4"/>
      <c r="S175" s="4"/>
      <c r="T175" s="4"/>
      <c r="U175" s="4"/>
      <c r="V175" s="4"/>
      <c r="W175" s="4"/>
    </row>
    <row r="176" spans="7:23" ht="14.25" hidden="1" customHeight="1" x14ac:dyDescent="0.2">
      <c r="G176" s="4"/>
      <c r="H176" s="3"/>
      <c r="I176" s="3"/>
      <c r="J176" s="3"/>
      <c r="K176" s="3"/>
      <c r="L176" s="3"/>
      <c r="M176" s="3"/>
      <c r="R176" s="4"/>
      <c r="S176" s="4"/>
      <c r="T176" s="4"/>
      <c r="U176" s="4"/>
      <c r="V176" s="4"/>
      <c r="W176" s="4"/>
    </row>
    <row r="177" spans="2:23" ht="14.25" hidden="1" customHeight="1" x14ac:dyDescent="0.2">
      <c r="G177" s="4"/>
      <c r="H177" s="3"/>
      <c r="I177" s="3"/>
      <c r="J177" s="3"/>
      <c r="K177" s="3"/>
      <c r="L177" s="3"/>
      <c r="M177" s="3"/>
      <c r="R177" s="4"/>
      <c r="S177" s="4"/>
      <c r="T177" s="4"/>
      <c r="U177" s="4"/>
      <c r="V177" s="4"/>
      <c r="W177" s="4"/>
    </row>
    <row r="178" spans="2:23" ht="14.25" hidden="1" customHeight="1" x14ac:dyDescent="0.2">
      <c r="G178" s="4"/>
      <c r="H178" s="3"/>
      <c r="I178" s="3"/>
      <c r="J178" s="3"/>
      <c r="K178" s="3"/>
      <c r="L178" s="3"/>
      <c r="M178" s="3"/>
      <c r="R178" s="4"/>
      <c r="S178" s="4"/>
      <c r="T178" s="4"/>
      <c r="U178" s="4"/>
      <c r="V178" s="4"/>
      <c r="W178" s="4"/>
    </row>
    <row r="179" spans="2:23" ht="14.25" hidden="1" customHeight="1" x14ac:dyDescent="0.2">
      <c r="G179" s="4"/>
      <c r="H179" s="3"/>
      <c r="I179" s="3"/>
      <c r="J179" s="3"/>
      <c r="K179" s="3"/>
      <c r="L179" s="3"/>
      <c r="M179" s="3"/>
      <c r="R179" s="4"/>
      <c r="S179" s="4"/>
      <c r="T179" s="4"/>
      <c r="U179" s="4"/>
      <c r="V179" s="4"/>
      <c r="W179" s="4"/>
    </row>
    <row r="180" spans="2:23" ht="14.25" hidden="1" customHeight="1" x14ac:dyDescent="0.2">
      <c r="G180" s="4"/>
      <c r="H180" s="3"/>
      <c r="I180" s="3"/>
      <c r="J180" s="3"/>
      <c r="K180" s="3"/>
      <c r="L180" s="3"/>
      <c r="M180" s="3"/>
      <c r="R180" s="4"/>
      <c r="S180" s="4"/>
      <c r="T180" s="4"/>
      <c r="U180" s="4"/>
      <c r="V180" s="4"/>
      <c r="W180" s="4"/>
    </row>
    <row r="181" spans="2:23" ht="14.25" hidden="1" customHeight="1" x14ac:dyDescent="0.2">
      <c r="G181" s="4"/>
      <c r="H181" s="3"/>
      <c r="I181" s="3"/>
      <c r="J181" s="3"/>
      <c r="K181" s="3"/>
      <c r="L181" s="3"/>
      <c r="M181" s="3"/>
      <c r="R181" s="4"/>
      <c r="S181" s="4"/>
      <c r="T181" s="4"/>
      <c r="U181" s="4"/>
      <c r="V181" s="4"/>
      <c r="W181" s="4"/>
    </row>
    <row r="182" spans="2:23" ht="14.25" hidden="1" customHeight="1" x14ac:dyDescent="0.2">
      <c r="G182" s="4"/>
      <c r="H182" s="3"/>
      <c r="I182" s="3"/>
      <c r="J182" s="3"/>
      <c r="K182" s="3"/>
      <c r="L182" s="3"/>
      <c r="M182" s="3"/>
      <c r="R182" s="4"/>
      <c r="S182" s="4"/>
      <c r="T182" s="4"/>
      <c r="U182" s="4"/>
      <c r="V182" s="4"/>
      <c r="W182" s="4"/>
    </row>
    <row r="183" spans="2:23" ht="14.25" hidden="1" customHeight="1" x14ac:dyDescent="0.2">
      <c r="G183" s="4"/>
      <c r="H183" s="3"/>
      <c r="I183" s="3"/>
      <c r="J183" s="3"/>
      <c r="K183" s="3"/>
      <c r="L183" s="3"/>
      <c r="M183" s="3"/>
      <c r="R183" s="4"/>
      <c r="S183" s="4"/>
      <c r="T183" s="4"/>
      <c r="U183" s="4"/>
      <c r="V183" s="4"/>
      <c r="W183" s="4"/>
    </row>
    <row r="184" spans="2:23" ht="14.25" hidden="1" customHeight="1" x14ac:dyDescent="0.2">
      <c r="G184" s="4"/>
      <c r="H184" s="3"/>
      <c r="I184" s="3"/>
      <c r="J184" s="3"/>
      <c r="K184" s="3"/>
      <c r="L184" s="3"/>
      <c r="M184" s="3"/>
      <c r="R184" s="4"/>
      <c r="S184" s="4"/>
      <c r="T184" s="4"/>
      <c r="U184" s="4"/>
      <c r="V184" s="4"/>
      <c r="W184" s="4"/>
    </row>
    <row r="185" spans="2:23" ht="14.25" hidden="1" customHeight="1" x14ac:dyDescent="0.2">
      <c r="G185" s="4"/>
      <c r="H185" s="3"/>
      <c r="I185" s="3"/>
      <c r="J185" s="3"/>
      <c r="K185" s="3"/>
      <c r="L185" s="3"/>
      <c r="M185" s="3"/>
      <c r="R185" s="4"/>
      <c r="S185" s="4"/>
      <c r="T185" s="4"/>
      <c r="U185" s="4"/>
      <c r="V185" s="4"/>
      <c r="W185" s="4"/>
    </row>
    <row r="186" spans="2:23" x14ac:dyDescent="0.2">
      <c r="G186" s="4"/>
      <c r="H186" s="3"/>
      <c r="I186" s="3"/>
      <c r="J186" s="3"/>
      <c r="K186" s="3"/>
      <c r="L186" s="3"/>
      <c r="M186" s="3"/>
      <c r="R186" s="4"/>
      <c r="S186" s="4"/>
      <c r="T186" s="4"/>
      <c r="U186" s="4"/>
      <c r="V186" s="4"/>
      <c r="W186" s="4"/>
    </row>
    <row r="187" spans="2:23" x14ac:dyDescent="0.2">
      <c r="G187" s="4"/>
      <c r="H187" s="3"/>
      <c r="I187" s="3"/>
      <c r="J187" s="3"/>
      <c r="K187" s="3"/>
      <c r="L187" s="3"/>
      <c r="M187" s="3"/>
      <c r="R187" s="4"/>
      <c r="S187" s="4"/>
      <c r="T187" s="4"/>
      <c r="U187" s="4"/>
      <c r="V187" s="4"/>
      <c r="W187" s="4"/>
    </row>
    <row r="188" spans="2:23" ht="15" x14ac:dyDescent="0.25">
      <c r="B188" s="84"/>
      <c r="G188" s="4"/>
      <c r="H188" s="3"/>
      <c r="I188" s="3"/>
      <c r="J188" s="3"/>
      <c r="K188" s="3"/>
      <c r="L188" s="3"/>
      <c r="M188" s="3"/>
      <c r="R188" s="4"/>
      <c r="S188" s="4"/>
      <c r="T188" s="4"/>
      <c r="U188" s="4"/>
      <c r="V188" s="4"/>
      <c r="W188" s="4"/>
    </row>
    <row r="189" spans="2:23" x14ac:dyDescent="0.2">
      <c r="G189" s="4"/>
      <c r="H189" s="3"/>
      <c r="I189" s="3"/>
      <c r="J189" s="3"/>
      <c r="K189" s="3"/>
      <c r="L189" s="3"/>
      <c r="M189" s="3"/>
      <c r="R189" s="4"/>
      <c r="S189" s="4"/>
      <c r="T189" s="4"/>
      <c r="U189" s="4"/>
      <c r="V189" s="4"/>
      <c r="W189" s="4"/>
    </row>
    <row r="190" spans="2:23" x14ac:dyDescent="0.2">
      <c r="G190" s="4"/>
      <c r="H190" s="3"/>
      <c r="I190" s="3"/>
      <c r="J190" s="3"/>
      <c r="K190" s="3"/>
      <c r="L190" s="3"/>
      <c r="M190" s="3"/>
      <c r="R190" s="4"/>
      <c r="S190" s="4"/>
      <c r="T190" s="4"/>
      <c r="U190" s="4"/>
      <c r="V190" s="4"/>
      <c r="W190" s="4"/>
    </row>
    <row r="191" spans="2:23" x14ac:dyDescent="0.2">
      <c r="G191" s="4"/>
      <c r="H191" s="3"/>
      <c r="I191" s="3"/>
      <c r="J191" s="3"/>
      <c r="K191" s="3"/>
      <c r="L191" s="3"/>
      <c r="M191" s="3"/>
      <c r="R191" s="4"/>
      <c r="S191" s="4"/>
      <c r="T191" s="4"/>
      <c r="U191" s="4"/>
      <c r="V191" s="4"/>
      <c r="W191" s="4"/>
    </row>
    <row r="192" spans="2:23" x14ac:dyDescent="0.2">
      <c r="G192" s="4"/>
      <c r="H192" s="3"/>
      <c r="I192" s="3"/>
      <c r="J192" s="3"/>
      <c r="K192" s="3"/>
      <c r="L192" s="3"/>
      <c r="M192" s="3"/>
      <c r="R192" s="4"/>
      <c r="S192" s="4"/>
      <c r="T192" s="4"/>
      <c r="U192" s="4"/>
      <c r="V192" s="4"/>
      <c r="W192" s="4"/>
    </row>
    <row r="193" spans="2:23" x14ac:dyDescent="0.2">
      <c r="G193" s="4"/>
      <c r="H193" s="3"/>
      <c r="I193" s="3"/>
      <c r="J193" s="3"/>
      <c r="K193" s="3"/>
      <c r="L193" s="3"/>
      <c r="M193" s="3"/>
      <c r="R193" s="4"/>
      <c r="S193" s="4"/>
      <c r="T193" s="4"/>
      <c r="U193" s="4"/>
      <c r="V193" s="4"/>
      <c r="W193" s="4"/>
    </row>
    <row r="194" spans="2:23" x14ac:dyDescent="0.2">
      <c r="G194" s="4"/>
      <c r="H194" s="3"/>
      <c r="I194" s="3"/>
      <c r="J194" s="3"/>
      <c r="K194" s="3"/>
      <c r="L194" s="3"/>
      <c r="M194" s="3"/>
      <c r="R194" s="4"/>
      <c r="S194" s="4"/>
      <c r="T194" s="4"/>
      <c r="U194" s="4"/>
      <c r="V194" s="4"/>
      <c r="W194" s="4"/>
    </row>
    <row r="195" spans="2:23" x14ac:dyDescent="0.2">
      <c r="G195" s="4"/>
      <c r="H195" s="3"/>
      <c r="I195" s="3"/>
      <c r="J195" s="3"/>
      <c r="K195" s="3"/>
      <c r="L195" s="3"/>
      <c r="M195" s="3"/>
      <c r="R195" s="4"/>
      <c r="S195" s="4"/>
      <c r="T195" s="4"/>
      <c r="U195" s="4"/>
      <c r="V195" s="4"/>
      <c r="W195" s="4"/>
    </row>
    <row r="196" spans="2:23" x14ac:dyDescent="0.2">
      <c r="G196" s="4"/>
      <c r="H196" s="3"/>
      <c r="I196" s="3"/>
      <c r="J196" s="3"/>
      <c r="K196" s="3"/>
      <c r="L196" s="3"/>
      <c r="M196" s="3"/>
      <c r="R196" s="4"/>
      <c r="S196" s="4"/>
      <c r="T196" s="4"/>
      <c r="U196" s="4"/>
      <c r="V196" s="4"/>
      <c r="W196" s="4"/>
    </row>
    <row r="197" spans="2:23" x14ac:dyDescent="0.2">
      <c r="G197" s="4"/>
      <c r="H197" s="3"/>
      <c r="I197" s="3"/>
      <c r="J197" s="3"/>
      <c r="K197" s="3"/>
      <c r="L197" s="3"/>
      <c r="M197" s="3"/>
      <c r="R197" s="4"/>
      <c r="S197" s="4"/>
      <c r="T197" s="4"/>
      <c r="U197" s="4"/>
      <c r="V197" s="4"/>
      <c r="W197" s="4"/>
    </row>
    <row r="198" spans="2:23" x14ac:dyDescent="0.2">
      <c r="G198" s="4"/>
      <c r="H198" s="3"/>
      <c r="I198" s="3"/>
      <c r="J198" s="3"/>
      <c r="K198" s="3"/>
      <c r="L198" s="3"/>
      <c r="M198" s="3"/>
      <c r="R198" s="4"/>
      <c r="S198" s="4"/>
      <c r="T198" s="4"/>
      <c r="U198" s="4"/>
      <c r="V198" s="4"/>
      <c r="W198" s="4"/>
    </row>
    <row r="199" spans="2:23" x14ac:dyDescent="0.2">
      <c r="G199" s="4"/>
      <c r="H199" s="3"/>
      <c r="I199" s="3"/>
      <c r="J199" s="3"/>
      <c r="K199" s="3"/>
      <c r="L199" s="3"/>
      <c r="M199" s="3"/>
      <c r="R199" s="4"/>
      <c r="S199" s="4"/>
      <c r="T199" s="4"/>
      <c r="U199" s="4"/>
      <c r="V199" s="4"/>
      <c r="W199" s="4"/>
    </row>
    <row r="200" spans="2:23" x14ac:dyDescent="0.2">
      <c r="G200" s="4"/>
      <c r="H200" s="3"/>
      <c r="I200" s="3"/>
      <c r="J200" s="3"/>
      <c r="K200" s="3"/>
      <c r="L200" s="3"/>
      <c r="M200" s="3"/>
      <c r="R200" s="4"/>
      <c r="S200" s="4"/>
      <c r="T200" s="4"/>
      <c r="U200" s="4"/>
      <c r="V200" s="4"/>
      <c r="W200" s="4"/>
    </row>
    <row r="201" spans="2:23" x14ac:dyDescent="0.2">
      <c r="G201" s="4"/>
      <c r="H201" s="3"/>
      <c r="I201" s="3"/>
      <c r="J201" s="3"/>
      <c r="K201" s="3"/>
      <c r="L201" s="3"/>
      <c r="M201" s="3"/>
      <c r="R201" s="4"/>
      <c r="S201" s="4"/>
      <c r="T201" s="4"/>
      <c r="U201" s="4"/>
      <c r="V201" s="4"/>
      <c r="W201" s="4"/>
    </row>
    <row r="202" spans="2:23" x14ac:dyDescent="0.2">
      <c r="G202" s="4"/>
      <c r="H202" s="3"/>
      <c r="I202" s="3"/>
      <c r="J202" s="3"/>
      <c r="K202" s="3"/>
      <c r="L202" s="3"/>
      <c r="M202" s="3"/>
      <c r="R202" s="4"/>
      <c r="S202" s="4"/>
      <c r="T202" s="4"/>
      <c r="U202" s="4"/>
      <c r="V202" s="4"/>
      <c r="W202" s="4"/>
    </row>
    <row r="203" spans="2:23" x14ac:dyDescent="0.2">
      <c r="G203" s="4"/>
      <c r="H203" s="3"/>
      <c r="I203" s="3"/>
      <c r="J203" s="3"/>
      <c r="K203" s="3"/>
      <c r="L203" s="3"/>
      <c r="M203" s="3"/>
      <c r="R203" s="4"/>
      <c r="S203" s="4"/>
      <c r="T203" s="4"/>
      <c r="U203" s="4"/>
      <c r="V203" s="4"/>
      <c r="W203" s="4"/>
    </row>
    <row r="204" spans="2:23" x14ac:dyDescent="0.2">
      <c r="G204" s="4"/>
      <c r="H204" s="3"/>
      <c r="I204" s="3"/>
      <c r="J204" s="3"/>
      <c r="K204" s="3"/>
      <c r="L204" s="3"/>
      <c r="M204" s="3"/>
      <c r="R204" s="4"/>
      <c r="S204" s="4"/>
      <c r="T204" s="4"/>
      <c r="U204" s="4"/>
      <c r="V204" s="4"/>
      <c r="W204" s="4"/>
    </row>
    <row r="205" spans="2:23" x14ac:dyDescent="0.2">
      <c r="G205" s="4"/>
      <c r="H205" s="3"/>
      <c r="I205" s="3"/>
      <c r="J205" s="3"/>
      <c r="K205" s="3"/>
      <c r="L205" s="3"/>
      <c r="M205" s="3"/>
      <c r="R205" s="4"/>
      <c r="S205" s="4"/>
      <c r="T205" s="4"/>
      <c r="U205" s="4"/>
      <c r="V205" s="4"/>
      <c r="W205" s="4"/>
    </row>
    <row r="206" spans="2:23" x14ac:dyDescent="0.2">
      <c r="G206" s="4"/>
      <c r="H206" s="3"/>
      <c r="I206" s="3"/>
      <c r="J206" s="3"/>
      <c r="K206" s="3"/>
      <c r="L206" s="3"/>
      <c r="M206" s="3"/>
      <c r="R206" s="4"/>
      <c r="S206" s="4"/>
      <c r="T206" s="4"/>
      <c r="U206" s="4"/>
      <c r="V206" s="4"/>
      <c r="W206" s="4"/>
    </row>
    <row r="207" spans="2:23" x14ac:dyDescent="0.2">
      <c r="B207" s="4"/>
      <c r="G207" s="4"/>
      <c r="H207" s="3"/>
      <c r="I207" s="3"/>
      <c r="J207" s="3"/>
      <c r="K207" s="3"/>
      <c r="L207" s="3"/>
      <c r="M207" s="3"/>
      <c r="R207" s="4"/>
      <c r="S207" s="4"/>
      <c r="T207" s="4"/>
      <c r="U207" s="4"/>
      <c r="V207" s="4"/>
      <c r="W207" s="4"/>
    </row>
    <row r="208" spans="2:23" x14ac:dyDescent="0.2">
      <c r="B208" s="4"/>
      <c r="G208" s="4"/>
      <c r="H208" s="3"/>
      <c r="I208" s="3"/>
      <c r="J208" s="3"/>
      <c r="K208" s="3"/>
      <c r="L208" s="3"/>
      <c r="M208" s="3"/>
      <c r="R208" s="4"/>
      <c r="S208" s="4"/>
      <c r="T208" s="4"/>
      <c r="U208" s="4"/>
      <c r="V208" s="4"/>
      <c r="W208" s="4"/>
    </row>
    <row r="209" spans="2:23" x14ac:dyDescent="0.2">
      <c r="B209" s="3"/>
      <c r="C209" s="3"/>
      <c r="G209" s="4"/>
      <c r="H209" s="3"/>
      <c r="I209" s="3"/>
      <c r="J209" s="3"/>
      <c r="K209" s="3"/>
      <c r="L209" s="3"/>
      <c r="M209" s="3"/>
      <c r="R209" s="4"/>
      <c r="S209" s="4"/>
      <c r="T209" s="4"/>
      <c r="U209" s="4"/>
      <c r="V209" s="4"/>
      <c r="W209" s="4"/>
    </row>
    <row r="210" spans="2:23" x14ac:dyDescent="0.2">
      <c r="C210" s="3"/>
      <c r="G210" s="4"/>
      <c r="H210" s="3"/>
      <c r="I210" s="3"/>
      <c r="J210" s="3"/>
      <c r="K210" s="3"/>
      <c r="L210" s="3"/>
      <c r="M210" s="3"/>
      <c r="R210" s="4"/>
      <c r="S210" s="4"/>
      <c r="T210" s="4"/>
      <c r="U210" s="4"/>
      <c r="V210" s="4"/>
      <c r="W210" s="4"/>
    </row>
    <row r="211" spans="2:23" x14ac:dyDescent="0.2">
      <c r="C211" s="3"/>
      <c r="G211" s="4"/>
      <c r="H211" s="3"/>
      <c r="I211" s="3"/>
      <c r="J211" s="3"/>
      <c r="K211" s="3"/>
      <c r="L211" s="3"/>
      <c r="M211" s="3"/>
      <c r="R211" s="4"/>
      <c r="S211" s="4"/>
      <c r="T211" s="4"/>
      <c r="U211" s="4"/>
      <c r="V211" s="4"/>
      <c r="W211" s="4"/>
    </row>
    <row r="212" spans="2:23" x14ac:dyDescent="0.2">
      <c r="C212" s="3"/>
      <c r="G212" s="4"/>
      <c r="H212" s="3"/>
      <c r="I212" s="3"/>
      <c r="J212" s="3"/>
      <c r="K212" s="3"/>
      <c r="L212" s="3"/>
      <c r="M212" s="3"/>
      <c r="R212" s="4"/>
      <c r="S212" s="4"/>
      <c r="T212" s="4"/>
      <c r="U212" s="4"/>
      <c r="V212" s="4"/>
      <c r="W212" s="4"/>
    </row>
    <row r="213" spans="2:23" x14ac:dyDescent="0.2">
      <c r="C213" s="3"/>
      <c r="H213" s="3"/>
      <c r="I213" s="3"/>
      <c r="J213" s="3"/>
      <c r="K213" s="3"/>
      <c r="L213" s="3"/>
      <c r="M213" s="3"/>
      <c r="R213" s="4"/>
      <c r="S213" s="4"/>
      <c r="T213" s="4"/>
      <c r="U213" s="4"/>
      <c r="V213" s="4"/>
      <c r="W213" s="4"/>
    </row>
    <row r="214" spans="2:23" x14ac:dyDescent="0.2">
      <c r="C214" s="3"/>
      <c r="H214" s="3"/>
      <c r="I214" s="3"/>
      <c r="J214" s="3"/>
      <c r="K214" s="3"/>
      <c r="L214" s="3"/>
      <c r="M214" s="3"/>
      <c r="R214" s="4"/>
      <c r="S214" s="4"/>
      <c r="T214" s="4"/>
      <c r="U214" s="4"/>
      <c r="V214" s="4"/>
      <c r="W214" s="4"/>
    </row>
    <row r="215" spans="2:23" x14ac:dyDescent="0.2">
      <c r="B215" s="4"/>
      <c r="C215" s="4"/>
      <c r="H215" s="3"/>
      <c r="I215" s="3"/>
      <c r="J215" s="3"/>
      <c r="K215" s="3"/>
      <c r="L215" s="3"/>
      <c r="M215" s="3"/>
      <c r="R215" s="4"/>
      <c r="S215" s="4"/>
      <c r="T215" s="4"/>
      <c r="U215" s="4"/>
      <c r="V215" s="4"/>
      <c r="W215" s="4"/>
    </row>
    <row r="216" spans="2:23" x14ac:dyDescent="0.2">
      <c r="C216" s="152"/>
      <c r="H216" s="4"/>
      <c r="K216" s="3"/>
      <c r="L216" s="3"/>
      <c r="M216" s="3"/>
      <c r="R216" s="4"/>
      <c r="S216" s="4"/>
      <c r="T216" s="4"/>
      <c r="U216" s="4"/>
      <c r="V216" s="4"/>
      <c r="W216" s="4"/>
    </row>
    <row r="217" spans="2:23" x14ac:dyDescent="0.2">
      <c r="H217" s="4"/>
      <c r="K217" s="3"/>
      <c r="L217" s="3"/>
      <c r="M217" s="3"/>
      <c r="R217" s="4"/>
      <c r="S217" s="4"/>
      <c r="T217" s="4"/>
      <c r="U217" s="4"/>
      <c r="V217" s="4"/>
      <c r="W217" s="4"/>
    </row>
    <row r="218" spans="2:23" x14ac:dyDescent="0.2">
      <c r="C218" s="6"/>
      <c r="H218" s="4"/>
      <c r="K218" s="3"/>
      <c r="L218" s="3"/>
      <c r="M218" s="3"/>
      <c r="R218" s="4"/>
      <c r="S218" s="4"/>
      <c r="T218" s="4"/>
      <c r="U218" s="4"/>
      <c r="V218" s="4"/>
      <c r="W218" s="4"/>
    </row>
    <row r="219" spans="2:23" x14ac:dyDescent="0.2">
      <c r="C219" s="6"/>
      <c r="H219" s="4"/>
      <c r="K219" s="3"/>
      <c r="L219" s="3"/>
      <c r="M219" s="3"/>
      <c r="R219" s="4"/>
      <c r="S219" s="4"/>
      <c r="T219" s="4"/>
      <c r="U219" s="4"/>
      <c r="V219" s="4"/>
      <c r="W219" s="4"/>
    </row>
    <row r="220" spans="2:23" x14ac:dyDescent="0.2">
      <c r="C220" s="159"/>
      <c r="H220" s="4"/>
      <c r="K220" s="3"/>
      <c r="L220" s="3"/>
      <c r="M220" s="3"/>
      <c r="R220" s="4"/>
      <c r="S220" s="4"/>
      <c r="T220" s="4"/>
      <c r="U220" s="4"/>
      <c r="V220" s="4"/>
      <c r="W220" s="4"/>
    </row>
    <row r="221" spans="2:23" x14ac:dyDescent="0.2">
      <c r="C221" s="47"/>
      <c r="H221" s="4"/>
      <c r="K221" s="3"/>
      <c r="L221" s="3"/>
      <c r="M221" s="3"/>
      <c r="R221" s="4"/>
      <c r="S221" s="4"/>
      <c r="T221" s="4"/>
      <c r="U221" s="4"/>
      <c r="V221" s="4"/>
      <c r="W221" s="4"/>
    </row>
    <row r="222" spans="2:23" x14ac:dyDescent="0.2">
      <c r="C222" s="159"/>
      <c r="H222" s="4"/>
      <c r="K222" s="3"/>
      <c r="L222" s="3"/>
      <c r="M222" s="3"/>
      <c r="R222" s="4"/>
      <c r="S222" s="4"/>
      <c r="T222" s="4"/>
      <c r="U222" s="4"/>
      <c r="V222" s="4"/>
      <c r="W222" s="4"/>
    </row>
    <row r="223" spans="2:23" x14ac:dyDescent="0.2">
      <c r="B223" s="4"/>
      <c r="C223" s="12"/>
      <c r="H223" s="31"/>
      <c r="I223" s="3"/>
      <c r="J223" s="3"/>
      <c r="K223" s="3"/>
      <c r="L223" s="3"/>
      <c r="M223" s="3"/>
      <c r="R223" s="4"/>
      <c r="S223" s="4"/>
      <c r="T223" s="4"/>
      <c r="U223" s="4"/>
      <c r="V223" s="4"/>
      <c r="W223" s="4"/>
    </row>
    <row r="224" spans="2:23" x14ac:dyDescent="0.2">
      <c r="C224" s="6"/>
      <c r="H224" s="31"/>
      <c r="I224" s="3"/>
      <c r="J224" s="3"/>
      <c r="K224" s="3"/>
      <c r="L224" s="3"/>
      <c r="M224" s="3"/>
      <c r="R224" s="4"/>
      <c r="S224" s="4"/>
      <c r="T224" s="4"/>
      <c r="U224" s="4"/>
      <c r="V224" s="4"/>
      <c r="W224" s="4"/>
    </row>
    <row r="225" spans="3:23" x14ac:dyDescent="0.2">
      <c r="C225" s="159"/>
      <c r="H225" s="31"/>
      <c r="I225" s="3"/>
      <c r="J225" s="3"/>
      <c r="K225" s="3"/>
      <c r="L225" s="3"/>
      <c r="M225" s="3"/>
      <c r="R225" s="4"/>
      <c r="S225" s="4"/>
      <c r="T225" s="4"/>
      <c r="U225" s="4"/>
      <c r="V225" s="4"/>
      <c r="W225" s="4"/>
    </row>
    <row r="226" spans="3:23" x14ac:dyDescent="0.2">
      <c r="C226" s="6"/>
      <c r="H226" s="31"/>
      <c r="I226" s="3"/>
      <c r="J226" s="3"/>
      <c r="K226" s="3"/>
      <c r="L226" s="3"/>
      <c r="M226" s="3"/>
      <c r="R226" s="4"/>
      <c r="S226" s="4"/>
      <c r="T226" s="4"/>
      <c r="U226" s="4"/>
      <c r="V226" s="4"/>
      <c r="W226" s="4"/>
    </row>
    <row r="227" spans="3:23" x14ac:dyDescent="0.2">
      <c r="C227" s="47"/>
      <c r="H227" s="2"/>
      <c r="I227" s="3"/>
      <c r="J227" s="3"/>
      <c r="K227" s="3"/>
      <c r="L227" s="3"/>
      <c r="M227" s="3"/>
      <c r="R227" s="4"/>
      <c r="S227" s="4"/>
      <c r="T227" s="4"/>
      <c r="U227" s="4"/>
      <c r="V227" s="4"/>
      <c r="W227" s="4"/>
    </row>
    <row r="228" spans="3:23" x14ac:dyDescent="0.2">
      <c r="C228" s="47"/>
      <c r="H228" s="2"/>
      <c r="I228" s="3"/>
      <c r="J228" s="3"/>
      <c r="K228" s="3"/>
      <c r="L228" s="3"/>
      <c r="M228" s="3"/>
      <c r="R228" s="4"/>
      <c r="S228" s="4"/>
      <c r="T228" s="4"/>
      <c r="U228" s="4"/>
      <c r="V228" s="4"/>
      <c r="W228" s="4"/>
    </row>
    <row r="229" spans="3:23" x14ac:dyDescent="0.2">
      <c r="H229" s="2"/>
      <c r="I229" s="3"/>
      <c r="M229" s="3"/>
      <c r="R229" s="4"/>
      <c r="S229" s="4"/>
      <c r="T229" s="4"/>
      <c r="U229" s="4"/>
      <c r="V229" s="4"/>
      <c r="W229" s="4"/>
    </row>
    <row r="230" spans="3:23" x14ac:dyDescent="0.2">
      <c r="C230" s="152"/>
      <c r="H230" s="4"/>
      <c r="R230" s="4"/>
      <c r="S230" s="4"/>
      <c r="T230" s="4"/>
      <c r="U230" s="4"/>
      <c r="V230" s="4"/>
      <c r="W230" s="4"/>
    </row>
    <row r="231" spans="3:23" x14ac:dyDescent="0.2">
      <c r="C231" s="47"/>
      <c r="H231" s="4"/>
      <c r="R231" s="4"/>
      <c r="S231" s="4"/>
      <c r="T231" s="4"/>
      <c r="U231" s="4"/>
      <c r="V231" s="4"/>
      <c r="W231" s="4"/>
    </row>
    <row r="232" spans="3:23" x14ac:dyDescent="0.2">
      <c r="C232" s="152"/>
      <c r="H232" s="4"/>
      <c r="R232" s="4"/>
      <c r="S232" s="4"/>
      <c r="T232" s="4"/>
      <c r="U232" s="4"/>
      <c r="V232" s="4"/>
      <c r="W232" s="4"/>
    </row>
    <row r="233" spans="3:23" x14ac:dyDescent="0.2">
      <c r="C233" s="47"/>
      <c r="H233" s="4"/>
      <c r="R233" s="4"/>
      <c r="S233" s="4"/>
      <c r="T233" s="4"/>
      <c r="U233" s="4"/>
      <c r="V233" s="4"/>
      <c r="W233" s="4"/>
    </row>
    <row r="234" spans="3:23" x14ac:dyDescent="0.2">
      <c r="C234" s="47"/>
      <c r="H234" s="4"/>
      <c r="R234" s="4"/>
      <c r="S234" s="4"/>
      <c r="T234" s="4"/>
      <c r="U234" s="4"/>
      <c r="V234" s="4"/>
      <c r="W234" s="4"/>
    </row>
    <row r="235" spans="3:23" x14ac:dyDescent="0.2">
      <c r="C235" s="47"/>
      <c r="H235" s="4"/>
      <c r="R235" s="4"/>
      <c r="S235" s="4"/>
      <c r="T235" s="4"/>
      <c r="U235" s="4"/>
      <c r="V235" s="4"/>
      <c r="W235" s="4"/>
    </row>
    <row r="236" spans="3:23" x14ac:dyDescent="0.2">
      <c r="C236" s="47"/>
      <c r="H236" s="4"/>
      <c r="R236" s="4"/>
      <c r="S236" s="4"/>
      <c r="T236" s="4"/>
      <c r="U236" s="4"/>
      <c r="V236" s="4"/>
      <c r="W236" s="4"/>
    </row>
    <row r="237" spans="3:23" x14ac:dyDescent="0.2">
      <c r="H237" s="4"/>
      <c r="R237" s="4"/>
      <c r="S237" s="4"/>
      <c r="T237" s="4"/>
      <c r="U237" s="4"/>
      <c r="V237" s="4"/>
      <c r="W237" s="4"/>
    </row>
    <row r="238" spans="3:23" x14ac:dyDescent="0.2">
      <c r="H238" s="4"/>
      <c r="R238" s="4"/>
      <c r="S238" s="4"/>
      <c r="T238" s="4"/>
      <c r="U238" s="4"/>
      <c r="V238" s="4"/>
      <c r="W238" s="4"/>
    </row>
    <row r="239" spans="3:23" x14ac:dyDescent="0.2">
      <c r="H239" s="4"/>
      <c r="R239" s="4"/>
      <c r="S239" s="4"/>
      <c r="T239" s="4"/>
      <c r="U239" s="4"/>
      <c r="V239" s="4"/>
      <c r="W239" s="4"/>
    </row>
    <row r="240" spans="3:23" x14ac:dyDescent="0.2">
      <c r="C240" s="47"/>
      <c r="H240" s="4"/>
      <c r="R240" s="4"/>
      <c r="S240" s="4"/>
      <c r="T240" s="4"/>
      <c r="U240" s="4"/>
      <c r="V240" s="4"/>
      <c r="W240" s="4"/>
    </row>
    <row r="241" spans="2:23" ht="15" x14ac:dyDescent="0.25">
      <c r="B241" s="1"/>
      <c r="C241" s="4"/>
      <c r="H241" s="4"/>
      <c r="R241" s="4"/>
      <c r="S241" s="4"/>
      <c r="T241" s="4"/>
      <c r="U241" s="4"/>
      <c r="V241" s="4"/>
      <c r="W241" s="4"/>
    </row>
    <row r="242" spans="2:23" x14ac:dyDescent="0.2">
      <c r="B242" s="4"/>
      <c r="C242" s="4"/>
      <c r="H242" s="4"/>
      <c r="R242" s="4"/>
      <c r="S242" s="4"/>
      <c r="T242" s="4"/>
      <c r="U242" s="4"/>
      <c r="V242" s="4"/>
      <c r="W242" s="4"/>
    </row>
    <row r="243" spans="2:23" x14ac:dyDescent="0.2">
      <c r="B243" s="4"/>
      <c r="C243" s="4"/>
      <c r="H243" s="4"/>
      <c r="R243" s="4"/>
      <c r="S243" s="4"/>
      <c r="T243" s="4"/>
      <c r="U243" s="4"/>
      <c r="V243" s="4"/>
      <c r="W243" s="4"/>
    </row>
    <row r="244" spans="2:23" x14ac:dyDescent="0.2">
      <c r="B244" s="4"/>
      <c r="C244" s="4"/>
      <c r="H244" s="4"/>
      <c r="R244" s="4"/>
      <c r="S244" s="4"/>
      <c r="T244" s="4"/>
      <c r="U244" s="4"/>
      <c r="V244" s="4"/>
      <c r="W244" s="4"/>
    </row>
    <row r="245" spans="2:23" x14ac:dyDescent="0.2">
      <c r="B245" s="4"/>
      <c r="C245" s="4"/>
      <c r="H245" s="4"/>
      <c r="R245" s="4"/>
      <c r="S245" s="4"/>
      <c r="T245" s="4"/>
      <c r="U245" s="4"/>
      <c r="V245" s="4"/>
      <c r="W245" s="4"/>
    </row>
    <row r="246" spans="2:23" x14ac:dyDescent="0.2">
      <c r="B246" s="4"/>
      <c r="C246" s="4"/>
      <c r="H246" s="4"/>
      <c r="R246" s="4"/>
      <c r="S246" s="4"/>
      <c r="T246" s="4"/>
      <c r="U246" s="4"/>
      <c r="V246" s="4"/>
      <c r="W246" s="4"/>
    </row>
    <row r="247" spans="2:23" x14ac:dyDescent="0.2">
      <c r="B247" s="4"/>
      <c r="C247" s="4"/>
      <c r="H247" s="4"/>
      <c r="R247" s="4"/>
      <c r="S247" s="4"/>
      <c r="T247" s="4"/>
      <c r="U247" s="4"/>
      <c r="V247" s="4"/>
      <c r="W247" s="4"/>
    </row>
    <row r="248" spans="2:23" x14ac:dyDescent="0.2">
      <c r="B248" s="4"/>
      <c r="C248" s="4"/>
      <c r="H248" s="4"/>
      <c r="R248" s="4"/>
      <c r="S248" s="4"/>
      <c r="T248" s="4"/>
      <c r="U248" s="4"/>
      <c r="V248" s="4"/>
      <c r="W248" s="4"/>
    </row>
    <row r="249" spans="2:23" x14ac:dyDescent="0.2">
      <c r="B249" s="4"/>
      <c r="C249" s="4"/>
      <c r="H249" s="4"/>
      <c r="R249" s="4"/>
      <c r="S249" s="4"/>
      <c r="T249" s="4"/>
      <c r="U249" s="4"/>
      <c r="V249" s="4"/>
      <c r="W249" s="4"/>
    </row>
    <row r="250" spans="2:23" x14ac:dyDescent="0.2">
      <c r="B250" s="4"/>
      <c r="C250" s="4"/>
      <c r="H250" s="4"/>
      <c r="R250" s="4"/>
      <c r="S250" s="4"/>
      <c r="T250" s="4"/>
      <c r="U250" s="4"/>
      <c r="V250" s="4"/>
      <c r="W250" s="4"/>
    </row>
    <row r="251" spans="2:23" x14ac:dyDescent="0.2">
      <c r="B251" s="4"/>
      <c r="C251" s="4"/>
      <c r="H251" s="4"/>
      <c r="R251" s="4"/>
      <c r="S251" s="4"/>
      <c r="T251" s="4"/>
      <c r="U251" s="4"/>
      <c r="V251" s="4"/>
      <c r="W251" s="4"/>
    </row>
    <row r="252" spans="2:23" x14ac:dyDescent="0.2">
      <c r="B252" s="4"/>
      <c r="C252" s="4"/>
      <c r="H252" s="4"/>
      <c r="R252" s="4"/>
      <c r="S252" s="4"/>
      <c r="T252" s="4"/>
      <c r="U252" s="4"/>
      <c r="V252" s="4"/>
      <c r="W252" s="4"/>
    </row>
    <row r="253" spans="2:23" x14ac:dyDescent="0.2">
      <c r="B253" s="4"/>
      <c r="C253" s="4"/>
      <c r="H253" s="4"/>
      <c r="R253" s="4"/>
      <c r="S253" s="4"/>
      <c r="T253" s="4"/>
      <c r="U253" s="4"/>
      <c r="V253" s="4"/>
      <c r="W253" s="4"/>
    </row>
    <row r="254" spans="2:23" x14ac:dyDescent="0.2">
      <c r="B254" s="4"/>
      <c r="C254" s="4"/>
      <c r="H254" s="4"/>
      <c r="R254" s="4"/>
      <c r="S254" s="4"/>
      <c r="T254" s="4"/>
      <c r="U254" s="4"/>
      <c r="V254" s="4"/>
      <c r="W254" s="4"/>
    </row>
    <row r="255" spans="2:23" x14ac:dyDescent="0.2">
      <c r="B255" s="4"/>
      <c r="C255" s="4"/>
      <c r="H255" s="4"/>
      <c r="R255" s="4"/>
      <c r="S255" s="4"/>
      <c r="T255" s="4"/>
      <c r="U255" s="4"/>
      <c r="V255" s="4"/>
      <c r="W255" s="4"/>
    </row>
    <row r="256" spans="2:23" x14ac:dyDescent="0.2">
      <c r="B256" s="4"/>
      <c r="C256" s="4"/>
      <c r="H256" s="4"/>
      <c r="R256" s="4"/>
      <c r="S256" s="4"/>
      <c r="T256" s="4"/>
      <c r="U256" s="4"/>
      <c r="V256" s="4"/>
      <c r="W256" s="4"/>
    </row>
    <row r="257" spans="1:23" ht="15" x14ac:dyDescent="0.25">
      <c r="B257" s="84"/>
      <c r="C257" s="4"/>
      <c r="H257" s="4"/>
      <c r="R257" s="4"/>
      <c r="S257" s="4"/>
      <c r="T257" s="4"/>
      <c r="U257" s="4"/>
      <c r="V257" s="4"/>
      <c r="W257" s="4"/>
    </row>
    <row r="258" spans="1:23" x14ac:dyDescent="0.2">
      <c r="B258" s="3"/>
      <c r="C258" s="3"/>
      <c r="H258" s="4"/>
      <c r="R258" s="4"/>
      <c r="S258" s="4"/>
      <c r="T258" s="4"/>
      <c r="U258" s="4"/>
      <c r="V258" s="4"/>
      <c r="W258" s="4"/>
    </row>
    <row r="259" spans="1:23" x14ac:dyDescent="0.2">
      <c r="B259" s="3"/>
      <c r="C259" s="3"/>
      <c r="D259" s="41"/>
      <c r="H259" s="4"/>
      <c r="R259" s="4"/>
      <c r="S259" s="4"/>
      <c r="T259" s="4"/>
      <c r="U259" s="4"/>
      <c r="V259" s="4"/>
      <c r="W259" s="4"/>
    </row>
    <row r="260" spans="1:23" x14ac:dyDescent="0.2">
      <c r="B260" s="3"/>
      <c r="C260" s="3"/>
      <c r="D260" s="41"/>
      <c r="H260" s="4"/>
      <c r="R260" s="4"/>
      <c r="S260" s="4"/>
      <c r="T260" s="4"/>
      <c r="U260" s="4"/>
      <c r="V260" s="4"/>
      <c r="W260" s="4"/>
    </row>
    <row r="261" spans="1:23" x14ac:dyDescent="0.2">
      <c r="B261" s="3"/>
      <c r="C261" s="3"/>
      <c r="D261" s="41"/>
      <c r="H261" s="4"/>
      <c r="R261" s="4"/>
      <c r="S261" s="4"/>
      <c r="T261" s="4"/>
      <c r="U261" s="4"/>
      <c r="V261" s="4"/>
      <c r="W261" s="4"/>
    </row>
    <row r="262" spans="1:23" x14ac:dyDescent="0.2">
      <c r="B262" s="3"/>
      <c r="C262" s="3"/>
      <c r="D262" s="41"/>
      <c r="H262" s="4"/>
      <c r="R262" s="4"/>
      <c r="S262" s="4"/>
      <c r="T262" s="4"/>
      <c r="U262" s="4"/>
      <c r="V262" s="4"/>
      <c r="W262" s="4"/>
    </row>
    <row r="263" spans="1:23" x14ac:dyDescent="0.2">
      <c r="B263" s="3"/>
      <c r="C263" s="3"/>
      <c r="D263" s="41"/>
      <c r="H263" s="4"/>
      <c r="R263" s="4"/>
      <c r="S263" s="4"/>
      <c r="T263" s="4"/>
      <c r="U263" s="4"/>
      <c r="V263" s="4"/>
      <c r="W263" s="4"/>
    </row>
    <row r="264" spans="1:23" x14ac:dyDescent="0.2">
      <c r="B264" s="3"/>
      <c r="C264" s="3"/>
      <c r="D264" s="41"/>
      <c r="H264" s="4"/>
      <c r="R264" s="4"/>
      <c r="S264" s="4"/>
      <c r="T264" s="4"/>
      <c r="U264" s="4"/>
      <c r="V264" s="4"/>
      <c r="W264" s="4"/>
    </row>
    <row r="265" spans="1:23" x14ac:dyDescent="0.2">
      <c r="B265" s="3"/>
      <c r="C265" s="3"/>
      <c r="H265" s="4"/>
      <c r="R265" s="4"/>
      <c r="S265" s="4"/>
      <c r="T265" s="4"/>
      <c r="U265" s="4"/>
      <c r="V265" s="4"/>
      <c r="W265" s="4"/>
    </row>
    <row r="266" spans="1:23" x14ac:dyDescent="0.2">
      <c r="B266" s="3"/>
      <c r="C266" s="3"/>
      <c r="H266" s="4"/>
      <c r="R266" s="4"/>
      <c r="S266" s="4"/>
      <c r="T266" s="4"/>
      <c r="U266" s="4"/>
      <c r="V266" s="4"/>
      <c r="W266" s="4"/>
    </row>
    <row r="267" spans="1:23" x14ac:dyDescent="0.2">
      <c r="B267" s="3"/>
      <c r="C267" s="3"/>
      <c r="H267" s="4"/>
      <c r="R267" s="4"/>
      <c r="S267" s="4"/>
      <c r="T267" s="4"/>
      <c r="U267" s="4"/>
      <c r="V267" s="4"/>
      <c r="W267" s="4"/>
    </row>
    <row r="268" spans="1:23" x14ac:dyDescent="0.2">
      <c r="B268" s="41"/>
      <c r="C268" s="3"/>
      <c r="H268" s="4"/>
      <c r="R268" s="4"/>
      <c r="S268" s="4"/>
      <c r="T268" s="4"/>
      <c r="U268" s="4"/>
      <c r="V268" s="4"/>
      <c r="W268" s="4"/>
    </row>
    <row r="269" spans="1:23" x14ac:dyDescent="0.2">
      <c r="B269" s="3"/>
      <c r="C269" s="3"/>
      <c r="H269" s="4"/>
      <c r="R269" s="4"/>
      <c r="S269" s="4"/>
      <c r="T269" s="4"/>
      <c r="U269" s="4"/>
      <c r="V269" s="4"/>
      <c r="W269" s="4"/>
    </row>
    <row r="270" spans="1:23" ht="15" customHeight="1" x14ac:dyDescent="0.2">
      <c r="B270" s="3"/>
      <c r="C270" s="3"/>
      <c r="H270" s="4"/>
      <c r="R270" s="4"/>
      <c r="S270" s="4"/>
      <c r="T270" s="4"/>
      <c r="U270" s="4"/>
      <c r="V270" s="4"/>
      <c r="W270" s="4"/>
    </row>
    <row r="271" spans="1:23" x14ac:dyDescent="0.2">
      <c r="C271" s="3"/>
      <c r="H271" s="4"/>
      <c r="R271" s="4"/>
      <c r="S271" s="4"/>
      <c r="T271" s="4"/>
      <c r="U271" s="4"/>
      <c r="V271" s="4"/>
      <c r="W271" s="4"/>
    </row>
    <row r="272" spans="1:23" ht="15" x14ac:dyDescent="0.25">
      <c r="A272" s="1"/>
      <c r="C272" s="4"/>
      <c r="H272" s="4"/>
      <c r="R272" s="4"/>
      <c r="S272" s="4"/>
      <c r="T272" s="4"/>
      <c r="U272" s="4"/>
      <c r="V272" s="4"/>
      <c r="W272" s="4"/>
    </row>
    <row r="273" spans="1:23" x14ac:dyDescent="0.2">
      <c r="A273" s="66"/>
      <c r="C273" s="47"/>
      <c r="H273" s="4"/>
      <c r="R273" s="4"/>
      <c r="S273" s="4"/>
      <c r="T273" s="4"/>
      <c r="U273" s="4"/>
      <c r="V273" s="4"/>
      <c r="W273" s="4"/>
    </row>
    <row r="274" spans="1:23" x14ac:dyDescent="0.2">
      <c r="C274" s="47"/>
      <c r="E274" s="2"/>
      <c r="G274" s="4"/>
      <c r="H274" s="4"/>
      <c r="N274" s="3"/>
      <c r="O274" s="3"/>
      <c r="P274" s="4"/>
      <c r="Q274" s="4"/>
      <c r="R274" s="4"/>
      <c r="S274" s="4"/>
      <c r="T274" s="4"/>
      <c r="U274" s="4"/>
      <c r="V274" s="4"/>
      <c r="W274" s="4"/>
    </row>
    <row r="275" spans="1:23" x14ac:dyDescent="0.2">
      <c r="C275" s="47"/>
      <c r="E275" s="2"/>
      <c r="G275" s="4"/>
      <c r="H275" s="4"/>
      <c r="N275" s="3"/>
      <c r="O275" s="3"/>
      <c r="P275" s="4"/>
      <c r="Q275" s="4"/>
      <c r="R275" s="4"/>
      <c r="S275" s="4"/>
      <c r="T275" s="4"/>
      <c r="U275" s="4"/>
      <c r="V275" s="4"/>
      <c r="W275" s="4"/>
    </row>
    <row r="276" spans="1:23" x14ac:dyDescent="0.2">
      <c r="C276" s="47"/>
      <c r="E276" s="2"/>
      <c r="G276" s="4"/>
      <c r="H276" s="4"/>
      <c r="N276" s="3"/>
      <c r="O276" s="3"/>
      <c r="P276" s="4"/>
      <c r="Q276" s="4"/>
      <c r="R276" s="4"/>
      <c r="S276" s="4"/>
      <c r="T276" s="4"/>
      <c r="U276" s="4"/>
      <c r="V276" s="4"/>
      <c r="W276" s="4"/>
    </row>
    <row r="277" spans="1:23" x14ac:dyDescent="0.2">
      <c r="C277" s="47"/>
      <c r="E277" s="2"/>
      <c r="G277" s="4"/>
      <c r="H277" s="4"/>
      <c r="N277" s="3"/>
      <c r="O277" s="3"/>
      <c r="P277" s="4"/>
      <c r="Q277" s="4"/>
      <c r="R277" s="4"/>
      <c r="S277" s="4"/>
      <c r="T277" s="4"/>
      <c r="U277" s="4"/>
      <c r="V277" s="4"/>
      <c r="W277" s="4"/>
    </row>
    <row r="278" spans="1:23" ht="15" x14ac:dyDescent="0.25">
      <c r="A278" s="39"/>
      <c r="B278" s="57"/>
      <c r="C278" s="154"/>
      <c r="D278" s="39"/>
      <c r="E278" s="2"/>
      <c r="G278" s="4"/>
      <c r="H278" s="4"/>
      <c r="N278" s="3"/>
      <c r="O278" s="3"/>
      <c r="P278" s="4"/>
      <c r="Q278" s="4"/>
      <c r="R278" s="4"/>
      <c r="S278" s="4"/>
      <c r="T278" s="4"/>
      <c r="U278" s="4"/>
      <c r="V278" s="4"/>
      <c r="W278" s="4"/>
    </row>
    <row r="279" spans="1:23" x14ac:dyDescent="0.2">
      <c r="C279" s="47"/>
      <c r="E279" s="2"/>
      <c r="G279" s="4"/>
      <c r="H279" s="4"/>
      <c r="N279" s="3"/>
      <c r="O279" s="3"/>
      <c r="P279" s="4"/>
      <c r="Q279" s="4"/>
      <c r="R279" s="4"/>
      <c r="S279" s="4"/>
      <c r="T279" s="4"/>
      <c r="U279" s="4"/>
      <c r="V279" s="4"/>
      <c r="W279" s="4"/>
    </row>
    <row r="280" spans="1:23" x14ac:dyDescent="0.2">
      <c r="C280" s="160"/>
      <c r="E280" s="2"/>
      <c r="G280" s="4"/>
      <c r="H280" s="4"/>
      <c r="N280" s="3"/>
      <c r="O280" s="3"/>
      <c r="P280" s="4"/>
      <c r="Q280" s="4"/>
      <c r="R280" s="4"/>
      <c r="S280" s="4"/>
      <c r="T280" s="4"/>
      <c r="U280" s="4"/>
      <c r="V280" s="4"/>
      <c r="W280" s="4"/>
    </row>
    <row r="281" spans="1:23" x14ac:dyDescent="0.2">
      <c r="C281" s="47"/>
      <c r="E281" s="2"/>
      <c r="G281" s="4"/>
      <c r="H281" s="4"/>
      <c r="N281" s="3"/>
      <c r="O281" s="3"/>
      <c r="P281" s="4"/>
      <c r="Q281" s="4"/>
      <c r="R281" s="4"/>
      <c r="S281" s="4"/>
      <c r="T281" s="4"/>
      <c r="U281" s="4"/>
      <c r="V281" s="4"/>
      <c r="W281" s="4"/>
    </row>
    <row r="282" spans="1:23" ht="15" x14ac:dyDescent="0.25">
      <c r="B282" s="57"/>
      <c r="C282" s="154"/>
      <c r="D282" s="39"/>
      <c r="E282" s="2"/>
      <c r="G282" s="4"/>
      <c r="H282" s="4"/>
      <c r="N282" s="3"/>
      <c r="O282" s="3"/>
      <c r="P282" s="4"/>
      <c r="Q282" s="4"/>
      <c r="R282" s="4"/>
      <c r="S282" s="4"/>
      <c r="T282" s="4"/>
      <c r="U282" s="4"/>
      <c r="V282" s="4"/>
      <c r="W282" s="4"/>
    </row>
    <row r="283" spans="1:23" x14ac:dyDescent="0.2">
      <c r="C283" s="47"/>
      <c r="E283" s="2"/>
      <c r="G283" s="4"/>
      <c r="H283" s="4"/>
      <c r="N283" s="3"/>
      <c r="O283" s="3"/>
      <c r="P283" s="4"/>
      <c r="Q283" s="4"/>
      <c r="R283" s="4"/>
      <c r="S283" s="4"/>
      <c r="T283" s="4"/>
      <c r="U283" s="4"/>
      <c r="V283" s="4"/>
      <c r="W283" s="4"/>
    </row>
    <row r="284" spans="1:23" x14ac:dyDescent="0.2">
      <c r="C284" s="160"/>
      <c r="E284" s="2"/>
      <c r="G284" s="4"/>
      <c r="H284" s="4"/>
      <c r="N284" s="3"/>
      <c r="O284" s="3"/>
      <c r="P284" s="4"/>
      <c r="Q284" s="4"/>
      <c r="R284" s="4"/>
      <c r="S284" s="4"/>
      <c r="T284" s="4"/>
      <c r="U284" s="4"/>
      <c r="V284" s="4"/>
      <c r="W284" s="4"/>
    </row>
    <row r="285" spans="1:23" x14ac:dyDescent="0.2">
      <c r="C285" s="47"/>
      <c r="E285" s="2"/>
      <c r="G285" s="4"/>
      <c r="H285" s="4"/>
      <c r="N285" s="3"/>
      <c r="O285" s="3"/>
      <c r="P285" s="4"/>
      <c r="Q285" s="4"/>
      <c r="R285" s="4"/>
      <c r="S285" s="4"/>
      <c r="T285" s="4"/>
      <c r="U285" s="4"/>
      <c r="V285" s="4"/>
      <c r="W285" s="4"/>
    </row>
    <row r="286" spans="1:23" ht="15" x14ac:dyDescent="0.25">
      <c r="B286" s="57"/>
      <c r="C286" s="154"/>
      <c r="D286" s="39"/>
      <c r="E286" s="2"/>
      <c r="G286" s="4"/>
      <c r="H286" s="4"/>
      <c r="N286" s="3"/>
      <c r="O286" s="3"/>
      <c r="P286" s="4"/>
      <c r="Q286" s="4"/>
      <c r="R286" s="4"/>
      <c r="S286" s="4"/>
      <c r="T286" s="4"/>
      <c r="U286" s="4"/>
      <c r="V286" s="4"/>
      <c r="W286" s="4"/>
    </row>
    <row r="287" spans="1:23" x14ac:dyDescent="0.2">
      <c r="C287" s="47"/>
      <c r="E287" s="2"/>
      <c r="G287" s="4"/>
      <c r="H287" s="4"/>
      <c r="N287" s="3"/>
      <c r="O287" s="3"/>
      <c r="P287" s="4"/>
      <c r="Q287" s="4"/>
      <c r="R287" s="4"/>
      <c r="S287" s="4"/>
      <c r="T287" s="4"/>
      <c r="U287" s="4"/>
      <c r="V287" s="4"/>
      <c r="W287" s="4"/>
    </row>
    <row r="288" spans="1:23" x14ac:dyDescent="0.2">
      <c r="C288" s="160"/>
      <c r="E288" s="2"/>
      <c r="G288" s="4"/>
      <c r="H288" s="4"/>
      <c r="N288" s="3"/>
      <c r="O288" s="3"/>
      <c r="P288" s="4"/>
      <c r="Q288" s="4"/>
      <c r="R288" s="4"/>
      <c r="S288" s="4"/>
      <c r="T288" s="4"/>
      <c r="U288" s="4"/>
      <c r="V288" s="4"/>
      <c r="W288" s="4"/>
    </row>
    <row r="289" spans="2:23" x14ac:dyDescent="0.2">
      <c r="C289" s="47"/>
      <c r="E289" s="2"/>
      <c r="G289" s="4"/>
      <c r="H289" s="4"/>
      <c r="N289" s="3"/>
      <c r="O289" s="3"/>
      <c r="P289" s="4"/>
      <c r="Q289" s="4"/>
      <c r="R289" s="4"/>
      <c r="S289" s="4"/>
      <c r="T289" s="4"/>
      <c r="U289" s="4"/>
      <c r="V289" s="4"/>
      <c r="W289" s="4"/>
    </row>
    <row r="290" spans="2:23" ht="15" x14ac:dyDescent="0.25">
      <c r="B290" s="57"/>
      <c r="C290" s="154"/>
      <c r="D290" s="39"/>
      <c r="E290" s="2"/>
      <c r="G290" s="4"/>
      <c r="H290" s="4"/>
      <c r="N290" s="3"/>
      <c r="O290" s="3"/>
      <c r="P290" s="4"/>
      <c r="Q290" s="4"/>
      <c r="R290" s="4"/>
      <c r="S290" s="4"/>
      <c r="T290" s="4"/>
      <c r="U290" s="4"/>
      <c r="V290" s="4"/>
      <c r="W290" s="4"/>
    </row>
    <row r="291" spans="2:23" x14ac:dyDescent="0.2">
      <c r="C291" s="47"/>
      <c r="E291" s="2"/>
      <c r="G291" s="4"/>
      <c r="H291" s="4"/>
      <c r="N291" s="3"/>
      <c r="O291" s="3"/>
      <c r="P291" s="4"/>
      <c r="Q291" s="4"/>
      <c r="R291" s="4"/>
      <c r="S291" s="4"/>
      <c r="T291" s="4"/>
      <c r="U291" s="4"/>
      <c r="V291" s="4"/>
      <c r="W291" s="4"/>
    </row>
    <row r="292" spans="2:23" x14ac:dyDescent="0.2">
      <c r="C292" s="160"/>
      <c r="E292" s="2"/>
      <c r="G292" s="4"/>
      <c r="H292" s="4"/>
      <c r="N292" s="3"/>
      <c r="O292" s="3"/>
      <c r="P292" s="4"/>
      <c r="Q292" s="4"/>
      <c r="R292" s="4"/>
      <c r="S292" s="4"/>
      <c r="T292" s="4"/>
      <c r="U292" s="4"/>
      <c r="V292" s="4"/>
      <c r="W292" s="4"/>
    </row>
    <row r="293" spans="2:23" x14ac:dyDescent="0.2">
      <c r="C293" s="47"/>
      <c r="E293" s="2"/>
      <c r="G293" s="4"/>
      <c r="H293" s="4"/>
      <c r="N293" s="3"/>
      <c r="O293" s="3"/>
      <c r="P293" s="4"/>
      <c r="Q293" s="4"/>
      <c r="R293" s="4"/>
      <c r="S293" s="4"/>
      <c r="T293" s="4"/>
      <c r="U293" s="4"/>
      <c r="V293" s="4"/>
      <c r="W293" s="4"/>
    </row>
    <row r="294" spans="2:23" ht="15" x14ac:dyDescent="0.25">
      <c r="B294" s="57"/>
      <c r="C294" s="154"/>
      <c r="D294" s="39"/>
      <c r="E294" s="2"/>
      <c r="G294" s="4"/>
      <c r="H294" s="4"/>
      <c r="N294" s="3"/>
      <c r="O294" s="3"/>
      <c r="P294" s="4"/>
      <c r="Q294" s="4"/>
      <c r="R294" s="4"/>
      <c r="S294" s="4"/>
      <c r="T294" s="4"/>
      <c r="U294" s="4"/>
      <c r="V294" s="4"/>
      <c r="W294" s="4"/>
    </row>
    <row r="295" spans="2:23" x14ac:dyDescent="0.2">
      <c r="C295" s="47"/>
      <c r="E295" s="2"/>
      <c r="G295" s="4"/>
      <c r="H295" s="4"/>
      <c r="N295" s="3"/>
      <c r="O295" s="3"/>
      <c r="P295" s="4"/>
      <c r="Q295" s="4"/>
      <c r="R295" s="4"/>
      <c r="S295" s="4"/>
      <c r="T295" s="4"/>
      <c r="U295" s="4"/>
      <c r="V295" s="4"/>
      <c r="W295" s="4"/>
    </row>
    <row r="296" spans="2:23" x14ac:dyDescent="0.2">
      <c r="C296" s="160"/>
      <c r="E296" s="2"/>
      <c r="G296" s="4"/>
      <c r="H296" s="4"/>
      <c r="N296" s="3"/>
      <c r="O296" s="3"/>
      <c r="P296" s="4"/>
      <c r="Q296" s="4"/>
      <c r="R296" s="4"/>
      <c r="S296" s="4"/>
      <c r="T296" s="4"/>
      <c r="U296" s="4"/>
      <c r="V296" s="4"/>
      <c r="W296" s="4"/>
    </row>
    <row r="297" spans="2:23" x14ac:dyDescent="0.2">
      <c r="C297" s="47"/>
      <c r="E297" s="2"/>
      <c r="G297" s="4"/>
      <c r="H297" s="4"/>
      <c r="N297" s="3"/>
      <c r="O297" s="3"/>
      <c r="P297" s="4"/>
      <c r="Q297" s="4"/>
      <c r="R297" s="4"/>
      <c r="S297" s="4"/>
      <c r="T297" s="4"/>
      <c r="U297" s="4"/>
      <c r="V297" s="4"/>
      <c r="W297" s="4"/>
    </row>
    <row r="298" spans="2:23" ht="15" x14ac:dyDescent="0.25">
      <c r="B298" s="57"/>
      <c r="C298" s="154"/>
      <c r="D298" s="39"/>
      <c r="E298" s="2"/>
      <c r="G298" s="4"/>
      <c r="H298" s="4"/>
      <c r="N298" s="3"/>
      <c r="O298" s="3"/>
      <c r="P298" s="4"/>
      <c r="Q298" s="4"/>
      <c r="R298" s="4"/>
      <c r="S298" s="4"/>
      <c r="T298" s="4"/>
      <c r="U298" s="4"/>
      <c r="V298" s="4"/>
      <c r="W298" s="4"/>
    </row>
    <row r="299" spans="2:23" x14ac:dyDescent="0.2">
      <c r="C299" s="47"/>
      <c r="E299" s="2"/>
      <c r="G299" s="3"/>
      <c r="H299" s="3"/>
      <c r="N299" s="3"/>
      <c r="O299" s="3"/>
      <c r="P299" s="4"/>
      <c r="Q299" s="4"/>
      <c r="R299" s="4"/>
      <c r="S299" s="4"/>
      <c r="T299" s="4"/>
      <c r="U299" s="4"/>
      <c r="V299" s="4"/>
      <c r="W299" s="4"/>
    </row>
    <row r="300" spans="2:23" x14ac:dyDescent="0.2">
      <c r="C300" s="160"/>
      <c r="E300" s="2"/>
      <c r="F300" s="2"/>
      <c r="H300" s="2"/>
      <c r="N300" s="3"/>
      <c r="O300" s="3"/>
      <c r="P300" s="4"/>
      <c r="Q300" s="4"/>
      <c r="R300" s="4"/>
      <c r="S300" s="4"/>
      <c r="T300" s="4"/>
      <c r="U300" s="4"/>
      <c r="V300" s="4"/>
      <c r="W300" s="4"/>
    </row>
    <row r="301" spans="2:23" x14ac:dyDescent="0.2">
      <c r="C301" s="47"/>
      <c r="E301" s="2"/>
      <c r="F301" s="3"/>
      <c r="G301" s="3"/>
      <c r="H301" s="3"/>
      <c r="N301" s="3"/>
      <c r="O301" s="3"/>
      <c r="P301" s="4"/>
      <c r="Q301" s="4"/>
      <c r="R301" s="4"/>
      <c r="S301" s="4"/>
      <c r="T301" s="4"/>
      <c r="U301" s="4"/>
      <c r="V301" s="4"/>
      <c r="W301" s="4"/>
    </row>
    <row r="302" spans="2:23" ht="15" x14ac:dyDescent="0.25">
      <c r="B302" s="57"/>
      <c r="C302" s="154"/>
      <c r="D302" s="39"/>
      <c r="E302" s="2"/>
      <c r="F302" s="8"/>
      <c r="G302" s="8"/>
      <c r="H302" s="8"/>
      <c r="N302" s="3"/>
      <c r="O302" s="3"/>
      <c r="P302" s="4"/>
      <c r="Q302" s="4"/>
      <c r="R302" s="4"/>
      <c r="S302" s="4"/>
      <c r="T302" s="4"/>
      <c r="U302" s="4"/>
      <c r="V302" s="4"/>
      <c r="W302" s="4"/>
    </row>
    <row r="303" spans="2:23" x14ac:dyDescent="0.2">
      <c r="C303" s="47"/>
      <c r="E303" s="2"/>
      <c r="F303" s="8"/>
      <c r="G303" s="8"/>
      <c r="H303" s="8"/>
      <c r="N303" s="3"/>
      <c r="O303" s="3"/>
      <c r="P303" s="4"/>
      <c r="Q303" s="4"/>
      <c r="R303" s="4"/>
      <c r="S303" s="4"/>
      <c r="T303" s="4"/>
      <c r="U303" s="4"/>
      <c r="V303" s="4"/>
      <c r="W303" s="4"/>
    </row>
    <row r="304" spans="2:23" x14ac:dyDescent="0.2">
      <c r="E304" s="2"/>
      <c r="F304" s="8"/>
      <c r="G304" s="8"/>
      <c r="H304" s="8"/>
      <c r="N304" s="3"/>
      <c r="O304" s="3"/>
      <c r="P304" s="4"/>
      <c r="Q304" s="4"/>
      <c r="R304" s="4"/>
      <c r="S304" s="4"/>
      <c r="T304" s="4"/>
      <c r="U304" s="4"/>
      <c r="V304" s="4"/>
      <c r="W304" s="4"/>
    </row>
    <row r="305" spans="2:23" x14ac:dyDescent="0.2">
      <c r="E305" s="2"/>
      <c r="F305" s="8"/>
      <c r="G305" s="8"/>
      <c r="H305" s="8"/>
      <c r="N305" s="3"/>
      <c r="O305" s="3"/>
      <c r="P305" s="4"/>
      <c r="Q305" s="4"/>
      <c r="R305" s="4"/>
      <c r="S305" s="4"/>
      <c r="T305" s="4"/>
      <c r="U305" s="4"/>
      <c r="V305" s="4"/>
      <c r="W305" s="4"/>
    </row>
    <row r="306" spans="2:23" x14ac:dyDescent="0.2">
      <c r="E306" s="2"/>
      <c r="F306" s="8"/>
      <c r="G306" s="8"/>
      <c r="H306" s="8"/>
      <c r="N306" s="3"/>
      <c r="O306" s="3"/>
      <c r="P306" s="4"/>
      <c r="Q306" s="4"/>
      <c r="R306" s="4"/>
      <c r="S306" s="4"/>
      <c r="T306" s="4"/>
      <c r="U306" s="4"/>
      <c r="V306" s="4"/>
      <c r="W306" s="4"/>
    </row>
    <row r="307" spans="2:23" x14ac:dyDescent="0.2">
      <c r="E307" s="2"/>
      <c r="F307" s="8"/>
      <c r="G307" s="8"/>
      <c r="H307" s="8"/>
      <c r="N307" s="3"/>
      <c r="O307" s="3"/>
      <c r="P307" s="4"/>
      <c r="Q307" s="4"/>
      <c r="R307" s="4"/>
      <c r="S307" s="4"/>
      <c r="T307" s="4"/>
      <c r="U307" s="4"/>
      <c r="V307" s="4"/>
      <c r="W307" s="4"/>
    </row>
    <row r="308" spans="2:23" ht="15" x14ac:dyDescent="0.25">
      <c r="B308" s="1"/>
      <c r="E308" s="2"/>
      <c r="F308" s="8"/>
      <c r="G308" s="8"/>
      <c r="H308" s="8"/>
      <c r="N308" s="3"/>
      <c r="O308" s="3"/>
      <c r="P308" s="4"/>
      <c r="Q308" s="4"/>
      <c r="R308" s="4"/>
      <c r="S308" s="4"/>
      <c r="T308" s="4"/>
      <c r="U308" s="4"/>
      <c r="V308" s="4"/>
      <c r="W308" s="4"/>
    </row>
    <row r="309" spans="2:23" x14ac:dyDescent="0.2">
      <c r="E309" s="2"/>
      <c r="F309" s="8"/>
      <c r="G309" s="8"/>
      <c r="H309" s="8"/>
      <c r="N309" s="3"/>
      <c r="O309" s="3"/>
      <c r="P309" s="4"/>
      <c r="Q309" s="4"/>
      <c r="R309" s="4"/>
      <c r="S309" s="4"/>
      <c r="T309" s="4"/>
      <c r="U309" s="4"/>
      <c r="V309" s="4"/>
      <c r="W309" s="4"/>
    </row>
    <row r="310" spans="2:23" x14ac:dyDescent="0.2">
      <c r="E310" s="2"/>
      <c r="F310" s="8"/>
      <c r="G310" s="8"/>
      <c r="H310" s="8"/>
      <c r="N310" s="3"/>
      <c r="O310" s="3"/>
      <c r="P310" s="4"/>
      <c r="Q310" s="4"/>
      <c r="R310" s="4"/>
      <c r="S310" s="4"/>
      <c r="T310" s="4"/>
      <c r="U310" s="4"/>
      <c r="V310" s="4"/>
      <c r="W310" s="4"/>
    </row>
    <row r="311" spans="2:23" x14ac:dyDescent="0.2">
      <c r="E311" s="2"/>
      <c r="F311" s="8"/>
      <c r="G311" s="8"/>
      <c r="H311" s="8"/>
      <c r="N311" s="3"/>
      <c r="O311" s="3"/>
      <c r="P311" s="4"/>
      <c r="Q311" s="4"/>
      <c r="R311" s="4"/>
      <c r="S311" s="4"/>
      <c r="T311" s="4"/>
      <c r="U311" s="4"/>
      <c r="V311" s="4"/>
      <c r="W311" s="4"/>
    </row>
    <row r="312" spans="2:23" x14ac:dyDescent="0.2">
      <c r="E312" s="2"/>
      <c r="F312" s="8"/>
      <c r="G312" s="8"/>
      <c r="H312" s="8"/>
      <c r="N312" s="3"/>
      <c r="O312" s="3"/>
      <c r="P312" s="4"/>
      <c r="Q312" s="4"/>
      <c r="R312" s="4"/>
      <c r="S312" s="4"/>
      <c r="T312" s="4"/>
      <c r="U312" s="4"/>
      <c r="V312" s="4"/>
      <c r="W312" s="4"/>
    </row>
    <row r="313" spans="2:23" x14ac:dyDescent="0.2">
      <c r="E313" s="2"/>
      <c r="F313" s="8"/>
      <c r="G313" s="8"/>
      <c r="H313" s="8"/>
      <c r="N313" s="3"/>
      <c r="O313" s="3"/>
      <c r="P313" s="4"/>
      <c r="Q313" s="4"/>
      <c r="R313" s="4"/>
      <c r="S313" s="4"/>
      <c r="T313" s="4"/>
      <c r="U313" s="4"/>
      <c r="V313" s="4"/>
      <c r="W313" s="4"/>
    </row>
    <row r="314" spans="2:23" x14ac:dyDescent="0.2">
      <c r="E314" s="2"/>
      <c r="F314" s="8"/>
      <c r="G314" s="8"/>
      <c r="H314" s="8"/>
      <c r="N314" s="3"/>
      <c r="O314" s="3"/>
      <c r="P314" s="4"/>
      <c r="Q314" s="4"/>
      <c r="R314" s="4"/>
      <c r="S314" s="4"/>
      <c r="T314" s="4"/>
      <c r="U314" s="4"/>
      <c r="V314" s="4"/>
      <c r="W314" s="4"/>
    </row>
    <row r="315" spans="2:23" x14ac:dyDescent="0.2">
      <c r="E315" s="2"/>
      <c r="F315" s="8"/>
      <c r="G315" s="8"/>
      <c r="H315" s="8"/>
      <c r="N315" s="3"/>
      <c r="O315" s="3"/>
      <c r="P315" s="4"/>
      <c r="Q315" s="4"/>
      <c r="R315" s="4"/>
      <c r="S315" s="4"/>
      <c r="T315" s="4"/>
      <c r="U315" s="4"/>
      <c r="V315" s="4"/>
      <c r="W315" s="4"/>
    </row>
    <row r="316" spans="2:23" x14ac:dyDescent="0.2">
      <c r="E316" s="2"/>
      <c r="F316" s="8"/>
      <c r="G316" s="8"/>
      <c r="H316" s="8"/>
      <c r="N316" s="3"/>
      <c r="O316" s="3"/>
      <c r="P316" s="4"/>
      <c r="Q316" s="4"/>
      <c r="R316" s="4"/>
      <c r="S316" s="4"/>
      <c r="T316" s="4"/>
      <c r="U316" s="4"/>
      <c r="V316" s="4"/>
      <c r="W316" s="4"/>
    </row>
    <row r="317" spans="2:23" x14ac:dyDescent="0.2">
      <c r="E317" s="2"/>
      <c r="F317" s="8"/>
      <c r="G317" s="8"/>
      <c r="H317" s="8"/>
      <c r="N317" s="3"/>
      <c r="O317" s="3"/>
      <c r="P317" s="4"/>
      <c r="Q317" s="4"/>
      <c r="R317" s="4"/>
      <c r="S317" s="4"/>
      <c r="T317" s="4"/>
      <c r="U317" s="4"/>
      <c r="V317" s="4"/>
      <c r="W317" s="4"/>
    </row>
    <row r="318" spans="2:23" x14ac:dyDescent="0.2">
      <c r="E318" s="2"/>
      <c r="F318" s="8"/>
      <c r="G318" s="8"/>
      <c r="H318" s="8"/>
      <c r="N318" s="3"/>
      <c r="O318" s="3"/>
      <c r="P318" s="4"/>
      <c r="Q318" s="4"/>
      <c r="R318" s="4"/>
      <c r="S318" s="4"/>
      <c r="T318" s="4"/>
      <c r="U318" s="4"/>
      <c r="V318" s="4"/>
      <c r="W318" s="4"/>
    </row>
    <row r="319" spans="2:23" x14ac:dyDescent="0.2">
      <c r="E319" s="2"/>
      <c r="F319" s="8"/>
      <c r="G319" s="8"/>
      <c r="H319" s="8"/>
      <c r="N319" s="3"/>
      <c r="O319" s="3"/>
      <c r="P319" s="4"/>
      <c r="Q319" s="4"/>
      <c r="R319" s="4"/>
      <c r="S319" s="4"/>
      <c r="T319" s="4"/>
      <c r="U319" s="4"/>
      <c r="V319" s="4"/>
      <c r="W319" s="4"/>
    </row>
    <row r="320" spans="2:23" x14ac:dyDescent="0.2">
      <c r="E320" s="2"/>
      <c r="F320" s="8"/>
      <c r="G320" s="8"/>
      <c r="H320" s="8"/>
      <c r="N320" s="3"/>
      <c r="O320" s="3"/>
      <c r="P320" s="4"/>
      <c r="Q320" s="4"/>
      <c r="R320" s="4"/>
      <c r="S320" s="4"/>
      <c r="T320" s="4"/>
      <c r="U320" s="4"/>
      <c r="V320" s="4"/>
      <c r="W320" s="4"/>
    </row>
    <row r="321" spans="2:23" x14ac:dyDescent="0.2">
      <c r="E321" s="2"/>
      <c r="F321" s="8"/>
      <c r="G321" s="8"/>
      <c r="H321" s="8"/>
      <c r="N321" s="3"/>
      <c r="O321" s="3"/>
      <c r="P321" s="4"/>
      <c r="Q321" s="4"/>
      <c r="R321" s="4"/>
      <c r="S321" s="4"/>
      <c r="T321" s="4"/>
      <c r="U321" s="4"/>
      <c r="V321" s="4"/>
      <c r="W321" s="4"/>
    </row>
    <row r="322" spans="2:23" x14ac:dyDescent="0.2">
      <c r="E322" s="2"/>
      <c r="F322" s="8"/>
      <c r="G322" s="8"/>
      <c r="H322" s="8"/>
      <c r="N322" s="3"/>
      <c r="O322" s="3"/>
      <c r="P322" s="4"/>
      <c r="Q322" s="4"/>
      <c r="R322" s="4"/>
      <c r="S322" s="4"/>
      <c r="T322" s="4"/>
      <c r="U322" s="4"/>
      <c r="V322" s="4"/>
      <c r="W322" s="4"/>
    </row>
    <row r="323" spans="2:23" x14ac:dyDescent="0.2">
      <c r="E323" s="2"/>
      <c r="F323" s="8"/>
      <c r="G323" s="8"/>
      <c r="H323" s="8"/>
      <c r="N323" s="3"/>
      <c r="O323" s="3"/>
      <c r="P323" s="4"/>
      <c r="Q323" s="4"/>
      <c r="R323" s="4"/>
      <c r="S323" s="4"/>
      <c r="T323" s="4"/>
      <c r="U323" s="4"/>
      <c r="V323" s="4"/>
      <c r="W323" s="4"/>
    </row>
    <row r="324" spans="2:23" ht="15" x14ac:dyDescent="0.25">
      <c r="B324" s="84"/>
      <c r="E324" s="2"/>
      <c r="F324" s="8"/>
      <c r="G324" s="8"/>
      <c r="H324" s="8"/>
      <c r="N324" s="3"/>
      <c r="O324" s="3"/>
      <c r="P324" s="4"/>
      <c r="Q324" s="4"/>
      <c r="R324" s="4"/>
      <c r="S324" s="4"/>
      <c r="T324" s="4"/>
      <c r="U324" s="4"/>
      <c r="V324" s="4"/>
      <c r="W324" s="4"/>
    </row>
    <row r="325" spans="2:23" x14ac:dyDescent="0.2">
      <c r="B325" s="4"/>
      <c r="C325" s="4"/>
      <c r="G325" s="4"/>
      <c r="H325" s="8"/>
      <c r="N325" s="3"/>
      <c r="O325" s="3"/>
      <c r="P325" s="4"/>
      <c r="Q325" s="4"/>
      <c r="R325" s="4"/>
      <c r="S325" s="4"/>
      <c r="T325" s="4"/>
      <c r="U325" s="4"/>
      <c r="V325" s="4"/>
      <c r="W325" s="4"/>
    </row>
    <row r="326" spans="2:23" x14ac:dyDescent="0.2">
      <c r="B326" s="4"/>
      <c r="C326" s="4"/>
      <c r="D326" s="3"/>
      <c r="G326" s="4"/>
      <c r="H326" s="8"/>
      <c r="N326" s="3"/>
      <c r="O326" s="3"/>
      <c r="P326" s="4"/>
      <c r="Q326" s="4"/>
      <c r="R326" s="4"/>
      <c r="S326" s="4"/>
      <c r="T326" s="4"/>
      <c r="U326" s="4"/>
      <c r="V326" s="4"/>
      <c r="W326" s="4"/>
    </row>
    <row r="327" spans="2:23" x14ac:dyDescent="0.2">
      <c r="B327" s="4"/>
      <c r="C327" s="4"/>
      <c r="D327" s="3"/>
      <c r="G327" s="4"/>
      <c r="H327" s="8"/>
      <c r="N327" s="3"/>
      <c r="O327" s="3"/>
      <c r="P327" s="4"/>
      <c r="Q327" s="4"/>
      <c r="R327" s="4"/>
      <c r="S327" s="4"/>
      <c r="T327" s="4"/>
      <c r="U327" s="4"/>
      <c r="V327" s="4"/>
      <c r="W327" s="4"/>
    </row>
    <row r="328" spans="2:23" x14ac:dyDescent="0.2">
      <c r="B328" s="4"/>
      <c r="C328" s="4"/>
      <c r="D328" s="3"/>
      <c r="G328" s="4"/>
      <c r="H328" s="8"/>
      <c r="N328" s="3"/>
      <c r="O328" s="3"/>
      <c r="P328" s="4"/>
      <c r="Q328" s="4"/>
      <c r="R328" s="4"/>
      <c r="S328" s="4"/>
      <c r="T328" s="4"/>
      <c r="U328" s="4"/>
      <c r="V328" s="4"/>
      <c r="W328" s="4"/>
    </row>
    <row r="329" spans="2:23" x14ac:dyDescent="0.2">
      <c r="B329" s="4"/>
      <c r="C329" s="4"/>
      <c r="D329" s="3"/>
      <c r="G329" s="4"/>
      <c r="H329" s="8"/>
      <c r="N329" s="3"/>
      <c r="O329" s="3"/>
      <c r="P329" s="4"/>
      <c r="Q329" s="4"/>
      <c r="R329" s="4"/>
      <c r="S329" s="4"/>
      <c r="T329" s="4"/>
      <c r="U329" s="4"/>
      <c r="V329" s="4"/>
      <c r="W329" s="4"/>
    </row>
    <row r="330" spans="2:23" x14ac:dyDescent="0.2">
      <c r="B330" s="4"/>
      <c r="C330" s="4"/>
      <c r="D330" s="3"/>
      <c r="G330" s="4"/>
      <c r="H330" s="8"/>
      <c r="N330" s="3"/>
      <c r="O330" s="3"/>
      <c r="P330" s="4"/>
      <c r="Q330" s="4"/>
      <c r="R330" s="4"/>
      <c r="S330" s="4"/>
      <c r="T330" s="4"/>
      <c r="U330" s="4"/>
      <c r="V330" s="4"/>
      <c r="W330" s="4"/>
    </row>
    <row r="331" spans="2:23" x14ac:dyDescent="0.2">
      <c r="B331" s="4"/>
      <c r="C331" s="4"/>
      <c r="D331" s="3"/>
      <c r="G331" s="4"/>
      <c r="H331" s="8"/>
      <c r="N331" s="3"/>
      <c r="O331" s="3"/>
      <c r="P331" s="4"/>
      <c r="Q331" s="4"/>
      <c r="R331" s="4"/>
      <c r="S331" s="4"/>
      <c r="T331" s="4"/>
      <c r="U331" s="4"/>
      <c r="V331" s="4"/>
      <c r="W331" s="4"/>
    </row>
    <row r="332" spans="2:23" x14ac:dyDescent="0.2">
      <c r="B332" s="4"/>
      <c r="C332" s="4"/>
      <c r="G332" s="4"/>
      <c r="H332" s="8"/>
      <c r="N332" s="3"/>
      <c r="O332" s="3"/>
      <c r="P332" s="4"/>
      <c r="Q332" s="4"/>
      <c r="R332" s="4"/>
      <c r="S332" s="4"/>
      <c r="T332" s="4"/>
      <c r="U332" s="4"/>
      <c r="V332" s="4"/>
      <c r="W332" s="4"/>
    </row>
    <row r="333" spans="2:23" x14ac:dyDescent="0.2">
      <c r="B333" s="4"/>
      <c r="C333" s="4"/>
      <c r="G333" s="4"/>
      <c r="H333" s="8"/>
      <c r="N333" s="3"/>
      <c r="O333" s="3"/>
      <c r="P333" s="4"/>
      <c r="Q333" s="4"/>
      <c r="R333" s="4"/>
      <c r="S333" s="4"/>
      <c r="T333" s="4"/>
      <c r="U333" s="4"/>
      <c r="V333" s="4"/>
      <c r="W333" s="4"/>
    </row>
    <row r="334" spans="2:23" x14ac:dyDescent="0.2">
      <c r="B334" s="4"/>
      <c r="C334" s="4"/>
      <c r="G334" s="4"/>
      <c r="H334" s="8"/>
      <c r="N334" s="3"/>
      <c r="O334" s="3"/>
      <c r="P334" s="4"/>
      <c r="Q334" s="4"/>
      <c r="R334" s="4"/>
      <c r="S334" s="4"/>
      <c r="T334" s="4"/>
      <c r="U334" s="4"/>
      <c r="V334" s="4"/>
      <c r="W334" s="4"/>
    </row>
    <row r="335" spans="2:23" x14ac:dyDescent="0.2">
      <c r="B335" s="4"/>
      <c r="C335" s="4"/>
      <c r="G335" s="4"/>
      <c r="H335" s="8"/>
      <c r="N335" s="3"/>
      <c r="O335" s="3"/>
      <c r="P335" s="4"/>
      <c r="Q335" s="4"/>
      <c r="R335" s="4"/>
      <c r="S335" s="4"/>
      <c r="T335" s="4"/>
      <c r="U335" s="4"/>
      <c r="V335" s="4"/>
      <c r="W335" s="4"/>
    </row>
    <row r="336" spans="2:23" x14ac:dyDescent="0.2">
      <c r="B336" s="4"/>
      <c r="C336" s="4"/>
      <c r="G336" s="4"/>
      <c r="H336" s="8"/>
      <c r="N336" s="3"/>
      <c r="O336" s="3"/>
      <c r="P336" s="4"/>
      <c r="Q336" s="4"/>
      <c r="R336" s="4"/>
      <c r="S336" s="4"/>
      <c r="T336" s="4"/>
      <c r="U336" s="4"/>
      <c r="V336" s="4"/>
      <c r="W336" s="4"/>
    </row>
    <row r="337" spans="1:23" x14ac:dyDescent="0.2">
      <c r="B337" s="4"/>
      <c r="C337" s="4"/>
      <c r="G337" s="4"/>
      <c r="H337" s="8"/>
      <c r="N337" s="3"/>
      <c r="O337" s="3"/>
      <c r="P337" s="4"/>
      <c r="Q337" s="4"/>
      <c r="R337" s="4"/>
      <c r="S337" s="4"/>
      <c r="T337" s="4"/>
      <c r="U337" s="4"/>
      <c r="V337" s="4"/>
      <c r="W337" s="4"/>
    </row>
    <row r="338" spans="1:23" x14ac:dyDescent="0.2">
      <c r="E338" s="2"/>
      <c r="F338" s="8"/>
      <c r="G338" s="8"/>
      <c r="H338" s="8"/>
      <c r="N338" s="3"/>
      <c r="O338" s="3"/>
      <c r="P338" s="4"/>
      <c r="Q338" s="4"/>
      <c r="R338" s="4"/>
      <c r="S338" s="4"/>
      <c r="T338" s="4"/>
      <c r="U338" s="4"/>
      <c r="V338" s="4"/>
      <c r="W338" s="4"/>
    </row>
    <row r="339" spans="1:23" x14ac:dyDescent="0.2">
      <c r="A339" s="66"/>
      <c r="C339" s="47"/>
      <c r="E339" s="2"/>
      <c r="G339" s="4"/>
      <c r="H339" s="4"/>
      <c r="P339" s="4"/>
      <c r="Q339" s="4"/>
      <c r="R339" s="4"/>
      <c r="S339" s="4"/>
      <c r="T339" s="4"/>
      <c r="U339" s="4"/>
      <c r="V339" s="4"/>
      <c r="W339" s="4"/>
    </row>
    <row r="340" spans="1:23" ht="18.75" x14ac:dyDescent="0.35">
      <c r="B340" s="63"/>
      <c r="C340" s="47"/>
      <c r="E340" s="2"/>
      <c r="G340" s="4"/>
      <c r="H340" s="4"/>
      <c r="P340" s="4"/>
      <c r="Q340" s="4"/>
      <c r="R340" s="4"/>
      <c r="S340" s="4"/>
      <c r="T340" s="4"/>
      <c r="U340" s="4"/>
      <c r="V340" s="4"/>
      <c r="W340" s="4"/>
    </row>
    <row r="341" spans="1:23" ht="18.75" x14ac:dyDescent="0.35">
      <c r="B341" s="63"/>
      <c r="C341" s="47"/>
      <c r="E341" s="2"/>
      <c r="G341" s="4"/>
      <c r="H341" s="4"/>
      <c r="P341" s="4"/>
      <c r="Q341" s="4"/>
      <c r="R341" s="4"/>
      <c r="S341" s="4"/>
      <c r="T341" s="4"/>
      <c r="U341" s="4"/>
      <c r="V341" s="4"/>
      <c r="W341" s="4"/>
    </row>
    <row r="342" spans="1:23" x14ac:dyDescent="0.2">
      <c r="C342" s="47"/>
      <c r="E342" s="2"/>
      <c r="G342" s="4"/>
      <c r="H342" s="4"/>
      <c r="P342" s="4"/>
      <c r="Q342" s="4"/>
      <c r="R342" s="4"/>
      <c r="S342" s="4"/>
      <c r="T342" s="4"/>
      <c r="U342" s="4"/>
      <c r="V342" s="4"/>
      <c r="W342" s="4"/>
    </row>
    <row r="343" spans="1:23" ht="18.75" x14ac:dyDescent="0.35">
      <c r="B343" s="63"/>
      <c r="C343" s="47"/>
      <c r="E343" s="2"/>
      <c r="G343" s="4"/>
      <c r="H343" s="4"/>
      <c r="P343" s="4"/>
      <c r="Q343" s="4"/>
      <c r="R343" s="4"/>
      <c r="S343" s="4"/>
      <c r="T343" s="4"/>
      <c r="U343" s="4"/>
      <c r="V343" s="4"/>
      <c r="W343" s="4"/>
    </row>
    <row r="344" spans="1:23" ht="15" x14ac:dyDescent="0.25">
      <c r="B344" s="57"/>
      <c r="C344" s="154"/>
      <c r="D344" s="39"/>
      <c r="E344" s="2"/>
      <c r="G344" s="4"/>
      <c r="H344" s="4"/>
      <c r="P344" s="4"/>
      <c r="Q344" s="4"/>
      <c r="R344" s="4"/>
      <c r="S344" s="4"/>
      <c r="T344" s="4"/>
      <c r="U344" s="4"/>
      <c r="V344" s="4"/>
      <c r="W344" s="4"/>
    </row>
    <row r="345" spans="1:23" ht="18.75" x14ac:dyDescent="0.35">
      <c r="B345" s="63"/>
      <c r="C345" s="47"/>
      <c r="E345" s="2"/>
      <c r="G345" s="4"/>
      <c r="H345" s="4"/>
      <c r="P345" s="4"/>
      <c r="Q345" s="4"/>
      <c r="R345" s="4"/>
      <c r="S345" s="4"/>
      <c r="T345" s="4"/>
      <c r="U345" s="4"/>
      <c r="V345" s="4"/>
      <c r="W345" s="4"/>
    </row>
    <row r="346" spans="1:23" ht="18.75" x14ac:dyDescent="0.35">
      <c r="B346" s="63"/>
      <c r="C346" s="160"/>
      <c r="E346" s="2"/>
      <c r="G346" s="4"/>
      <c r="H346" s="4"/>
      <c r="P346" s="4"/>
      <c r="Q346" s="4"/>
      <c r="R346" s="4"/>
      <c r="S346" s="4"/>
      <c r="T346" s="4"/>
      <c r="U346" s="4"/>
      <c r="V346" s="4"/>
      <c r="W346" s="4"/>
    </row>
    <row r="347" spans="1:23" x14ac:dyDescent="0.2">
      <c r="C347" s="47"/>
      <c r="E347" s="2"/>
      <c r="G347" s="4"/>
      <c r="H347" s="4"/>
      <c r="P347" s="4"/>
      <c r="Q347" s="4"/>
      <c r="R347" s="4"/>
      <c r="S347" s="4"/>
      <c r="T347" s="4"/>
      <c r="U347" s="4"/>
      <c r="V347" s="4"/>
      <c r="W347" s="4"/>
    </row>
    <row r="348" spans="1:23" ht="15" x14ac:dyDescent="0.25">
      <c r="B348" s="57"/>
      <c r="C348" s="154"/>
      <c r="D348" s="39"/>
      <c r="E348" s="2"/>
      <c r="G348" s="4"/>
      <c r="H348" s="4"/>
      <c r="P348" s="4"/>
      <c r="Q348" s="4"/>
      <c r="R348" s="4"/>
      <c r="S348" s="4"/>
      <c r="T348" s="4"/>
      <c r="U348" s="4"/>
      <c r="V348" s="4"/>
      <c r="W348" s="4"/>
    </row>
    <row r="349" spans="1:23" ht="18.75" x14ac:dyDescent="0.35">
      <c r="B349" s="63"/>
      <c r="C349" s="47"/>
      <c r="E349" s="2"/>
      <c r="G349" s="4"/>
      <c r="H349" s="4"/>
      <c r="P349" s="4"/>
      <c r="Q349" s="4"/>
      <c r="R349" s="4"/>
      <c r="S349" s="4"/>
      <c r="T349" s="4"/>
      <c r="U349" s="4"/>
      <c r="V349" s="4"/>
      <c r="W349" s="4"/>
    </row>
    <row r="350" spans="1:23" ht="18.75" x14ac:dyDescent="0.35">
      <c r="B350" s="63"/>
      <c r="C350" s="160"/>
      <c r="E350" s="2"/>
      <c r="G350" s="4"/>
      <c r="H350" s="4"/>
      <c r="P350" s="4"/>
      <c r="Q350" s="4"/>
      <c r="R350" s="4"/>
      <c r="S350" s="4"/>
      <c r="T350" s="4"/>
      <c r="U350" s="4"/>
      <c r="V350" s="4"/>
      <c r="W350" s="4"/>
    </row>
    <row r="351" spans="1:23" x14ac:dyDescent="0.2">
      <c r="C351" s="47"/>
      <c r="E351" s="2"/>
      <c r="G351" s="4"/>
      <c r="H351" s="4"/>
      <c r="P351" s="4"/>
      <c r="Q351" s="4"/>
      <c r="R351" s="4"/>
      <c r="S351" s="4"/>
      <c r="T351" s="4"/>
      <c r="U351" s="4"/>
      <c r="V351" s="4"/>
      <c r="W351" s="4"/>
    </row>
    <row r="352" spans="1:23" ht="15" x14ac:dyDescent="0.25">
      <c r="B352" s="57"/>
      <c r="C352" s="154"/>
      <c r="D352" s="39"/>
      <c r="E352" s="2"/>
      <c r="G352" s="4"/>
      <c r="H352" s="4"/>
      <c r="P352" s="4"/>
      <c r="Q352" s="4"/>
      <c r="R352" s="4"/>
      <c r="S352" s="4"/>
      <c r="T352" s="4"/>
      <c r="U352" s="4"/>
      <c r="V352" s="4"/>
      <c r="W352" s="4"/>
    </row>
    <row r="353" spans="2:23" ht="18.75" x14ac:dyDescent="0.35">
      <c r="B353" s="63"/>
      <c r="C353" s="47"/>
      <c r="E353" s="2"/>
      <c r="G353" s="4"/>
      <c r="H353" s="4"/>
      <c r="N353" s="3"/>
      <c r="O353" s="3"/>
      <c r="P353" s="4"/>
      <c r="Q353" s="4"/>
      <c r="R353" s="4"/>
      <c r="S353" s="4"/>
      <c r="T353" s="4"/>
      <c r="U353" s="4"/>
      <c r="V353" s="4"/>
      <c r="W353" s="4"/>
    </row>
    <row r="354" spans="2:23" x14ac:dyDescent="0.2">
      <c r="C354" s="160"/>
      <c r="E354" s="2"/>
      <c r="G354" s="4"/>
      <c r="H354" s="4"/>
      <c r="N354" s="3"/>
      <c r="O354" s="3"/>
      <c r="P354" s="4"/>
      <c r="Q354" s="4"/>
      <c r="R354" s="4"/>
      <c r="S354" s="4"/>
      <c r="T354" s="4"/>
      <c r="U354" s="4"/>
      <c r="V354" s="4"/>
      <c r="W354" s="4"/>
    </row>
    <row r="355" spans="2:23" x14ac:dyDescent="0.2">
      <c r="C355" s="47"/>
      <c r="E355" s="2"/>
      <c r="G355" s="4"/>
      <c r="H355" s="4"/>
      <c r="N355" s="3"/>
      <c r="O355" s="3"/>
      <c r="P355" s="4"/>
      <c r="Q355" s="4"/>
      <c r="R355" s="4"/>
      <c r="S355" s="4"/>
      <c r="T355" s="4"/>
      <c r="U355" s="4"/>
      <c r="V355" s="4"/>
      <c r="W355" s="4"/>
    </row>
    <row r="356" spans="2:23" ht="15" x14ac:dyDescent="0.25">
      <c r="B356" s="57"/>
      <c r="C356" s="154"/>
      <c r="D356" s="39"/>
      <c r="E356" s="2"/>
      <c r="G356" s="4"/>
      <c r="H356" s="4"/>
      <c r="N356" s="3"/>
      <c r="O356" s="3"/>
      <c r="P356" s="4"/>
      <c r="Q356" s="4"/>
      <c r="R356" s="4"/>
      <c r="S356" s="4"/>
      <c r="T356" s="4"/>
      <c r="U356" s="4"/>
      <c r="V356" s="4"/>
      <c r="W356" s="4"/>
    </row>
    <row r="357" spans="2:23" x14ac:dyDescent="0.2">
      <c r="C357" s="47"/>
      <c r="E357" s="2"/>
      <c r="G357" s="4"/>
      <c r="H357" s="4"/>
      <c r="N357" s="3"/>
      <c r="O357" s="3"/>
      <c r="P357" s="4"/>
      <c r="Q357" s="4"/>
      <c r="R357" s="4"/>
      <c r="S357" s="4"/>
      <c r="T357" s="4"/>
      <c r="U357" s="4"/>
      <c r="V357" s="4"/>
      <c r="W357" s="4"/>
    </row>
    <row r="358" spans="2:23" x14ac:dyDescent="0.2">
      <c r="C358" s="160"/>
      <c r="E358" s="2"/>
      <c r="G358" s="4"/>
      <c r="H358" s="4"/>
      <c r="N358" s="3"/>
      <c r="O358" s="3"/>
      <c r="P358" s="4"/>
      <c r="Q358" s="4"/>
      <c r="R358" s="4"/>
      <c r="S358" s="4"/>
      <c r="T358" s="4"/>
      <c r="U358" s="4"/>
      <c r="V358" s="4"/>
      <c r="W358" s="4"/>
    </row>
    <row r="359" spans="2:23" x14ac:dyDescent="0.2">
      <c r="C359" s="47"/>
      <c r="E359" s="2"/>
      <c r="G359" s="4"/>
      <c r="H359" s="4"/>
      <c r="N359" s="3"/>
      <c r="O359" s="3"/>
      <c r="P359" s="4"/>
      <c r="Q359" s="4"/>
      <c r="R359" s="4"/>
      <c r="S359" s="4"/>
      <c r="T359" s="4"/>
      <c r="U359" s="4"/>
      <c r="V359" s="4"/>
      <c r="W359" s="4"/>
    </row>
    <row r="360" spans="2:23" ht="15" x14ac:dyDescent="0.25">
      <c r="B360" s="57"/>
      <c r="C360" s="154"/>
      <c r="D360" s="39"/>
      <c r="E360" s="2"/>
      <c r="G360" s="4"/>
      <c r="H360" s="4"/>
      <c r="N360" s="3"/>
      <c r="O360" s="3"/>
      <c r="P360" s="4"/>
      <c r="Q360" s="4"/>
      <c r="R360" s="4"/>
      <c r="S360" s="4"/>
      <c r="T360" s="4"/>
      <c r="U360" s="4"/>
      <c r="V360" s="4"/>
      <c r="W360" s="4"/>
    </row>
    <row r="361" spans="2:23" x14ac:dyDescent="0.2">
      <c r="C361" s="47"/>
      <c r="E361" s="2"/>
      <c r="G361" s="4"/>
      <c r="H361" s="4"/>
      <c r="N361" s="3"/>
      <c r="O361" s="3"/>
      <c r="P361" s="4"/>
      <c r="Q361" s="4"/>
      <c r="R361" s="4"/>
      <c r="S361" s="4"/>
      <c r="T361" s="4"/>
      <c r="U361" s="4"/>
      <c r="V361" s="4"/>
      <c r="W361" s="4"/>
    </row>
    <row r="362" spans="2:23" ht="18.75" x14ac:dyDescent="0.35">
      <c r="B362" s="63"/>
      <c r="C362" s="160"/>
      <c r="E362" s="2"/>
      <c r="G362" s="4"/>
      <c r="H362" s="4"/>
      <c r="N362" s="3"/>
      <c r="O362" s="3"/>
      <c r="P362" s="4"/>
      <c r="Q362" s="4"/>
      <c r="R362" s="4"/>
      <c r="S362" s="4"/>
      <c r="T362" s="4"/>
      <c r="U362" s="4"/>
      <c r="V362" s="4"/>
      <c r="W362" s="4"/>
    </row>
    <row r="363" spans="2:23" ht="18.75" x14ac:dyDescent="0.35">
      <c r="B363" s="63"/>
      <c r="C363" s="47"/>
      <c r="E363" s="2"/>
      <c r="G363" s="4"/>
      <c r="H363" s="4"/>
      <c r="N363" s="3"/>
      <c r="O363" s="3"/>
      <c r="P363" s="4"/>
      <c r="Q363" s="4"/>
      <c r="R363" s="4"/>
      <c r="S363" s="4"/>
      <c r="T363" s="4"/>
      <c r="U363" s="4"/>
      <c r="V363" s="4"/>
      <c r="W363" s="4"/>
    </row>
    <row r="364" spans="2:23" ht="17.25" x14ac:dyDescent="0.3">
      <c r="B364" s="64"/>
      <c r="C364" s="154"/>
      <c r="D364" s="39"/>
      <c r="E364" s="2"/>
      <c r="F364" s="47"/>
      <c r="G364" s="4"/>
      <c r="H364" s="4"/>
      <c r="N364" s="3"/>
      <c r="O364" s="3"/>
      <c r="P364" s="4"/>
      <c r="Q364" s="4"/>
      <c r="R364" s="4"/>
      <c r="S364" s="4"/>
      <c r="T364" s="4"/>
      <c r="U364" s="4"/>
      <c r="V364" s="4"/>
      <c r="W364" s="4"/>
    </row>
    <row r="365" spans="2:23" ht="18.75" x14ac:dyDescent="0.35">
      <c r="B365" s="63"/>
      <c r="C365" s="47"/>
      <c r="E365" s="2"/>
      <c r="G365" s="4"/>
      <c r="H365" s="4"/>
      <c r="N365" s="3"/>
      <c r="O365" s="3"/>
      <c r="P365" s="4"/>
      <c r="Q365" s="4"/>
      <c r="R365" s="4"/>
      <c r="S365" s="4"/>
      <c r="T365" s="4"/>
      <c r="U365" s="4"/>
      <c r="V365" s="4"/>
      <c r="W365" s="4"/>
    </row>
    <row r="366" spans="2:23" ht="18.75" x14ac:dyDescent="0.35">
      <c r="B366" s="63"/>
      <c r="C366" s="160"/>
      <c r="E366" s="2"/>
      <c r="G366" s="4"/>
      <c r="H366" s="4"/>
      <c r="N366" s="3"/>
      <c r="O366" s="3"/>
      <c r="P366" s="4"/>
      <c r="Q366" s="4"/>
      <c r="R366" s="4"/>
      <c r="S366" s="4"/>
      <c r="T366" s="4"/>
      <c r="U366" s="4"/>
      <c r="V366" s="4"/>
      <c r="W366" s="4"/>
    </row>
    <row r="367" spans="2:23" ht="18.75" x14ac:dyDescent="0.35">
      <c r="B367" s="63"/>
      <c r="C367" s="47"/>
      <c r="E367" s="2"/>
      <c r="G367" s="4"/>
      <c r="H367" s="4"/>
      <c r="N367" s="3"/>
      <c r="O367" s="3"/>
      <c r="P367" s="4"/>
      <c r="Q367" s="4"/>
      <c r="R367" s="4"/>
      <c r="S367" s="4"/>
      <c r="T367" s="4"/>
      <c r="U367" s="4"/>
      <c r="V367" s="4"/>
      <c r="W367" s="4"/>
    </row>
    <row r="368" spans="2:23" ht="17.25" x14ac:dyDescent="0.3">
      <c r="B368" s="64"/>
      <c r="C368" s="154"/>
      <c r="D368" s="39"/>
      <c r="E368" s="2"/>
      <c r="G368" s="4"/>
      <c r="H368" s="4"/>
      <c r="N368" s="3"/>
      <c r="O368" s="3"/>
      <c r="P368" s="4"/>
      <c r="Q368" s="4"/>
      <c r="R368" s="4"/>
      <c r="S368" s="4"/>
      <c r="T368" s="4"/>
      <c r="U368" s="4"/>
      <c r="V368" s="4"/>
      <c r="W368" s="4"/>
    </row>
    <row r="369" spans="1:23" ht="18.75" x14ac:dyDescent="0.35">
      <c r="B369" s="63"/>
      <c r="C369" s="47"/>
      <c r="E369" s="2"/>
      <c r="G369" s="4"/>
      <c r="H369" s="4"/>
      <c r="N369" s="3"/>
      <c r="O369" s="3"/>
      <c r="P369" s="4"/>
      <c r="Q369" s="4"/>
      <c r="R369" s="4"/>
      <c r="S369" s="4"/>
      <c r="T369" s="4"/>
      <c r="U369" s="4"/>
      <c r="V369" s="4"/>
      <c r="W369" s="4"/>
    </row>
    <row r="370" spans="1:23" x14ac:dyDescent="0.2">
      <c r="E370" s="2"/>
      <c r="G370" s="4"/>
      <c r="H370" s="4"/>
      <c r="N370" s="3"/>
      <c r="O370" s="3"/>
      <c r="P370" s="4"/>
      <c r="Q370" s="4"/>
      <c r="R370" s="4"/>
      <c r="S370" s="4"/>
      <c r="T370" s="4"/>
      <c r="U370" s="4"/>
      <c r="V370" s="4"/>
      <c r="W370" s="4"/>
    </row>
    <row r="371" spans="1:23" x14ac:dyDescent="0.2">
      <c r="E371" s="2"/>
      <c r="G371" s="4"/>
      <c r="H371" s="4"/>
      <c r="N371" s="3"/>
      <c r="O371" s="3"/>
      <c r="P371" s="4"/>
      <c r="Q371" s="4"/>
      <c r="R371" s="4"/>
      <c r="S371" s="4"/>
      <c r="T371" s="4"/>
      <c r="U371" s="4"/>
      <c r="V371" s="4"/>
      <c r="W371" s="4"/>
    </row>
    <row r="372" spans="1:23" x14ac:dyDescent="0.2">
      <c r="E372" s="2"/>
      <c r="G372" s="4"/>
      <c r="H372" s="4"/>
      <c r="N372" s="3"/>
      <c r="O372" s="3"/>
      <c r="P372" s="4"/>
      <c r="Q372" s="4"/>
      <c r="R372" s="4"/>
      <c r="S372" s="4"/>
      <c r="T372" s="4"/>
      <c r="U372" s="4"/>
      <c r="V372" s="4"/>
      <c r="W372" s="4"/>
    </row>
    <row r="373" spans="1:23" x14ac:dyDescent="0.2">
      <c r="E373" s="2"/>
      <c r="G373" s="4"/>
      <c r="H373" s="4"/>
      <c r="N373" s="3"/>
      <c r="O373" s="3"/>
      <c r="P373" s="4"/>
      <c r="Q373" s="4"/>
      <c r="R373" s="4"/>
      <c r="S373" s="4"/>
      <c r="T373" s="4"/>
      <c r="U373" s="4"/>
      <c r="V373" s="4"/>
      <c r="W373" s="4"/>
    </row>
    <row r="374" spans="1:23" x14ac:dyDescent="0.2">
      <c r="C374" s="2"/>
      <c r="D374" s="2"/>
      <c r="E374" s="2"/>
      <c r="F374" s="2"/>
      <c r="G374" s="4"/>
      <c r="H374" s="4"/>
      <c r="N374" s="3"/>
      <c r="O374" s="3"/>
      <c r="P374" s="4"/>
      <c r="Q374" s="4"/>
      <c r="R374" s="4"/>
      <c r="S374" s="4"/>
      <c r="T374" s="4"/>
      <c r="U374" s="4"/>
      <c r="V374" s="4"/>
      <c r="W374" s="4"/>
    </row>
    <row r="375" spans="1:23" x14ac:dyDescent="0.2">
      <c r="B375" s="3"/>
      <c r="C375" s="3"/>
      <c r="D375" s="3"/>
      <c r="E375" s="3"/>
      <c r="F375" s="3"/>
      <c r="G375" s="4"/>
      <c r="H375" s="4"/>
      <c r="N375" s="3"/>
      <c r="O375" s="3"/>
      <c r="P375" s="4"/>
      <c r="Q375" s="4"/>
      <c r="R375" s="4"/>
      <c r="S375" s="4"/>
      <c r="T375" s="4"/>
      <c r="U375" s="4"/>
      <c r="V375" s="4"/>
      <c r="W375" s="4"/>
    </row>
    <row r="376" spans="1:23" x14ac:dyDescent="0.2">
      <c r="A376" s="2"/>
      <c r="B376" s="33"/>
      <c r="C376" s="33"/>
      <c r="D376" s="33"/>
      <c r="E376" s="33"/>
      <c r="F376" s="33"/>
      <c r="G376" s="4"/>
      <c r="H376" s="4"/>
      <c r="N376" s="3"/>
      <c r="O376" s="3"/>
      <c r="P376" s="4"/>
      <c r="Q376" s="4"/>
      <c r="R376" s="4"/>
      <c r="S376" s="4"/>
      <c r="T376" s="4"/>
      <c r="U376" s="4"/>
      <c r="V376" s="4"/>
      <c r="W376" s="4"/>
    </row>
    <row r="377" spans="1:23" x14ac:dyDescent="0.2">
      <c r="A377" s="2"/>
      <c r="B377" s="33"/>
      <c r="C377" s="33"/>
      <c r="D377" s="33"/>
      <c r="E377" s="33"/>
      <c r="F377" s="33"/>
      <c r="G377" s="4"/>
      <c r="H377" s="4"/>
      <c r="N377" s="3"/>
      <c r="O377" s="3"/>
      <c r="P377" s="4"/>
      <c r="Q377" s="4"/>
      <c r="R377" s="4"/>
      <c r="S377" s="4"/>
      <c r="T377" s="4"/>
      <c r="U377" s="4"/>
      <c r="V377" s="4"/>
      <c r="W377" s="4"/>
    </row>
    <row r="378" spans="1:23" x14ac:dyDescent="0.2">
      <c r="A378" s="2"/>
      <c r="B378" s="33"/>
      <c r="C378" s="33"/>
      <c r="D378" s="33"/>
      <c r="E378" s="33"/>
      <c r="F378" s="33"/>
      <c r="G378" s="4"/>
      <c r="H378" s="4"/>
      <c r="N378" s="3"/>
      <c r="O378" s="3"/>
      <c r="P378" s="4"/>
      <c r="Q378" s="4"/>
      <c r="R378" s="4"/>
      <c r="S378" s="4"/>
      <c r="T378" s="4"/>
      <c r="U378" s="4"/>
      <c r="V378" s="4"/>
      <c r="W378" s="4"/>
    </row>
    <row r="379" spans="1:23" x14ac:dyDescent="0.2">
      <c r="A379" s="2"/>
      <c r="B379" s="33"/>
      <c r="C379" s="33"/>
      <c r="D379" s="33"/>
      <c r="E379" s="33"/>
      <c r="F379" s="33"/>
      <c r="G379" s="4"/>
      <c r="H379" s="4"/>
      <c r="N379" s="3"/>
      <c r="O379" s="3"/>
      <c r="P379" s="4"/>
      <c r="Q379" s="4"/>
      <c r="R379" s="4"/>
      <c r="S379" s="4"/>
      <c r="T379" s="4"/>
      <c r="U379" s="4"/>
      <c r="V379" s="4"/>
      <c r="W379" s="4"/>
    </row>
    <row r="380" spans="1:23" x14ac:dyDescent="0.2">
      <c r="A380" s="2"/>
      <c r="B380" s="33"/>
      <c r="C380" s="33"/>
      <c r="D380" s="33"/>
      <c r="E380" s="33"/>
      <c r="F380" s="33"/>
      <c r="G380" s="4"/>
      <c r="H380" s="4"/>
      <c r="N380" s="3"/>
      <c r="O380" s="3"/>
      <c r="P380" s="4"/>
      <c r="Q380" s="4"/>
      <c r="R380" s="4"/>
      <c r="S380" s="4"/>
      <c r="T380" s="4"/>
      <c r="U380" s="4"/>
      <c r="V380" s="4"/>
      <c r="W380" s="4"/>
    </row>
    <row r="381" spans="1:23" x14ac:dyDescent="0.2">
      <c r="H381" s="4"/>
      <c r="R381" s="4"/>
      <c r="S381" s="4"/>
      <c r="T381" s="4"/>
      <c r="U381" s="4"/>
      <c r="V381" s="4"/>
      <c r="W381" s="4"/>
    </row>
    <row r="382" spans="1:23" x14ac:dyDescent="0.2">
      <c r="H382" s="4"/>
      <c r="I382" s="3"/>
      <c r="J382" s="3"/>
      <c r="K382" s="3"/>
      <c r="L382" s="3"/>
      <c r="M382" s="3"/>
    </row>
    <row r="390" spans="8:8" x14ac:dyDescent="0.2">
      <c r="H390" s="4"/>
    </row>
    <row r="391" spans="8:8" x14ac:dyDescent="0.2">
      <c r="H391" s="4"/>
    </row>
    <row r="392" spans="8:8" x14ac:dyDescent="0.2">
      <c r="H392" s="4"/>
    </row>
    <row r="393" spans="8:8" x14ac:dyDescent="0.2">
      <c r="H393" s="4"/>
    </row>
    <row r="394" spans="8:8" x14ac:dyDescent="0.2">
      <c r="H394" s="4"/>
    </row>
    <row r="395" spans="8:8" x14ac:dyDescent="0.2">
      <c r="H395" s="4"/>
    </row>
    <row r="396" spans="8:8" x14ac:dyDescent="0.2">
      <c r="H396" s="4"/>
    </row>
    <row r="397" spans="8:8" x14ac:dyDescent="0.2">
      <c r="H397" s="4"/>
    </row>
    <row r="398" spans="8:8" x14ac:dyDescent="0.2">
      <c r="H398" s="4"/>
    </row>
    <row r="399" spans="8:8" x14ac:dyDescent="0.2">
      <c r="H399" s="4"/>
    </row>
    <row r="400" spans="8:8" x14ac:dyDescent="0.2">
      <c r="H400" s="4"/>
    </row>
    <row r="401" spans="8:8" x14ac:dyDescent="0.2">
      <c r="H401" s="4"/>
    </row>
    <row r="402" spans="8:8" x14ac:dyDescent="0.2">
      <c r="H402" s="4"/>
    </row>
    <row r="403" spans="8:8" x14ac:dyDescent="0.2">
      <c r="H403" s="4"/>
    </row>
    <row r="404" spans="8:8" x14ac:dyDescent="0.2">
      <c r="H404" s="4"/>
    </row>
    <row r="405" spans="8:8" x14ac:dyDescent="0.2">
      <c r="H405" s="4"/>
    </row>
    <row r="430" spans="1:3" ht="15" x14ac:dyDescent="0.25">
      <c r="A430" s="1"/>
    </row>
    <row r="432" spans="1:3" ht="15" x14ac:dyDescent="0.25">
      <c r="B432" s="74"/>
      <c r="C432" s="161"/>
    </row>
    <row r="433" spans="1:23" s="81" customFormat="1" ht="36.75" customHeight="1" x14ac:dyDescent="0.25">
      <c r="B433" s="34"/>
      <c r="C433" s="162"/>
      <c r="E433" s="266"/>
      <c r="F433" s="266"/>
      <c r="G433" s="266"/>
      <c r="H433" s="83"/>
      <c r="P433" s="35"/>
      <c r="Q433" s="35"/>
      <c r="R433" s="35"/>
      <c r="S433" s="35"/>
      <c r="T433" s="35"/>
      <c r="U433" s="35"/>
      <c r="V433" s="35"/>
      <c r="W433" s="35"/>
    </row>
    <row r="434" spans="1:23" x14ac:dyDescent="0.2">
      <c r="C434" s="47"/>
      <c r="D434" s="3"/>
    </row>
    <row r="435" spans="1:23" x14ac:dyDescent="0.2">
      <c r="C435" s="47"/>
    </row>
    <row r="436" spans="1:23" ht="15" x14ac:dyDescent="0.25">
      <c r="A436" s="1"/>
    </row>
    <row r="437" spans="1:23" x14ac:dyDescent="0.2">
      <c r="B437" s="56"/>
    </row>
    <row r="438" spans="1:23" x14ac:dyDescent="0.2">
      <c r="B438" s="56"/>
    </row>
    <row r="439" spans="1:23" s="81" customFormat="1" ht="30.75" customHeight="1" x14ac:dyDescent="0.25">
      <c r="B439" s="34"/>
      <c r="C439" s="149"/>
      <c r="E439" s="266"/>
      <c r="F439" s="266"/>
      <c r="G439" s="266"/>
      <c r="H439" s="83"/>
      <c r="P439" s="35"/>
      <c r="Q439" s="35"/>
      <c r="R439" s="35"/>
      <c r="S439" s="35"/>
      <c r="T439" s="35"/>
      <c r="U439" s="35"/>
      <c r="V439" s="35"/>
      <c r="W439" s="35"/>
    </row>
    <row r="441" spans="1:23" ht="15" x14ac:dyDescent="0.25">
      <c r="C441" s="47"/>
      <c r="D441" s="41"/>
      <c r="E441" s="79"/>
      <c r="F441" s="79"/>
      <c r="G441" s="80"/>
    </row>
    <row r="444" spans="1:23" x14ac:dyDescent="0.2">
      <c r="C444" s="8"/>
    </row>
    <row r="446" spans="1:23" x14ac:dyDescent="0.2">
      <c r="C446" s="47"/>
    </row>
    <row r="447" spans="1:23" x14ac:dyDescent="0.2">
      <c r="C447" s="76"/>
    </row>
    <row r="448" spans="1:23" x14ac:dyDescent="0.2">
      <c r="C448" s="76"/>
    </row>
  </sheetData>
  <mergeCells count="3">
    <mergeCell ref="B31:F32"/>
    <mergeCell ref="E439:G439"/>
    <mergeCell ref="E433:G433"/>
  </mergeCells>
  <conditionalFormatting sqref="D57:E57">
    <cfRule type="containsText" dxfId="15" priority="9" operator="containsText" text="NG">
      <formula>NOT(ISERROR(SEARCH("NG",D57)))</formula>
    </cfRule>
    <cfRule type="containsText" dxfId="14" priority="10" operator="containsText" text="OK">
      <formula>NOT(ISERROR(SEARCH("OK",D57)))</formula>
    </cfRule>
  </conditionalFormatting>
  <conditionalFormatting sqref="D236">
    <cfRule type="containsText" dxfId="13" priority="7" operator="containsText" text="NG">
      <formula>NOT(ISERROR(SEARCH("NG",D236)))</formula>
    </cfRule>
    <cfRule type="containsText" dxfId="12" priority="8" operator="containsText" text="OK">
      <formula>NOT(ISERROR(SEARCH("OK",D236)))</formula>
    </cfRule>
  </conditionalFormatting>
  <conditionalFormatting sqref="D434">
    <cfRule type="containsText" dxfId="11" priority="5" operator="containsText" text="NG">
      <formula>NOT(ISERROR(SEARCH("NG",D434)))</formula>
    </cfRule>
    <cfRule type="containsText" dxfId="10" priority="6" operator="containsText" text="OK">
      <formula>NOT(ISERROR(SEARCH("OK",D434)))</formula>
    </cfRule>
  </conditionalFormatting>
  <conditionalFormatting sqref="D441:F441">
    <cfRule type="containsText" dxfId="9" priority="4" operator="containsText" text="Torsion">
      <formula>NOT(ISERROR(SEARCH("Torsion",D441)))</formula>
    </cfRule>
  </conditionalFormatting>
  <conditionalFormatting sqref="D441">
    <cfRule type="containsText" dxfId="8" priority="3" operator="containsText" text="NG">
      <formula>NOT(ISERROR(SEARCH("NG",D441)))</formula>
    </cfRule>
  </conditionalFormatting>
  <conditionalFormatting sqref="D34">
    <cfRule type="containsText" dxfId="7" priority="1" operator="containsText" text="OK">
      <formula>NOT(ISERROR(SEARCH("OK",D34)))</formula>
    </cfRule>
    <cfRule type="containsText" dxfId="6" priority="2" operator="containsText" text="NG">
      <formula>NOT(ISERROR(SEARCH("NG",D34)))</formula>
    </cfRule>
  </conditionalFormatting>
  <pageMargins left="0.7" right="0.7" top="0.8666666666666667" bottom="0.75" header="0.3" footer="0.3"/>
  <pageSetup scale="68" fitToHeight="0" orientation="portrait" r:id="rId1"/>
  <headerFooter>
    <oddHeader>&amp;L&amp;"Arial,Bold"&amp;20CBR
Street Light Pole Analysis</oddHeader>
  </headerFooter>
  <rowBreaks count="4" manualBreakCount="4">
    <brk id="240" max="16383" man="1"/>
    <brk id="306" max="16383" man="1"/>
    <brk id="372" max="16383" man="1"/>
    <brk id="441"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E7F2-2C8A-4819-821C-5F752D7EE53F}">
  <sheetPr>
    <pageSetUpPr fitToPage="1"/>
  </sheetPr>
  <dimension ref="A1:AC377"/>
  <sheetViews>
    <sheetView view="pageBreakPreview" zoomScaleNormal="100" zoomScaleSheetLayoutView="100" workbookViewId="0">
      <selection activeCell="I24" sqref="I24"/>
    </sheetView>
  </sheetViews>
  <sheetFormatPr defaultColWidth="9.140625" defaultRowHeight="14.25" x14ac:dyDescent="0.2"/>
  <cols>
    <col min="1" max="1" width="45.28515625" style="4" bestFit="1" customWidth="1"/>
    <col min="2" max="2" width="38.7109375" style="2" bestFit="1" customWidth="1"/>
    <col min="3" max="3" width="17.85546875" style="31" bestFit="1" customWidth="1"/>
    <col min="4" max="5" width="9.140625" style="4"/>
    <col min="6" max="6" width="10.42578125" style="4" customWidth="1"/>
    <col min="7" max="7" width="9.140625" style="2" customWidth="1"/>
    <col min="8" max="8" width="11.28515625" style="47" customWidth="1"/>
    <col min="9" max="9" width="27.140625" style="41" customWidth="1"/>
    <col min="10" max="10" width="11.28515625" style="3" bestFit="1" customWidth="1"/>
    <col min="11" max="11" width="12.42578125" style="41" bestFit="1" customWidth="1"/>
    <col min="12" max="12" width="12.42578125" style="41" customWidth="1"/>
    <col min="13" max="13" width="18.85546875" style="41" customWidth="1"/>
    <col min="14" max="14" width="13" style="3" customWidth="1"/>
    <col min="15" max="15" width="10.7109375" style="41" bestFit="1" customWidth="1"/>
    <col min="16" max="16" width="11.28515625" style="41" bestFit="1" customWidth="1"/>
    <col min="17" max="17" width="12.42578125" style="3" bestFit="1" customWidth="1"/>
    <col min="18" max="18" width="10.42578125" style="3" bestFit="1" customWidth="1"/>
    <col min="19" max="21" width="10.42578125" style="3" customWidth="1"/>
    <col min="22" max="22" width="10.42578125" style="41" customWidth="1"/>
    <col min="23" max="24" width="10.42578125" style="3" customWidth="1"/>
    <col min="25" max="25" width="9.140625" style="4"/>
    <col min="26" max="26" width="22" style="4" bestFit="1" customWidth="1"/>
    <col min="27" max="28" width="9.140625" style="4"/>
    <col min="29" max="29" width="10.7109375" style="4" bestFit="1" customWidth="1"/>
    <col min="30" max="30" width="9.140625" style="4"/>
    <col min="31" max="31" width="12.42578125" style="4" bestFit="1" customWidth="1"/>
    <col min="32" max="32" width="9.140625" style="4"/>
    <col min="33" max="33" width="10.42578125" style="4" bestFit="1" customWidth="1"/>
    <col min="34" max="16384" width="9.140625" style="4"/>
  </cols>
  <sheetData>
    <row r="1" spans="1:29" ht="18.75" x14ac:dyDescent="0.2">
      <c r="A1" s="81" t="s">
        <v>633</v>
      </c>
      <c r="B1" s="86" t="s">
        <v>911</v>
      </c>
      <c r="C1" s="131">
        <f>MAX('LTS-6 Loads'!F324:G324)/1000</f>
        <v>0.55998111782914373</v>
      </c>
      <c r="D1" s="81" t="s">
        <v>97</v>
      </c>
      <c r="E1" s="183"/>
      <c r="F1" s="183"/>
      <c r="G1" s="183"/>
      <c r="R1" s="3">
        <v>18</v>
      </c>
      <c r="W1" s="4"/>
      <c r="X1" s="4"/>
    </row>
    <row r="2" spans="1:29" x14ac:dyDescent="0.2">
      <c r="A2" s="275" t="s">
        <v>913</v>
      </c>
      <c r="B2" s="280" t="s">
        <v>912</v>
      </c>
      <c r="C2" s="131">
        <f>MAX('LTS-6 Loads'!F326:G326)/1000</f>
        <v>12.626207306060646</v>
      </c>
      <c r="D2" s="81" t="s">
        <v>937</v>
      </c>
      <c r="E2" s="183"/>
      <c r="F2" s="183"/>
      <c r="G2" s="183"/>
      <c r="W2" s="4"/>
      <c r="X2" s="4"/>
    </row>
    <row r="3" spans="1:29" ht="15" customHeight="1" x14ac:dyDescent="0.2">
      <c r="A3" s="275"/>
      <c r="B3" s="280"/>
      <c r="C3" s="51">
        <f>C2*12</f>
        <v>151.51448767272774</v>
      </c>
      <c r="D3" s="41" t="s">
        <v>938</v>
      </c>
      <c r="E3" s="183"/>
      <c r="F3" s="183"/>
      <c r="G3" s="183"/>
      <c r="W3" s="4"/>
      <c r="X3" s="4"/>
    </row>
    <row r="4" spans="1:29" ht="18.75" x14ac:dyDescent="0.2">
      <c r="A4" s="81" t="s">
        <v>928</v>
      </c>
      <c r="B4" s="86" t="s">
        <v>914</v>
      </c>
      <c r="C4" s="131">
        <f>MAX('LTS-6 Loads'!F325:G325)/1000</f>
        <v>0.77814639561303034</v>
      </c>
      <c r="D4" s="81" t="s">
        <v>97</v>
      </c>
      <c r="E4" s="218"/>
      <c r="F4" s="183"/>
      <c r="G4" s="183"/>
      <c r="Q4" s="4"/>
      <c r="R4" s="4"/>
      <c r="S4" s="4"/>
      <c r="W4" s="4"/>
      <c r="X4" s="4"/>
    </row>
    <row r="5" spans="1:29" x14ac:dyDescent="0.2">
      <c r="A5" s="81"/>
      <c r="B5" s="86"/>
      <c r="C5" s="184"/>
      <c r="D5" s="81"/>
      <c r="E5" s="183"/>
      <c r="F5" s="183"/>
      <c r="G5" s="183"/>
      <c r="Q5" s="4"/>
      <c r="R5" s="4"/>
      <c r="S5" s="4"/>
      <c r="W5" s="4"/>
      <c r="X5" s="4"/>
    </row>
    <row r="6" spans="1:29" x14ac:dyDescent="0.2">
      <c r="B6" s="56"/>
      <c r="C6" s="8"/>
      <c r="I6" s="133"/>
      <c r="Q6" s="4"/>
      <c r="R6" s="4"/>
      <c r="S6" s="4"/>
      <c r="T6" s="133"/>
      <c r="U6" s="182"/>
      <c r="W6" s="41"/>
      <c r="X6" s="41"/>
      <c r="Y6" s="3"/>
      <c r="Z6" s="41"/>
      <c r="AB6" s="3"/>
      <c r="AC6" s="3"/>
    </row>
    <row r="7" spans="1:29" x14ac:dyDescent="0.2">
      <c r="B7" s="56"/>
      <c r="C7" s="8"/>
      <c r="H7" s="3"/>
      <c r="M7" s="133"/>
      <c r="S7" s="4"/>
      <c r="T7" s="41"/>
      <c r="W7" s="41"/>
      <c r="X7" s="41"/>
      <c r="Y7" s="3"/>
      <c r="Z7" s="41"/>
      <c r="AB7" s="3"/>
      <c r="AC7" s="3"/>
    </row>
    <row r="8" spans="1:29" x14ac:dyDescent="0.2">
      <c r="B8" s="56"/>
      <c r="C8" s="8"/>
      <c r="H8" s="3"/>
      <c r="M8" s="255"/>
      <c r="N8" s="255"/>
      <c r="O8" s="255"/>
      <c r="Q8" s="41"/>
      <c r="R8" s="150"/>
      <c r="S8" s="150"/>
      <c r="T8" s="41"/>
      <c r="W8" s="41"/>
      <c r="X8" s="133"/>
      <c r="Y8" s="3"/>
      <c r="Z8" s="41"/>
      <c r="AB8" s="3"/>
      <c r="AC8" s="3"/>
    </row>
    <row r="9" spans="1:29" ht="18.75" x14ac:dyDescent="0.35">
      <c r="A9" s="275" t="s">
        <v>953</v>
      </c>
      <c r="B9" s="56" t="s">
        <v>954</v>
      </c>
      <c r="C9" s="31">
        <v>13500</v>
      </c>
      <c r="D9" s="4" t="s">
        <v>23</v>
      </c>
      <c r="E9" s="4" t="s">
        <v>956</v>
      </c>
      <c r="H9" s="3"/>
      <c r="J9" s="2"/>
      <c r="K9" s="8"/>
      <c r="M9" s="150"/>
      <c r="O9" s="151"/>
      <c r="P9" s="151"/>
      <c r="Q9" s="41"/>
      <c r="R9" s="4"/>
      <c r="S9" s="4"/>
      <c r="T9" s="41"/>
      <c r="W9" s="41"/>
      <c r="X9" s="41"/>
      <c r="Y9" s="3"/>
      <c r="Z9" s="41"/>
      <c r="AB9" s="3"/>
      <c r="AC9" s="3"/>
    </row>
    <row r="10" spans="1:29" ht="18.75" x14ac:dyDescent="0.35">
      <c r="A10" s="275"/>
      <c r="B10" s="56" t="s">
        <v>955</v>
      </c>
      <c r="C10" s="8">
        <f>5.97</f>
        <v>5.97</v>
      </c>
      <c r="D10" s="4" t="s">
        <v>97</v>
      </c>
      <c r="E10" s="4" t="s">
        <v>956</v>
      </c>
      <c r="H10" s="3"/>
      <c r="J10" s="2"/>
      <c r="K10" s="8"/>
      <c r="Q10" s="41"/>
      <c r="R10" s="4"/>
      <c r="S10" s="4"/>
      <c r="T10" s="41"/>
      <c r="U10" s="2"/>
      <c r="V10" s="54"/>
      <c r="W10" s="41"/>
      <c r="X10" s="41"/>
      <c r="Y10" s="3"/>
      <c r="Z10" s="41"/>
      <c r="AB10" s="3"/>
      <c r="AC10" s="3"/>
    </row>
    <row r="11" spans="1:29" ht="18.75" customHeight="1" x14ac:dyDescent="0.35">
      <c r="A11" s="275" t="s">
        <v>953</v>
      </c>
      <c r="B11" s="56" t="s">
        <v>957</v>
      </c>
      <c r="C11" s="31">
        <v>22500</v>
      </c>
      <c r="D11" s="4" t="s">
        <v>23</v>
      </c>
      <c r="E11" s="4" t="s">
        <v>956</v>
      </c>
      <c r="I11" s="4"/>
      <c r="J11" s="2"/>
      <c r="K11" s="152"/>
      <c r="Q11" s="41"/>
      <c r="R11" s="4"/>
      <c r="S11" s="4"/>
      <c r="T11" s="41"/>
      <c r="U11" s="2"/>
      <c r="V11" s="54"/>
      <c r="W11" s="41"/>
      <c r="X11" s="41"/>
      <c r="Y11" s="3"/>
      <c r="Z11" s="41"/>
      <c r="AB11" s="3"/>
      <c r="AC11" s="3"/>
    </row>
    <row r="12" spans="1:29" ht="18.75" x14ac:dyDescent="0.35">
      <c r="A12" s="275"/>
      <c r="B12" s="56" t="s">
        <v>955</v>
      </c>
      <c r="C12" s="8">
        <v>9.94</v>
      </c>
      <c r="D12" s="4" t="s">
        <v>97</v>
      </c>
      <c r="E12" s="4" t="s">
        <v>956</v>
      </c>
      <c r="J12" s="2"/>
      <c r="K12" s="8"/>
      <c r="Q12" s="41"/>
      <c r="R12" s="4"/>
      <c r="S12" s="4"/>
      <c r="T12" s="4"/>
      <c r="U12" s="2"/>
      <c r="V12" s="178"/>
      <c r="W12" s="41"/>
      <c r="X12" s="41"/>
      <c r="Y12" s="3"/>
      <c r="Z12" s="41"/>
      <c r="AA12" s="3"/>
      <c r="AB12" s="3"/>
      <c r="AC12" s="3"/>
    </row>
    <row r="13" spans="1:29" x14ac:dyDescent="0.2">
      <c r="B13" s="56"/>
      <c r="C13" s="8"/>
      <c r="J13" s="2"/>
      <c r="K13" s="8"/>
      <c r="Q13" s="41"/>
      <c r="R13" s="4"/>
      <c r="S13" s="4"/>
      <c r="T13" s="41"/>
      <c r="U13" s="2"/>
      <c r="V13" s="54"/>
      <c r="W13" s="41"/>
      <c r="X13" s="41"/>
      <c r="Y13" s="3"/>
      <c r="Z13" s="41"/>
      <c r="AA13" s="3"/>
      <c r="AB13" s="3"/>
      <c r="AC13" s="3"/>
    </row>
    <row r="14" spans="1:29" x14ac:dyDescent="0.2">
      <c r="B14" s="56"/>
      <c r="C14" s="8"/>
      <c r="J14" s="2"/>
      <c r="K14" s="8"/>
      <c r="Q14" s="41"/>
      <c r="R14" s="4"/>
      <c r="S14" s="4"/>
      <c r="T14" s="41"/>
      <c r="U14" s="2"/>
      <c r="V14" s="54"/>
      <c r="W14" s="41"/>
      <c r="X14" s="41"/>
      <c r="Y14" s="3"/>
      <c r="Z14" s="41"/>
      <c r="AB14" s="3"/>
      <c r="AC14" s="3"/>
    </row>
    <row r="15" spans="1:29" x14ac:dyDescent="0.2">
      <c r="B15" s="56"/>
      <c r="C15" s="8"/>
      <c r="K15" s="54"/>
      <c r="Q15" s="41"/>
      <c r="R15" s="4"/>
      <c r="S15" s="4"/>
      <c r="T15" s="41"/>
      <c r="U15" s="2"/>
      <c r="V15" s="54"/>
      <c r="W15" s="41"/>
      <c r="X15" s="41"/>
      <c r="Y15" s="3"/>
      <c r="Z15" s="41"/>
      <c r="AB15" s="3"/>
      <c r="AC15" s="3"/>
    </row>
    <row r="16" spans="1:29" ht="16.5" x14ac:dyDescent="0.2">
      <c r="B16" s="56"/>
      <c r="C16" s="8"/>
      <c r="J16" s="12">
        <v>6.8599999999999994E-2</v>
      </c>
      <c r="K16" s="41" t="s">
        <v>225</v>
      </c>
      <c r="Q16" s="41"/>
      <c r="R16" s="4"/>
      <c r="S16" s="4"/>
      <c r="T16" s="41"/>
      <c r="W16" s="41"/>
      <c r="X16" s="41"/>
      <c r="Y16" s="3"/>
      <c r="Z16" s="41"/>
      <c r="AB16" s="3"/>
      <c r="AC16" s="3"/>
    </row>
    <row r="17" spans="1:29" ht="15" x14ac:dyDescent="0.25">
      <c r="B17" s="56"/>
      <c r="C17" s="8"/>
      <c r="H17" s="3"/>
      <c r="J17" s="12">
        <v>0.72709999999999997</v>
      </c>
      <c r="K17" s="41" t="s">
        <v>21</v>
      </c>
      <c r="L17" s="155"/>
      <c r="Q17" s="41"/>
      <c r="R17" s="4"/>
      <c r="S17" s="4"/>
      <c r="T17" s="41"/>
      <c r="U17" s="264"/>
      <c r="V17" s="179"/>
      <c r="W17" s="41"/>
      <c r="X17" s="41"/>
      <c r="Y17" s="3"/>
      <c r="Z17" s="41"/>
      <c r="AB17" s="3"/>
      <c r="AC17" s="3"/>
    </row>
    <row r="18" spans="1:29" s="81" customFormat="1" ht="18.75" customHeight="1" x14ac:dyDescent="0.25">
      <c r="A18" s="4"/>
      <c r="B18" s="56"/>
      <c r="C18" s="8"/>
      <c r="D18" s="4"/>
      <c r="E18" s="4"/>
      <c r="F18" s="4"/>
      <c r="G18" s="2"/>
      <c r="J18" s="12">
        <f>J16/J17</f>
        <v>9.4347407509283457E-2</v>
      </c>
      <c r="K18" s="41" t="s">
        <v>664</v>
      </c>
      <c r="N18" s="35"/>
      <c r="O18" s="132"/>
      <c r="P18" s="132"/>
      <c r="T18" s="41"/>
      <c r="U18" s="264"/>
      <c r="V18" s="180"/>
      <c r="W18" s="155"/>
      <c r="X18" s="41"/>
      <c r="Y18" s="3"/>
      <c r="Z18" s="41"/>
      <c r="AA18" s="4"/>
      <c r="AB18" s="3"/>
      <c r="AC18" s="3"/>
    </row>
    <row r="19" spans="1:29" ht="15" x14ac:dyDescent="0.25">
      <c r="B19" s="56"/>
      <c r="C19" s="8"/>
      <c r="H19" s="3"/>
      <c r="J19" s="12">
        <v>0.3029</v>
      </c>
      <c r="K19" s="41" t="s">
        <v>21</v>
      </c>
      <c r="L19" s="155"/>
      <c r="Q19" s="41"/>
      <c r="R19" s="4"/>
      <c r="S19" s="4"/>
      <c r="T19" s="41"/>
      <c r="U19" s="264"/>
      <c r="V19" s="179"/>
      <c r="W19" s="41"/>
      <c r="X19" s="41"/>
      <c r="Y19" s="3"/>
      <c r="Z19" s="41"/>
      <c r="AB19" s="3"/>
      <c r="AC19" s="3"/>
    </row>
    <row r="20" spans="1:29" s="81" customFormat="1" ht="17.25" x14ac:dyDescent="0.25">
      <c r="A20" s="4"/>
      <c r="B20" s="56"/>
      <c r="C20" s="8"/>
      <c r="D20" s="4"/>
      <c r="E20" s="4"/>
      <c r="F20" s="4"/>
      <c r="G20" s="2"/>
      <c r="H20" s="35"/>
      <c r="I20" s="132"/>
      <c r="J20" s="12">
        <f>J16/J19</f>
        <v>0.22647738527566852</v>
      </c>
      <c r="K20" s="41" t="s">
        <v>664</v>
      </c>
      <c r="L20" s="132"/>
      <c r="M20" s="132"/>
      <c r="N20" s="35"/>
      <c r="O20" s="132"/>
      <c r="P20" s="132"/>
      <c r="Q20" s="132"/>
      <c r="T20" s="41"/>
      <c r="U20" s="264"/>
      <c r="V20" s="180"/>
      <c r="W20" s="155"/>
      <c r="X20" s="41"/>
      <c r="Y20" s="3"/>
      <c r="Z20" s="41"/>
      <c r="AA20" s="4"/>
      <c r="AB20" s="3"/>
      <c r="AC20" s="3"/>
    </row>
    <row r="21" spans="1:29" x14ac:dyDescent="0.2">
      <c r="G21" s="4"/>
      <c r="H21" s="3"/>
      <c r="J21" s="2"/>
      <c r="K21" s="3"/>
      <c r="Q21" s="41"/>
      <c r="R21" s="4"/>
      <c r="S21" s="4"/>
      <c r="T21" s="41"/>
      <c r="W21" s="41"/>
      <c r="X21" s="41"/>
      <c r="Y21" s="3"/>
      <c r="Z21" s="41"/>
      <c r="AB21" s="3"/>
      <c r="AC21" s="3"/>
    </row>
    <row r="22" spans="1:29" x14ac:dyDescent="0.2">
      <c r="B22" s="182" t="s">
        <v>865</v>
      </c>
      <c r="G22" s="4"/>
      <c r="H22" s="3"/>
      <c r="J22" s="264"/>
      <c r="K22" s="31"/>
      <c r="Q22" s="41"/>
      <c r="R22" s="4"/>
      <c r="S22" s="4"/>
      <c r="T22" s="41"/>
      <c r="U22" s="2"/>
      <c r="V22" s="179"/>
      <c r="W22" s="41"/>
      <c r="X22" s="41"/>
      <c r="Y22" s="3"/>
      <c r="Z22" s="41"/>
      <c r="AB22" s="3"/>
      <c r="AC22" s="3"/>
    </row>
    <row r="23" spans="1:29" s="35" customFormat="1" ht="15" x14ac:dyDescent="0.2">
      <c r="A23" s="4"/>
      <c r="C23" s="31"/>
      <c r="D23" s="4"/>
      <c r="E23" s="4"/>
      <c r="F23" s="4"/>
      <c r="G23" s="4"/>
      <c r="J23" s="264"/>
      <c r="K23" s="153"/>
      <c r="L23" s="156"/>
      <c r="O23" s="132"/>
      <c r="P23" s="132"/>
      <c r="T23" s="41"/>
      <c r="U23" s="264"/>
      <c r="V23" s="179"/>
      <c r="W23" s="41"/>
      <c r="X23" s="41"/>
      <c r="Y23" s="3"/>
      <c r="Z23" s="41"/>
      <c r="AA23" s="4"/>
      <c r="AB23" s="3"/>
      <c r="AC23" s="3"/>
    </row>
    <row r="24" spans="1:29" s="3" customFormat="1" ht="15" x14ac:dyDescent="0.25">
      <c r="A24" s="4"/>
      <c r="B24" s="2"/>
      <c r="C24" s="31"/>
      <c r="D24" s="4"/>
      <c r="E24" s="4"/>
      <c r="F24" s="4"/>
      <c r="G24" s="4"/>
      <c r="I24" s="41"/>
      <c r="J24" s="2"/>
      <c r="L24" s="41"/>
      <c r="O24" s="41"/>
      <c r="P24" s="41"/>
      <c r="U24" s="264"/>
      <c r="V24" s="181"/>
      <c r="W24" s="155"/>
      <c r="X24" s="41"/>
      <c r="Z24" s="41"/>
      <c r="AA24" s="4"/>
    </row>
    <row r="25" spans="1:29" s="81" customFormat="1" ht="18.75" x14ac:dyDescent="0.35">
      <c r="A25" s="4" t="s">
        <v>182</v>
      </c>
      <c r="B25" s="2" t="s">
        <v>248</v>
      </c>
      <c r="C25" s="42">
        <f>ModulusElasticity</f>
        <v>29000000</v>
      </c>
      <c r="D25" s="4" t="s">
        <v>23</v>
      </c>
      <c r="E25" s="4"/>
      <c r="F25" s="4"/>
      <c r="G25" s="4"/>
      <c r="H25" s="35"/>
      <c r="I25" s="132"/>
      <c r="J25" s="264"/>
      <c r="K25" s="149"/>
      <c r="L25" s="132"/>
      <c r="M25" s="132"/>
      <c r="N25" s="35"/>
      <c r="O25" s="132"/>
      <c r="P25" s="132"/>
      <c r="Q25" s="132"/>
      <c r="R25" s="132"/>
      <c r="S25" s="132"/>
      <c r="T25" s="41"/>
      <c r="U25" s="2"/>
      <c r="V25" s="41"/>
      <c r="W25" s="41"/>
      <c r="X25" s="41"/>
      <c r="Y25" s="3"/>
      <c r="Z25" s="41"/>
      <c r="AA25" s="4"/>
      <c r="AB25" s="3"/>
      <c r="AC25" s="3"/>
    </row>
    <row r="26" spans="1:29" ht="18.75" x14ac:dyDescent="0.35">
      <c r="A26" s="4" t="s">
        <v>643</v>
      </c>
      <c r="B26" s="2" t="s">
        <v>644</v>
      </c>
      <c r="C26" s="191">
        <f>'LTS-6 Loads'!S4</f>
        <v>55000</v>
      </c>
      <c r="D26" s="4" t="s">
        <v>23</v>
      </c>
      <c r="E26" s="4" t="s">
        <v>645</v>
      </c>
      <c r="G26" s="4"/>
      <c r="H26" s="3"/>
      <c r="J26" s="264"/>
      <c r="K26" s="154"/>
      <c r="L26" s="155"/>
      <c r="R26" s="41"/>
      <c r="S26" s="41"/>
      <c r="T26" s="41"/>
      <c r="U26" s="264"/>
      <c r="V26" s="179"/>
      <c r="W26" s="41"/>
      <c r="X26" s="41"/>
      <c r="Y26" s="3"/>
      <c r="Z26" s="41"/>
      <c r="AB26" s="3"/>
      <c r="AC26" s="3"/>
    </row>
    <row r="27" spans="1:29" ht="18.75" x14ac:dyDescent="0.35">
      <c r="A27" s="4" t="s">
        <v>688</v>
      </c>
      <c r="B27" s="2" t="s">
        <v>118</v>
      </c>
      <c r="C27" s="163">
        <f>'LTS-6 Loads'!C14</f>
        <v>0.1196</v>
      </c>
      <c r="D27" s="4" t="s">
        <v>21</v>
      </c>
      <c r="G27" s="4"/>
      <c r="H27" s="3"/>
      <c r="R27" s="150"/>
      <c r="S27" s="150"/>
      <c r="T27" s="41"/>
      <c r="U27" s="264"/>
      <c r="V27" s="180"/>
      <c r="W27" s="155"/>
      <c r="X27" s="133"/>
      <c r="Y27" s="3"/>
      <c r="Z27" s="41"/>
      <c r="AB27" s="3"/>
      <c r="AC27" s="3"/>
    </row>
    <row r="28" spans="1:29" x14ac:dyDescent="0.2">
      <c r="A28" s="275" t="s">
        <v>646</v>
      </c>
      <c r="B28" s="264" t="s">
        <v>647</v>
      </c>
      <c r="C28" s="43">
        <f>'LTS-6 Loads'!$C$8</f>
        <v>30</v>
      </c>
      <c r="D28" s="4" t="s">
        <v>0</v>
      </c>
      <c r="G28" s="4"/>
      <c r="H28" s="3"/>
      <c r="M28" s="133"/>
      <c r="R28" s="41"/>
      <c r="T28" s="41"/>
      <c r="W28" s="41"/>
      <c r="X28" s="41"/>
      <c r="Y28" s="3"/>
      <c r="Z28" s="41"/>
      <c r="AB28" s="3"/>
      <c r="AC28" s="3"/>
    </row>
    <row r="29" spans="1:29" x14ac:dyDescent="0.2">
      <c r="A29" s="275"/>
      <c r="B29" s="264"/>
      <c r="C29" s="43">
        <f>C28*12</f>
        <v>360</v>
      </c>
      <c r="D29" s="4" t="s">
        <v>21</v>
      </c>
      <c r="G29" s="4"/>
      <c r="H29" s="3"/>
      <c r="O29" s="3"/>
      <c r="R29" s="41"/>
      <c r="T29" s="41"/>
      <c r="W29" s="41"/>
      <c r="X29" s="41"/>
      <c r="Y29" s="3"/>
      <c r="Z29" s="41"/>
      <c r="AB29" s="3"/>
      <c r="AC29" s="3"/>
    </row>
    <row r="30" spans="1:29" ht="18.75" x14ac:dyDescent="0.35">
      <c r="A30" s="4" t="s">
        <v>826</v>
      </c>
      <c r="B30" s="2" t="s">
        <v>685</v>
      </c>
      <c r="C30" s="164">
        <f>'LTS-6 Loads'!C11</f>
        <v>8</v>
      </c>
      <c r="D30" s="4" t="s">
        <v>21</v>
      </c>
      <c r="G30" s="4"/>
      <c r="H30" s="3"/>
      <c r="J30" s="2"/>
      <c r="K30" s="8"/>
      <c r="R30" s="41"/>
      <c r="T30" s="41"/>
      <c r="W30" s="41"/>
      <c r="X30" s="41"/>
      <c r="Y30" s="3"/>
      <c r="Z30" s="41"/>
      <c r="AB30" s="3"/>
      <c r="AC30" s="3"/>
    </row>
    <row r="31" spans="1:29" ht="18.75" x14ac:dyDescent="0.35">
      <c r="A31" s="4" t="s">
        <v>827</v>
      </c>
      <c r="B31" s="2" t="s">
        <v>722</v>
      </c>
      <c r="C31" s="43">
        <f>K9</f>
        <v>0</v>
      </c>
      <c r="D31" s="41" t="s">
        <v>120</v>
      </c>
      <c r="G31" s="4"/>
      <c r="H31" s="3"/>
      <c r="J31" s="2"/>
      <c r="K31" s="8"/>
      <c r="T31" s="41"/>
      <c r="W31" s="41"/>
      <c r="X31" s="41"/>
      <c r="Y31" s="3"/>
      <c r="Z31" s="41"/>
      <c r="AA31" s="3"/>
      <c r="AB31" s="3"/>
      <c r="AC31" s="3"/>
    </row>
    <row r="32" spans="1:29" ht="18.75" x14ac:dyDescent="0.35">
      <c r="A32" s="132" t="s">
        <v>866</v>
      </c>
      <c r="B32" s="2" t="s">
        <v>668</v>
      </c>
      <c r="C32" s="165">
        <f>K10</f>
        <v>0</v>
      </c>
      <c r="D32" s="132" t="s">
        <v>225</v>
      </c>
      <c r="H32" s="3"/>
      <c r="I32" s="4"/>
      <c r="J32" s="2"/>
      <c r="K32" s="19"/>
      <c r="Q32" s="4"/>
      <c r="R32" s="41"/>
      <c r="T32" s="41"/>
      <c r="W32" s="41"/>
      <c r="X32" s="41"/>
      <c r="Y32" s="3"/>
      <c r="Z32" s="41"/>
      <c r="AA32" s="3"/>
      <c r="AB32" s="3"/>
      <c r="AC32" s="3"/>
    </row>
    <row r="33" spans="1:29" ht="18.75" x14ac:dyDescent="0.35">
      <c r="A33" s="132" t="s">
        <v>828</v>
      </c>
      <c r="B33" s="2" t="s">
        <v>714</v>
      </c>
      <c r="C33" s="165"/>
      <c r="D33" s="132" t="s">
        <v>664</v>
      </c>
      <c r="H33" s="3"/>
      <c r="I33" s="4"/>
      <c r="J33" s="2"/>
      <c r="K33" s="19"/>
      <c r="Q33" s="4"/>
      <c r="T33" s="41"/>
      <c r="W33" s="41"/>
      <c r="X33" s="41"/>
      <c r="Y33" s="3"/>
      <c r="Z33" s="41"/>
      <c r="AB33" s="3"/>
      <c r="AC33" s="3"/>
    </row>
    <row r="34" spans="1:29" ht="18.75" x14ac:dyDescent="0.35">
      <c r="A34" s="4" t="s">
        <v>829</v>
      </c>
      <c r="B34" s="2" t="s">
        <v>753</v>
      </c>
      <c r="C34" s="43"/>
      <c r="D34" s="4" t="s">
        <v>21</v>
      </c>
      <c r="G34" s="4"/>
      <c r="H34" s="3"/>
      <c r="J34" s="2"/>
      <c r="K34" s="8"/>
      <c r="R34" s="41"/>
      <c r="T34" s="41"/>
      <c r="W34" s="41"/>
      <c r="X34" s="41"/>
      <c r="Y34" s="3"/>
      <c r="Z34" s="41"/>
      <c r="AB34" s="3"/>
      <c r="AC34" s="3"/>
    </row>
    <row r="35" spans="1:29" ht="18.75" x14ac:dyDescent="0.35">
      <c r="A35" s="4" t="s">
        <v>830</v>
      </c>
      <c r="B35" s="2" t="s">
        <v>686</v>
      </c>
      <c r="C35" s="164">
        <f>'LTS-6 Loads'!C13</f>
        <v>3.8</v>
      </c>
      <c r="D35" s="4" t="s">
        <v>21</v>
      </c>
      <c r="E35" s="81"/>
      <c r="F35" s="81"/>
      <c r="G35" s="81"/>
      <c r="H35" s="3"/>
      <c r="J35" s="2"/>
      <c r="K35" s="8"/>
      <c r="T35" s="41"/>
      <c r="W35" s="41"/>
      <c r="X35" s="41"/>
      <c r="Y35" s="3"/>
      <c r="Z35" s="41"/>
      <c r="AB35" s="3"/>
      <c r="AC35" s="3"/>
    </row>
    <row r="36" spans="1:29" ht="18.75" x14ac:dyDescent="0.35">
      <c r="A36" s="4" t="s">
        <v>831</v>
      </c>
      <c r="B36" s="2" t="s">
        <v>735</v>
      </c>
      <c r="C36" s="43">
        <f>K44</f>
        <v>0</v>
      </c>
      <c r="D36" s="41" t="s">
        <v>120</v>
      </c>
      <c r="G36" s="4"/>
      <c r="H36" s="3"/>
      <c r="J36" s="2"/>
      <c r="K36" s="8"/>
      <c r="R36" s="41"/>
      <c r="T36" s="41"/>
      <c r="W36" s="41"/>
      <c r="X36" s="41"/>
      <c r="Y36" s="3"/>
      <c r="Z36" s="41"/>
      <c r="AB36" s="3"/>
      <c r="AC36" s="3"/>
    </row>
    <row r="37" spans="1:29" ht="18.75" x14ac:dyDescent="0.2">
      <c r="A37" s="132" t="s">
        <v>832</v>
      </c>
      <c r="B37" s="34" t="s">
        <v>669</v>
      </c>
      <c r="C37" s="165">
        <f>K45</f>
        <v>0</v>
      </c>
      <c r="D37" s="132" t="s">
        <v>225</v>
      </c>
      <c r="E37" s="81"/>
      <c r="F37" s="81"/>
      <c r="G37" s="81"/>
      <c r="H37" s="3"/>
      <c r="R37" s="41"/>
      <c r="T37" s="41"/>
      <c r="W37" s="41"/>
      <c r="X37" s="41"/>
      <c r="Y37" s="3"/>
      <c r="Z37" s="41"/>
      <c r="AB37" s="3"/>
      <c r="AC37" s="3"/>
    </row>
    <row r="38" spans="1:29" x14ac:dyDescent="0.2">
      <c r="A38" s="81" t="s">
        <v>667</v>
      </c>
      <c r="B38" s="34" t="s">
        <v>530</v>
      </c>
      <c r="C38" s="166">
        <v>2.1</v>
      </c>
      <c r="D38" s="81" t="s">
        <v>22</v>
      </c>
      <c r="G38" s="4"/>
      <c r="H38" s="3"/>
      <c r="T38" s="41"/>
      <c r="W38" s="41"/>
      <c r="X38" s="41"/>
      <c r="Y38" s="3"/>
      <c r="Z38" s="41"/>
      <c r="AB38" s="3"/>
      <c r="AC38" s="3"/>
    </row>
    <row r="39" spans="1:29" ht="18.75" x14ac:dyDescent="0.35">
      <c r="A39" s="4" t="s">
        <v>724</v>
      </c>
      <c r="B39" s="2" t="s">
        <v>725</v>
      </c>
      <c r="C39" s="42"/>
      <c r="D39" s="4" t="s">
        <v>22</v>
      </c>
      <c r="G39" s="4"/>
      <c r="H39" s="3"/>
      <c r="R39" s="41"/>
      <c r="S39" s="41"/>
      <c r="T39" s="41"/>
      <c r="W39" s="41"/>
      <c r="X39" s="41"/>
      <c r="Y39" s="3"/>
      <c r="Z39" s="41"/>
      <c r="AB39" s="3"/>
      <c r="AC39" s="3"/>
    </row>
    <row r="40" spans="1:29" ht="18.75" x14ac:dyDescent="0.2">
      <c r="A40" s="81" t="s">
        <v>683</v>
      </c>
      <c r="B40" s="34" t="s">
        <v>684</v>
      </c>
      <c r="C40" s="165">
        <f>SQRT(2*PI()^2*C25/C26)</f>
        <v>102.01934355469356</v>
      </c>
      <c r="D40" s="132" t="s">
        <v>22</v>
      </c>
      <c r="E40" s="35"/>
      <c r="F40" s="35"/>
      <c r="G40" s="35"/>
      <c r="H40" s="3"/>
      <c r="I40" s="48"/>
      <c r="J40" s="47"/>
      <c r="T40" s="41"/>
      <c r="W40" s="41"/>
      <c r="X40" s="41"/>
      <c r="Y40" s="3"/>
      <c r="Z40" s="41"/>
      <c r="AB40" s="3"/>
      <c r="AC40" s="3"/>
    </row>
    <row r="41" spans="1:29" ht="18.75" x14ac:dyDescent="0.35">
      <c r="A41" s="4" t="s">
        <v>671</v>
      </c>
      <c r="B41" s="2" t="s">
        <v>670</v>
      </c>
      <c r="C41" s="42">
        <f>'LTS-6 Loads'!E324</f>
        <v>37.208788210940796</v>
      </c>
      <c r="D41" s="4" t="s">
        <v>7</v>
      </c>
      <c r="E41" s="3"/>
      <c r="F41" s="3"/>
      <c r="G41" s="3"/>
      <c r="H41" s="3"/>
      <c r="T41" s="41"/>
      <c r="W41" s="41"/>
      <c r="X41" s="41"/>
      <c r="Y41" s="3"/>
      <c r="Z41" s="41"/>
      <c r="AB41" s="3"/>
      <c r="AC41" s="3"/>
    </row>
    <row r="42" spans="1:29" ht="18.75" x14ac:dyDescent="0.2">
      <c r="A42" s="81" t="s">
        <v>673</v>
      </c>
      <c r="B42" s="34" t="s">
        <v>674</v>
      </c>
      <c r="C42" s="82">
        <f>'LTS-6 Loads'!C324</f>
        <v>548.81848136586154</v>
      </c>
      <c r="D42" s="81" t="s">
        <v>7</v>
      </c>
      <c r="E42" s="81"/>
      <c r="F42" s="81"/>
      <c r="G42" s="81"/>
      <c r="H42" s="3"/>
      <c r="M42" s="133"/>
      <c r="Q42" s="4"/>
      <c r="S42" s="4"/>
      <c r="T42" s="41"/>
      <c r="W42" s="41"/>
      <c r="X42" s="41"/>
      <c r="Y42" s="3"/>
      <c r="Z42" s="41"/>
      <c r="AB42" s="3"/>
      <c r="AC42" s="3"/>
    </row>
    <row r="43" spans="1:29" x14ac:dyDescent="0.2">
      <c r="A43" s="275" t="s">
        <v>642</v>
      </c>
      <c r="B43" s="263"/>
      <c r="C43" s="281"/>
      <c r="D43" s="282" t="s">
        <v>22</v>
      </c>
      <c r="E43" s="275" t="s">
        <v>945</v>
      </c>
      <c r="F43" s="275"/>
      <c r="G43" s="275"/>
      <c r="H43" s="3"/>
      <c r="M43" s="4"/>
      <c r="N43" s="4"/>
      <c r="O43" s="4"/>
      <c r="Q43" s="4"/>
      <c r="S43" s="4"/>
      <c r="W43" s="4"/>
      <c r="X43" s="4"/>
    </row>
    <row r="44" spans="1:29" x14ac:dyDescent="0.2">
      <c r="A44" s="275"/>
      <c r="B44" s="263"/>
      <c r="C44" s="281"/>
      <c r="D44" s="282"/>
      <c r="E44" s="275"/>
      <c r="F44" s="275"/>
      <c r="G44" s="275"/>
      <c r="H44" s="3"/>
      <c r="J44" s="2"/>
      <c r="K44" s="8"/>
      <c r="Q44" s="41"/>
      <c r="R44" s="4"/>
      <c r="T44" s="4"/>
      <c r="W44" s="4"/>
      <c r="X44" s="4"/>
    </row>
    <row r="45" spans="1:29" x14ac:dyDescent="0.2">
      <c r="A45" s="275"/>
      <c r="B45" s="263"/>
      <c r="C45" s="281"/>
      <c r="D45" s="282"/>
      <c r="E45" s="275"/>
      <c r="F45" s="275"/>
      <c r="G45" s="275"/>
      <c r="H45" s="3"/>
      <c r="J45" s="2"/>
      <c r="K45" s="8"/>
      <c r="Q45" s="41"/>
      <c r="T45" s="4"/>
      <c r="W45" s="4"/>
      <c r="X45" s="4"/>
    </row>
    <row r="46" spans="1:29" x14ac:dyDescent="0.2">
      <c r="A46" s="275"/>
      <c r="B46" s="263"/>
      <c r="C46" s="281"/>
      <c r="D46" s="282"/>
      <c r="E46" s="275"/>
      <c r="F46" s="275"/>
      <c r="G46" s="275"/>
      <c r="H46" s="3"/>
      <c r="I46" s="4"/>
      <c r="J46" s="2"/>
      <c r="K46" s="19"/>
      <c r="T46" s="4"/>
      <c r="W46" s="4"/>
      <c r="X46" s="4"/>
    </row>
    <row r="47" spans="1:29" ht="21.75" customHeight="1" x14ac:dyDescent="0.35">
      <c r="A47" s="132" t="s">
        <v>727</v>
      </c>
      <c r="B47" s="2" t="s">
        <v>774</v>
      </c>
      <c r="C47" s="165">
        <v>2.7309000000000001</v>
      </c>
      <c r="D47" s="132" t="s">
        <v>21</v>
      </c>
      <c r="G47" s="4"/>
      <c r="H47" s="3"/>
      <c r="I47" s="4"/>
      <c r="J47" s="2"/>
      <c r="K47" s="19"/>
      <c r="W47" s="4"/>
      <c r="X47" s="4"/>
    </row>
    <row r="48" spans="1:29" ht="18.75" x14ac:dyDescent="0.35">
      <c r="A48" s="4" t="s">
        <v>726</v>
      </c>
      <c r="B48" s="2" t="s">
        <v>687</v>
      </c>
      <c r="C48" s="42">
        <f>C47/C27</f>
        <v>22.833612040133779</v>
      </c>
      <c r="D48" s="4" t="s">
        <v>22</v>
      </c>
      <c r="G48" s="4"/>
      <c r="H48" s="3"/>
      <c r="J48" s="2"/>
      <c r="K48" s="8"/>
      <c r="Q48" s="41"/>
      <c r="W48" s="4"/>
      <c r="X48" s="4"/>
    </row>
    <row r="49" spans="1:27" ht="18.75" x14ac:dyDescent="0.35">
      <c r="A49" s="4" t="s">
        <v>689</v>
      </c>
      <c r="B49" s="2" t="s">
        <v>691</v>
      </c>
      <c r="C49" s="42">
        <f>1.12*SQRT(C25/C26)</f>
        <v>25.717910278459819</v>
      </c>
      <c r="D49" s="4" t="s">
        <v>22</v>
      </c>
      <c r="E49" s="4" t="s">
        <v>946</v>
      </c>
      <c r="G49" s="4"/>
      <c r="H49" s="3"/>
      <c r="J49" s="2"/>
      <c r="K49" s="8"/>
      <c r="Q49" s="41"/>
      <c r="W49" s="4"/>
      <c r="X49" s="4"/>
    </row>
    <row r="50" spans="1:27" ht="18.75" x14ac:dyDescent="0.35">
      <c r="A50" s="4" t="s">
        <v>690</v>
      </c>
      <c r="B50" s="2" t="s">
        <v>692</v>
      </c>
      <c r="C50" s="42">
        <f>1.53*SQRT(C25/C26)</f>
        <v>35.132502433967424</v>
      </c>
      <c r="D50" s="4" t="s">
        <v>22</v>
      </c>
      <c r="E50" s="4" t="s">
        <v>946</v>
      </c>
      <c r="G50" s="4"/>
      <c r="H50" s="3"/>
      <c r="J50" s="2"/>
      <c r="K50" s="8"/>
      <c r="Q50" s="41"/>
      <c r="X50" s="4"/>
    </row>
    <row r="51" spans="1:27" ht="18.75" x14ac:dyDescent="0.35">
      <c r="A51" s="4" t="s">
        <v>833</v>
      </c>
      <c r="B51" s="2" t="s">
        <v>820</v>
      </c>
      <c r="C51" s="42">
        <f>2.14*SQRT(C25/C26)</f>
        <v>49.139578567771437</v>
      </c>
      <c r="D51" s="4" t="s">
        <v>22</v>
      </c>
      <c r="E51" s="4" t="s">
        <v>946</v>
      </c>
      <c r="G51" s="4"/>
      <c r="H51" s="3"/>
      <c r="Q51" s="41"/>
      <c r="X51" s="4"/>
    </row>
    <row r="52" spans="1:27" x14ac:dyDescent="0.2">
      <c r="G52" s="4"/>
      <c r="H52" s="3"/>
      <c r="Q52" s="41"/>
    </row>
    <row r="53" spans="1:27" x14ac:dyDescent="0.2">
      <c r="G53" s="4"/>
      <c r="H53" s="3"/>
      <c r="Q53" s="41"/>
    </row>
    <row r="54" spans="1:27" x14ac:dyDescent="0.2">
      <c r="G54" s="4"/>
      <c r="H54" s="3"/>
      <c r="Q54" s="41"/>
    </row>
    <row r="55" spans="1:27" x14ac:dyDescent="0.2">
      <c r="G55" s="4"/>
      <c r="H55" s="3"/>
    </row>
    <row r="56" spans="1:27" x14ac:dyDescent="0.2">
      <c r="G56" s="4"/>
      <c r="H56" s="3"/>
      <c r="M56" s="133"/>
    </row>
    <row r="57" spans="1:27" ht="15" x14ac:dyDescent="0.25">
      <c r="A57" s="1" t="s">
        <v>752</v>
      </c>
      <c r="C57" s="42"/>
      <c r="G57" s="4"/>
      <c r="H57" s="3"/>
      <c r="P57" s="4"/>
    </row>
    <row r="58" spans="1:27" s="81" customFormat="1" ht="50.25" customHeight="1" x14ac:dyDescent="0.25">
      <c r="A58" s="81" t="s">
        <v>696</v>
      </c>
      <c r="B58" s="34" t="s">
        <v>869</v>
      </c>
      <c r="C58" s="82">
        <f>0.64*$C$26*(4/3)</f>
        <v>46933.333333333328</v>
      </c>
      <c r="D58" s="81" t="s">
        <v>23</v>
      </c>
      <c r="E58" s="266" t="s">
        <v>870</v>
      </c>
      <c r="F58" s="266"/>
      <c r="G58" s="266"/>
      <c r="H58" s="35"/>
      <c r="I58" s="132"/>
      <c r="J58" s="34"/>
      <c r="K58" s="188"/>
      <c r="L58" s="132"/>
      <c r="M58" s="132"/>
      <c r="N58" s="35"/>
      <c r="O58" s="132"/>
      <c r="P58" s="35"/>
      <c r="Q58" s="35"/>
      <c r="R58" s="35"/>
      <c r="S58" s="35"/>
      <c r="T58" s="35"/>
      <c r="U58" s="35"/>
      <c r="V58" s="132"/>
      <c r="W58" s="35"/>
      <c r="X58" s="35"/>
      <c r="Z58" s="132"/>
      <c r="AA58" s="132"/>
    </row>
    <row r="59" spans="1:27" s="81" customFormat="1" ht="50.25" customHeight="1" x14ac:dyDescent="0.25">
      <c r="A59" s="81" t="s">
        <v>697</v>
      </c>
      <c r="B59" s="34" t="s">
        <v>871</v>
      </c>
      <c r="C59" s="82">
        <f>0.33*$C$26*(4/3)</f>
        <v>24200</v>
      </c>
      <c r="D59" s="81" t="s">
        <v>23</v>
      </c>
      <c r="E59" s="266" t="s">
        <v>870</v>
      </c>
      <c r="F59" s="266"/>
      <c r="G59" s="266"/>
      <c r="H59" s="35"/>
      <c r="I59" s="132"/>
      <c r="J59" s="34"/>
      <c r="K59" s="188"/>
      <c r="L59" s="132"/>
      <c r="M59" s="132"/>
      <c r="N59" s="35"/>
      <c r="O59" s="132"/>
      <c r="P59" s="35"/>
      <c r="Q59" s="35"/>
      <c r="R59" s="35"/>
      <c r="S59" s="35"/>
      <c r="T59" s="35"/>
      <c r="U59" s="35"/>
      <c r="V59" s="132"/>
      <c r="W59" s="35"/>
      <c r="X59" s="35"/>
      <c r="Z59" s="132"/>
      <c r="AA59" s="132"/>
    </row>
    <row r="60" spans="1:27" s="81" customFormat="1" ht="50.25" customHeight="1" x14ac:dyDescent="0.25">
      <c r="A60" s="81" t="s">
        <v>873</v>
      </c>
      <c r="B60" s="34" t="s">
        <v>872</v>
      </c>
      <c r="C60" s="82">
        <f>0.6*$C$26*(4/3)</f>
        <v>44000</v>
      </c>
      <c r="D60" s="81" t="s">
        <v>23</v>
      </c>
      <c r="E60" s="266" t="s">
        <v>870</v>
      </c>
      <c r="F60" s="266"/>
      <c r="G60" s="266"/>
      <c r="H60" s="35"/>
      <c r="J60" s="34"/>
      <c r="K60" s="189"/>
      <c r="L60" s="132"/>
      <c r="M60" s="132"/>
      <c r="N60" s="35"/>
      <c r="O60" s="132"/>
      <c r="P60" s="132"/>
      <c r="Q60" s="35"/>
      <c r="R60" s="35"/>
      <c r="S60" s="35"/>
      <c r="T60" s="35"/>
      <c r="U60" s="35"/>
      <c r="V60" s="132"/>
      <c r="W60" s="35"/>
      <c r="X60" s="35"/>
      <c r="AA60" s="132"/>
    </row>
    <row r="61" spans="1:27" x14ac:dyDescent="0.2">
      <c r="C61" s="42"/>
      <c r="G61" s="4"/>
      <c r="H61" s="3"/>
      <c r="I61" s="4"/>
      <c r="J61" s="2"/>
      <c r="K61" s="19"/>
      <c r="Q61" s="41"/>
      <c r="AA61" s="41"/>
    </row>
    <row r="62" spans="1:27" ht="18.75" x14ac:dyDescent="0.35">
      <c r="A62" s="4" t="s">
        <v>693</v>
      </c>
      <c r="B62" s="2" t="s">
        <v>775</v>
      </c>
      <c r="C62" s="42"/>
      <c r="D62" s="4" t="s">
        <v>23</v>
      </c>
      <c r="G62" s="4"/>
      <c r="H62" s="3"/>
      <c r="J62" s="2"/>
      <c r="K62" s="8"/>
      <c r="P62" s="3"/>
      <c r="Z62" s="41"/>
      <c r="AA62" s="41"/>
    </row>
    <row r="63" spans="1:27" ht="18.75" x14ac:dyDescent="0.35">
      <c r="A63" s="4" t="s">
        <v>695</v>
      </c>
      <c r="B63" s="2" t="s">
        <v>776</v>
      </c>
      <c r="C63" s="42"/>
      <c r="D63" s="4" t="s">
        <v>23</v>
      </c>
      <c r="G63" s="4"/>
      <c r="H63" s="3"/>
      <c r="J63" s="2"/>
      <c r="K63" s="8"/>
      <c r="P63" s="3"/>
      <c r="T63" s="41"/>
      <c r="U63" s="41"/>
      <c r="X63" s="41"/>
      <c r="Z63" s="41"/>
      <c r="AA63" s="41"/>
    </row>
    <row r="64" spans="1:27" ht="18.75" x14ac:dyDescent="0.35">
      <c r="A64" s="4" t="s">
        <v>694</v>
      </c>
      <c r="B64" s="2" t="s">
        <v>777</v>
      </c>
      <c r="C64" s="42"/>
      <c r="D64" s="4" t="s">
        <v>23</v>
      </c>
      <c r="E64" s="4" t="s">
        <v>948</v>
      </c>
      <c r="G64" s="4"/>
      <c r="H64" s="3"/>
      <c r="J64" s="2"/>
      <c r="K64" s="8"/>
      <c r="P64" s="3"/>
      <c r="S64" s="41"/>
      <c r="T64" s="41"/>
      <c r="U64" s="41"/>
      <c r="X64" s="41"/>
      <c r="Z64" s="41"/>
      <c r="AA64" s="41"/>
    </row>
    <row r="65" spans="1:27" x14ac:dyDescent="0.2">
      <c r="A65" s="275" t="s">
        <v>698</v>
      </c>
      <c r="B65" s="255"/>
      <c r="C65" s="276"/>
      <c r="D65" s="275" t="s">
        <v>22</v>
      </c>
      <c r="E65" s="275" t="s">
        <v>947</v>
      </c>
      <c r="F65" s="275"/>
      <c r="G65" s="275"/>
      <c r="H65" s="3"/>
      <c r="P65" s="3"/>
      <c r="S65" s="41"/>
      <c r="T65" s="41"/>
      <c r="U65" s="41"/>
      <c r="V65" s="4"/>
      <c r="X65" s="4"/>
      <c r="Z65" s="41"/>
      <c r="AA65" s="41"/>
    </row>
    <row r="66" spans="1:27" x14ac:dyDescent="0.2">
      <c r="A66" s="275"/>
      <c r="B66" s="255"/>
      <c r="C66" s="276"/>
      <c r="D66" s="275"/>
      <c r="E66" s="275"/>
      <c r="F66" s="275"/>
      <c r="G66" s="275"/>
      <c r="H66" s="3"/>
      <c r="P66" s="3"/>
      <c r="S66" s="41"/>
      <c r="U66" s="41"/>
      <c r="V66" s="4"/>
      <c r="Z66" s="41"/>
      <c r="AA66" s="41"/>
    </row>
    <row r="67" spans="1:27" x14ac:dyDescent="0.2">
      <c r="A67" s="275"/>
      <c r="B67" s="255"/>
      <c r="C67" s="276"/>
      <c r="D67" s="275"/>
      <c r="E67" s="275"/>
      <c r="F67" s="275"/>
      <c r="G67" s="275"/>
      <c r="H67" s="3"/>
      <c r="P67" s="3"/>
      <c r="R67" s="4"/>
      <c r="S67" s="41"/>
      <c r="U67" s="41"/>
      <c r="V67" s="4"/>
    </row>
    <row r="68" spans="1:27" x14ac:dyDescent="0.2">
      <c r="G68" s="4"/>
      <c r="H68" s="3"/>
      <c r="P68" s="3"/>
      <c r="R68" s="4"/>
      <c r="S68" s="41"/>
      <c r="U68" s="41"/>
      <c r="V68" s="4"/>
      <c r="X68" s="4"/>
    </row>
    <row r="69" spans="1:27" ht="15" x14ac:dyDescent="0.25">
      <c r="A69" s="1" t="s">
        <v>867</v>
      </c>
      <c r="G69" s="4"/>
      <c r="H69" s="3"/>
      <c r="R69" s="4"/>
      <c r="S69" s="41"/>
      <c r="U69" s="41"/>
      <c r="V69" s="4"/>
      <c r="X69" s="4"/>
    </row>
    <row r="70" spans="1:27" ht="18.75" x14ac:dyDescent="0.35">
      <c r="A70" s="4" t="s">
        <v>842</v>
      </c>
      <c r="B70" s="2" t="s">
        <v>822</v>
      </c>
      <c r="C70" s="45">
        <v>6.9541000000000004</v>
      </c>
      <c r="D70" s="4" t="s">
        <v>21</v>
      </c>
      <c r="G70" s="4"/>
      <c r="M70" s="133"/>
      <c r="R70" s="4"/>
      <c r="S70" s="41"/>
      <c r="U70" s="41"/>
      <c r="V70" s="3"/>
      <c r="X70" s="4"/>
    </row>
    <row r="71" spans="1:27" ht="18.75" x14ac:dyDescent="0.35">
      <c r="A71" s="4" t="s">
        <v>843</v>
      </c>
      <c r="B71" s="2" t="s">
        <v>783</v>
      </c>
      <c r="C71" s="43">
        <f>K30</f>
        <v>0</v>
      </c>
      <c r="D71" s="41" t="s">
        <v>120</v>
      </c>
      <c r="G71" s="4"/>
      <c r="H71" s="3"/>
      <c r="M71" s="150"/>
      <c r="N71" s="134"/>
      <c r="O71" s="151"/>
      <c r="P71" s="151"/>
      <c r="R71" s="4"/>
      <c r="S71" s="41"/>
      <c r="U71" s="41"/>
      <c r="V71" s="4"/>
      <c r="X71" s="4"/>
    </row>
    <row r="72" spans="1:27" ht="18.75" x14ac:dyDescent="0.35">
      <c r="A72" s="132" t="s">
        <v>844</v>
      </c>
      <c r="B72" s="2" t="s">
        <v>784</v>
      </c>
      <c r="C72" s="43">
        <f>K45</f>
        <v>0</v>
      </c>
      <c r="D72" s="132" t="s">
        <v>225</v>
      </c>
      <c r="H72" s="3"/>
      <c r="J72" s="2"/>
      <c r="K72" s="8"/>
      <c r="R72" s="4"/>
      <c r="S72" s="41"/>
      <c r="U72" s="41"/>
      <c r="V72" s="3"/>
      <c r="X72" s="4"/>
    </row>
    <row r="73" spans="1:27" ht="18.75" x14ac:dyDescent="0.35">
      <c r="A73" s="132" t="s">
        <v>845</v>
      </c>
      <c r="B73" s="2" t="s">
        <v>840</v>
      </c>
      <c r="C73" s="43">
        <f>K35</f>
        <v>0</v>
      </c>
      <c r="D73" s="132" t="s">
        <v>664</v>
      </c>
      <c r="G73" s="4"/>
      <c r="H73" s="3"/>
      <c r="J73" s="2"/>
      <c r="K73" s="8"/>
      <c r="R73" s="4"/>
      <c r="S73" s="41"/>
      <c r="U73" s="41"/>
      <c r="V73" s="3"/>
      <c r="X73" s="4"/>
    </row>
    <row r="74" spans="1:27" ht="18.75" x14ac:dyDescent="0.35">
      <c r="A74" s="4" t="s">
        <v>846</v>
      </c>
      <c r="B74" s="2" t="s">
        <v>821</v>
      </c>
      <c r="C74" s="43"/>
      <c r="D74" s="4" t="s">
        <v>21</v>
      </c>
      <c r="G74" s="4"/>
      <c r="H74" s="3"/>
      <c r="I74" s="4"/>
      <c r="J74" s="2"/>
      <c r="K74" s="8"/>
      <c r="R74" s="4"/>
      <c r="S74" s="41"/>
      <c r="U74" s="41"/>
      <c r="V74" s="4"/>
      <c r="X74" s="4"/>
    </row>
    <row r="75" spans="1:27" x14ac:dyDescent="0.2">
      <c r="C75" s="43"/>
      <c r="G75" s="4"/>
      <c r="H75" s="3"/>
      <c r="J75" s="2"/>
      <c r="K75" s="8"/>
      <c r="R75" s="4"/>
      <c r="S75" s="4"/>
      <c r="T75" s="4"/>
      <c r="W75" s="4"/>
      <c r="X75" s="4"/>
    </row>
    <row r="76" spans="1:27" s="81" customFormat="1" ht="50.25" customHeight="1" x14ac:dyDescent="0.25">
      <c r="A76" s="81" t="s">
        <v>696</v>
      </c>
      <c r="B76" s="34" t="s">
        <v>869</v>
      </c>
      <c r="C76" s="82">
        <f>0.64*C26*(4/3)</f>
        <v>46933.333333333328</v>
      </c>
      <c r="D76" s="81" t="s">
        <v>23</v>
      </c>
      <c r="E76" s="266" t="s">
        <v>870</v>
      </c>
      <c r="F76" s="266"/>
      <c r="G76" s="266"/>
      <c r="H76" s="35"/>
      <c r="I76" s="132"/>
      <c r="J76" s="34"/>
      <c r="K76" s="188"/>
      <c r="L76" s="132"/>
      <c r="M76" s="132"/>
      <c r="N76" s="35"/>
      <c r="O76" s="132"/>
      <c r="P76" s="132"/>
      <c r="Q76" s="35"/>
      <c r="U76" s="35"/>
      <c r="V76" s="132"/>
    </row>
    <row r="77" spans="1:27" s="81" customFormat="1" ht="50.25" customHeight="1" x14ac:dyDescent="0.25">
      <c r="A77" s="81" t="s">
        <v>697</v>
      </c>
      <c r="B77" s="34" t="s">
        <v>871</v>
      </c>
      <c r="C77" s="82">
        <f>0.33*C26*(4/3)</f>
        <v>24200</v>
      </c>
      <c r="D77" s="81" t="s">
        <v>23</v>
      </c>
      <c r="E77" s="266" t="s">
        <v>870</v>
      </c>
      <c r="F77" s="266"/>
      <c r="G77" s="266"/>
      <c r="H77" s="35"/>
      <c r="I77" s="132"/>
      <c r="J77" s="34"/>
      <c r="K77" s="188"/>
      <c r="L77" s="132"/>
      <c r="M77" s="132"/>
      <c r="N77" s="35"/>
      <c r="O77" s="132"/>
      <c r="P77" s="132"/>
      <c r="Q77" s="35"/>
      <c r="U77" s="35"/>
      <c r="V77" s="132"/>
    </row>
    <row r="78" spans="1:27" ht="50.25" customHeight="1" x14ac:dyDescent="0.2">
      <c r="A78" s="81" t="s">
        <v>873</v>
      </c>
      <c r="B78" s="34" t="s">
        <v>872</v>
      </c>
      <c r="C78" s="82">
        <f>0.6*$C$26*(4/3)</f>
        <v>44000</v>
      </c>
      <c r="D78" s="81" t="s">
        <v>23</v>
      </c>
      <c r="E78" s="266" t="s">
        <v>870</v>
      </c>
      <c r="F78" s="266"/>
      <c r="G78" s="266"/>
      <c r="H78" s="3"/>
      <c r="J78" s="2"/>
      <c r="K78" s="8"/>
      <c r="Q78" s="4"/>
      <c r="R78" s="4"/>
      <c r="S78" s="4"/>
      <c r="W78" s="4"/>
      <c r="X78" s="4"/>
    </row>
    <row r="79" spans="1:27" x14ac:dyDescent="0.2">
      <c r="C79" s="43"/>
      <c r="G79" s="4"/>
      <c r="H79" s="3"/>
      <c r="Q79" s="41"/>
      <c r="R79" s="4"/>
      <c r="S79" s="4"/>
      <c r="W79" s="4"/>
      <c r="X79" s="4"/>
    </row>
    <row r="80" spans="1:27" ht="18.75" x14ac:dyDescent="0.35">
      <c r="A80" s="4" t="s">
        <v>693</v>
      </c>
      <c r="B80" s="2" t="s">
        <v>823</v>
      </c>
      <c r="C80" s="42"/>
      <c r="D80" s="4" t="s">
        <v>23</v>
      </c>
      <c r="G80" s="4"/>
      <c r="H80" s="3"/>
      <c r="R80" s="4"/>
      <c r="S80" s="4"/>
      <c r="W80" s="4"/>
      <c r="X80" s="4"/>
    </row>
    <row r="81" spans="1:24" ht="18.75" x14ac:dyDescent="0.35">
      <c r="A81" s="4" t="s">
        <v>847</v>
      </c>
      <c r="B81" s="2" t="s">
        <v>824</v>
      </c>
      <c r="C81" s="42"/>
      <c r="D81" s="4" t="s">
        <v>23</v>
      </c>
      <c r="G81" s="4"/>
      <c r="H81" s="3"/>
      <c r="R81" s="4"/>
      <c r="S81" s="4"/>
      <c r="W81" s="4"/>
      <c r="X81" s="4"/>
    </row>
    <row r="82" spans="1:24" ht="18.75" x14ac:dyDescent="0.35">
      <c r="A82" s="4" t="s">
        <v>694</v>
      </c>
      <c r="B82" s="2" t="s">
        <v>825</v>
      </c>
      <c r="C82" s="42"/>
      <c r="D82" s="4" t="s">
        <v>23</v>
      </c>
      <c r="E82" s="4" t="s">
        <v>948</v>
      </c>
      <c r="G82" s="4"/>
      <c r="H82" s="3"/>
      <c r="R82" s="4"/>
      <c r="S82" s="4"/>
      <c r="W82" s="4"/>
      <c r="X82" s="4"/>
    </row>
    <row r="83" spans="1:24" ht="18.75" customHeight="1" x14ac:dyDescent="0.2">
      <c r="A83" s="275" t="s">
        <v>698</v>
      </c>
      <c r="B83" s="255"/>
      <c r="C83" s="276"/>
      <c r="D83" s="275" t="s">
        <v>22</v>
      </c>
      <c r="E83" s="275" t="s">
        <v>947</v>
      </c>
      <c r="F83" s="275"/>
      <c r="G83" s="275"/>
      <c r="H83" s="3"/>
      <c r="R83" s="4"/>
      <c r="S83" s="4"/>
      <c r="W83" s="4"/>
      <c r="X83" s="4"/>
    </row>
    <row r="84" spans="1:24" x14ac:dyDescent="0.2">
      <c r="A84" s="275"/>
      <c r="B84" s="255"/>
      <c r="C84" s="276"/>
      <c r="D84" s="275"/>
      <c r="E84" s="275"/>
      <c r="F84" s="275"/>
      <c r="G84" s="275"/>
      <c r="H84" s="3"/>
      <c r="I84" s="4"/>
      <c r="J84" s="4"/>
      <c r="K84" s="4"/>
      <c r="L84" s="4"/>
      <c r="M84" s="4"/>
      <c r="N84" s="4"/>
      <c r="O84" s="4"/>
      <c r="R84" s="4"/>
      <c r="S84" s="4"/>
      <c r="W84" s="4"/>
      <c r="X84" s="4"/>
    </row>
    <row r="85" spans="1:24" x14ac:dyDescent="0.2">
      <c r="A85" s="275"/>
      <c r="B85" s="255"/>
      <c r="C85" s="276"/>
      <c r="D85" s="275"/>
      <c r="E85" s="275"/>
      <c r="F85" s="275"/>
      <c r="G85" s="275"/>
      <c r="H85" s="3"/>
      <c r="I85" s="4"/>
      <c r="J85" s="4"/>
      <c r="K85" s="4"/>
      <c r="L85" s="4"/>
      <c r="M85" s="4"/>
      <c r="N85" s="4"/>
      <c r="O85" s="4"/>
      <c r="R85" s="4"/>
      <c r="S85" s="4"/>
      <c r="W85" s="4"/>
      <c r="X85" s="4"/>
    </row>
    <row r="86" spans="1:24" ht="18.75" customHeight="1" x14ac:dyDescent="0.2">
      <c r="G86" s="4"/>
      <c r="H86" s="3"/>
      <c r="I86" s="4"/>
      <c r="J86" s="4"/>
      <c r="K86" s="4"/>
      <c r="L86" s="4"/>
      <c r="M86" s="4"/>
      <c r="N86" s="4"/>
      <c r="O86" s="4"/>
      <c r="R86" s="4"/>
      <c r="S86" s="4"/>
      <c r="W86" s="4"/>
      <c r="X86" s="4"/>
    </row>
    <row r="87" spans="1:24" ht="15" x14ac:dyDescent="0.25">
      <c r="A87" s="1" t="s">
        <v>834</v>
      </c>
      <c r="G87" s="4"/>
      <c r="H87" s="3"/>
      <c r="I87" s="4"/>
      <c r="J87" s="4"/>
      <c r="K87" s="4"/>
      <c r="L87" s="4"/>
      <c r="M87" s="4"/>
      <c r="N87" s="4"/>
      <c r="O87" s="4"/>
      <c r="R87" s="4"/>
      <c r="S87" s="4"/>
      <c r="W87" s="4"/>
      <c r="X87" s="4"/>
    </row>
    <row r="88" spans="1:24" ht="18.75" x14ac:dyDescent="0.35">
      <c r="A88" s="4" t="s">
        <v>848</v>
      </c>
      <c r="B88" s="2" t="s">
        <v>835</v>
      </c>
      <c r="C88" s="45">
        <v>6</v>
      </c>
      <c r="D88" s="4" t="s">
        <v>21</v>
      </c>
      <c r="G88" s="4"/>
      <c r="H88" s="3"/>
      <c r="I88" s="4"/>
      <c r="J88" s="4"/>
      <c r="K88" s="4"/>
      <c r="L88" s="4"/>
      <c r="M88" s="4"/>
      <c r="N88" s="4"/>
      <c r="O88" s="4"/>
      <c r="R88" s="4"/>
      <c r="S88" s="4"/>
      <c r="W88" s="4"/>
      <c r="X88" s="4"/>
    </row>
    <row r="89" spans="1:24" ht="18.75" x14ac:dyDescent="0.35">
      <c r="A89" s="4" t="s">
        <v>849</v>
      </c>
      <c r="B89" s="2" t="s">
        <v>789</v>
      </c>
      <c r="C89" s="43">
        <f>K44</f>
        <v>0</v>
      </c>
      <c r="D89" s="41" t="s">
        <v>120</v>
      </c>
      <c r="G89" s="4"/>
      <c r="H89" s="3"/>
      <c r="I89" s="4"/>
      <c r="J89" s="4"/>
      <c r="K89" s="4"/>
      <c r="L89" s="4"/>
      <c r="M89" s="4"/>
      <c r="N89" s="4"/>
      <c r="O89" s="4"/>
      <c r="R89" s="4"/>
      <c r="S89" s="4"/>
      <c r="W89" s="4"/>
      <c r="X89" s="4"/>
    </row>
    <row r="90" spans="1:24" ht="18.75" x14ac:dyDescent="0.35">
      <c r="A90" s="132" t="s">
        <v>850</v>
      </c>
      <c r="B90" s="2" t="s">
        <v>790</v>
      </c>
      <c r="C90" s="43">
        <f>K45</f>
        <v>0</v>
      </c>
      <c r="D90" s="132" t="s">
        <v>225</v>
      </c>
      <c r="G90" s="4"/>
      <c r="H90" s="3"/>
      <c r="I90" s="4"/>
      <c r="J90" s="4"/>
      <c r="K90" s="4"/>
      <c r="L90" s="4"/>
      <c r="M90" s="4"/>
      <c r="N90" s="4"/>
      <c r="O90" s="4"/>
      <c r="R90" s="4"/>
      <c r="S90" s="4"/>
      <c r="W90" s="4"/>
      <c r="X90" s="4"/>
    </row>
    <row r="91" spans="1:24" ht="18.75" x14ac:dyDescent="0.35">
      <c r="A91" s="132" t="s">
        <v>851</v>
      </c>
      <c r="B91" s="2" t="s">
        <v>853</v>
      </c>
      <c r="C91" s="43">
        <f>K49</f>
        <v>0</v>
      </c>
      <c r="D91" s="132" t="s">
        <v>664</v>
      </c>
      <c r="G91" s="4"/>
      <c r="H91" s="3"/>
      <c r="I91" s="4"/>
      <c r="J91" s="4"/>
      <c r="K91" s="4"/>
      <c r="L91" s="4"/>
      <c r="M91" s="4"/>
      <c r="N91" s="4"/>
      <c r="O91" s="4"/>
      <c r="R91" s="4"/>
      <c r="S91" s="4"/>
      <c r="W91" s="4"/>
      <c r="X91" s="4"/>
    </row>
    <row r="92" spans="1:24" ht="18.75" x14ac:dyDescent="0.35">
      <c r="A92" s="4" t="s">
        <v>852</v>
      </c>
      <c r="B92" s="2" t="s">
        <v>836</v>
      </c>
      <c r="C92" s="43"/>
      <c r="D92" s="4" t="s">
        <v>21</v>
      </c>
      <c r="G92" s="4"/>
      <c r="H92" s="3"/>
      <c r="R92" s="4"/>
      <c r="S92" s="4"/>
      <c r="W92" s="4"/>
      <c r="X92" s="4"/>
    </row>
    <row r="93" spans="1:24" s="81" customFormat="1" x14ac:dyDescent="0.2">
      <c r="A93" s="4"/>
      <c r="B93" s="2"/>
      <c r="C93" s="43"/>
      <c r="D93" s="4"/>
      <c r="E93" s="4"/>
      <c r="F93" s="4"/>
      <c r="G93" s="4"/>
      <c r="H93" s="35"/>
      <c r="I93" s="132"/>
      <c r="J93" s="35"/>
      <c r="K93" s="132"/>
      <c r="L93" s="132"/>
      <c r="M93" s="132"/>
      <c r="N93" s="35"/>
      <c r="O93" s="132"/>
      <c r="P93" s="132"/>
      <c r="Q93" s="35"/>
      <c r="T93" s="35"/>
      <c r="U93" s="35"/>
      <c r="V93" s="132"/>
    </row>
    <row r="94" spans="1:24" s="81" customFormat="1" ht="50.25" customHeight="1" x14ac:dyDescent="0.25">
      <c r="A94" s="81" t="s">
        <v>696</v>
      </c>
      <c r="B94" s="34" t="s">
        <v>869</v>
      </c>
      <c r="C94" s="82">
        <f>0.64*$C$26*(4/3)</f>
        <v>46933.333333333328</v>
      </c>
      <c r="D94" s="81" t="s">
        <v>23</v>
      </c>
      <c r="E94" s="266" t="s">
        <v>870</v>
      </c>
      <c r="F94" s="266"/>
      <c r="G94" s="266"/>
      <c r="H94" s="35"/>
      <c r="I94" s="132"/>
      <c r="J94" s="35"/>
      <c r="K94" s="132"/>
      <c r="L94" s="132"/>
      <c r="M94" s="132"/>
      <c r="N94" s="35"/>
      <c r="O94" s="132"/>
      <c r="P94" s="132"/>
      <c r="Q94" s="35"/>
      <c r="T94" s="35"/>
      <c r="U94" s="35"/>
      <c r="V94" s="132"/>
    </row>
    <row r="95" spans="1:24" s="81" customFormat="1" ht="50.25" customHeight="1" x14ac:dyDescent="0.25">
      <c r="A95" s="81" t="s">
        <v>697</v>
      </c>
      <c r="B95" s="34" t="s">
        <v>871</v>
      </c>
      <c r="C95" s="82">
        <f>0.33*$C$26*(4/3)</f>
        <v>24200</v>
      </c>
      <c r="D95" s="81" t="s">
        <v>23</v>
      </c>
      <c r="E95" s="266" t="s">
        <v>870</v>
      </c>
      <c r="F95" s="266"/>
      <c r="G95" s="266"/>
      <c r="H95" s="35"/>
      <c r="K95" s="132"/>
      <c r="L95" s="132"/>
      <c r="M95" s="132"/>
      <c r="N95" s="35"/>
      <c r="P95" s="132"/>
      <c r="T95" s="35"/>
      <c r="U95" s="35"/>
      <c r="V95" s="132"/>
    </row>
    <row r="96" spans="1:24" ht="50.25" customHeight="1" x14ac:dyDescent="0.2">
      <c r="A96" s="81" t="s">
        <v>873</v>
      </c>
      <c r="B96" s="34" t="s">
        <v>872</v>
      </c>
      <c r="C96" s="82">
        <f>0.6*$C$26*(4/3)</f>
        <v>44000</v>
      </c>
      <c r="D96" s="81" t="s">
        <v>23</v>
      </c>
      <c r="E96" s="266" t="s">
        <v>870</v>
      </c>
      <c r="F96" s="266"/>
      <c r="G96" s="266"/>
      <c r="H96" s="3"/>
      <c r="I96" s="4"/>
      <c r="J96" s="4"/>
      <c r="O96" s="4"/>
      <c r="Q96" s="4"/>
      <c r="R96" s="4"/>
      <c r="S96" s="4"/>
      <c r="W96" s="4"/>
      <c r="X96" s="4"/>
    </row>
    <row r="97" spans="1:24" x14ac:dyDescent="0.2">
      <c r="C97" s="43"/>
      <c r="G97" s="4"/>
      <c r="H97" s="3"/>
      <c r="I97" s="4"/>
      <c r="J97" s="4"/>
      <c r="O97" s="4"/>
      <c r="Q97" s="4"/>
      <c r="R97" s="4"/>
      <c r="S97" s="4"/>
      <c r="W97" s="4"/>
      <c r="X97" s="4"/>
    </row>
    <row r="98" spans="1:24" ht="18.75" x14ac:dyDescent="0.35">
      <c r="A98" s="4" t="s">
        <v>693</v>
      </c>
      <c r="B98" s="2" t="s">
        <v>837</v>
      </c>
      <c r="C98" s="42"/>
      <c r="D98" s="4" t="s">
        <v>23</v>
      </c>
      <c r="G98" s="4"/>
      <c r="H98" s="3"/>
      <c r="I98" s="4"/>
      <c r="J98" s="4"/>
      <c r="O98" s="4"/>
      <c r="Q98" s="4"/>
      <c r="R98" s="4"/>
      <c r="S98" s="4"/>
      <c r="W98" s="4"/>
      <c r="X98" s="4"/>
    </row>
    <row r="99" spans="1:24" ht="18.75" x14ac:dyDescent="0.35">
      <c r="A99" s="4" t="s">
        <v>695</v>
      </c>
      <c r="B99" s="2" t="s">
        <v>838</v>
      </c>
      <c r="C99" s="42"/>
      <c r="D99" s="4" t="s">
        <v>23</v>
      </c>
      <c r="G99" s="4"/>
      <c r="H99" s="3"/>
      <c r="I99" s="4"/>
      <c r="J99" s="4"/>
      <c r="O99" s="4"/>
      <c r="Q99" s="4"/>
      <c r="R99" s="4"/>
      <c r="S99" s="4"/>
      <c r="W99" s="4"/>
      <c r="X99" s="4"/>
    </row>
    <row r="100" spans="1:24" ht="18.75" x14ac:dyDescent="0.35">
      <c r="A100" s="4" t="s">
        <v>694</v>
      </c>
      <c r="B100" s="2" t="s">
        <v>839</v>
      </c>
      <c r="C100" s="42"/>
      <c r="D100" s="4" t="s">
        <v>23</v>
      </c>
      <c r="E100" s="4" t="s">
        <v>948</v>
      </c>
      <c r="G100" s="4"/>
      <c r="H100" s="3"/>
      <c r="I100" s="4"/>
      <c r="J100" s="4"/>
      <c r="O100" s="4"/>
      <c r="Q100" s="4"/>
      <c r="R100" s="4"/>
      <c r="S100" s="4"/>
      <c r="W100" s="4"/>
      <c r="X100" s="4"/>
    </row>
    <row r="101" spans="1:24" x14ac:dyDescent="0.2">
      <c r="A101" s="275" t="s">
        <v>698</v>
      </c>
      <c r="B101" s="255"/>
      <c r="C101" s="276"/>
      <c r="D101" s="275" t="s">
        <v>22</v>
      </c>
      <c r="E101" s="275" t="s">
        <v>947</v>
      </c>
      <c r="F101" s="275"/>
      <c r="G101" s="275"/>
      <c r="H101" s="3"/>
      <c r="I101" s="4"/>
      <c r="J101" s="4"/>
      <c r="O101" s="4"/>
      <c r="Q101" s="4"/>
      <c r="R101" s="4"/>
      <c r="S101" s="4"/>
      <c r="W101" s="4"/>
      <c r="X101" s="4"/>
    </row>
    <row r="102" spans="1:24" x14ac:dyDescent="0.2">
      <c r="A102" s="275"/>
      <c r="B102" s="255"/>
      <c r="C102" s="276"/>
      <c r="D102" s="275"/>
      <c r="E102" s="275"/>
      <c r="F102" s="275"/>
      <c r="G102" s="275"/>
      <c r="H102" s="3"/>
      <c r="M102" s="4"/>
      <c r="N102" s="4"/>
      <c r="O102" s="4"/>
      <c r="Q102" s="4"/>
      <c r="R102" s="4"/>
      <c r="S102" s="4"/>
      <c r="W102" s="4"/>
      <c r="X102" s="4"/>
    </row>
    <row r="103" spans="1:24" x14ac:dyDescent="0.2">
      <c r="A103" s="275"/>
      <c r="B103" s="255"/>
      <c r="C103" s="276"/>
      <c r="D103" s="275"/>
      <c r="E103" s="275"/>
      <c r="F103" s="275"/>
      <c r="G103" s="275"/>
      <c r="H103" s="3"/>
      <c r="M103" s="4"/>
      <c r="N103" s="4"/>
      <c r="O103" s="4"/>
      <c r="Q103" s="4"/>
      <c r="R103" s="4"/>
      <c r="S103" s="4"/>
      <c r="W103" s="4"/>
      <c r="X103" s="4"/>
    </row>
    <row r="104" spans="1:24" x14ac:dyDescent="0.2">
      <c r="G104" s="4"/>
      <c r="H104" s="3"/>
      <c r="S104" s="4"/>
      <c r="W104" s="4"/>
      <c r="X104" s="4"/>
    </row>
    <row r="105" spans="1:24" ht="15" x14ac:dyDescent="0.25">
      <c r="A105" s="1" t="s">
        <v>868</v>
      </c>
      <c r="G105" s="4"/>
      <c r="H105" s="3"/>
      <c r="S105" s="4"/>
      <c r="W105" s="4"/>
      <c r="X105" s="4"/>
    </row>
    <row r="106" spans="1:24" ht="18.75" x14ac:dyDescent="0.35">
      <c r="A106" s="4" t="s">
        <v>854</v>
      </c>
      <c r="B106" s="2" t="s">
        <v>859</v>
      </c>
      <c r="C106" s="45">
        <v>5.62</v>
      </c>
      <c r="D106" s="4" t="s">
        <v>21</v>
      </c>
      <c r="G106" s="4"/>
      <c r="H106" s="3"/>
      <c r="S106" s="4"/>
      <c r="W106" s="4"/>
      <c r="X106" s="4"/>
    </row>
    <row r="107" spans="1:24" ht="18.75" x14ac:dyDescent="0.35">
      <c r="A107" s="4" t="s">
        <v>855</v>
      </c>
      <c r="B107" s="2" t="s">
        <v>795</v>
      </c>
      <c r="C107" s="43">
        <f>K58</f>
        <v>0</v>
      </c>
      <c r="D107" s="41" t="s">
        <v>120</v>
      </c>
      <c r="G107" s="4"/>
      <c r="H107" s="3"/>
      <c r="S107" s="4"/>
      <c r="W107" s="4"/>
      <c r="X107" s="4"/>
    </row>
    <row r="108" spans="1:24" ht="18.75" x14ac:dyDescent="0.35">
      <c r="A108" s="132" t="s">
        <v>856</v>
      </c>
      <c r="B108" s="2" t="s">
        <v>796</v>
      </c>
      <c r="C108" s="43">
        <f>K59</f>
        <v>0</v>
      </c>
      <c r="D108" s="132" t="s">
        <v>225</v>
      </c>
      <c r="G108" s="4"/>
      <c r="H108" s="3"/>
      <c r="S108" s="4"/>
      <c r="W108" s="4"/>
      <c r="X108" s="4"/>
    </row>
    <row r="109" spans="1:24" ht="18.75" x14ac:dyDescent="0.35">
      <c r="A109" s="132" t="s">
        <v>857</v>
      </c>
      <c r="B109" s="2" t="s">
        <v>860</v>
      </c>
      <c r="C109" s="43">
        <f>K63</f>
        <v>0</v>
      </c>
      <c r="D109" s="132" t="s">
        <v>664</v>
      </c>
      <c r="G109" s="4"/>
      <c r="H109" s="3"/>
      <c r="S109" s="4"/>
      <c r="W109" s="4"/>
      <c r="X109" s="4"/>
    </row>
    <row r="110" spans="1:24" ht="18.75" x14ac:dyDescent="0.35">
      <c r="A110" s="4" t="s">
        <v>858</v>
      </c>
      <c r="B110" s="2" t="s">
        <v>861</v>
      </c>
      <c r="C110" s="43"/>
      <c r="D110" s="4" t="s">
        <v>21</v>
      </c>
      <c r="G110" s="4"/>
      <c r="H110" s="3"/>
      <c r="S110" s="4"/>
      <c r="W110" s="4"/>
      <c r="X110" s="4"/>
    </row>
    <row r="111" spans="1:24" x14ac:dyDescent="0.2">
      <c r="C111" s="43"/>
      <c r="G111" s="4"/>
      <c r="H111" s="3"/>
      <c r="S111" s="4"/>
      <c r="W111" s="4"/>
      <c r="X111" s="4"/>
    </row>
    <row r="112" spans="1:24" ht="50.25" customHeight="1" x14ac:dyDescent="0.2">
      <c r="A112" s="81" t="s">
        <v>696</v>
      </c>
      <c r="B112" s="34" t="s">
        <v>869</v>
      </c>
      <c r="C112" s="82">
        <f>0.64*$C$26*(4/3)</f>
        <v>46933.333333333328</v>
      </c>
      <c r="D112" s="81" t="s">
        <v>23</v>
      </c>
      <c r="E112" s="266" t="s">
        <v>870</v>
      </c>
      <c r="F112" s="266"/>
      <c r="G112" s="266"/>
      <c r="H112" s="3"/>
      <c r="S112" s="4"/>
      <c r="W112" s="4"/>
      <c r="X112" s="4"/>
    </row>
    <row r="113" spans="1:24" ht="50.25" customHeight="1" x14ac:dyDescent="0.2">
      <c r="A113" s="81" t="s">
        <v>697</v>
      </c>
      <c r="B113" s="34" t="s">
        <v>871</v>
      </c>
      <c r="C113" s="82">
        <f>0.33*$C$26*(4/3)</f>
        <v>24200</v>
      </c>
      <c r="D113" s="81" t="s">
        <v>23</v>
      </c>
      <c r="E113" s="266" t="s">
        <v>870</v>
      </c>
      <c r="F113" s="266"/>
      <c r="G113" s="266"/>
      <c r="H113" s="3"/>
      <c r="S113" s="4"/>
      <c r="W113" s="4"/>
      <c r="X113" s="4"/>
    </row>
    <row r="114" spans="1:24" ht="50.25" customHeight="1" x14ac:dyDescent="0.2">
      <c r="A114" s="81" t="s">
        <v>873</v>
      </c>
      <c r="B114" s="34" t="s">
        <v>872</v>
      </c>
      <c r="C114" s="82">
        <f>0.6*$C$26*(4/3)</f>
        <v>44000</v>
      </c>
      <c r="D114" s="81" t="s">
        <v>23</v>
      </c>
      <c r="E114" s="266" t="s">
        <v>870</v>
      </c>
      <c r="F114" s="266"/>
      <c r="G114" s="266"/>
      <c r="H114" s="3"/>
      <c r="S114" s="4"/>
      <c r="W114" s="4"/>
      <c r="X114" s="4"/>
    </row>
    <row r="115" spans="1:24" x14ac:dyDescent="0.2">
      <c r="C115" s="43"/>
      <c r="G115" s="4"/>
      <c r="H115" s="3"/>
      <c r="S115" s="4"/>
      <c r="W115" s="4"/>
      <c r="X115" s="4"/>
    </row>
    <row r="116" spans="1:24" ht="18.75" x14ac:dyDescent="0.35">
      <c r="A116" s="4" t="s">
        <v>693</v>
      </c>
      <c r="B116" s="2" t="s">
        <v>862</v>
      </c>
      <c r="C116" s="42"/>
      <c r="D116" s="4" t="s">
        <v>23</v>
      </c>
      <c r="G116" s="4"/>
      <c r="H116" s="3"/>
      <c r="S116" s="4"/>
      <c r="W116" s="4"/>
      <c r="X116" s="4"/>
    </row>
    <row r="117" spans="1:24" ht="18.75" x14ac:dyDescent="0.35">
      <c r="A117" s="4" t="s">
        <v>695</v>
      </c>
      <c r="B117" s="2" t="s">
        <v>863</v>
      </c>
      <c r="C117" s="42"/>
      <c r="D117" s="4" t="s">
        <v>23</v>
      </c>
      <c r="G117" s="4"/>
      <c r="H117" s="3"/>
      <c r="S117" s="4"/>
      <c r="W117" s="4"/>
      <c r="X117" s="4"/>
    </row>
    <row r="118" spans="1:24" ht="18.75" x14ac:dyDescent="0.35">
      <c r="A118" s="4" t="s">
        <v>694</v>
      </c>
      <c r="B118" s="2" t="s">
        <v>864</v>
      </c>
      <c r="C118" s="42"/>
      <c r="D118" s="4" t="s">
        <v>23</v>
      </c>
      <c r="E118" s="4" t="s">
        <v>948</v>
      </c>
      <c r="G118" s="4"/>
      <c r="H118" s="3"/>
      <c r="S118" s="4"/>
      <c r="W118" s="4"/>
      <c r="X118" s="4"/>
    </row>
    <row r="119" spans="1:24" x14ac:dyDescent="0.2">
      <c r="A119" s="275" t="s">
        <v>698</v>
      </c>
      <c r="B119" s="255"/>
      <c r="C119" s="276"/>
      <c r="D119" s="275" t="s">
        <v>22</v>
      </c>
      <c r="E119" s="275" t="s">
        <v>947</v>
      </c>
      <c r="F119" s="275"/>
      <c r="G119" s="275"/>
      <c r="H119" s="3"/>
      <c r="S119" s="4"/>
      <c r="W119" s="4"/>
      <c r="X119" s="4"/>
    </row>
    <row r="120" spans="1:24" x14ac:dyDescent="0.2">
      <c r="A120" s="275"/>
      <c r="B120" s="255"/>
      <c r="C120" s="276"/>
      <c r="D120" s="275"/>
      <c r="E120" s="275"/>
      <c r="F120" s="275"/>
      <c r="G120" s="275"/>
      <c r="H120" s="3"/>
      <c r="S120" s="4"/>
      <c r="W120" s="4"/>
      <c r="X120" s="4"/>
    </row>
    <row r="121" spans="1:24" x14ac:dyDescent="0.2">
      <c r="A121" s="275"/>
      <c r="B121" s="255"/>
      <c r="C121" s="276"/>
      <c r="D121" s="275"/>
      <c r="E121" s="275"/>
      <c r="F121" s="275"/>
      <c r="G121" s="275"/>
      <c r="H121" s="3"/>
      <c r="S121" s="4"/>
      <c r="W121" s="4"/>
      <c r="X121" s="4"/>
    </row>
    <row r="122" spans="1:24" x14ac:dyDescent="0.2">
      <c r="G122" s="4"/>
      <c r="H122" s="3"/>
      <c r="S122" s="4"/>
      <c r="W122" s="4"/>
      <c r="X122" s="4"/>
    </row>
    <row r="123" spans="1:24" x14ac:dyDescent="0.2">
      <c r="G123" s="4"/>
      <c r="H123" s="3"/>
      <c r="S123" s="4"/>
      <c r="W123" s="4"/>
      <c r="X123" s="4"/>
    </row>
    <row r="124" spans="1:24" x14ac:dyDescent="0.2">
      <c r="G124" s="4"/>
      <c r="H124" s="3"/>
      <c r="S124" s="4"/>
      <c r="W124" s="4"/>
      <c r="X124" s="4"/>
    </row>
    <row r="125" spans="1:24" x14ac:dyDescent="0.2">
      <c r="G125" s="4"/>
      <c r="H125" s="3"/>
      <c r="S125" s="4"/>
      <c r="W125" s="4"/>
      <c r="X125" s="4"/>
    </row>
    <row r="126" spans="1:24" x14ac:dyDescent="0.2">
      <c r="G126" s="4"/>
      <c r="H126" s="3"/>
      <c r="S126" s="4"/>
      <c r="W126" s="4"/>
      <c r="X126" s="4"/>
    </row>
    <row r="127" spans="1:24" x14ac:dyDescent="0.2">
      <c r="G127" s="4"/>
      <c r="H127" s="3"/>
      <c r="S127" s="4"/>
      <c r="W127" s="4"/>
      <c r="X127" s="4"/>
    </row>
    <row r="128" spans="1:24" x14ac:dyDescent="0.2">
      <c r="G128" s="4"/>
      <c r="H128" s="3"/>
      <c r="S128" s="4"/>
      <c r="W128" s="4"/>
      <c r="X128" s="4"/>
    </row>
    <row r="129" spans="2:24" x14ac:dyDescent="0.2">
      <c r="G129" s="4"/>
      <c r="H129" s="3"/>
      <c r="S129" s="4"/>
      <c r="W129" s="4"/>
      <c r="X129" s="4"/>
    </row>
    <row r="130" spans="2:24" x14ac:dyDescent="0.2">
      <c r="G130" s="4"/>
      <c r="H130" s="3"/>
      <c r="S130" s="4"/>
      <c r="W130" s="4"/>
      <c r="X130" s="4"/>
    </row>
    <row r="131" spans="2:24" x14ac:dyDescent="0.2">
      <c r="G131" s="4"/>
      <c r="H131" s="3"/>
      <c r="S131" s="4"/>
      <c r="W131" s="4"/>
      <c r="X131" s="4"/>
    </row>
    <row r="132" spans="2:24" x14ac:dyDescent="0.2">
      <c r="G132" s="4"/>
      <c r="H132" s="3"/>
      <c r="S132" s="4"/>
      <c r="W132" s="4"/>
      <c r="X132" s="4"/>
    </row>
    <row r="133" spans="2:24" x14ac:dyDescent="0.2">
      <c r="G133" s="4"/>
      <c r="H133" s="3"/>
      <c r="S133" s="4"/>
      <c r="W133" s="4"/>
      <c r="X133" s="4"/>
    </row>
    <row r="134" spans="2:24" x14ac:dyDescent="0.2">
      <c r="G134" s="4"/>
      <c r="H134" s="3"/>
      <c r="S134" s="4"/>
      <c r="W134" s="4"/>
      <c r="X134" s="4"/>
    </row>
    <row r="135" spans="2:24" x14ac:dyDescent="0.2">
      <c r="G135" s="4"/>
      <c r="H135" s="3"/>
      <c r="S135" s="4"/>
      <c r="W135" s="4"/>
      <c r="X135" s="4"/>
    </row>
    <row r="136" spans="2:24" x14ac:dyDescent="0.2">
      <c r="B136" s="4"/>
      <c r="G136" s="4"/>
      <c r="H136" s="3"/>
      <c r="S136" s="4"/>
      <c r="W136" s="4"/>
      <c r="X136" s="4"/>
    </row>
    <row r="137" spans="2:24" x14ac:dyDescent="0.2">
      <c r="B137" s="4"/>
      <c r="G137" s="4"/>
      <c r="H137" s="3"/>
      <c r="S137" s="4"/>
      <c r="W137" s="4"/>
      <c r="X137" s="4"/>
    </row>
    <row r="138" spans="2:24" x14ac:dyDescent="0.2">
      <c r="B138" s="3"/>
      <c r="C138" s="3"/>
      <c r="G138" s="4"/>
      <c r="H138" s="3"/>
      <c r="S138" s="4"/>
      <c r="W138" s="4"/>
      <c r="X138" s="4"/>
    </row>
    <row r="139" spans="2:24" x14ac:dyDescent="0.2">
      <c r="C139" s="3"/>
      <c r="G139" s="4"/>
      <c r="H139" s="3"/>
      <c r="S139" s="4"/>
      <c r="W139" s="4"/>
      <c r="X139" s="4"/>
    </row>
    <row r="140" spans="2:24" x14ac:dyDescent="0.2">
      <c r="C140" s="3"/>
      <c r="G140" s="4"/>
      <c r="H140" s="3"/>
      <c r="S140" s="4"/>
      <c r="W140" s="4"/>
      <c r="X140" s="4"/>
    </row>
    <row r="141" spans="2:24" x14ac:dyDescent="0.2">
      <c r="C141" s="3"/>
      <c r="G141" s="4"/>
      <c r="H141" s="3"/>
      <c r="S141" s="4"/>
      <c r="W141" s="4"/>
      <c r="X141" s="4"/>
    </row>
    <row r="142" spans="2:24" x14ac:dyDescent="0.2">
      <c r="C142" s="3"/>
      <c r="H142" s="3"/>
      <c r="S142" s="4"/>
      <c r="W142" s="4"/>
      <c r="X142" s="4"/>
    </row>
    <row r="143" spans="2:24" x14ac:dyDescent="0.2">
      <c r="C143" s="3"/>
      <c r="H143" s="3"/>
      <c r="S143" s="4"/>
      <c r="W143" s="4"/>
      <c r="X143" s="4"/>
    </row>
    <row r="144" spans="2:24" x14ac:dyDescent="0.2">
      <c r="B144" s="4"/>
      <c r="C144" s="4"/>
      <c r="H144" s="4"/>
      <c r="S144" s="4"/>
      <c r="W144" s="4"/>
      <c r="X144" s="4"/>
    </row>
    <row r="145" spans="2:24" x14ac:dyDescent="0.2">
      <c r="C145" s="152"/>
      <c r="H145" s="4"/>
      <c r="S145" s="4"/>
      <c r="W145" s="4"/>
      <c r="X145" s="4"/>
    </row>
    <row r="146" spans="2:24" x14ac:dyDescent="0.2">
      <c r="H146" s="4"/>
      <c r="S146" s="4"/>
      <c r="W146" s="4"/>
      <c r="X146" s="4"/>
    </row>
    <row r="147" spans="2:24" x14ac:dyDescent="0.2">
      <c r="C147" s="6"/>
      <c r="H147" s="4"/>
      <c r="S147" s="4"/>
      <c r="W147" s="4"/>
      <c r="X147" s="4"/>
    </row>
    <row r="148" spans="2:24" x14ac:dyDescent="0.2">
      <c r="C148" s="6"/>
      <c r="H148" s="4"/>
      <c r="S148" s="4"/>
      <c r="W148" s="4"/>
      <c r="X148" s="4"/>
    </row>
    <row r="149" spans="2:24" x14ac:dyDescent="0.2">
      <c r="C149" s="159"/>
      <c r="H149" s="4"/>
      <c r="S149" s="4"/>
      <c r="W149" s="4"/>
      <c r="X149" s="4"/>
    </row>
    <row r="150" spans="2:24" x14ac:dyDescent="0.2">
      <c r="C150" s="47"/>
      <c r="H150" s="4"/>
      <c r="S150" s="4"/>
      <c r="W150" s="4"/>
      <c r="X150" s="4"/>
    </row>
    <row r="151" spans="2:24" x14ac:dyDescent="0.2">
      <c r="C151" s="159"/>
      <c r="H151" s="31"/>
      <c r="S151" s="4"/>
      <c r="W151" s="4"/>
      <c r="X151" s="4"/>
    </row>
    <row r="152" spans="2:24" x14ac:dyDescent="0.2">
      <c r="B152" s="4"/>
      <c r="C152" s="12"/>
      <c r="H152" s="31"/>
      <c r="S152" s="4"/>
      <c r="W152" s="4"/>
      <c r="X152" s="4"/>
    </row>
    <row r="153" spans="2:24" x14ac:dyDescent="0.2">
      <c r="C153" s="6"/>
      <c r="H153" s="31"/>
      <c r="S153" s="4"/>
      <c r="W153" s="4"/>
      <c r="X153" s="4"/>
    </row>
    <row r="154" spans="2:24" x14ac:dyDescent="0.2">
      <c r="C154" s="159"/>
      <c r="H154" s="31"/>
      <c r="S154" s="4"/>
      <c r="W154" s="4"/>
      <c r="X154" s="4"/>
    </row>
    <row r="155" spans="2:24" x14ac:dyDescent="0.2">
      <c r="C155" s="6"/>
      <c r="H155" s="2"/>
      <c r="S155" s="4"/>
      <c r="W155" s="4"/>
      <c r="X155" s="4"/>
    </row>
    <row r="156" spans="2:24" x14ac:dyDescent="0.2">
      <c r="C156" s="47"/>
      <c r="H156" s="2"/>
      <c r="S156" s="4"/>
      <c r="W156" s="4"/>
      <c r="X156" s="4"/>
    </row>
    <row r="157" spans="2:24" x14ac:dyDescent="0.2">
      <c r="C157" s="47"/>
      <c r="H157" s="2"/>
      <c r="S157" s="4"/>
      <c r="W157" s="4"/>
      <c r="X157" s="4"/>
    </row>
    <row r="158" spans="2:24" x14ac:dyDescent="0.2">
      <c r="H158" s="4"/>
      <c r="S158" s="4"/>
      <c r="W158" s="4"/>
      <c r="X158" s="4"/>
    </row>
    <row r="159" spans="2:24" x14ac:dyDescent="0.2">
      <c r="C159" s="152"/>
      <c r="H159" s="4"/>
      <c r="S159" s="4"/>
      <c r="W159" s="4"/>
      <c r="X159" s="4"/>
    </row>
    <row r="160" spans="2:24" x14ac:dyDescent="0.2">
      <c r="C160" s="47"/>
      <c r="H160" s="4"/>
      <c r="S160" s="4"/>
      <c r="W160" s="4"/>
      <c r="X160" s="4"/>
    </row>
    <row r="161" spans="2:24" x14ac:dyDescent="0.2">
      <c r="C161" s="152"/>
      <c r="H161" s="4"/>
      <c r="S161" s="4"/>
      <c r="W161" s="4"/>
      <c r="X161" s="4"/>
    </row>
    <row r="162" spans="2:24" x14ac:dyDescent="0.2">
      <c r="C162" s="47"/>
      <c r="H162" s="4"/>
      <c r="S162" s="4"/>
      <c r="W162" s="4"/>
      <c r="X162" s="4"/>
    </row>
    <row r="163" spans="2:24" x14ac:dyDescent="0.2">
      <c r="C163" s="47"/>
      <c r="H163" s="4"/>
      <c r="S163" s="4"/>
      <c r="W163" s="4"/>
      <c r="X163" s="4"/>
    </row>
    <row r="164" spans="2:24" x14ac:dyDescent="0.2">
      <c r="C164" s="47"/>
      <c r="H164" s="4"/>
      <c r="S164" s="4"/>
      <c r="W164" s="4"/>
      <c r="X164" s="4"/>
    </row>
    <row r="165" spans="2:24" x14ac:dyDescent="0.2">
      <c r="C165" s="47"/>
      <c r="H165" s="4"/>
      <c r="S165" s="4"/>
      <c r="W165" s="4"/>
      <c r="X165" s="4"/>
    </row>
    <row r="166" spans="2:24" x14ac:dyDescent="0.2">
      <c r="H166" s="4"/>
      <c r="S166" s="4"/>
      <c r="W166" s="4"/>
      <c r="X166" s="4"/>
    </row>
    <row r="167" spans="2:24" x14ac:dyDescent="0.2">
      <c r="H167" s="4"/>
      <c r="S167" s="4"/>
      <c r="W167" s="4"/>
      <c r="X167" s="4"/>
    </row>
    <row r="168" spans="2:24" x14ac:dyDescent="0.2">
      <c r="H168" s="4"/>
      <c r="S168" s="4"/>
      <c r="W168" s="4"/>
      <c r="X168" s="4"/>
    </row>
    <row r="169" spans="2:24" x14ac:dyDescent="0.2">
      <c r="C169" s="47"/>
      <c r="H169" s="4"/>
      <c r="S169" s="4"/>
      <c r="W169" s="4"/>
      <c r="X169" s="4"/>
    </row>
    <row r="170" spans="2:24" ht="15" x14ac:dyDescent="0.25">
      <c r="B170" s="1"/>
      <c r="C170" s="4"/>
      <c r="H170" s="4"/>
      <c r="S170" s="4"/>
      <c r="W170" s="4"/>
      <c r="X170" s="4"/>
    </row>
    <row r="171" spans="2:24" x14ac:dyDescent="0.2">
      <c r="B171" s="4"/>
      <c r="C171" s="4"/>
      <c r="H171" s="4"/>
      <c r="S171" s="4"/>
      <c r="W171" s="4"/>
      <c r="X171" s="4"/>
    </row>
    <row r="172" spans="2:24" x14ac:dyDescent="0.2">
      <c r="B172" s="4"/>
      <c r="C172" s="4"/>
      <c r="H172" s="4"/>
      <c r="S172" s="4"/>
      <c r="W172" s="4"/>
      <c r="X172" s="4"/>
    </row>
    <row r="173" spans="2:24" x14ac:dyDescent="0.2">
      <c r="B173" s="4"/>
      <c r="C173" s="4"/>
      <c r="H173" s="4"/>
      <c r="S173" s="4"/>
      <c r="W173" s="4"/>
      <c r="X173" s="4"/>
    </row>
    <row r="174" spans="2:24" x14ac:dyDescent="0.2">
      <c r="B174" s="4"/>
      <c r="C174" s="4"/>
      <c r="H174" s="4"/>
      <c r="S174" s="4"/>
      <c r="W174" s="4"/>
      <c r="X174" s="4"/>
    </row>
    <row r="175" spans="2:24" x14ac:dyDescent="0.2">
      <c r="B175" s="4"/>
      <c r="C175" s="4"/>
      <c r="H175" s="4"/>
      <c r="S175" s="4"/>
      <c r="W175" s="4"/>
      <c r="X175" s="4"/>
    </row>
    <row r="176" spans="2:24" x14ac:dyDescent="0.2">
      <c r="B176" s="4"/>
      <c r="C176" s="4"/>
      <c r="H176" s="4"/>
      <c r="S176" s="4"/>
      <c r="W176" s="4"/>
      <c r="X176" s="4"/>
    </row>
    <row r="177" spans="2:24" x14ac:dyDescent="0.2">
      <c r="B177" s="4"/>
      <c r="C177" s="4"/>
      <c r="H177" s="4"/>
      <c r="S177" s="4"/>
      <c r="W177" s="4"/>
      <c r="X177" s="4"/>
    </row>
    <row r="178" spans="2:24" x14ac:dyDescent="0.2">
      <c r="B178" s="4"/>
      <c r="C178" s="4"/>
      <c r="H178" s="4"/>
      <c r="S178" s="4"/>
      <c r="W178" s="4"/>
      <c r="X178" s="4"/>
    </row>
    <row r="179" spans="2:24" x14ac:dyDescent="0.2">
      <c r="B179" s="4"/>
      <c r="C179" s="4"/>
      <c r="H179" s="4"/>
      <c r="S179" s="4"/>
      <c r="W179" s="4"/>
      <c r="X179" s="4"/>
    </row>
    <row r="180" spans="2:24" x14ac:dyDescent="0.2">
      <c r="B180" s="4"/>
      <c r="C180" s="4"/>
      <c r="H180" s="4"/>
      <c r="S180" s="4"/>
      <c r="W180" s="4"/>
      <c r="X180" s="4"/>
    </row>
    <row r="181" spans="2:24" x14ac:dyDescent="0.2">
      <c r="B181" s="4"/>
      <c r="C181" s="4"/>
      <c r="H181" s="4"/>
      <c r="S181" s="4"/>
      <c r="W181" s="4"/>
      <c r="X181" s="4"/>
    </row>
    <row r="182" spans="2:24" x14ac:dyDescent="0.2">
      <c r="B182" s="4"/>
      <c r="C182" s="4"/>
      <c r="H182" s="4"/>
      <c r="S182" s="4"/>
      <c r="W182" s="4"/>
      <c r="X182" s="4"/>
    </row>
    <row r="183" spans="2:24" x14ac:dyDescent="0.2">
      <c r="B183" s="4"/>
      <c r="C183" s="4"/>
      <c r="H183" s="4"/>
      <c r="S183" s="4"/>
      <c r="W183" s="4"/>
      <c r="X183" s="4"/>
    </row>
    <row r="184" spans="2:24" x14ac:dyDescent="0.2">
      <c r="B184" s="4"/>
      <c r="C184" s="4"/>
      <c r="H184" s="4"/>
      <c r="S184" s="4"/>
      <c r="W184" s="4"/>
      <c r="X184" s="4"/>
    </row>
    <row r="185" spans="2:24" x14ac:dyDescent="0.2">
      <c r="B185" s="4"/>
      <c r="C185" s="4"/>
      <c r="H185" s="4"/>
      <c r="S185" s="4"/>
      <c r="W185" s="4"/>
      <c r="X185" s="4"/>
    </row>
    <row r="186" spans="2:24" ht="15" x14ac:dyDescent="0.25">
      <c r="B186" s="84"/>
      <c r="C186" s="4"/>
      <c r="H186" s="4"/>
      <c r="S186" s="4"/>
      <c r="W186" s="4"/>
      <c r="X186" s="4"/>
    </row>
    <row r="187" spans="2:24" x14ac:dyDescent="0.2">
      <c r="B187" s="3"/>
      <c r="C187" s="3"/>
      <c r="H187" s="4"/>
      <c r="S187" s="4"/>
      <c r="W187" s="4"/>
      <c r="X187" s="4"/>
    </row>
    <row r="188" spans="2:24" x14ac:dyDescent="0.2">
      <c r="B188" s="3"/>
      <c r="C188" s="3"/>
      <c r="D188" s="41"/>
      <c r="H188" s="4"/>
      <c r="S188" s="4"/>
      <c r="W188" s="4"/>
      <c r="X188" s="4"/>
    </row>
    <row r="189" spans="2:24" x14ac:dyDescent="0.2">
      <c r="B189" s="3"/>
      <c r="C189" s="3"/>
      <c r="D189" s="41"/>
      <c r="H189" s="4"/>
      <c r="S189" s="4"/>
      <c r="W189" s="4"/>
      <c r="X189" s="4"/>
    </row>
    <row r="190" spans="2:24" x14ac:dyDescent="0.2">
      <c r="B190" s="3"/>
      <c r="C190" s="3"/>
      <c r="D190" s="41"/>
      <c r="H190" s="4"/>
      <c r="S190" s="4"/>
      <c r="W190" s="4"/>
      <c r="X190" s="4"/>
    </row>
    <row r="191" spans="2:24" x14ac:dyDescent="0.2">
      <c r="B191" s="3"/>
      <c r="C191" s="3"/>
      <c r="D191" s="41"/>
      <c r="H191" s="4"/>
      <c r="S191" s="4"/>
      <c r="W191" s="4"/>
      <c r="X191" s="4"/>
    </row>
    <row r="192" spans="2:24" x14ac:dyDescent="0.2">
      <c r="B192" s="3"/>
      <c r="C192" s="3"/>
      <c r="D192" s="41"/>
      <c r="H192" s="4"/>
      <c r="S192" s="4"/>
      <c r="W192" s="4"/>
      <c r="X192" s="4"/>
    </row>
    <row r="193" spans="1:24" x14ac:dyDescent="0.2">
      <c r="B193" s="3"/>
      <c r="C193" s="3"/>
      <c r="D193" s="41"/>
      <c r="H193" s="4"/>
      <c r="S193" s="4"/>
      <c r="W193" s="4"/>
      <c r="X193" s="4"/>
    </row>
    <row r="194" spans="1:24" x14ac:dyDescent="0.2">
      <c r="B194" s="3"/>
      <c r="C194" s="3"/>
      <c r="H194" s="4"/>
      <c r="S194" s="4"/>
      <c r="W194" s="4"/>
      <c r="X194" s="4"/>
    </row>
    <row r="195" spans="1:24" x14ac:dyDescent="0.2">
      <c r="B195" s="3"/>
      <c r="C195" s="3"/>
      <c r="H195" s="4"/>
      <c r="S195" s="4"/>
      <c r="W195" s="4"/>
      <c r="X195" s="4"/>
    </row>
    <row r="196" spans="1:24" x14ac:dyDescent="0.2">
      <c r="B196" s="3"/>
      <c r="C196" s="3"/>
      <c r="H196" s="4"/>
      <c r="S196" s="4"/>
      <c r="W196" s="4"/>
      <c r="X196" s="4"/>
    </row>
    <row r="197" spans="1:24" ht="15" customHeight="1" x14ac:dyDescent="0.2">
      <c r="B197" s="41"/>
      <c r="C197" s="3"/>
      <c r="H197" s="4"/>
      <c r="S197" s="4"/>
      <c r="W197" s="4"/>
      <c r="X197" s="4"/>
    </row>
    <row r="198" spans="1:24" x14ac:dyDescent="0.2">
      <c r="B198" s="3"/>
      <c r="C198" s="3"/>
      <c r="H198" s="4"/>
      <c r="S198" s="4"/>
      <c r="W198" s="4"/>
      <c r="X198" s="4"/>
    </row>
    <row r="199" spans="1:24" x14ac:dyDescent="0.2">
      <c r="B199" s="3"/>
      <c r="C199" s="3"/>
      <c r="H199" s="4"/>
      <c r="S199" s="4"/>
      <c r="W199" s="4"/>
      <c r="X199" s="4"/>
    </row>
    <row r="200" spans="1:24" x14ac:dyDescent="0.2">
      <c r="C200" s="3"/>
      <c r="H200" s="4"/>
      <c r="S200" s="4"/>
      <c r="W200" s="4"/>
      <c r="X200" s="4"/>
    </row>
    <row r="201" spans="1:24" ht="15" x14ac:dyDescent="0.25">
      <c r="A201" s="1"/>
      <c r="C201" s="4"/>
      <c r="H201" s="4"/>
      <c r="S201" s="4"/>
      <c r="W201" s="4"/>
      <c r="X201" s="4"/>
    </row>
    <row r="202" spans="1:24" x14ac:dyDescent="0.2">
      <c r="A202" s="66"/>
      <c r="C202" s="47"/>
      <c r="H202" s="4"/>
      <c r="Q202" s="4"/>
      <c r="R202" s="4"/>
      <c r="S202" s="4"/>
      <c r="W202" s="4"/>
      <c r="X202" s="4"/>
    </row>
    <row r="203" spans="1:24" x14ac:dyDescent="0.2">
      <c r="C203" s="47"/>
      <c r="E203" s="2"/>
      <c r="G203" s="4"/>
      <c r="H203" s="4"/>
      <c r="Q203" s="4"/>
      <c r="R203" s="4"/>
      <c r="S203" s="4"/>
      <c r="W203" s="4"/>
      <c r="X203" s="4"/>
    </row>
    <row r="204" spans="1:24" x14ac:dyDescent="0.2">
      <c r="C204" s="47"/>
      <c r="E204" s="2"/>
      <c r="G204" s="4"/>
      <c r="H204" s="4"/>
      <c r="Q204" s="4"/>
      <c r="R204" s="4"/>
      <c r="S204" s="4"/>
      <c r="W204" s="4"/>
      <c r="X204" s="4"/>
    </row>
    <row r="205" spans="1:24" x14ac:dyDescent="0.2">
      <c r="C205" s="47"/>
      <c r="E205" s="2"/>
      <c r="G205" s="4"/>
      <c r="H205" s="4"/>
      <c r="Q205" s="4"/>
      <c r="R205" s="4"/>
      <c r="S205" s="4"/>
      <c r="W205" s="4"/>
      <c r="X205" s="4"/>
    </row>
    <row r="206" spans="1:24" x14ac:dyDescent="0.2">
      <c r="C206" s="47"/>
      <c r="E206" s="2"/>
      <c r="G206" s="4"/>
      <c r="H206" s="4"/>
      <c r="Q206" s="4"/>
      <c r="R206" s="4"/>
      <c r="S206" s="4"/>
      <c r="W206" s="4"/>
      <c r="X206" s="4"/>
    </row>
    <row r="207" spans="1:24" ht="15" x14ac:dyDescent="0.25">
      <c r="A207" s="39"/>
      <c r="B207" s="57"/>
      <c r="C207" s="154"/>
      <c r="D207" s="39"/>
      <c r="E207" s="2"/>
      <c r="G207" s="4"/>
      <c r="H207" s="4"/>
      <c r="Q207" s="4"/>
      <c r="R207" s="4"/>
      <c r="S207" s="4"/>
      <c r="W207" s="4"/>
      <c r="X207" s="4"/>
    </row>
    <row r="208" spans="1:24" x14ac:dyDescent="0.2">
      <c r="C208" s="47"/>
      <c r="E208" s="2"/>
      <c r="G208" s="4"/>
      <c r="H208" s="4"/>
      <c r="Q208" s="4"/>
      <c r="R208" s="4"/>
      <c r="S208" s="4"/>
      <c r="W208" s="4"/>
      <c r="X208" s="4"/>
    </row>
    <row r="209" spans="2:24" x14ac:dyDescent="0.2">
      <c r="C209" s="160"/>
      <c r="E209" s="2"/>
      <c r="G209" s="4"/>
      <c r="H209" s="4"/>
      <c r="Q209" s="4"/>
      <c r="R209" s="4"/>
      <c r="S209" s="4"/>
      <c r="W209" s="4"/>
      <c r="X209" s="4"/>
    </row>
    <row r="210" spans="2:24" x14ac:dyDescent="0.2">
      <c r="C210" s="47"/>
      <c r="E210" s="2"/>
      <c r="G210" s="4"/>
      <c r="H210" s="4"/>
      <c r="Q210" s="4"/>
      <c r="R210" s="4"/>
      <c r="S210" s="4"/>
      <c r="W210" s="4"/>
      <c r="X210" s="4"/>
    </row>
    <row r="211" spans="2:24" ht="15" x14ac:dyDescent="0.25">
      <c r="B211" s="57"/>
      <c r="C211" s="154"/>
      <c r="D211" s="39"/>
      <c r="E211" s="2"/>
      <c r="G211" s="4"/>
      <c r="H211" s="4"/>
      <c r="Q211" s="4"/>
      <c r="R211" s="4"/>
      <c r="S211" s="4"/>
      <c r="W211" s="4"/>
      <c r="X211" s="4"/>
    </row>
    <row r="212" spans="2:24" x14ac:dyDescent="0.2">
      <c r="C212" s="47"/>
      <c r="E212" s="2"/>
      <c r="G212" s="4"/>
      <c r="H212" s="4"/>
      <c r="Q212" s="4"/>
      <c r="R212" s="4"/>
      <c r="S212" s="4"/>
      <c r="W212" s="4"/>
      <c r="X212" s="4"/>
    </row>
    <row r="213" spans="2:24" x14ac:dyDescent="0.2">
      <c r="C213" s="160"/>
      <c r="E213" s="2"/>
      <c r="G213" s="4"/>
      <c r="H213" s="4"/>
      <c r="Q213" s="4"/>
      <c r="R213" s="4"/>
      <c r="S213" s="4"/>
      <c r="W213" s="4"/>
      <c r="X213" s="4"/>
    </row>
    <row r="214" spans="2:24" x14ac:dyDescent="0.2">
      <c r="C214" s="47"/>
      <c r="E214" s="2"/>
      <c r="G214" s="4"/>
      <c r="H214" s="4"/>
      <c r="Q214" s="4"/>
      <c r="R214" s="4"/>
      <c r="S214" s="4"/>
      <c r="W214" s="4"/>
      <c r="X214" s="4"/>
    </row>
    <row r="215" spans="2:24" ht="15" x14ac:dyDescent="0.25">
      <c r="B215" s="57"/>
      <c r="C215" s="154"/>
      <c r="D215" s="39"/>
      <c r="E215" s="2"/>
      <c r="G215" s="4"/>
      <c r="H215" s="4"/>
      <c r="Q215" s="4"/>
      <c r="R215" s="4"/>
      <c r="S215" s="4"/>
      <c r="W215" s="4"/>
      <c r="X215" s="4"/>
    </row>
    <row r="216" spans="2:24" x14ac:dyDescent="0.2">
      <c r="C216" s="47"/>
      <c r="E216" s="2"/>
      <c r="G216" s="4"/>
      <c r="H216" s="4"/>
      <c r="Q216" s="4"/>
      <c r="R216" s="4"/>
      <c r="S216" s="4"/>
      <c r="W216" s="4"/>
      <c r="X216" s="4"/>
    </row>
    <row r="217" spans="2:24" x14ac:dyDescent="0.2">
      <c r="C217" s="160"/>
      <c r="E217" s="2"/>
      <c r="G217" s="4"/>
      <c r="H217" s="4"/>
      <c r="Q217" s="4"/>
      <c r="R217" s="4"/>
      <c r="S217" s="4"/>
      <c r="W217" s="4"/>
      <c r="X217" s="4"/>
    </row>
    <row r="218" spans="2:24" x14ac:dyDescent="0.2">
      <c r="C218" s="47"/>
      <c r="E218" s="2"/>
      <c r="G218" s="4"/>
      <c r="H218" s="4"/>
      <c r="Q218" s="4"/>
      <c r="R218" s="4"/>
      <c r="S218" s="4"/>
      <c r="W218" s="4"/>
      <c r="X218" s="4"/>
    </row>
    <row r="219" spans="2:24" ht="15" x14ac:dyDescent="0.25">
      <c r="B219" s="57"/>
      <c r="C219" s="154"/>
      <c r="D219" s="39"/>
      <c r="E219" s="2"/>
      <c r="G219" s="4"/>
      <c r="H219" s="4"/>
      <c r="Q219" s="4"/>
      <c r="R219" s="4"/>
      <c r="S219" s="4"/>
      <c r="W219" s="4"/>
      <c r="X219" s="4"/>
    </row>
    <row r="220" spans="2:24" x14ac:dyDescent="0.2">
      <c r="C220" s="47"/>
      <c r="E220" s="2"/>
      <c r="G220" s="4"/>
      <c r="H220" s="4"/>
      <c r="Q220" s="4"/>
      <c r="R220" s="4"/>
      <c r="S220" s="4"/>
      <c r="W220" s="4"/>
      <c r="X220" s="4"/>
    </row>
    <row r="221" spans="2:24" x14ac:dyDescent="0.2">
      <c r="C221" s="160"/>
      <c r="E221" s="2"/>
      <c r="G221" s="4"/>
      <c r="H221" s="4"/>
      <c r="Q221" s="4"/>
      <c r="R221" s="4"/>
      <c r="S221" s="4"/>
      <c r="W221" s="4"/>
      <c r="X221" s="4"/>
    </row>
    <row r="222" spans="2:24" x14ac:dyDescent="0.2">
      <c r="C222" s="47"/>
      <c r="E222" s="2"/>
      <c r="G222" s="4"/>
      <c r="H222" s="4"/>
      <c r="Q222" s="4"/>
      <c r="R222" s="4"/>
      <c r="S222" s="4"/>
      <c r="W222" s="4"/>
      <c r="X222" s="4"/>
    </row>
    <row r="223" spans="2:24" ht="15" x14ac:dyDescent="0.25">
      <c r="B223" s="57"/>
      <c r="C223" s="154"/>
      <c r="D223" s="39"/>
      <c r="E223" s="2"/>
      <c r="G223" s="4"/>
      <c r="H223" s="4"/>
      <c r="Q223" s="4"/>
      <c r="R223" s="4"/>
      <c r="S223" s="4"/>
      <c r="W223" s="4"/>
      <c r="X223" s="4"/>
    </row>
    <row r="224" spans="2:24" x14ac:dyDescent="0.2">
      <c r="C224" s="47"/>
      <c r="E224" s="2"/>
      <c r="G224" s="4"/>
      <c r="H224" s="4"/>
      <c r="Q224" s="4"/>
      <c r="R224" s="4"/>
      <c r="S224" s="4"/>
      <c r="W224" s="4"/>
      <c r="X224" s="4"/>
    </row>
    <row r="225" spans="2:24" x14ac:dyDescent="0.2">
      <c r="C225" s="160"/>
      <c r="E225" s="2"/>
      <c r="G225" s="4"/>
      <c r="H225" s="4"/>
      <c r="Q225" s="4"/>
      <c r="R225" s="4"/>
      <c r="S225" s="4"/>
      <c r="W225" s="4"/>
      <c r="X225" s="4"/>
    </row>
    <row r="226" spans="2:24" x14ac:dyDescent="0.2">
      <c r="C226" s="47"/>
      <c r="E226" s="2"/>
      <c r="G226" s="4"/>
      <c r="H226" s="4"/>
      <c r="Q226" s="4"/>
      <c r="R226" s="4"/>
      <c r="S226" s="4"/>
      <c r="W226" s="4"/>
      <c r="X226" s="4"/>
    </row>
    <row r="227" spans="2:24" ht="15" x14ac:dyDescent="0.25">
      <c r="B227" s="57"/>
      <c r="C227" s="154"/>
      <c r="D227" s="39"/>
      <c r="E227" s="2"/>
      <c r="G227" s="4"/>
      <c r="H227" s="3"/>
      <c r="Q227" s="4"/>
      <c r="R227" s="4"/>
      <c r="S227" s="4"/>
      <c r="W227" s="4"/>
      <c r="X227" s="4"/>
    </row>
    <row r="228" spans="2:24" x14ac:dyDescent="0.2">
      <c r="C228" s="47"/>
      <c r="E228" s="2"/>
      <c r="G228" s="3"/>
      <c r="H228" s="2"/>
      <c r="Q228" s="4"/>
      <c r="R228" s="4"/>
      <c r="S228" s="4"/>
      <c r="W228" s="4"/>
      <c r="X228" s="4"/>
    </row>
    <row r="229" spans="2:24" x14ac:dyDescent="0.2">
      <c r="C229" s="160"/>
      <c r="E229" s="2"/>
      <c r="F229" s="2"/>
      <c r="H229" s="3"/>
      <c r="Q229" s="4"/>
      <c r="R229" s="4"/>
      <c r="S229" s="4"/>
      <c r="W229" s="4"/>
      <c r="X229" s="4"/>
    </row>
    <row r="230" spans="2:24" x14ac:dyDescent="0.2">
      <c r="C230" s="47"/>
      <c r="E230" s="2"/>
      <c r="F230" s="3"/>
      <c r="G230" s="3"/>
      <c r="H230" s="8"/>
      <c r="Q230" s="4"/>
      <c r="R230" s="4"/>
      <c r="S230" s="4"/>
      <c r="W230" s="4"/>
      <c r="X230" s="4"/>
    </row>
    <row r="231" spans="2:24" ht="15" x14ac:dyDescent="0.25">
      <c r="B231" s="57"/>
      <c r="C231" s="154"/>
      <c r="D231" s="39"/>
      <c r="E231" s="2"/>
      <c r="F231" s="8"/>
      <c r="G231" s="8"/>
      <c r="H231" s="8"/>
      <c r="Q231" s="4"/>
      <c r="R231" s="4"/>
      <c r="S231" s="4"/>
      <c r="W231" s="4"/>
      <c r="X231" s="4"/>
    </row>
    <row r="232" spans="2:24" x14ac:dyDescent="0.2">
      <c r="C232" s="47"/>
      <c r="E232" s="2"/>
      <c r="F232" s="8"/>
      <c r="G232" s="8"/>
      <c r="H232" s="8"/>
      <c r="Q232" s="4"/>
      <c r="R232" s="4"/>
      <c r="S232" s="4"/>
      <c r="W232" s="4"/>
      <c r="X232" s="4"/>
    </row>
    <row r="233" spans="2:24" x14ac:dyDescent="0.2">
      <c r="E233" s="2"/>
      <c r="F233" s="8"/>
      <c r="G233" s="8"/>
      <c r="H233" s="8"/>
      <c r="Q233" s="4"/>
      <c r="R233" s="4"/>
      <c r="S233" s="4"/>
      <c r="W233" s="4"/>
      <c r="X233" s="4"/>
    </row>
    <row r="234" spans="2:24" x14ac:dyDescent="0.2">
      <c r="E234" s="2"/>
      <c r="F234" s="8"/>
      <c r="G234" s="8"/>
      <c r="H234" s="8"/>
      <c r="Q234" s="4"/>
      <c r="R234" s="4"/>
      <c r="S234" s="4"/>
      <c r="W234" s="4"/>
      <c r="X234" s="4"/>
    </row>
    <row r="235" spans="2:24" x14ac:dyDescent="0.2">
      <c r="E235" s="2"/>
      <c r="F235" s="8"/>
      <c r="G235" s="8"/>
      <c r="H235" s="8"/>
      <c r="Q235" s="4"/>
      <c r="R235" s="4"/>
      <c r="S235" s="4"/>
      <c r="W235" s="4"/>
      <c r="X235" s="4"/>
    </row>
    <row r="236" spans="2:24" x14ac:dyDescent="0.2">
      <c r="E236" s="2"/>
      <c r="F236" s="8"/>
      <c r="G236" s="8"/>
      <c r="H236" s="8"/>
      <c r="Q236" s="4"/>
      <c r="R236" s="4"/>
      <c r="S236" s="4"/>
      <c r="W236" s="4"/>
      <c r="X236" s="4"/>
    </row>
    <row r="237" spans="2:24" ht="15" x14ac:dyDescent="0.25">
      <c r="B237" s="1"/>
      <c r="E237" s="2"/>
      <c r="F237" s="8"/>
      <c r="G237" s="8"/>
      <c r="H237" s="8"/>
      <c r="Q237" s="4"/>
      <c r="R237" s="4"/>
      <c r="S237" s="4"/>
      <c r="W237" s="4"/>
      <c r="X237" s="4"/>
    </row>
    <row r="238" spans="2:24" x14ac:dyDescent="0.2">
      <c r="E238" s="2"/>
      <c r="F238" s="8"/>
      <c r="G238" s="8"/>
      <c r="H238" s="8"/>
      <c r="Q238" s="4"/>
      <c r="R238" s="4"/>
      <c r="S238" s="4"/>
      <c r="W238" s="4"/>
      <c r="X238" s="4"/>
    </row>
    <row r="239" spans="2:24" x14ac:dyDescent="0.2">
      <c r="E239" s="2"/>
      <c r="F239" s="8"/>
      <c r="G239" s="8"/>
      <c r="H239" s="8"/>
      <c r="Q239" s="4"/>
      <c r="R239" s="4"/>
      <c r="S239" s="4"/>
      <c r="W239" s="4"/>
      <c r="X239" s="4"/>
    </row>
    <row r="240" spans="2:24" x14ac:dyDescent="0.2">
      <c r="E240" s="2"/>
      <c r="F240" s="8"/>
      <c r="G240" s="8"/>
      <c r="H240" s="8"/>
      <c r="Q240" s="4"/>
      <c r="R240" s="4"/>
      <c r="S240" s="4"/>
      <c r="W240" s="4"/>
      <c r="X240" s="4"/>
    </row>
    <row r="241" spans="2:24" x14ac:dyDescent="0.2">
      <c r="E241" s="2"/>
      <c r="F241" s="8"/>
      <c r="G241" s="8"/>
      <c r="H241" s="8"/>
      <c r="Q241" s="4"/>
      <c r="R241" s="4"/>
      <c r="S241" s="4"/>
      <c r="W241" s="4"/>
      <c r="X241" s="4"/>
    </row>
    <row r="242" spans="2:24" x14ac:dyDescent="0.2">
      <c r="E242" s="2"/>
      <c r="F242" s="8"/>
      <c r="G242" s="8"/>
      <c r="H242" s="8"/>
      <c r="Q242" s="4"/>
      <c r="R242" s="4"/>
      <c r="S242" s="4"/>
      <c r="W242" s="4"/>
      <c r="X242" s="4"/>
    </row>
    <row r="243" spans="2:24" x14ac:dyDescent="0.2">
      <c r="E243" s="2"/>
      <c r="F243" s="8"/>
      <c r="G243" s="8"/>
      <c r="H243" s="8"/>
      <c r="Q243" s="4"/>
      <c r="R243" s="4"/>
      <c r="S243" s="4"/>
      <c r="W243" s="4"/>
      <c r="X243" s="4"/>
    </row>
    <row r="244" spans="2:24" x14ac:dyDescent="0.2">
      <c r="E244" s="2"/>
      <c r="F244" s="8"/>
      <c r="G244" s="8"/>
      <c r="H244" s="8"/>
      <c r="Q244" s="4"/>
      <c r="R244" s="4"/>
      <c r="S244" s="4"/>
      <c r="W244" s="4"/>
      <c r="X244" s="4"/>
    </row>
    <row r="245" spans="2:24" x14ac:dyDescent="0.2">
      <c r="E245" s="2"/>
      <c r="F245" s="8"/>
      <c r="G245" s="8"/>
      <c r="H245" s="8"/>
      <c r="Q245" s="4"/>
      <c r="R245" s="4"/>
      <c r="S245" s="4"/>
      <c r="W245" s="4"/>
      <c r="X245" s="4"/>
    </row>
    <row r="246" spans="2:24" x14ac:dyDescent="0.2">
      <c r="E246" s="2"/>
      <c r="F246" s="8"/>
      <c r="G246" s="8"/>
      <c r="H246" s="8"/>
      <c r="Q246" s="4"/>
      <c r="R246" s="4"/>
      <c r="S246" s="4"/>
      <c r="W246" s="4"/>
      <c r="X246" s="4"/>
    </row>
    <row r="247" spans="2:24" x14ac:dyDescent="0.2">
      <c r="E247" s="2"/>
      <c r="F247" s="8"/>
      <c r="G247" s="8"/>
      <c r="H247" s="8"/>
      <c r="Q247" s="4"/>
      <c r="R247" s="4"/>
      <c r="S247" s="4"/>
      <c r="W247" s="4"/>
      <c r="X247" s="4"/>
    </row>
    <row r="248" spans="2:24" x14ac:dyDescent="0.2">
      <c r="E248" s="2"/>
      <c r="F248" s="8"/>
      <c r="G248" s="8"/>
      <c r="H248" s="8"/>
      <c r="Q248" s="4"/>
      <c r="R248" s="4"/>
      <c r="S248" s="4"/>
      <c r="W248" s="4"/>
      <c r="X248" s="4"/>
    </row>
    <row r="249" spans="2:24" x14ac:dyDescent="0.2">
      <c r="E249" s="2"/>
      <c r="F249" s="8"/>
      <c r="G249" s="8"/>
      <c r="H249" s="8"/>
      <c r="Q249" s="4"/>
      <c r="R249" s="4"/>
      <c r="S249" s="4"/>
      <c r="W249" s="4"/>
      <c r="X249" s="4"/>
    </row>
    <row r="250" spans="2:24" x14ac:dyDescent="0.2">
      <c r="E250" s="2"/>
      <c r="F250" s="8"/>
      <c r="G250" s="8"/>
      <c r="H250" s="8"/>
      <c r="Q250" s="4"/>
      <c r="R250" s="4"/>
      <c r="S250" s="4"/>
      <c r="W250" s="4"/>
      <c r="X250" s="4"/>
    </row>
    <row r="251" spans="2:24" x14ac:dyDescent="0.2">
      <c r="E251" s="2"/>
      <c r="F251" s="8"/>
      <c r="G251" s="8"/>
      <c r="H251" s="8"/>
      <c r="Q251" s="4"/>
      <c r="R251" s="4"/>
      <c r="S251" s="4"/>
      <c r="W251" s="4"/>
      <c r="X251" s="4"/>
    </row>
    <row r="252" spans="2:24" x14ac:dyDescent="0.2">
      <c r="E252" s="2"/>
      <c r="F252" s="8"/>
      <c r="G252" s="8"/>
      <c r="H252" s="8"/>
      <c r="Q252" s="4"/>
      <c r="R252" s="4"/>
      <c r="S252" s="4"/>
      <c r="W252" s="4"/>
      <c r="X252" s="4"/>
    </row>
    <row r="253" spans="2:24" ht="15" x14ac:dyDescent="0.25">
      <c r="B253" s="84"/>
      <c r="E253" s="2"/>
      <c r="F253" s="8"/>
      <c r="G253" s="8"/>
      <c r="H253" s="8"/>
      <c r="Q253" s="4"/>
      <c r="R253" s="4"/>
      <c r="S253" s="4"/>
      <c r="W253" s="4"/>
      <c r="X253" s="4"/>
    </row>
    <row r="254" spans="2:24" x14ac:dyDescent="0.2">
      <c r="B254" s="4"/>
      <c r="C254" s="4"/>
      <c r="G254" s="4"/>
      <c r="H254" s="8"/>
      <c r="Q254" s="4"/>
      <c r="R254" s="4"/>
      <c r="S254" s="4"/>
      <c r="W254" s="4"/>
      <c r="X254" s="4"/>
    </row>
    <row r="255" spans="2:24" x14ac:dyDescent="0.2">
      <c r="B255" s="4"/>
      <c r="C255" s="4"/>
      <c r="D255" s="3"/>
      <c r="G255" s="4"/>
      <c r="H255" s="8"/>
      <c r="Q255" s="4"/>
      <c r="R255" s="4"/>
      <c r="S255" s="4"/>
      <c r="W255" s="4"/>
      <c r="X255" s="4"/>
    </row>
    <row r="256" spans="2:24" x14ac:dyDescent="0.2">
      <c r="B256" s="4"/>
      <c r="C256" s="4"/>
      <c r="D256" s="3"/>
      <c r="G256" s="4"/>
      <c r="H256" s="8"/>
      <c r="Q256" s="4"/>
      <c r="R256" s="4"/>
      <c r="S256" s="4"/>
      <c r="W256" s="4"/>
      <c r="X256" s="4"/>
    </row>
    <row r="257" spans="1:24" x14ac:dyDescent="0.2">
      <c r="B257" s="4"/>
      <c r="C257" s="4"/>
      <c r="D257" s="3"/>
      <c r="G257" s="4"/>
      <c r="H257" s="8"/>
      <c r="Q257" s="4"/>
      <c r="R257" s="4"/>
      <c r="S257" s="4"/>
      <c r="W257" s="4"/>
      <c r="X257" s="4"/>
    </row>
    <row r="258" spans="1:24" x14ac:dyDescent="0.2">
      <c r="B258" s="4"/>
      <c r="C258" s="4"/>
      <c r="D258" s="3"/>
      <c r="G258" s="4"/>
      <c r="H258" s="8"/>
      <c r="Q258" s="4"/>
      <c r="R258" s="4"/>
      <c r="S258" s="4"/>
      <c r="W258" s="4"/>
      <c r="X258" s="4"/>
    </row>
    <row r="259" spans="1:24" x14ac:dyDescent="0.2">
      <c r="B259" s="4"/>
      <c r="C259" s="4"/>
      <c r="D259" s="3"/>
      <c r="G259" s="4"/>
      <c r="H259" s="8"/>
      <c r="Q259" s="4"/>
      <c r="R259" s="4"/>
      <c r="S259" s="4"/>
      <c r="W259" s="4"/>
      <c r="X259" s="4"/>
    </row>
    <row r="260" spans="1:24" x14ac:dyDescent="0.2">
      <c r="B260" s="4"/>
      <c r="C260" s="4"/>
      <c r="D260" s="3"/>
      <c r="G260" s="4"/>
      <c r="H260" s="8"/>
      <c r="Q260" s="4"/>
      <c r="R260" s="4"/>
      <c r="S260" s="4"/>
      <c r="W260" s="4"/>
      <c r="X260" s="4"/>
    </row>
    <row r="261" spans="1:24" x14ac:dyDescent="0.2">
      <c r="B261" s="4"/>
      <c r="C261" s="4"/>
      <c r="G261" s="4"/>
      <c r="H261" s="8"/>
      <c r="Q261" s="4"/>
      <c r="R261" s="4"/>
      <c r="S261" s="4"/>
      <c r="W261" s="4"/>
      <c r="X261" s="4"/>
    </row>
    <row r="262" spans="1:24" x14ac:dyDescent="0.2">
      <c r="B262" s="4"/>
      <c r="C262" s="4"/>
      <c r="G262" s="4"/>
      <c r="H262" s="8"/>
      <c r="Q262" s="4"/>
      <c r="R262" s="4"/>
      <c r="S262" s="4"/>
      <c r="W262" s="4"/>
      <c r="X262" s="4"/>
    </row>
    <row r="263" spans="1:24" x14ac:dyDescent="0.2">
      <c r="B263" s="4"/>
      <c r="C263" s="4"/>
      <c r="G263" s="4"/>
      <c r="H263" s="8"/>
      <c r="Q263" s="4"/>
      <c r="R263" s="4"/>
      <c r="S263" s="4"/>
      <c r="W263" s="4"/>
      <c r="X263" s="4"/>
    </row>
    <row r="264" spans="1:24" x14ac:dyDescent="0.2">
      <c r="B264" s="4"/>
      <c r="C264" s="4"/>
      <c r="G264" s="4"/>
      <c r="H264" s="8"/>
      <c r="Q264" s="4"/>
      <c r="R264" s="4"/>
      <c r="S264" s="4"/>
      <c r="W264" s="4"/>
      <c r="X264" s="4"/>
    </row>
    <row r="265" spans="1:24" x14ac:dyDescent="0.2">
      <c r="B265" s="4"/>
      <c r="C265" s="4"/>
      <c r="G265" s="4"/>
      <c r="H265" s="8"/>
      <c r="Q265" s="4"/>
      <c r="R265" s="4"/>
      <c r="S265" s="4"/>
      <c r="W265" s="4"/>
      <c r="X265" s="4"/>
    </row>
    <row r="266" spans="1:24" x14ac:dyDescent="0.2">
      <c r="B266" s="4"/>
      <c r="C266" s="4"/>
      <c r="G266" s="4"/>
      <c r="H266" s="8"/>
      <c r="Q266" s="4"/>
      <c r="R266" s="4"/>
      <c r="S266" s="4"/>
      <c r="W266" s="4"/>
      <c r="X266" s="4"/>
    </row>
    <row r="267" spans="1:24" x14ac:dyDescent="0.2">
      <c r="E267" s="2"/>
      <c r="F267" s="8"/>
      <c r="G267" s="8"/>
      <c r="H267" s="4"/>
      <c r="Q267" s="4"/>
      <c r="R267" s="4"/>
      <c r="S267" s="4"/>
      <c r="W267" s="4"/>
      <c r="X267" s="4"/>
    </row>
    <row r="268" spans="1:24" x14ac:dyDescent="0.2">
      <c r="A268" s="66"/>
      <c r="C268" s="47"/>
      <c r="E268" s="2"/>
      <c r="G268" s="4"/>
      <c r="H268" s="4"/>
      <c r="Q268" s="4"/>
      <c r="R268" s="4"/>
      <c r="S268" s="4"/>
      <c r="W268" s="4"/>
      <c r="X268" s="4"/>
    </row>
    <row r="269" spans="1:24" ht="18.75" x14ac:dyDescent="0.35">
      <c r="B269" s="63"/>
      <c r="C269" s="47"/>
      <c r="E269" s="2"/>
      <c r="G269" s="4"/>
      <c r="H269" s="4"/>
      <c r="Q269" s="4"/>
      <c r="R269" s="4"/>
      <c r="S269" s="4"/>
      <c r="W269" s="4"/>
      <c r="X269" s="4"/>
    </row>
    <row r="270" spans="1:24" ht="18.75" x14ac:dyDescent="0.35">
      <c r="B270" s="63"/>
      <c r="C270" s="47"/>
      <c r="E270" s="2"/>
      <c r="G270" s="4"/>
      <c r="H270" s="4"/>
      <c r="Q270" s="4"/>
      <c r="R270" s="4"/>
      <c r="S270" s="4"/>
      <c r="W270" s="4"/>
      <c r="X270" s="4"/>
    </row>
    <row r="271" spans="1:24" x14ac:dyDescent="0.2">
      <c r="C271" s="47"/>
      <c r="E271" s="2"/>
      <c r="G271" s="4"/>
      <c r="H271" s="4"/>
      <c r="Q271" s="4"/>
      <c r="R271" s="4"/>
      <c r="S271" s="4"/>
      <c r="W271" s="4"/>
      <c r="X271" s="4"/>
    </row>
    <row r="272" spans="1:24" ht="18.75" x14ac:dyDescent="0.35">
      <c r="B272" s="63"/>
      <c r="C272" s="47"/>
      <c r="E272" s="2"/>
      <c r="G272" s="4"/>
      <c r="H272" s="4"/>
      <c r="Q272" s="4"/>
      <c r="R272" s="4"/>
      <c r="S272" s="4"/>
      <c r="W272" s="4"/>
      <c r="X272" s="4"/>
    </row>
    <row r="273" spans="2:24" ht="15" x14ac:dyDescent="0.25">
      <c r="B273" s="57"/>
      <c r="C273" s="154"/>
      <c r="D273" s="39"/>
      <c r="E273" s="2"/>
      <c r="G273" s="4"/>
      <c r="H273" s="4"/>
      <c r="Q273" s="4"/>
      <c r="R273" s="4"/>
      <c r="S273" s="4"/>
      <c r="W273" s="4"/>
      <c r="X273" s="4"/>
    </row>
    <row r="274" spans="2:24" ht="18.75" x14ac:dyDescent="0.35">
      <c r="B274" s="63"/>
      <c r="C274" s="47"/>
      <c r="E274" s="2"/>
      <c r="G274" s="4"/>
      <c r="H274" s="4"/>
      <c r="Q274" s="4"/>
      <c r="R274" s="4"/>
      <c r="S274" s="4"/>
      <c r="W274" s="4"/>
      <c r="X274" s="4"/>
    </row>
    <row r="275" spans="2:24" ht="18.75" x14ac:dyDescent="0.35">
      <c r="B275" s="63"/>
      <c r="C275" s="160"/>
      <c r="E275" s="2"/>
      <c r="G275" s="4"/>
      <c r="H275" s="4"/>
      <c r="Q275" s="4"/>
      <c r="R275" s="4"/>
      <c r="S275" s="4"/>
      <c r="W275" s="4"/>
      <c r="X275" s="4"/>
    </row>
    <row r="276" spans="2:24" x14ac:dyDescent="0.2">
      <c r="C276" s="47"/>
      <c r="E276" s="2"/>
      <c r="G276" s="4"/>
      <c r="H276" s="4"/>
      <c r="Q276" s="4"/>
      <c r="R276" s="4"/>
      <c r="S276" s="4"/>
      <c r="W276" s="4"/>
      <c r="X276" s="4"/>
    </row>
    <row r="277" spans="2:24" ht="15" x14ac:dyDescent="0.25">
      <c r="B277" s="57"/>
      <c r="C277" s="154"/>
      <c r="D277" s="39"/>
      <c r="E277" s="2"/>
      <c r="G277" s="4"/>
      <c r="H277" s="4"/>
      <c r="Q277" s="4"/>
      <c r="R277" s="4"/>
      <c r="S277" s="4"/>
      <c r="W277" s="4"/>
      <c r="X277" s="4"/>
    </row>
    <row r="278" spans="2:24" ht="18.75" x14ac:dyDescent="0.35">
      <c r="B278" s="63"/>
      <c r="C278" s="47"/>
      <c r="E278" s="2"/>
      <c r="G278" s="4"/>
      <c r="H278" s="4"/>
      <c r="Q278" s="4"/>
      <c r="R278" s="4"/>
      <c r="S278" s="4"/>
      <c r="W278" s="4"/>
      <c r="X278" s="4"/>
    </row>
    <row r="279" spans="2:24" ht="18.75" x14ac:dyDescent="0.35">
      <c r="B279" s="63"/>
      <c r="C279" s="160"/>
      <c r="E279" s="2"/>
      <c r="G279" s="4"/>
      <c r="H279" s="4"/>
      <c r="Q279" s="4"/>
      <c r="R279" s="4"/>
      <c r="S279" s="4"/>
      <c r="W279" s="4"/>
      <c r="X279" s="4"/>
    </row>
    <row r="280" spans="2:24" x14ac:dyDescent="0.2">
      <c r="C280" s="47"/>
      <c r="E280" s="2"/>
      <c r="G280" s="4"/>
      <c r="H280" s="4"/>
      <c r="Q280" s="4"/>
      <c r="R280" s="4"/>
      <c r="S280" s="4"/>
      <c r="W280" s="4"/>
      <c r="X280" s="4"/>
    </row>
    <row r="281" spans="2:24" ht="15" x14ac:dyDescent="0.25">
      <c r="B281" s="57"/>
      <c r="C281" s="154"/>
      <c r="D281" s="39"/>
      <c r="E281" s="2"/>
      <c r="G281" s="4"/>
      <c r="H281" s="4"/>
      <c r="Q281" s="4"/>
      <c r="R281" s="4"/>
      <c r="S281" s="4"/>
      <c r="W281" s="4"/>
      <c r="X281" s="4"/>
    </row>
    <row r="282" spans="2:24" ht="18.75" x14ac:dyDescent="0.35">
      <c r="B282" s="63"/>
      <c r="C282" s="47"/>
      <c r="E282" s="2"/>
      <c r="G282" s="4"/>
      <c r="H282" s="4"/>
      <c r="Q282" s="4"/>
      <c r="R282" s="4"/>
      <c r="S282" s="4"/>
      <c r="W282" s="4"/>
      <c r="X282" s="4"/>
    </row>
    <row r="283" spans="2:24" x14ac:dyDescent="0.2">
      <c r="C283" s="160"/>
      <c r="E283" s="2"/>
      <c r="G283" s="4"/>
      <c r="H283" s="4"/>
      <c r="Q283" s="4"/>
      <c r="R283" s="4"/>
      <c r="S283" s="4"/>
      <c r="W283" s="4"/>
      <c r="X283" s="4"/>
    </row>
    <row r="284" spans="2:24" x14ac:dyDescent="0.2">
      <c r="C284" s="47"/>
      <c r="E284" s="2"/>
      <c r="G284" s="4"/>
      <c r="H284" s="4"/>
      <c r="Q284" s="4"/>
      <c r="R284" s="4"/>
      <c r="S284" s="4"/>
      <c r="W284" s="4"/>
      <c r="X284" s="4"/>
    </row>
    <row r="285" spans="2:24" ht="15" x14ac:dyDescent="0.25">
      <c r="B285" s="57"/>
      <c r="C285" s="154"/>
      <c r="D285" s="39"/>
      <c r="E285" s="2"/>
      <c r="G285" s="4"/>
      <c r="H285" s="4"/>
      <c r="Q285" s="4"/>
      <c r="R285" s="4"/>
      <c r="S285" s="4"/>
      <c r="W285" s="4"/>
      <c r="X285" s="4"/>
    </row>
    <row r="286" spans="2:24" x14ac:dyDescent="0.2">
      <c r="C286" s="47"/>
      <c r="E286" s="2"/>
      <c r="G286" s="4"/>
      <c r="H286" s="4"/>
      <c r="Q286" s="4"/>
      <c r="R286" s="4"/>
      <c r="S286" s="4"/>
      <c r="W286" s="4"/>
      <c r="X286" s="4"/>
    </row>
    <row r="287" spans="2:24" x14ac:dyDescent="0.2">
      <c r="C287" s="160"/>
      <c r="E287" s="2"/>
      <c r="G287" s="4"/>
      <c r="H287" s="4"/>
      <c r="Q287" s="4"/>
      <c r="R287" s="4"/>
      <c r="S287" s="4"/>
      <c r="W287" s="4"/>
      <c r="X287" s="4"/>
    </row>
    <row r="288" spans="2:24" x14ac:dyDescent="0.2">
      <c r="C288" s="47"/>
      <c r="E288" s="2"/>
      <c r="G288" s="4"/>
      <c r="H288" s="4"/>
      <c r="Q288" s="4"/>
      <c r="R288" s="4"/>
      <c r="S288" s="4"/>
      <c r="W288" s="4"/>
      <c r="X288" s="4"/>
    </row>
    <row r="289" spans="2:24" ht="15" x14ac:dyDescent="0.25">
      <c r="B289" s="57"/>
      <c r="C289" s="154"/>
      <c r="D289" s="39"/>
      <c r="E289" s="2"/>
      <c r="G289" s="4"/>
      <c r="H289" s="4"/>
      <c r="Q289" s="4"/>
      <c r="R289" s="4"/>
      <c r="S289" s="4"/>
      <c r="W289" s="4"/>
      <c r="X289" s="4"/>
    </row>
    <row r="290" spans="2:24" x14ac:dyDescent="0.2">
      <c r="C290" s="47"/>
      <c r="E290" s="2"/>
      <c r="G290" s="4"/>
      <c r="H290" s="4"/>
      <c r="Q290" s="4"/>
      <c r="R290" s="4"/>
      <c r="S290" s="4"/>
      <c r="W290" s="4"/>
      <c r="X290" s="4"/>
    </row>
    <row r="291" spans="2:24" ht="18.75" x14ac:dyDescent="0.35">
      <c r="B291" s="63"/>
      <c r="C291" s="160"/>
      <c r="E291" s="2"/>
      <c r="G291" s="4"/>
      <c r="H291" s="4"/>
      <c r="Q291" s="4"/>
      <c r="R291" s="4"/>
      <c r="S291" s="4"/>
      <c r="W291" s="4"/>
      <c r="X291" s="4"/>
    </row>
    <row r="292" spans="2:24" ht="18.75" x14ac:dyDescent="0.35">
      <c r="B292" s="63"/>
      <c r="C292" s="47"/>
      <c r="E292" s="2"/>
      <c r="G292" s="4"/>
      <c r="H292" s="4"/>
      <c r="Q292" s="4"/>
      <c r="R292" s="4"/>
      <c r="S292" s="4"/>
      <c r="W292" s="4"/>
      <c r="X292" s="4"/>
    </row>
    <row r="293" spans="2:24" ht="17.25" x14ac:dyDescent="0.3">
      <c r="B293" s="64"/>
      <c r="C293" s="154"/>
      <c r="D293" s="39"/>
      <c r="E293" s="2"/>
      <c r="F293" s="47"/>
      <c r="G293" s="4"/>
      <c r="H293" s="4"/>
      <c r="Q293" s="4"/>
      <c r="R293" s="4"/>
      <c r="S293" s="4"/>
      <c r="W293" s="4"/>
      <c r="X293" s="4"/>
    </row>
    <row r="294" spans="2:24" ht="18.75" x14ac:dyDescent="0.35">
      <c r="B294" s="63"/>
      <c r="C294" s="47"/>
      <c r="E294" s="2"/>
      <c r="G294" s="4"/>
      <c r="H294" s="4"/>
      <c r="Q294" s="4"/>
      <c r="R294" s="4"/>
      <c r="S294" s="4"/>
      <c r="W294" s="4"/>
      <c r="X294" s="4"/>
    </row>
    <row r="295" spans="2:24" ht="18.75" x14ac:dyDescent="0.35">
      <c r="B295" s="63"/>
      <c r="C295" s="160"/>
      <c r="E295" s="2"/>
      <c r="G295" s="4"/>
      <c r="H295" s="4"/>
      <c r="Q295" s="4"/>
      <c r="R295" s="4"/>
      <c r="S295" s="4"/>
      <c r="W295" s="4"/>
      <c r="X295" s="4"/>
    </row>
    <row r="296" spans="2:24" ht="18.75" x14ac:dyDescent="0.35">
      <c r="B296" s="63"/>
      <c r="C296" s="47"/>
      <c r="E296" s="2"/>
      <c r="G296" s="4"/>
      <c r="H296" s="4"/>
      <c r="Q296" s="4"/>
      <c r="R296" s="4"/>
      <c r="S296" s="4"/>
      <c r="W296" s="4"/>
      <c r="X296" s="4"/>
    </row>
    <row r="297" spans="2:24" ht="17.25" x14ac:dyDescent="0.3">
      <c r="B297" s="64"/>
      <c r="C297" s="154"/>
      <c r="D297" s="39"/>
      <c r="E297" s="2"/>
      <c r="G297" s="4"/>
      <c r="H297" s="4"/>
      <c r="Q297" s="4"/>
      <c r="R297" s="4"/>
      <c r="S297" s="4"/>
      <c r="W297" s="4"/>
      <c r="X297" s="4"/>
    </row>
    <row r="298" spans="2:24" ht="18.75" x14ac:dyDescent="0.35">
      <c r="B298" s="63"/>
      <c r="C298" s="47"/>
      <c r="E298" s="2"/>
      <c r="G298" s="4"/>
      <c r="H298" s="4"/>
      <c r="Q298" s="4"/>
      <c r="R298" s="4"/>
      <c r="S298" s="4"/>
      <c r="W298" s="4"/>
      <c r="X298" s="4"/>
    </row>
    <row r="299" spans="2:24" x14ac:dyDescent="0.2">
      <c r="E299" s="2"/>
      <c r="G299" s="4"/>
      <c r="H299" s="4"/>
      <c r="Q299" s="4"/>
      <c r="R299" s="4"/>
      <c r="S299" s="4"/>
      <c r="W299" s="4"/>
      <c r="X299" s="4"/>
    </row>
    <row r="300" spans="2:24" x14ac:dyDescent="0.2">
      <c r="E300" s="2"/>
      <c r="G300" s="4"/>
      <c r="H300" s="4"/>
      <c r="Q300" s="4"/>
      <c r="R300" s="4"/>
      <c r="S300" s="4"/>
      <c r="W300" s="4"/>
      <c r="X300" s="4"/>
    </row>
    <row r="301" spans="2:24" x14ac:dyDescent="0.2">
      <c r="E301" s="2"/>
      <c r="G301" s="4"/>
      <c r="H301" s="4"/>
      <c r="Q301" s="4"/>
      <c r="R301" s="4"/>
      <c r="S301" s="4"/>
      <c r="W301" s="4"/>
      <c r="X301" s="4"/>
    </row>
    <row r="302" spans="2:24" x14ac:dyDescent="0.2">
      <c r="E302" s="2"/>
      <c r="G302" s="4"/>
      <c r="H302" s="4"/>
      <c r="Q302" s="4"/>
      <c r="R302" s="4"/>
      <c r="S302" s="4"/>
      <c r="W302" s="4"/>
      <c r="X302" s="4"/>
    </row>
    <row r="303" spans="2:24" x14ac:dyDescent="0.2">
      <c r="C303" s="2"/>
      <c r="D303" s="2"/>
      <c r="E303" s="2"/>
      <c r="F303" s="2"/>
      <c r="G303" s="4"/>
      <c r="H303" s="4"/>
      <c r="Q303" s="4"/>
      <c r="R303" s="4"/>
      <c r="S303" s="4"/>
      <c r="W303" s="4"/>
      <c r="X303" s="4"/>
    </row>
    <row r="304" spans="2:24" x14ac:dyDescent="0.2">
      <c r="B304" s="3"/>
      <c r="C304" s="3"/>
      <c r="D304" s="3"/>
      <c r="E304" s="3"/>
      <c r="F304" s="3"/>
      <c r="G304" s="4"/>
      <c r="H304" s="4"/>
      <c r="Q304" s="4"/>
      <c r="R304" s="4"/>
      <c r="S304" s="4"/>
      <c r="W304" s="4"/>
      <c r="X304" s="4"/>
    </row>
    <row r="305" spans="1:24" x14ac:dyDescent="0.2">
      <c r="A305" s="2"/>
      <c r="B305" s="33"/>
      <c r="C305" s="33"/>
      <c r="D305" s="33"/>
      <c r="E305" s="33"/>
      <c r="F305" s="33"/>
      <c r="G305" s="4"/>
      <c r="H305" s="4"/>
      <c r="Q305" s="4"/>
      <c r="R305" s="4"/>
      <c r="S305" s="4"/>
      <c r="W305" s="4"/>
      <c r="X305" s="4"/>
    </row>
    <row r="306" spans="1:24" x14ac:dyDescent="0.2">
      <c r="A306" s="2"/>
      <c r="B306" s="33"/>
      <c r="C306" s="33"/>
      <c r="D306" s="33"/>
      <c r="E306" s="33"/>
      <c r="F306" s="33"/>
      <c r="G306" s="4"/>
      <c r="H306" s="4"/>
      <c r="Q306" s="4"/>
      <c r="R306" s="4"/>
      <c r="S306" s="4"/>
      <c r="W306" s="4"/>
      <c r="X306" s="4"/>
    </row>
    <row r="307" spans="1:24" x14ac:dyDescent="0.2">
      <c r="A307" s="2"/>
      <c r="B307" s="33"/>
      <c r="C307" s="33"/>
      <c r="D307" s="33"/>
      <c r="E307" s="33"/>
      <c r="F307" s="33"/>
      <c r="G307" s="4"/>
      <c r="H307" s="4"/>
      <c r="Q307" s="4"/>
      <c r="R307" s="4"/>
      <c r="S307" s="4"/>
      <c r="W307" s="4"/>
      <c r="X307" s="4"/>
    </row>
    <row r="308" spans="1:24" x14ac:dyDescent="0.2">
      <c r="A308" s="2"/>
      <c r="B308" s="33"/>
      <c r="C308" s="33"/>
      <c r="D308" s="33"/>
      <c r="E308" s="33"/>
      <c r="F308" s="33"/>
      <c r="G308" s="4"/>
      <c r="H308" s="4"/>
      <c r="Q308" s="4"/>
      <c r="R308" s="4"/>
      <c r="S308" s="4"/>
      <c r="W308" s="4"/>
      <c r="X308" s="4"/>
    </row>
    <row r="309" spans="1:24" x14ac:dyDescent="0.2">
      <c r="A309" s="2"/>
      <c r="B309" s="33"/>
      <c r="C309" s="33"/>
      <c r="D309" s="33"/>
      <c r="E309" s="33"/>
      <c r="F309" s="33"/>
      <c r="G309" s="4"/>
      <c r="H309" s="4"/>
    </row>
    <row r="310" spans="1:24" x14ac:dyDescent="0.2">
      <c r="H310" s="4"/>
    </row>
    <row r="318" spans="1:24" x14ac:dyDescent="0.2">
      <c r="H318" s="4"/>
    </row>
    <row r="319" spans="1:24" x14ac:dyDescent="0.2">
      <c r="H319" s="4"/>
    </row>
    <row r="320" spans="1:24" x14ac:dyDescent="0.2">
      <c r="H320" s="4"/>
    </row>
    <row r="321" spans="8:8" x14ac:dyDescent="0.2">
      <c r="H321" s="4"/>
    </row>
    <row r="322" spans="8:8" x14ac:dyDescent="0.2">
      <c r="H322" s="4"/>
    </row>
    <row r="323" spans="8:8" x14ac:dyDescent="0.2">
      <c r="H323" s="4"/>
    </row>
    <row r="324" spans="8:8" x14ac:dyDescent="0.2">
      <c r="H324" s="4"/>
    </row>
    <row r="325" spans="8:8" x14ac:dyDescent="0.2">
      <c r="H325" s="4"/>
    </row>
    <row r="326" spans="8:8" x14ac:dyDescent="0.2">
      <c r="H326" s="4"/>
    </row>
    <row r="327" spans="8:8" x14ac:dyDescent="0.2">
      <c r="H327" s="4"/>
    </row>
    <row r="328" spans="8:8" x14ac:dyDescent="0.2">
      <c r="H328" s="4"/>
    </row>
    <row r="329" spans="8:8" x14ac:dyDescent="0.2">
      <c r="H329" s="4"/>
    </row>
    <row r="330" spans="8:8" x14ac:dyDescent="0.2">
      <c r="H330" s="4"/>
    </row>
    <row r="331" spans="8:8" x14ac:dyDescent="0.2">
      <c r="H331" s="4"/>
    </row>
    <row r="332" spans="8:8" x14ac:dyDescent="0.2">
      <c r="H332" s="4"/>
    </row>
    <row r="333" spans="8:8" x14ac:dyDescent="0.2">
      <c r="H333" s="4"/>
    </row>
    <row r="359" spans="1:24" ht="15" x14ac:dyDescent="0.25">
      <c r="A359" s="1"/>
      <c r="I359" s="132"/>
      <c r="J359" s="35"/>
      <c r="K359" s="132"/>
      <c r="L359" s="132"/>
    </row>
    <row r="360" spans="1:24" s="81" customFormat="1" ht="36.75" customHeight="1" x14ac:dyDescent="0.2">
      <c r="A360" s="4"/>
      <c r="B360" s="2"/>
      <c r="C360" s="31"/>
      <c r="D360" s="4"/>
      <c r="E360" s="4"/>
      <c r="F360" s="4"/>
      <c r="G360" s="2"/>
      <c r="H360" s="47"/>
      <c r="I360" s="41"/>
      <c r="J360" s="3"/>
      <c r="K360" s="41"/>
      <c r="L360" s="41"/>
      <c r="M360" s="41"/>
      <c r="N360" s="3"/>
      <c r="O360" s="41"/>
      <c r="P360" s="41"/>
      <c r="Q360" s="3"/>
      <c r="R360" s="3"/>
      <c r="S360" s="35"/>
      <c r="T360" s="35"/>
      <c r="U360" s="35"/>
      <c r="V360" s="132"/>
      <c r="W360" s="35"/>
      <c r="X360" s="35"/>
    </row>
    <row r="361" spans="1:24" ht="15" x14ac:dyDescent="0.25">
      <c r="B361" s="74"/>
      <c r="C361" s="161"/>
      <c r="H361" s="83"/>
      <c r="M361" s="132"/>
      <c r="N361" s="35"/>
      <c r="O361" s="132"/>
      <c r="P361" s="132"/>
      <c r="Q361" s="35"/>
      <c r="R361" s="35"/>
    </row>
    <row r="362" spans="1:24" x14ac:dyDescent="0.2">
      <c r="A362" s="81"/>
      <c r="B362" s="34"/>
      <c r="C362" s="162"/>
      <c r="D362" s="81"/>
      <c r="E362" s="266"/>
      <c r="F362" s="266"/>
      <c r="G362" s="266"/>
    </row>
    <row r="363" spans="1:24" x14ac:dyDescent="0.2">
      <c r="C363" s="47"/>
      <c r="D363" s="3"/>
    </row>
    <row r="364" spans="1:24" x14ac:dyDescent="0.2">
      <c r="C364" s="47"/>
    </row>
    <row r="365" spans="1:24" ht="15" x14ac:dyDescent="0.25">
      <c r="A365" s="1"/>
      <c r="I365" s="132"/>
      <c r="J365" s="35"/>
      <c r="K365" s="132"/>
      <c r="L365" s="132"/>
    </row>
    <row r="366" spans="1:24" s="81" customFormat="1" ht="30.75" customHeight="1" x14ac:dyDescent="0.2">
      <c r="A366" s="4"/>
      <c r="B366" s="56"/>
      <c r="C366" s="31"/>
      <c r="D366" s="4"/>
      <c r="E366" s="4"/>
      <c r="F366" s="4"/>
      <c r="G366" s="2"/>
      <c r="H366" s="47"/>
      <c r="I366" s="41"/>
      <c r="J366" s="3"/>
      <c r="K366" s="41"/>
      <c r="L366" s="41"/>
      <c r="M366" s="41"/>
      <c r="N366" s="3"/>
      <c r="O366" s="41"/>
      <c r="P366" s="41"/>
      <c r="Q366" s="3"/>
      <c r="R366" s="3"/>
      <c r="S366" s="35"/>
      <c r="T366" s="35"/>
      <c r="U366" s="35"/>
      <c r="V366" s="132"/>
      <c r="W366" s="35"/>
      <c r="X366" s="35"/>
    </row>
    <row r="367" spans="1:24" x14ac:dyDescent="0.2">
      <c r="B367" s="56"/>
      <c r="H367" s="83"/>
      <c r="M367" s="132"/>
      <c r="N367" s="35"/>
      <c r="O367" s="132"/>
      <c r="P367" s="132"/>
      <c r="Q367" s="35"/>
      <c r="R367" s="35"/>
    </row>
    <row r="368" spans="1:24" x14ac:dyDescent="0.2">
      <c r="A368" s="81"/>
      <c r="B368" s="34"/>
      <c r="C368" s="149"/>
      <c r="D368" s="81"/>
      <c r="E368" s="266"/>
      <c r="F368" s="266"/>
      <c r="G368" s="266"/>
    </row>
    <row r="370" spans="3:7" ht="15" x14ac:dyDescent="0.25">
      <c r="C370" s="47"/>
      <c r="D370" s="41"/>
      <c r="E370" s="79"/>
      <c r="F370" s="79"/>
      <c r="G370" s="80"/>
    </row>
    <row r="371" spans="3:7" ht="31.5" customHeight="1" x14ac:dyDescent="0.2"/>
    <row r="373" spans="3:7" x14ac:dyDescent="0.2">
      <c r="C373" s="8"/>
    </row>
    <row r="375" spans="3:7" x14ac:dyDescent="0.2">
      <c r="C375" s="47"/>
    </row>
    <row r="376" spans="3:7" x14ac:dyDescent="0.2">
      <c r="C376" s="76"/>
    </row>
    <row r="377" spans="3:7" ht="36.75" customHeight="1" x14ac:dyDescent="0.2">
      <c r="C377" s="76"/>
    </row>
  </sheetData>
  <mergeCells count="52">
    <mergeCell ref="U17:U18"/>
    <mergeCell ref="U19:U20"/>
    <mergeCell ref="A28:A29"/>
    <mergeCell ref="B28:B29"/>
    <mergeCell ref="A2:A3"/>
    <mergeCell ref="B2:B3"/>
    <mergeCell ref="M8:O8"/>
    <mergeCell ref="E58:G58"/>
    <mergeCell ref="J22:J23"/>
    <mergeCell ref="U23:U24"/>
    <mergeCell ref="J25:J26"/>
    <mergeCell ref="U26:U27"/>
    <mergeCell ref="A43:A46"/>
    <mergeCell ref="B43:B46"/>
    <mergeCell ref="C43:C46"/>
    <mergeCell ref="D43:D46"/>
    <mergeCell ref="E43:G46"/>
    <mergeCell ref="E59:G59"/>
    <mergeCell ref="E60:G60"/>
    <mergeCell ref="A65:A67"/>
    <mergeCell ref="B65:B67"/>
    <mergeCell ref="C65:C67"/>
    <mergeCell ref="D65:D67"/>
    <mergeCell ref="E65:G67"/>
    <mergeCell ref="A83:A85"/>
    <mergeCell ref="B83:B85"/>
    <mergeCell ref="C83:C85"/>
    <mergeCell ref="D83:D85"/>
    <mergeCell ref="E83:G85"/>
    <mergeCell ref="B101:B103"/>
    <mergeCell ref="C101:C103"/>
    <mergeCell ref="D101:D103"/>
    <mergeCell ref="E101:G103"/>
    <mergeCell ref="E76:G76"/>
    <mergeCell ref="E77:G77"/>
    <mergeCell ref="E78:G78"/>
    <mergeCell ref="E362:G362"/>
    <mergeCell ref="E368:G368"/>
    <mergeCell ref="A9:A10"/>
    <mergeCell ref="A11:A12"/>
    <mergeCell ref="E112:G112"/>
    <mergeCell ref="E113:G113"/>
    <mergeCell ref="E114:G114"/>
    <mergeCell ref="A119:A121"/>
    <mergeCell ref="B119:B121"/>
    <mergeCell ref="C119:C121"/>
    <mergeCell ref="D119:D121"/>
    <mergeCell ref="E119:G121"/>
    <mergeCell ref="E94:G94"/>
    <mergeCell ref="E95:G95"/>
    <mergeCell ref="E96:G96"/>
    <mergeCell ref="A101:A103"/>
  </mergeCells>
  <conditionalFormatting sqref="D165">
    <cfRule type="containsText" dxfId="5" priority="5" operator="containsText" text="NG">
      <formula>NOT(ISERROR(SEARCH("NG",D165)))</formula>
    </cfRule>
    <cfRule type="containsText" dxfId="4" priority="6" operator="containsText" text="OK">
      <formula>NOT(ISERROR(SEARCH("OK",D165)))</formula>
    </cfRule>
  </conditionalFormatting>
  <conditionalFormatting sqref="D363">
    <cfRule type="containsText" dxfId="3" priority="3" operator="containsText" text="NG">
      <formula>NOT(ISERROR(SEARCH("NG",D363)))</formula>
    </cfRule>
    <cfRule type="containsText" dxfId="2" priority="4" operator="containsText" text="OK">
      <formula>NOT(ISERROR(SEARCH("OK",D363)))</formula>
    </cfRule>
  </conditionalFormatting>
  <conditionalFormatting sqref="D370:F370">
    <cfRule type="containsText" dxfId="1" priority="2" operator="containsText" text="Torsion">
      <formula>NOT(ISERROR(SEARCH("Torsion",D370)))</formula>
    </cfRule>
  </conditionalFormatting>
  <conditionalFormatting sqref="D370">
    <cfRule type="containsText" dxfId="0" priority="1" operator="containsText" text="NG">
      <formula>NOT(ISERROR(SEARCH("NG",D370)))</formula>
    </cfRule>
  </conditionalFormatting>
  <pageMargins left="0.7" right="0.7" top="0.8666666666666667" bottom="0.75" header="0.3" footer="0.3"/>
  <pageSetup scale="64" fitToHeight="0" orientation="portrait" r:id="rId1"/>
  <headerFooter>
    <oddHeader>&amp;L&amp;"Arial,Bold"&amp;20CBR
Streetlight Analysis</oddHeader>
  </headerFooter>
  <rowBreaks count="6" manualBreakCount="6">
    <brk id="56" max="6" man="1"/>
    <brk id="86" max="6" man="1"/>
    <brk id="123" max="6" man="1"/>
    <brk id="198" max="6" man="1"/>
    <brk id="299" max="16383" man="1"/>
    <brk id="368"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LTS-6 Loads</vt:lpstr>
      <vt:lpstr>Design Loading</vt:lpstr>
      <vt:lpstr>Steel Pole</vt:lpstr>
      <vt:lpstr>Constrained Foundation</vt:lpstr>
      <vt:lpstr>Nonconstrained Foundation</vt:lpstr>
      <vt:lpstr>Friction Mount Support</vt:lpstr>
      <vt:lpstr>Antenna Connection</vt:lpstr>
      <vt:lpstr>density_conc</vt:lpstr>
      <vt:lpstr>DesignWindPressure</vt:lpstr>
      <vt:lpstr>f_prime_c</vt:lpstr>
      <vt:lpstr>fy</vt:lpstr>
      <vt:lpstr>ModulusElasticity</vt:lpstr>
      <vt:lpstr>pile_diameter</vt:lpstr>
      <vt:lpstr>pile_embed_depth</vt:lpstr>
      <vt:lpstr>'Antenna Connection'!Print_Area</vt:lpstr>
      <vt:lpstr>'Constrained Foundation'!Print_Area</vt:lpstr>
      <vt:lpstr>'Design Loading'!Print_Area</vt:lpstr>
      <vt:lpstr>'Friction Mount Support'!Print_Area</vt:lpstr>
      <vt:lpstr>'Nonconstrained Foundation'!Print_Area</vt:lpstr>
      <vt:lpstr>'Steel Pole'!Print_Area</vt:lpstr>
      <vt:lpstr>SteelDensity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Mason Z</cp:lastModifiedBy>
  <cp:lastPrinted>2019-02-22T19:13:04Z</cp:lastPrinted>
  <dcterms:created xsi:type="dcterms:W3CDTF">2018-05-10T19:54:29Z</dcterms:created>
  <dcterms:modified xsi:type="dcterms:W3CDTF">2019-02-26T20:25:38Z</dcterms:modified>
</cp:coreProperties>
</file>