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https://d.docs.live.net/896bfc1bb1b6519b/MAGANG/KSP di DISPANHAN/project/"/>
    </mc:Choice>
  </mc:AlternateContent>
  <xr:revisionPtr revIDLastSave="346" documentId="11_0B39AAEEBE8CE3D6701DBE861E260243F1C63135" xr6:coauthVersionLast="47" xr6:coauthVersionMax="47" xr10:uidLastSave="{61D80AE8-135F-46D2-A83F-3FED922CE662}"/>
  <bookViews>
    <workbookView xWindow="-120" yWindow="-120" windowWidth="29040" windowHeight="15720" xr2:uid="{00000000-000D-0000-FFFF-FFFF00000000}"/>
  </bookViews>
  <sheets>
    <sheet name="csv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21" i="1" l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13" i="1"/>
  <c r="E12" i="1"/>
  <c r="E11" i="1"/>
  <c r="E10" i="1"/>
  <c r="E9" i="1"/>
  <c r="E6" i="1"/>
  <c r="E5" i="1"/>
  <c r="E4" i="1"/>
  <c r="E3" i="1"/>
  <c r="E2" i="1"/>
  <c r="E373" i="1"/>
  <c r="E372" i="1"/>
  <c r="E371" i="1"/>
  <c r="E370" i="1"/>
  <c r="E369" i="1"/>
  <c r="E368" i="1"/>
  <c r="E367" i="1"/>
  <c r="E366" i="1"/>
  <c r="E365" i="1"/>
  <c r="E364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09" i="1"/>
  <c r="E108" i="1"/>
  <c r="E107" i="1"/>
  <c r="E106" i="1"/>
  <c r="E104" i="1"/>
  <c r="E103" i="1"/>
  <c r="E102" i="1"/>
  <c r="E101" i="1"/>
  <c r="E100" i="1"/>
  <c r="E99" i="1"/>
  <c r="E98" i="1"/>
</calcChain>
</file>

<file path=xl/sharedStrings.xml><?xml version="1.0" encoding="utf-8"?>
<sst xmlns="http://schemas.openxmlformats.org/spreadsheetml/2006/main" count="855" uniqueCount="53">
  <si>
    <t>kota</t>
  </si>
  <si>
    <t>cabairawit</t>
  </si>
  <si>
    <t>telur</t>
  </si>
  <si>
    <t>jagung</t>
  </si>
  <si>
    <t>cabaibesar</t>
  </si>
  <si>
    <t>beras</t>
  </si>
  <si>
    <t>bulan</t>
  </si>
  <si>
    <t>bahanpokok</t>
  </si>
  <si>
    <t>stok</t>
  </si>
  <si>
    <t>tahun</t>
  </si>
  <si>
    <t>kab_banjarnegara</t>
  </si>
  <si>
    <t>kedelai</t>
  </si>
  <si>
    <t>bawangmerah</t>
  </si>
  <si>
    <t>bawangputih</t>
  </si>
  <si>
    <t>dagingsapi</t>
  </si>
  <si>
    <t>dagingayamras</t>
  </si>
  <si>
    <t>gulapasir</t>
  </si>
  <si>
    <t>minyakgoreng</t>
  </si>
  <si>
    <t>kab_banyumas</t>
  </si>
  <si>
    <t>kab_batang</t>
  </si>
  <si>
    <t>kab_blora</t>
  </si>
  <si>
    <t>NULL</t>
  </si>
  <si>
    <t>kab_boyolali</t>
  </si>
  <si>
    <t>kab_brebes</t>
  </si>
  <si>
    <t>kab_cilacap</t>
  </si>
  <si>
    <t>kab_demak</t>
  </si>
  <si>
    <t>kab_grobogan</t>
  </si>
  <si>
    <t>kab_jepara</t>
  </si>
  <si>
    <t>kab_karanganyar</t>
  </si>
  <si>
    <t>kab_kebumen</t>
  </si>
  <si>
    <t>kab_kendal</t>
  </si>
  <si>
    <t>kab_klaten</t>
  </si>
  <si>
    <t>kab_kudus</t>
  </si>
  <si>
    <t>kab_magelang</t>
  </si>
  <si>
    <t>kab_pati</t>
  </si>
  <si>
    <t>kab_pekalongan</t>
  </si>
  <si>
    <t>kab_pemalang</t>
  </si>
  <si>
    <t>kab_purbalingga</t>
  </si>
  <si>
    <t>kab_purworejo</t>
  </si>
  <si>
    <t>kab_rembang</t>
  </si>
  <si>
    <t>kab_sragen</t>
  </si>
  <si>
    <t>kab_semarang</t>
  </si>
  <si>
    <t>kab_sukoharjo</t>
  </si>
  <si>
    <t>kab_temanggung</t>
  </si>
  <si>
    <t>kab_tegal</t>
  </si>
  <si>
    <t>kab_wonogiri</t>
  </si>
  <si>
    <t>kab_wonosobo</t>
  </si>
  <si>
    <t>kota_magelang</t>
  </si>
  <si>
    <t>kota_pekalongan</t>
  </si>
  <si>
    <t>kota_surakarta</t>
  </si>
  <si>
    <t>kota_salatiga</t>
  </si>
  <si>
    <t>kota_semarang</t>
  </si>
  <si>
    <t>kota_tegal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</si>
</sst>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  <scheme val="minor"/>
    </font>
    <font>
      <sz val="10"/>
      <color theme="1"/>
      <name val="Arial"/>
    </font>
    <font>
      <b/>
      <i/>
      <sz val="14"/>
      <color theme="1"/>
      <name val="Arial"/>
    </font>
    <font>
      <sz val="10"/>
      <color theme="1"/>
      <name val="Arial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/>
  </cellStyleXfs>
  <cellXfs count="12">
    <xf numFmtId="0" fontId="0" fillId="0" borderId="0" xfId="0"/>
    <xf numFmtId="0" fontId="1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6" fillId="0" borderId="0" xfId="0" applyFont="1" applyAlignment="1">
      <alignment horizontal="left"/>
    </xf>
    <xf numFmtId="3" fontId="4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  <xf numFmtId="3" fontId="3" fillId="0" borderId="0" xfId="0" applyNumberFormat="1" applyFont="1" applyAlignment="1">
      <alignment horizontal="left"/>
    </xf>
    <xf numFmtId="0" fontId="5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8" fillId="0" borderId="0" xfId="0" applyFont="1" applyAlignment="1">
      <alignment horizontal="left"/>
    </xf>
  </cellXfs>
  <cellStyles count="2">
    <cellStyle name="Normal" xfId="0" builtinId="0"/>
    <cellStyle name="Normal 2" xfId="1" xr:uid="{4F6652C0-71FA-4FE9-A985-7BDDDE3CDB1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S421"/>
  <sheetViews>
    <sheetView tabSelected="1" zoomScale="85" zoomScaleNormal="85" workbookViewId="0">
      <selection activeCell="H5" sqref="H5"/>
    </sheetView>
  </sheetViews>
  <sheetFormatPr defaultColWidth="12.7109375" defaultRowHeight="15.75" customHeight="1" x14ac:dyDescent="0.2"/>
  <cols>
    <col min="1" max="1" width="21.140625" style="3" customWidth="1"/>
    <col min="2" max="2" width="27.140625" style="3" customWidth="1"/>
    <col min="3" max="16384" width="12.7109375" style="3"/>
  </cols>
  <sheetData>
    <row r="1" spans="1:19" ht="12.75" x14ac:dyDescent="0.2">
      <c r="A1" s="11" t="s">
        <v>0</v>
      </c>
      <c r="B1" s="11" t="s">
        <v>7</v>
      </c>
      <c r="C1" s="2" t="s">
        <v>9</v>
      </c>
      <c r="D1" s="2" t="s">
        <v>6</v>
      </c>
      <c r="E1" s="4" t="s">
        <v>8</v>
      </c>
      <c r="F1" s="1"/>
      <c r="G1" s="1"/>
      <c r="H1" s="1"/>
      <c r="I1" s="1"/>
      <c r="J1" s="1"/>
      <c r="K1" s="1"/>
      <c r="L1" s="1"/>
      <c r="M1" s="1"/>
      <c r="O1" s="1"/>
      <c r="P1" s="1"/>
      <c r="Q1" s="1"/>
      <c r="R1" s="1"/>
      <c r="S1" s="1"/>
    </row>
    <row r="2" spans="1:19" ht="15.75" customHeight="1" x14ac:dyDescent="0.3">
      <c r="A2" s="4" t="s">
        <v>10</v>
      </c>
      <c r="B2" s="4" t="s">
        <v>5</v>
      </c>
      <c r="C2" s="2">
        <v>2024</v>
      </c>
      <c r="D2" s="5">
        <v>11</v>
      </c>
      <c r="E2" s="3">
        <f ca="1">IFERROR(__xludf.DUMMYFUNCTION("TRANSPOSE(IMPORTRANGE(""https://docs.google.com/spreadsheets/d/1AtdMzuToiWUhtlxnY1Dz2wS_LuWlSr9V3xqy8xdgs8Y/edit?usp=sharing"",""Perhitungan Stok!$J$26:$J$37""))"),42500)</f>
        <v>42500</v>
      </c>
      <c r="F2" s="6"/>
      <c r="G2" s="6"/>
      <c r="H2" s="6"/>
      <c r="I2" s="6"/>
      <c r="K2" s="6"/>
      <c r="L2" s="6"/>
      <c r="M2" s="6"/>
    </row>
    <row r="3" spans="1:19" ht="15.75" customHeight="1" x14ac:dyDescent="0.2">
      <c r="A3" s="4" t="s">
        <v>10</v>
      </c>
      <c r="B3" s="4" t="s">
        <v>3</v>
      </c>
      <c r="C3" s="2">
        <v>2024</v>
      </c>
      <c r="D3" s="5">
        <v>11</v>
      </c>
      <c r="E3" s="3">
        <f ca="1">IFERROR(__xludf.DUMMYFUNCTION("""COMPUTED_VALUE"""),1515)</f>
        <v>1515</v>
      </c>
      <c r="F3" s="7"/>
      <c r="G3" s="7"/>
      <c r="H3" s="7"/>
      <c r="I3" s="7"/>
      <c r="K3" s="7"/>
      <c r="L3" s="7"/>
      <c r="M3" s="7"/>
    </row>
    <row r="4" spans="1:19" ht="15.75" customHeight="1" x14ac:dyDescent="0.2">
      <c r="A4" s="4" t="s">
        <v>10</v>
      </c>
      <c r="B4" s="4" t="s">
        <v>11</v>
      </c>
      <c r="C4" s="2">
        <v>2024</v>
      </c>
      <c r="D4" s="5">
        <v>11</v>
      </c>
      <c r="E4" s="3">
        <f ca="1">IFERROR(__xludf.DUMMYFUNCTION("""COMPUTED_VALUE"""),21000)</f>
        <v>21000</v>
      </c>
      <c r="F4" s="7"/>
      <c r="G4" s="7"/>
      <c r="H4" s="7"/>
      <c r="I4" s="7"/>
      <c r="K4" s="7"/>
      <c r="L4" s="7"/>
      <c r="M4" s="7"/>
    </row>
    <row r="5" spans="1:19" ht="15.75" customHeight="1" x14ac:dyDescent="0.2">
      <c r="A5" s="4" t="s">
        <v>10</v>
      </c>
      <c r="B5" s="4" t="s">
        <v>12</v>
      </c>
      <c r="C5" s="2">
        <v>2024</v>
      </c>
      <c r="D5" s="5">
        <v>11</v>
      </c>
      <c r="E5" s="3">
        <f ca="1">IFERROR(__xludf.DUMMYFUNCTION("""COMPUTED_VALUE"""),500)</f>
        <v>500</v>
      </c>
      <c r="F5" s="7"/>
      <c r="G5" s="7"/>
      <c r="H5" s="7"/>
      <c r="I5" s="7"/>
      <c r="K5" s="7"/>
      <c r="L5" s="7"/>
      <c r="M5" s="7"/>
    </row>
    <row r="6" spans="1:19" ht="15.75" customHeight="1" x14ac:dyDescent="0.2">
      <c r="A6" s="4" t="s">
        <v>10</v>
      </c>
      <c r="B6" s="4" t="s">
        <v>13</v>
      </c>
      <c r="C6" s="2">
        <v>2024</v>
      </c>
      <c r="D6" s="5">
        <v>11</v>
      </c>
      <c r="E6" s="3">
        <f ca="1">IFERROR(__xludf.DUMMYFUNCTION("""COMPUTED_VALUE"""),200)</f>
        <v>200</v>
      </c>
      <c r="F6" s="7"/>
      <c r="G6" s="7"/>
      <c r="H6" s="7"/>
      <c r="I6" s="7"/>
      <c r="K6" s="7"/>
      <c r="L6" s="7"/>
      <c r="M6" s="7"/>
    </row>
    <row r="7" spans="1:19" ht="15.75" customHeight="1" x14ac:dyDescent="0.2">
      <c r="A7" s="4" t="s">
        <v>10</v>
      </c>
      <c r="B7" s="4" t="s">
        <v>4</v>
      </c>
      <c r="C7" s="2">
        <v>2024</v>
      </c>
      <c r="D7" s="5">
        <v>11</v>
      </c>
      <c r="E7" s="3" t="s">
        <v>21</v>
      </c>
      <c r="F7" s="7"/>
      <c r="G7" s="7"/>
      <c r="H7" s="7"/>
      <c r="I7" s="7"/>
      <c r="K7" s="7"/>
      <c r="L7" s="7"/>
      <c r="M7" s="7"/>
    </row>
    <row r="8" spans="1:19" ht="15.75" customHeight="1" x14ac:dyDescent="0.2">
      <c r="A8" s="4" t="s">
        <v>10</v>
      </c>
      <c r="B8" s="4" t="s">
        <v>1</v>
      </c>
      <c r="C8" s="2">
        <v>2024</v>
      </c>
      <c r="D8" s="5">
        <v>11</v>
      </c>
      <c r="E8" s="3" t="s">
        <v>21</v>
      </c>
      <c r="F8" s="7"/>
      <c r="G8" s="7"/>
      <c r="H8" s="7"/>
      <c r="I8" s="7"/>
      <c r="K8" s="7"/>
      <c r="L8" s="7"/>
      <c r="M8" s="7"/>
    </row>
    <row r="9" spans="1:19" ht="15.75" customHeight="1" x14ac:dyDescent="0.2">
      <c r="A9" s="4" t="s">
        <v>10</v>
      </c>
      <c r="B9" s="4" t="s">
        <v>14</v>
      </c>
      <c r="C9" s="2">
        <v>2024</v>
      </c>
      <c r="D9" s="5">
        <v>11</v>
      </c>
      <c r="E9" s="3">
        <f ca="1">IFERROR(__xludf.DUMMYFUNCTION("""COMPUTED_VALUE"""),3329.99999999999)</f>
        <v>3329.99999999999</v>
      </c>
      <c r="F9" s="7"/>
      <c r="G9" s="7"/>
      <c r="H9" s="7"/>
      <c r="I9" s="7"/>
      <c r="K9" s="7"/>
      <c r="L9" s="7"/>
      <c r="M9" s="7"/>
    </row>
    <row r="10" spans="1:19" ht="15.75" customHeight="1" x14ac:dyDescent="0.2">
      <c r="A10" s="4" t="s">
        <v>10</v>
      </c>
      <c r="B10" s="4" t="s">
        <v>15</v>
      </c>
      <c r="C10" s="2">
        <v>2024</v>
      </c>
      <c r="D10" s="5">
        <v>11</v>
      </c>
      <c r="E10" s="3">
        <f ca="1">IFERROR(__xludf.DUMMYFUNCTION("""COMPUTED_VALUE"""),2140)</f>
        <v>2140</v>
      </c>
      <c r="F10" s="7"/>
      <c r="G10" s="7"/>
      <c r="H10" s="7"/>
      <c r="I10" s="7"/>
      <c r="K10" s="7"/>
      <c r="L10" s="7"/>
      <c r="M10" s="7"/>
    </row>
    <row r="11" spans="1:19" ht="15.75" customHeight="1" x14ac:dyDescent="0.2">
      <c r="A11" s="4" t="s">
        <v>10</v>
      </c>
      <c r="B11" s="4" t="s">
        <v>2</v>
      </c>
      <c r="C11" s="2">
        <v>2024</v>
      </c>
      <c r="D11" s="5">
        <v>11</v>
      </c>
      <c r="E11" s="3">
        <f ca="1">IFERROR(__xludf.DUMMYFUNCTION("""COMPUTED_VALUE"""),704.912280701754)</f>
        <v>704.91228070175396</v>
      </c>
      <c r="F11" s="7"/>
      <c r="G11" s="7"/>
      <c r="H11" s="7"/>
      <c r="I11" s="7"/>
      <c r="K11" s="7"/>
      <c r="L11" s="7"/>
      <c r="M11" s="7"/>
    </row>
    <row r="12" spans="1:19" ht="15.75" customHeight="1" x14ac:dyDescent="0.2">
      <c r="A12" s="4" t="s">
        <v>10</v>
      </c>
      <c r="B12" s="4" t="s">
        <v>16</v>
      </c>
      <c r="C12" s="2">
        <v>2024</v>
      </c>
      <c r="D12" s="5">
        <v>11</v>
      </c>
      <c r="E12" s="3">
        <f ca="1">IFERROR(__xludf.DUMMYFUNCTION("""COMPUTED_VALUE"""),3000)</f>
        <v>3000</v>
      </c>
      <c r="F12" s="7"/>
      <c r="G12" s="7"/>
      <c r="H12" s="7"/>
      <c r="I12" s="7"/>
      <c r="K12" s="7"/>
      <c r="L12" s="7"/>
      <c r="M12" s="7"/>
    </row>
    <row r="13" spans="1:19" ht="15.75" customHeight="1" x14ac:dyDescent="0.2">
      <c r="A13" s="4" t="s">
        <v>10</v>
      </c>
      <c r="B13" s="4" t="s">
        <v>17</v>
      </c>
      <c r="C13" s="2">
        <v>2024</v>
      </c>
      <c r="D13" s="5">
        <v>11</v>
      </c>
      <c r="E13" s="3">
        <f ca="1">IFERROR(__xludf.DUMMYFUNCTION("""COMPUTED_VALUE"""),2622)</f>
        <v>2622</v>
      </c>
      <c r="F13" s="7"/>
      <c r="G13" s="7"/>
      <c r="H13" s="7"/>
      <c r="I13" s="7"/>
      <c r="K13" s="7"/>
      <c r="L13" s="7"/>
      <c r="M13" s="7"/>
    </row>
    <row r="14" spans="1:19" ht="15.75" customHeight="1" x14ac:dyDescent="0.2">
      <c r="A14" s="4" t="s">
        <v>18</v>
      </c>
      <c r="B14" s="4" t="s">
        <v>5</v>
      </c>
      <c r="C14" s="2">
        <v>2024</v>
      </c>
      <c r="D14" s="5">
        <v>11</v>
      </c>
      <c r="E14" s="3">
        <v>41351.487523992299</v>
      </c>
      <c r="F14" s="7"/>
      <c r="G14" s="7"/>
      <c r="H14" s="7"/>
      <c r="I14" s="7"/>
      <c r="K14" s="7"/>
      <c r="L14" s="7"/>
      <c r="M14" s="7"/>
    </row>
    <row r="15" spans="1:19" ht="15.75" customHeight="1" x14ac:dyDescent="0.2">
      <c r="A15" s="4" t="s">
        <v>18</v>
      </c>
      <c r="B15" s="4" t="s">
        <v>3</v>
      </c>
      <c r="C15" s="2">
        <v>2024</v>
      </c>
      <c r="D15" s="5">
        <v>11</v>
      </c>
      <c r="E15" s="3">
        <v>3000</v>
      </c>
      <c r="F15" s="7"/>
      <c r="G15" s="7"/>
      <c r="H15" s="7"/>
      <c r="I15" s="7"/>
      <c r="K15" s="8"/>
      <c r="L15" s="7"/>
      <c r="M15" s="8"/>
      <c r="N15" s="8"/>
    </row>
    <row r="16" spans="1:19" ht="12.75" x14ac:dyDescent="0.2">
      <c r="A16" s="4" t="s">
        <v>18</v>
      </c>
      <c r="B16" s="4" t="s">
        <v>11</v>
      </c>
      <c r="C16" s="2">
        <v>2024</v>
      </c>
      <c r="D16" s="5">
        <v>11</v>
      </c>
      <c r="E16" s="3">
        <v>1250</v>
      </c>
      <c r="F16" s="7"/>
      <c r="G16" s="7"/>
      <c r="H16" s="4"/>
      <c r="I16" s="7"/>
      <c r="K16" s="7"/>
      <c r="L16" s="7"/>
      <c r="M16" s="7"/>
      <c r="N16" s="7"/>
    </row>
    <row r="17" spans="1:13" ht="12.75" x14ac:dyDescent="0.2">
      <c r="A17" s="4" t="s">
        <v>18</v>
      </c>
      <c r="B17" s="4" t="s">
        <v>12</v>
      </c>
      <c r="C17" s="2">
        <v>2024</v>
      </c>
      <c r="D17" s="5">
        <v>11</v>
      </c>
      <c r="E17" s="3">
        <v>2078.76923076923</v>
      </c>
      <c r="F17" s="7"/>
      <c r="G17" s="7"/>
      <c r="H17" s="4"/>
      <c r="I17" s="7"/>
      <c r="K17" s="7"/>
      <c r="L17" s="7"/>
      <c r="M17" s="7"/>
    </row>
    <row r="18" spans="1:13" ht="12.75" x14ac:dyDescent="0.2">
      <c r="A18" s="4" t="s">
        <v>18</v>
      </c>
      <c r="B18" s="4" t="s">
        <v>13</v>
      </c>
      <c r="C18" s="2">
        <v>2024</v>
      </c>
      <c r="D18" s="5">
        <v>11</v>
      </c>
      <c r="E18" s="3">
        <v>5830.9275074478601</v>
      </c>
      <c r="F18" s="7"/>
      <c r="G18" s="7"/>
      <c r="H18" s="4"/>
      <c r="I18" s="7"/>
      <c r="K18" s="7"/>
      <c r="L18" s="7"/>
      <c r="M18" s="7"/>
    </row>
    <row r="19" spans="1:13" ht="12.75" x14ac:dyDescent="0.2">
      <c r="A19" s="4" t="s">
        <v>18</v>
      </c>
      <c r="B19" s="4" t="s">
        <v>4</v>
      </c>
      <c r="C19" s="2">
        <v>2024</v>
      </c>
      <c r="D19" s="5">
        <v>11</v>
      </c>
      <c r="E19" s="3">
        <v>1352.4</v>
      </c>
      <c r="F19" s="7"/>
      <c r="G19" s="7"/>
      <c r="H19" s="4"/>
      <c r="I19" s="7"/>
      <c r="K19" s="7"/>
      <c r="L19" s="7"/>
      <c r="M19" s="7"/>
    </row>
    <row r="20" spans="1:13" ht="12.75" x14ac:dyDescent="0.2">
      <c r="A20" s="4" t="s">
        <v>18</v>
      </c>
      <c r="B20" s="4" t="s">
        <v>1</v>
      </c>
      <c r="C20" s="2">
        <v>2024</v>
      </c>
      <c r="D20" s="5">
        <v>11</v>
      </c>
      <c r="E20" s="3">
        <v>1835.625</v>
      </c>
      <c r="F20" s="7"/>
      <c r="G20" s="7"/>
      <c r="H20" s="4"/>
      <c r="I20" s="7"/>
      <c r="K20" s="7"/>
      <c r="L20" s="7"/>
      <c r="M20" s="7"/>
    </row>
    <row r="21" spans="1:13" ht="12.75" x14ac:dyDescent="0.2">
      <c r="A21" s="4" t="s">
        <v>18</v>
      </c>
      <c r="B21" s="4" t="s">
        <v>14</v>
      </c>
      <c r="C21" s="2">
        <v>2024</v>
      </c>
      <c r="D21" s="5">
        <v>11</v>
      </c>
      <c r="E21" s="3">
        <v>141.71428571428501</v>
      </c>
      <c r="F21" s="7"/>
      <c r="G21" s="7"/>
      <c r="H21" s="4"/>
      <c r="I21" s="7"/>
      <c r="K21" s="7"/>
      <c r="L21" s="7"/>
      <c r="M21" s="7"/>
    </row>
    <row r="22" spans="1:13" ht="12.75" x14ac:dyDescent="0.2">
      <c r="A22" s="4" t="s">
        <v>18</v>
      </c>
      <c r="B22" s="4" t="s">
        <v>15</v>
      </c>
      <c r="C22" s="2">
        <v>2024</v>
      </c>
      <c r="D22" s="5">
        <v>11</v>
      </c>
      <c r="E22" s="3">
        <v>49703.162939297101</v>
      </c>
      <c r="F22" s="7"/>
      <c r="G22" s="7"/>
      <c r="H22" s="4"/>
      <c r="I22" s="7"/>
      <c r="K22" s="7"/>
      <c r="L22" s="7"/>
      <c r="M22" s="7"/>
    </row>
    <row r="23" spans="1:13" ht="12.75" x14ac:dyDescent="0.2">
      <c r="A23" s="4" t="s">
        <v>18</v>
      </c>
      <c r="B23" s="4" t="s">
        <v>2</v>
      </c>
      <c r="C23" s="2">
        <v>2024</v>
      </c>
      <c r="D23" s="5">
        <v>11</v>
      </c>
      <c r="E23" s="3">
        <v>14989.722921914299</v>
      </c>
      <c r="F23" s="7"/>
      <c r="G23" s="7"/>
      <c r="H23" s="4"/>
      <c r="I23" s="7"/>
      <c r="K23" s="7"/>
      <c r="L23" s="7"/>
      <c r="M23" s="7"/>
    </row>
    <row r="24" spans="1:13" ht="12.75" x14ac:dyDescent="0.2">
      <c r="A24" s="4" t="s">
        <v>18</v>
      </c>
      <c r="B24" s="4" t="s">
        <v>16</v>
      </c>
      <c r="C24" s="2">
        <v>2024</v>
      </c>
      <c r="D24" s="5">
        <v>11</v>
      </c>
      <c r="E24" s="3">
        <v>18224.003425635099</v>
      </c>
      <c r="F24" s="7"/>
      <c r="G24" s="7"/>
      <c r="H24" s="4"/>
      <c r="I24" s="7"/>
      <c r="K24" s="7"/>
      <c r="L24" s="7"/>
      <c r="M24" s="7"/>
    </row>
    <row r="25" spans="1:13" ht="12.75" x14ac:dyDescent="0.2">
      <c r="A25" s="4" t="s">
        <v>18</v>
      </c>
      <c r="B25" s="4" t="s">
        <v>17</v>
      </c>
      <c r="C25" s="2">
        <v>2024</v>
      </c>
      <c r="D25" s="5">
        <v>11</v>
      </c>
      <c r="E25" s="3">
        <v>1595.5149116607699</v>
      </c>
      <c r="F25" s="7"/>
      <c r="G25" s="7"/>
      <c r="H25" s="4"/>
      <c r="I25" s="7"/>
      <c r="K25" s="7"/>
      <c r="L25" s="7"/>
      <c r="M25" s="7"/>
    </row>
    <row r="26" spans="1:13" ht="12.75" x14ac:dyDescent="0.2">
      <c r="A26" s="4" t="s">
        <v>19</v>
      </c>
      <c r="B26" s="4" t="s">
        <v>5</v>
      </c>
      <c r="C26" s="2">
        <v>2024</v>
      </c>
      <c r="D26" s="5">
        <v>11</v>
      </c>
      <c r="E26" s="3">
        <v>18619.0476190476</v>
      </c>
      <c r="F26" s="7"/>
      <c r="G26" s="7"/>
      <c r="H26" s="4"/>
      <c r="I26" s="7"/>
      <c r="K26" s="7"/>
      <c r="L26" s="7"/>
      <c r="M26" s="7"/>
    </row>
    <row r="27" spans="1:13" ht="12.75" x14ac:dyDescent="0.2">
      <c r="A27" s="4" t="s">
        <v>19</v>
      </c>
      <c r="B27" s="4" t="s">
        <v>3</v>
      </c>
      <c r="C27" s="2">
        <v>2024</v>
      </c>
      <c r="D27" s="5">
        <v>11</v>
      </c>
      <c r="E27" s="3">
        <v>5294.7443181818098</v>
      </c>
      <c r="F27" s="7"/>
      <c r="G27" s="7"/>
      <c r="H27" s="4"/>
      <c r="I27" s="7"/>
      <c r="K27" s="7"/>
      <c r="L27" s="7"/>
      <c r="M27" s="7"/>
    </row>
    <row r="28" spans="1:13" ht="12.75" x14ac:dyDescent="0.2">
      <c r="A28" s="4" t="s">
        <v>19</v>
      </c>
      <c r="B28" s="4" t="s">
        <v>11</v>
      </c>
      <c r="C28" s="2">
        <v>2024</v>
      </c>
      <c r="D28" s="5">
        <v>11</v>
      </c>
      <c r="E28" s="3">
        <v>57520.404411764699</v>
      </c>
      <c r="F28" s="7"/>
      <c r="G28" s="7"/>
      <c r="H28" s="7"/>
      <c r="I28" s="7"/>
      <c r="K28" s="7"/>
      <c r="L28" s="7"/>
      <c r="M28" s="7"/>
    </row>
    <row r="29" spans="1:13" ht="12.75" x14ac:dyDescent="0.2">
      <c r="A29" s="4" t="s">
        <v>19</v>
      </c>
      <c r="B29" s="4" t="s">
        <v>12</v>
      </c>
      <c r="C29" s="2">
        <v>2024</v>
      </c>
      <c r="D29" s="5">
        <v>11</v>
      </c>
      <c r="E29" s="3">
        <v>231.42857142857099</v>
      </c>
      <c r="F29" s="7"/>
      <c r="G29" s="7"/>
      <c r="H29" s="7"/>
      <c r="I29" s="7"/>
      <c r="K29" s="7"/>
      <c r="L29" s="7"/>
      <c r="M29" s="7"/>
    </row>
    <row r="30" spans="1:13" ht="12.75" x14ac:dyDescent="0.2">
      <c r="A30" s="4" t="s">
        <v>19</v>
      </c>
      <c r="B30" s="4" t="s">
        <v>13</v>
      </c>
      <c r="C30" s="2">
        <v>2024</v>
      </c>
      <c r="D30" s="5">
        <v>11</v>
      </c>
      <c r="E30" s="3">
        <v>303.83999999999997</v>
      </c>
      <c r="F30" s="7"/>
      <c r="G30" s="7"/>
      <c r="H30" s="7"/>
      <c r="I30" s="7"/>
      <c r="K30" s="7"/>
      <c r="L30" s="7"/>
      <c r="M30" s="7"/>
    </row>
    <row r="31" spans="1:13" ht="12.75" x14ac:dyDescent="0.2">
      <c r="A31" s="4" t="s">
        <v>19</v>
      </c>
      <c r="B31" s="4" t="s">
        <v>4</v>
      </c>
      <c r="C31" s="2">
        <v>2024</v>
      </c>
      <c r="D31" s="5">
        <v>11</v>
      </c>
      <c r="E31" s="3">
        <v>31.6666666666666</v>
      </c>
      <c r="F31" s="7"/>
      <c r="G31" s="7"/>
      <c r="H31" s="7"/>
      <c r="I31" s="7"/>
      <c r="K31" s="7"/>
      <c r="L31" s="7"/>
      <c r="M31" s="7"/>
    </row>
    <row r="32" spans="1:13" ht="12.75" x14ac:dyDescent="0.2">
      <c r="A32" s="4" t="s">
        <v>19</v>
      </c>
      <c r="B32" s="4" t="s">
        <v>1</v>
      </c>
      <c r="C32" s="2">
        <v>2024</v>
      </c>
      <c r="D32" s="5">
        <v>11</v>
      </c>
      <c r="E32" s="3">
        <v>45</v>
      </c>
      <c r="F32" s="7"/>
      <c r="G32" s="7"/>
      <c r="H32" s="7"/>
      <c r="I32" s="7"/>
      <c r="K32" s="7"/>
      <c r="L32" s="7"/>
      <c r="M32" s="7"/>
    </row>
    <row r="33" spans="1:13" ht="12.75" x14ac:dyDescent="0.2">
      <c r="A33" s="4" t="s">
        <v>19</v>
      </c>
      <c r="B33" s="4" t="s">
        <v>14</v>
      </c>
      <c r="C33" s="2">
        <v>2024</v>
      </c>
      <c r="D33" s="5">
        <v>11</v>
      </c>
      <c r="E33" s="3">
        <v>276.87898089171898</v>
      </c>
      <c r="F33" s="7"/>
      <c r="G33" s="7"/>
      <c r="H33" s="7"/>
      <c r="I33" s="7"/>
      <c r="K33" s="7"/>
      <c r="L33" s="7"/>
      <c r="M33" s="7"/>
    </row>
    <row r="34" spans="1:13" ht="12.75" x14ac:dyDescent="0.2">
      <c r="A34" s="4" t="s">
        <v>19</v>
      </c>
      <c r="B34" s="4" t="s">
        <v>15</v>
      </c>
      <c r="C34" s="2">
        <v>2024</v>
      </c>
      <c r="D34" s="5">
        <v>11</v>
      </c>
      <c r="E34" s="3">
        <v>248.82352941176401</v>
      </c>
      <c r="F34" s="7"/>
      <c r="G34" s="7"/>
      <c r="H34" s="7"/>
      <c r="I34" s="7"/>
      <c r="K34" s="7"/>
      <c r="L34" s="7"/>
      <c r="M34" s="7"/>
    </row>
    <row r="35" spans="1:13" ht="12.75" x14ac:dyDescent="0.2">
      <c r="A35" s="4" t="s">
        <v>19</v>
      </c>
      <c r="B35" s="4" t="s">
        <v>2</v>
      </c>
      <c r="C35" s="2">
        <v>2024</v>
      </c>
      <c r="D35" s="5">
        <v>11</v>
      </c>
      <c r="E35" s="3">
        <v>1529.9740259740199</v>
      </c>
      <c r="F35" s="7"/>
      <c r="G35" s="7"/>
      <c r="H35" s="7"/>
      <c r="I35" s="7"/>
      <c r="K35" s="7"/>
      <c r="L35" s="7"/>
      <c r="M35" s="7"/>
    </row>
    <row r="36" spans="1:13" ht="12.75" x14ac:dyDescent="0.2">
      <c r="A36" s="4" t="s">
        <v>19</v>
      </c>
      <c r="B36" s="4" t="s">
        <v>16</v>
      </c>
      <c r="C36" s="2">
        <v>2024</v>
      </c>
      <c r="D36" s="5">
        <v>11</v>
      </c>
      <c r="E36" s="3">
        <v>2710.5882352941098</v>
      </c>
      <c r="F36" s="7"/>
      <c r="G36" s="7"/>
      <c r="H36" s="7"/>
      <c r="I36" s="7"/>
      <c r="K36" s="7"/>
      <c r="L36" s="7"/>
      <c r="M36" s="7"/>
    </row>
    <row r="37" spans="1:13" ht="15.75" customHeight="1" x14ac:dyDescent="0.2">
      <c r="A37" s="4" t="s">
        <v>19</v>
      </c>
      <c r="B37" s="4" t="s">
        <v>17</v>
      </c>
      <c r="C37" s="2">
        <v>2024</v>
      </c>
      <c r="D37" s="5">
        <v>11</v>
      </c>
      <c r="E37" s="3">
        <v>7058.9192139737997</v>
      </c>
    </row>
    <row r="38" spans="1:13" ht="15.75" customHeight="1" x14ac:dyDescent="0.2">
      <c r="A38" s="4" t="s">
        <v>20</v>
      </c>
      <c r="B38" s="4" t="s">
        <v>5</v>
      </c>
      <c r="C38" s="2">
        <v>2024</v>
      </c>
      <c r="D38" s="5">
        <v>11</v>
      </c>
      <c r="E38" s="3">
        <v>917971.04453785904</v>
      </c>
    </row>
    <row r="39" spans="1:13" ht="15.75" customHeight="1" x14ac:dyDescent="0.2">
      <c r="A39" s="4" t="s">
        <v>20</v>
      </c>
      <c r="B39" s="4" t="s">
        <v>3</v>
      </c>
      <c r="C39" s="2">
        <v>2024</v>
      </c>
      <c r="D39" s="5">
        <v>11</v>
      </c>
      <c r="E39" s="3">
        <v>2833112.66021781</v>
      </c>
    </row>
    <row r="40" spans="1:13" ht="15.75" customHeight="1" x14ac:dyDescent="0.2">
      <c r="A40" s="4" t="s">
        <v>20</v>
      </c>
      <c r="B40" s="4" t="s">
        <v>11</v>
      </c>
      <c r="C40" s="2">
        <v>2024</v>
      </c>
      <c r="D40" s="5">
        <v>11</v>
      </c>
      <c r="E40" s="3">
        <v>7916.6583718450001</v>
      </c>
    </row>
    <row r="41" spans="1:13" ht="15.75" customHeight="1" x14ac:dyDescent="0.2">
      <c r="A41" s="4" t="s">
        <v>20</v>
      </c>
      <c r="B41" s="4" t="s">
        <v>12</v>
      </c>
      <c r="C41" s="2">
        <v>2024</v>
      </c>
      <c r="D41" s="5">
        <v>11</v>
      </c>
      <c r="E41" s="3">
        <v>12.048</v>
      </c>
      <c r="G41" s="9"/>
    </row>
    <row r="42" spans="1:13" ht="15.75" customHeight="1" x14ac:dyDescent="0.2">
      <c r="A42" s="4" t="s">
        <v>20</v>
      </c>
      <c r="B42" s="4" t="s">
        <v>13</v>
      </c>
      <c r="C42" s="2">
        <v>2024</v>
      </c>
      <c r="D42" s="5">
        <v>11</v>
      </c>
      <c r="E42" s="3">
        <v>15</v>
      </c>
      <c r="G42" s="9"/>
    </row>
    <row r="43" spans="1:13" ht="15.75" customHeight="1" x14ac:dyDescent="0.2">
      <c r="A43" s="4" t="s">
        <v>20</v>
      </c>
      <c r="B43" s="4" t="s">
        <v>4</v>
      </c>
      <c r="C43" s="2">
        <v>2024</v>
      </c>
      <c r="D43" s="5">
        <v>11</v>
      </c>
      <c r="E43" s="3">
        <v>0</v>
      </c>
      <c r="G43" s="9"/>
    </row>
    <row r="44" spans="1:13" ht="15.75" customHeight="1" x14ac:dyDescent="0.2">
      <c r="A44" s="4" t="s">
        <v>20</v>
      </c>
      <c r="B44" s="4" t="s">
        <v>1</v>
      </c>
      <c r="C44" s="2">
        <v>2024</v>
      </c>
      <c r="D44" s="5">
        <v>11</v>
      </c>
      <c r="E44" s="3">
        <v>34.5</v>
      </c>
      <c r="G44" s="9"/>
    </row>
    <row r="45" spans="1:13" ht="15.75" customHeight="1" x14ac:dyDescent="0.2">
      <c r="A45" s="4" t="s">
        <v>20</v>
      </c>
      <c r="B45" s="4" t="s">
        <v>14</v>
      </c>
      <c r="C45" s="2">
        <v>2024</v>
      </c>
      <c r="D45" s="5">
        <v>11</v>
      </c>
      <c r="E45" s="3">
        <v>1973.1160084189601</v>
      </c>
      <c r="G45" s="9"/>
    </row>
    <row r="46" spans="1:13" ht="15.75" customHeight="1" x14ac:dyDescent="0.2">
      <c r="A46" s="4" t="s">
        <v>20</v>
      </c>
      <c r="B46" s="4" t="s">
        <v>15</v>
      </c>
      <c r="C46" s="2">
        <v>2024</v>
      </c>
      <c r="D46" s="5">
        <v>11</v>
      </c>
      <c r="E46" s="3">
        <v>24.0296296296296</v>
      </c>
    </row>
    <row r="47" spans="1:13" ht="15.75" customHeight="1" x14ac:dyDescent="0.2">
      <c r="A47" s="4" t="s">
        <v>20</v>
      </c>
      <c r="B47" s="4" t="s">
        <v>2</v>
      </c>
      <c r="C47" s="2">
        <v>2024</v>
      </c>
      <c r="D47" s="5">
        <v>11</v>
      </c>
      <c r="E47" s="3">
        <v>676.28655689358504</v>
      </c>
    </row>
    <row r="48" spans="1:13" ht="15.75" customHeight="1" x14ac:dyDescent="0.2">
      <c r="A48" s="4" t="s">
        <v>20</v>
      </c>
      <c r="B48" s="4" t="s">
        <v>16</v>
      </c>
      <c r="C48" s="2">
        <v>2024</v>
      </c>
      <c r="D48" s="5">
        <v>11</v>
      </c>
      <c r="E48" s="3">
        <v>53898.524231566997</v>
      </c>
    </row>
    <row r="49" spans="1:5" ht="15.75" customHeight="1" x14ac:dyDescent="0.2">
      <c r="A49" s="4" t="s">
        <v>20</v>
      </c>
      <c r="B49" s="4" t="s">
        <v>17</v>
      </c>
      <c r="C49" s="2">
        <v>2024</v>
      </c>
      <c r="D49" s="5">
        <v>11</v>
      </c>
      <c r="E49" s="3">
        <v>40513.0164402472</v>
      </c>
    </row>
    <row r="50" spans="1:5" ht="15.75" customHeight="1" x14ac:dyDescent="0.2">
      <c r="A50" s="4" t="s">
        <v>22</v>
      </c>
      <c r="B50" s="4" t="s">
        <v>5</v>
      </c>
      <c r="C50" s="2">
        <v>2024</v>
      </c>
      <c r="D50" s="5">
        <v>11</v>
      </c>
      <c r="E50" s="3">
        <v>50697.777777777701</v>
      </c>
    </row>
    <row r="51" spans="1:5" ht="15.75" customHeight="1" x14ac:dyDescent="0.2">
      <c r="A51" s="4" t="s">
        <v>22</v>
      </c>
      <c r="B51" s="4" t="s">
        <v>3</v>
      </c>
      <c r="C51" s="2">
        <v>2024</v>
      </c>
      <c r="D51" s="5">
        <v>11</v>
      </c>
      <c r="E51" s="3">
        <v>15000</v>
      </c>
    </row>
    <row r="52" spans="1:5" ht="15.75" customHeight="1" x14ac:dyDescent="0.2">
      <c r="A52" s="4" t="s">
        <v>22</v>
      </c>
      <c r="B52" s="4" t="s">
        <v>11</v>
      </c>
      <c r="C52" s="2">
        <v>2024</v>
      </c>
      <c r="D52" s="5">
        <v>11</v>
      </c>
      <c r="E52" s="3">
        <v>11961.506622516499</v>
      </c>
    </row>
    <row r="53" spans="1:5" ht="15.75" customHeight="1" x14ac:dyDescent="0.2">
      <c r="A53" s="4" t="s">
        <v>22</v>
      </c>
      <c r="B53" s="4" t="s">
        <v>12</v>
      </c>
      <c r="C53" s="2">
        <v>2024</v>
      </c>
      <c r="D53" s="5">
        <v>11</v>
      </c>
      <c r="E53" s="3">
        <v>692.99479166666595</v>
      </c>
    </row>
    <row r="54" spans="1:5" ht="15.75" customHeight="1" x14ac:dyDescent="0.2">
      <c r="A54" s="4" t="s">
        <v>22</v>
      </c>
      <c r="B54" s="4" t="s">
        <v>13</v>
      </c>
      <c r="C54" s="2">
        <v>2024</v>
      </c>
      <c r="D54" s="5">
        <v>11</v>
      </c>
      <c r="E54" s="3">
        <v>363.99999999999898</v>
      </c>
    </row>
    <row r="55" spans="1:5" ht="15.75" customHeight="1" x14ac:dyDescent="0.2">
      <c r="A55" s="4" t="s">
        <v>22</v>
      </c>
      <c r="B55" s="4" t="s">
        <v>4</v>
      </c>
      <c r="C55" s="2">
        <v>2024</v>
      </c>
      <c r="D55" s="5">
        <v>11</v>
      </c>
      <c r="E55" s="3">
        <v>592.19277108433698</v>
      </c>
    </row>
    <row r="56" spans="1:5" ht="15.75" customHeight="1" x14ac:dyDescent="0.2">
      <c r="A56" s="4" t="s">
        <v>22</v>
      </c>
      <c r="B56" s="4" t="s">
        <v>1</v>
      </c>
      <c r="C56" s="2">
        <v>2024</v>
      </c>
      <c r="D56" s="5">
        <v>11</v>
      </c>
      <c r="E56" s="3">
        <v>3152.0818965517201</v>
      </c>
    </row>
    <row r="57" spans="1:5" ht="15.75" customHeight="1" x14ac:dyDescent="0.2">
      <c r="A57" s="4" t="s">
        <v>22</v>
      </c>
      <c r="B57" s="4" t="s">
        <v>14</v>
      </c>
      <c r="C57" s="2">
        <v>2024</v>
      </c>
      <c r="D57" s="5">
        <v>11</v>
      </c>
      <c r="E57" s="3">
        <v>2933.4375</v>
      </c>
    </row>
    <row r="58" spans="1:5" ht="15.75" customHeight="1" x14ac:dyDescent="0.2">
      <c r="A58" s="4" t="s">
        <v>22</v>
      </c>
      <c r="B58" s="4" t="s">
        <v>15</v>
      </c>
      <c r="C58" s="2">
        <v>2024</v>
      </c>
      <c r="D58" s="5">
        <v>11</v>
      </c>
      <c r="E58" s="3">
        <v>675324.84359608195</v>
      </c>
    </row>
    <row r="59" spans="1:5" ht="15.75" customHeight="1" x14ac:dyDescent="0.2">
      <c r="A59" s="4" t="s">
        <v>22</v>
      </c>
      <c r="B59" s="4" t="s">
        <v>2</v>
      </c>
      <c r="C59" s="2">
        <v>2024</v>
      </c>
      <c r="D59" s="5">
        <v>11</v>
      </c>
      <c r="E59" s="3">
        <v>5900.6511627906903</v>
      </c>
    </row>
    <row r="60" spans="1:5" ht="15.75" customHeight="1" x14ac:dyDescent="0.2">
      <c r="A60" s="4" t="s">
        <v>22</v>
      </c>
      <c r="B60" s="4" t="s">
        <v>16</v>
      </c>
      <c r="C60" s="2">
        <v>2024</v>
      </c>
      <c r="D60" s="5">
        <v>11</v>
      </c>
      <c r="E60" s="3">
        <v>2035.3909465020499</v>
      </c>
    </row>
    <row r="61" spans="1:5" ht="15.75" customHeight="1" x14ac:dyDescent="0.2">
      <c r="A61" s="4" t="s">
        <v>22</v>
      </c>
      <c r="B61" s="4" t="s">
        <v>17</v>
      </c>
      <c r="C61" s="2">
        <v>2024</v>
      </c>
      <c r="D61" s="5">
        <v>11</v>
      </c>
      <c r="E61" s="3">
        <v>7587.9499817983196</v>
      </c>
    </row>
    <row r="62" spans="1:5" ht="15.75" customHeight="1" x14ac:dyDescent="0.2">
      <c r="A62" s="4" t="s">
        <v>23</v>
      </c>
      <c r="B62" s="4" t="s">
        <v>5</v>
      </c>
      <c r="C62" s="2">
        <v>2024</v>
      </c>
      <c r="D62" s="5">
        <v>11</v>
      </c>
      <c r="E62" s="3">
        <v>68166.692307692298</v>
      </c>
    </row>
    <row r="63" spans="1:5" ht="15.75" customHeight="1" x14ac:dyDescent="0.2">
      <c r="A63" s="4" t="s">
        <v>23</v>
      </c>
      <c r="B63" s="4" t="s">
        <v>3</v>
      </c>
      <c r="C63" s="2">
        <v>2024</v>
      </c>
      <c r="D63" s="5">
        <v>11</v>
      </c>
      <c r="E63" s="3">
        <v>96010.748299319705</v>
      </c>
    </row>
    <row r="64" spans="1:5" ht="15.75" customHeight="1" x14ac:dyDescent="0.2">
      <c r="A64" s="4" t="s">
        <v>23</v>
      </c>
      <c r="B64" s="4" t="s">
        <v>11</v>
      </c>
      <c r="C64" s="2">
        <v>2024</v>
      </c>
      <c r="D64" s="5">
        <v>11</v>
      </c>
      <c r="E64" s="3">
        <v>9200</v>
      </c>
    </row>
    <row r="65" spans="1:7" ht="15.75" customHeight="1" x14ac:dyDescent="0.2">
      <c r="A65" s="4" t="s">
        <v>23</v>
      </c>
      <c r="B65" s="4" t="s">
        <v>12</v>
      </c>
      <c r="C65" s="2">
        <v>2024</v>
      </c>
      <c r="D65" s="5">
        <v>11</v>
      </c>
      <c r="E65" s="3">
        <v>52056.386724960197</v>
      </c>
    </row>
    <row r="66" spans="1:7" ht="15.75" customHeight="1" x14ac:dyDescent="0.2">
      <c r="A66" s="4" t="s">
        <v>23</v>
      </c>
      <c r="B66" s="4" t="s">
        <v>13</v>
      </c>
      <c r="C66" s="2">
        <v>2024</v>
      </c>
      <c r="D66" s="5">
        <v>11</v>
      </c>
      <c r="E66" s="3">
        <v>2158.5</v>
      </c>
    </row>
    <row r="67" spans="1:7" ht="15.75" customHeight="1" x14ac:dyDescent="0.2">
      <c r="A67" s="4" t="s">
        <v>23</v>
      </c>
      <c r="B67" s="4" t="s">
        <v>4</v>
      </c>
      <c r="C67" s="2">
        <v>2024</v>
      </c>
      <c r="D67" s="5">
        <v>11</v>
      </c>
      <c r="E67" s="3">
        <v>1005.09999999999</v>
      </c>
    </row>
    <row r="68" spans="1:7" ht="15.75" customHeight="1" x14ac:dyDescent="0.2">
      <c r="A68" s="4" t="s">
        <v>23</v>
      </c>
      <c r="B68" s="4" t="s">
        <v>1</v>
      </c>
      <c r="C68" s="2">
        <v>2024</v>
      </c>
      <c r="D68" s="5">
        <v>11</v>
      </c>
      <c r="E68" s="3">
        <v>644.11111111111097</v>
      </c>
    </row>
    <row r="69" spans="1:7" ht="15.75" customHeight="1" x14ac:dyDescent="0.2">
      <c r="A69" s="4" t="s">
        <v>23</v>
      </c>
      <c r="B69" s="4" t="s">
        <v>14</v>
      </c>
      <c r="C69" s="2">
        <v>2024</v>
      </c>
      <c r="D69" s="5">
        <v>11</v>
      </c>
      <c r="E69" s="3">
        <v>693.243243243243</v>
      </c>
    </row>
    <row r="70" spans="1:7" ht="15.75" customHeight="1" x14ac:dyDescent="0.2">
      <c r="A70" s="4" t="s">
        <v>23</v>
      </c>
      <c r="B70" s="4" t="s">
        <v>15</v>
      </c>
      <c r="C70" s="2">
        <v>2024</v>
      </c>
      <c r="D70" s="5">
        <v>11</v>
      </c>
      <c r="E70" s="3">
        <v>2659.2727272727202</v>
      </c>
    </row>
    <row r="71" spans="1:7" ht="15.75" customHeight="1" x14ac:dyDescent="0.2">
      <c r="A71" s="4" t="s">
        <v>23</v>
      </c>
      <c r="B71" s="4" t="s">
        <v>2</v>
      </c>
      <c r="C71" s="2">
        <v>2024</v>
      </c>
      <c r="D71" s="5">
        <v>11</v>
      </c>
      <c r="E71" s="3">
        <v>5064.4444444444398</v>
      </c>
    </row>
    <row r="72" spans="1:7" ht="15.75" customHeight="1" x14ac:dyDescent="0.2">
      <c r="A72" s="4" t="s">
        <v>23</v>
      </c>
      <c r="B72" s="4" t="s">
        <v>16</v>
      </c>
      <c r="C72" s="2">
        <v>2024</v>
      </c>
      <c r="D72" s="5">
        <v>11</v>
      </c>
      <c r="E72" s="3">
        <v>998.75</v>
      </c>
    </row>
    <row r="73" spans="1:7" ht="15.75" customHeight="1" x14ac:dyDescent="0.2">
      <c r="A73" s="4" t="s">
        <v>23</v>
      </c>
      <c r="B73" s="4" t="s">
        <v>17</v>
      </c>
      <c r="C73" s="2">
        <v>2024</v>
      </c>
      <c r="D73" s="5">
        <v>11</v>
      </c>
      <c r="E73" s="3">
        <v>2071.62</v>
      </c>
    </row>
    <row r="74" spans="1:7" ht="15.75" customHeight="1" x14ac:dyDescent="0.2">
      <c r="A74" s="4" t="s">
        <v>24</v>
      </c>
      <c r="B74" s="4" t="s">
        <v>5</v>
      </c>
      <c r="C74" s="2">
        <v>2024</v>
      </c>
      <c r="D74" s="5">
        <v>11</v>
      </c>
      <c r="E74" s="3">
        <v>351100.83226632501</v>
      </c>
    </row>
    <row r="75" spans="1:7" ht="15.75" customHeight="1" x14ac:dyDescent="0.2">
      <c r="A75" s="4" t="s">
        <v>24</v>
      </c>
      <c r="B75" s="4" t="s">
        <v>3</v>
      </c>
      <c r="C75" s="2">
        <v>2024</v>
      </c>
      <c r="D75" s="5">
        <v>11</v>
      </c>
      <c r="E75" s="3">
        <v>0</v>
      </c>
    </row>
    <row r="76" spans="1:7" ht="15.75" customHeight="1" x14ac:dyDescent="0.2">
      <c r="A76" s="4" t="s">
        <v>24</v>
      </c>
      <c r="B76" s="4" t="s">
        <v>11</v>
      </c>
      <c r="C76" s="2">
        <v>2024</v>
      </c>
      <c r="D76" s="5">
        <v>11</v>
      </c>
      <c r="E76" s="3">
        <v>5120.3260869565202</v>
      </c>
      <c r="G76" s="9"/>
    </row>
    <row r="77" spans="1:7" ht="15.75" customHeight="1" x14ac:dyDescent="0.2">
      <c r="A77" s="4" t="s">
        <v>24</v>
      </c>
      <c r="B77" s="4" t="s">
        <v>12</v>
      </c>
      <c r="C77" s="2">
        <v>2024</v>
      </c>
      <c r="D77" s="5">
        <v>11</v>
      </c>
      <c r="E77" s="3">
        <v>985.15764705882304</v>
      </c>
    </row>
    <row r="78" spans="1:7" ht="15.75" customHeight="1" x14ac:dyDescent="0.2">
      <c r="A78" s="4" t="s">
        <v>24</v>
      </c>
      <c r="B78" s="4" t="s">
        <v>13</v>
      </c>
      <c r="C78" s="2">
        <v>2024</v>
      </c>
      <c r="D78" s="5">
        <v>11</v>
      </c>
      <c r="E78" s="3">
        <v>8807.7759590792793</v>
      </c>
    </row>
    <row r="79" spans="1:7" ht="15.75" customHeight="1" x14ac:dyDescent="0.2">
      <c r="A79" s="4" t="s">
        <v>24</v>
      </c>
      <c r="B79" s="4" t="s">
        <v>4</v>
      </c>
      <c r="C79" s="2">
        <v>2024</v>
      </c>
      <c r="D79" s="5">
        <v>11</v>
      </c>
      <c r="E79" s="3">
        <v>565.50576923076903</v>
      </c>
      <c r="G79" s="9"/>
    </row>
    <row r="80" spans="1:7" ht="15.75" customHeight="1" x14ac:dyDescent="0.2">
      <c r="A80" s="4" t="s">
        <v>24</v>
      </c>
      <c r="B80" s="4" t="s">
        <v>1</v>
      </c>
      <c r="C80" s="2">
        <v>2024</v>
      </c>
      <c r="D80" s="5">
        <v>11</v>
      </c>
      <c r="E80" s="3">
        <v>428.02105263157802</v>
      </c>
    </row>
    <row r="81" spans="1:5" ht="15.75" customHeight="1" x14ac:dyDescent="0.2">
      <c r="A81" s="4" t="s">
        <v>24</v>
      </c>
      <c r="B81" s="4" t="s">
        <v>14</v>
      </c>
      <c r="C81" s="2">
        <v>2024</v>
      </c>
      <c r="D81" s="5">
        <v>11</v>
      </c>
      <c r="E81" s="3">
        <v>535</v>
      </c>
    </row>
    <row r="82" spans="1:5" ht="15.75" customHeight="1" x14ac:dyDescent="0.2">
      <c r="A82" s="4" t="s">
        <v>24</v>
      </c>
      <c r="B82" s="4" t="s">
        <v>15</v>
      </c>
      <c r="C82" s="2">
        <v>2024</v>
      </c>
      <c r="D82" s="5">
        <v>11</v>
      </c>
      <c r="E82" s="3">
        <v>970</v>
      </c>
    </row>
    <row r="83" spans="1:5" ht="15.75" customHeight="1" x14ac:dyDescent="0.2">
      <c r="A83" s="4" t="s">
        <v>24</v>
      </c>
      <c r="B83" s="4" t="s">
        <v>2</v>
      </c>
      <c r="C83" s="2">
        <v>2024</v>
      </c>
      <c r="D83" s="5">
        <v>11</v>
      </c>
      <c r="E83" s="3">
        <v>658</v>
      </c>
    </row>
    <row r="84" spans="1:5" ht="15.75" customHeight="1" x14ac:dyDescent="0.2">
      <c r="A84" s="4" t="s">
        <v>24</v>
      </c>
      <c r="B84" s="4" t="s">
        <v>16</v>
      </c>
      <c r="C84" s="2">
        <v>2024</v>
      </c>
      <c r="D84" s="5">
        <v>11</v>
      </c>
      <c r="E84" s="3">
        <v>4615.2826086956502</v>
      </c>
    </row>
    <row r="85" spans="1:5" ht="15.75" customHeight="1" x14ac:dyDescent="0.2">
      <c r="A85" s="4" t="s">
        <v>24</v>
      </c>
      <c r="B85" s="4" t="s">
        <v>17</v>
      </c>
      <c r="C85" s="2">
        <v>2024</v>
      </c>
      <c r="D85" s="5">
        <v>11</v>
      </c>
      <c r="E85" s="3">
        <v>46959.503117063003</v>
      </c>
    </row>
    <row r="86" spans="1:5" ht="15.75" customHeight="1" x14ac:dyDescent="0.2">
      <c r="A86" s="4" t="s">
        <v>25</v>
      </c>
      <c r="B86" s="10" t="s">
        <v>5</v>
      </c>
      <c r="C86" s="2">
        <v>2024</v>
      </c>
      <c r="D86" s="5">
        <v>11</v>
      </c>
      <c r="E86" s="3">
        <v>1044003.60174244</v>
      </c>
    </row>
    <row r="87" spans="1:5" ht="15.75" customHeight="1" x14ac:dyDescent="0.2">
      <c r="A87" s="4" t="s">
        <v>25</v>
      </c>
      <c r="B87" s="4" t="s">
        <v>3</v>
      </c>
      <c r="C87" s="2">
        <v>2024</v>
      </c>
      <c r="D87" s="5">
        <v>11</v>
      </c>
      <c r="E87" s="3">
        <v>109107.21311475401</v>
      </c>
    </row>
    <row r="88" spans="1:5" ht="15.75" customHeight="1" x14ac:dyDescent="0.2">
      <c r="A88" s="4" t="s">
        <v>25</v>
      </c>
      <c r="B88" s="4" t="s">
        <v>11</v>
      </c>
      <c r="C88" s="2">
        <v>2024</v>
      </c>
      <c r="D88" s="5">
        <v>11</v>
      </c>
      <c r="E88" s="3">
        <v>0</v>
      </c>
    </row>
    <row r="89" spans="1:5" ht="15.75" customHeight="1" x14ac:dyDescent="0.2">
      <c r="A89" s="4" t="s">
        <v>25</v>
      </c>
      <c r="B89" s="4" t="s">
        <v>12</v>
      </c>
      <c r="C89" s="2">
        <v>2024</v>
      </c>
      <c r="D89" s="5">
        <v>11</v>
      </c>
      <c r="E89" s="3">
        <v>9690.625</v>
      </c>
    </row>
    <row r="90" spans="1:5" ht="15.75" customHeight="1" x14ac:dyDescent="0.2">
      <c r="A90" s="4" t="s">
        <v>25</v>
      </c>
      <c r="B90" s="4" t="s">
        <v>13</v>
      </c>
      <c r="C90" s="2">
        <v>2024</v>
      </c>
      <c r="D90" s="5">
        <v>11</v>
      </c>
      <c r="E90" s="3">
        <v>2095</v>
      </c>
    </row>
    <row r="91" spans="1:5" ht="15.75" customHeight="1" x14ac:dyDescent="0.2">
      <c r="A91" s="4" t="s">
        <v>25</v>
      </c>
      <c r="B91" s="4" t="s">
        <v>4</v>
      </c>
      <c r="C91" s="2">
        <v>2024</v>
      </c>
      <c r="D91" s="5">
        <v>11</v>
      </c>
      <c r="E91" s="3">
        <v>14851.285714285699</v>
      </c>
    </row>
    <row r="92" spans="1:5" ht="15.75" customHeight="1" x14ac:dyDescent="0.2">
      <c r="A92" s="4" t="s">
        <v>25</v>
      </c>
      <c r="B92" s="4" t="s">
        <v>1</v>
      </c>
      <c r="C92" s="2">
        <v>2024</v>
      </c>
      <c r="D92" s="5">
        <v>11</v>
      </c>
      <c r="E92" s="3" t="s">
        <v>21</v>
      </c>
    </row>
    <row r="93" spans="1:5" ht="15.75" customHeight="1" x14ac:dyDescent="0.2">
      <c r="A93" s="4" t="s">
        <v>25</v>
      </c>
      <c r="B93" s="4" t="s">
        <v>14</v>
      </c>
      <c r="C93" s="2">
        <v>2024</v>
      </c>
      <c r="D93" s="5">
        <v>11</v>
      </c>
      <c r="E93" s="3">
        <v>0</v>
      </c>
    </row>
    <row r="94" spans="1:5" ht="15.75" customHeight="1" x14ac:dyDescent="0.2">
      <c r="A94" s="4" t="s">
        <v>25</v>
      </c>
      <c r="B94" s="4" t="s">
        <v>15</v>
      </c>
      <c r="C94" s="2">
        <v>2024</v>
      </c>
      <c r="D94" s="5">
        <v>11</v>
      </c>
      <c r="E94" s="3">
        <v>909920</v>
      </c>
    </row>
    <row r="95" spans="1:5" ht="15.75" customHeight="1" x14ac:dyDescent="0.2">
      <c r="A95" s="4" t="s">
        <v>25</v>
      </c>
      <c r="B95" s="4" t="s">
        <v>2</v>
      </c>
      <c r="C95" s="2">
        <v>2024</v>
      </c>
      <c r="D95" s="5">
        <v>11</v>
      </c>
      <c r="E95" s="3">
        <v>9765.4320987654301</v>
      </c>
    </row>
    <row r="96" spans="1:5" ht="15.75" customHeight="1" x14ac:dyDescent="0.2">
      <c r="A96" s="4" t="s">
        <v>25</v>
      </c>
      <c r="B96" s="4" t="s">
        <v>16</v>
      </c>
      <c r="C96" s="2">
        <v>2024</v>
      </c>
      <c r="D96" s="5">
        <v>11</v>
      </c>
      <c r="E96" s="3">
        <v>9040.5031446540797</v>
      </c>
    </row>
    <row r="97" spans="1:5" ht="15.75" customHeight="1" x14ac:dyDescent="0.2">
      <c r="A97" s="4" t="s">
        <v>25</v>
      </c>
      <c r="B97" s="4" t="s">
        <v>17</v>
      </c>
      <c r="C97" s="2">
        <v>2024</v>
      </c>
      <c r="D97" s="5">
        <v>11</v>
      </c>
      <c r="E97" s="3">
        <v>31418.343195266199</v>
      </c>
    </row>
    <row r="98" spans="1:5" ht="15.75" customHeight="1" x14ac:dyDescent="0.2">
      <c r="A98" s="4" t="s">
        <v>26</v>
      </c>
      <c r="B98" s="10" t="s">
        <v>5</v>
      </c>
      <c r="C98" s="2">
        <v>2024</v>
      </c>
      <c r="D98" s="5">
        <v>11</v>
      </c>
      <c r="E98" s="3">
        <f ca="1">IFERROR(__xludf.DUMMYFUNCTION("TRANSPOSE(IMPORTRANGE(""https://docs.google.com/spreadsheets/d/1F9VkpCGgiSm7cP70MReDW5TTFwAoKnNBcFE7o4tY-E4/edit?usp=sharing"",""Perhitungan Stok!$J$26:$J$37""))"),93890.6424550113)</f>
        <v>93890.642455011301</v>
      </c>
    </row>
    <row r="99" spans="1:5" ht="15.75" customHeight="1" x14ac:dyDescent="0.2">
      <c r="A99" s="4" t="s">
        <v>26</v>
      </c>
      <c r="B99" s="4" t="s">
        <v>3</v>
      </c>
      <c r="C99" s="2">
        <v>2024</v>
      </c>
      <c r="D99" s="5">
        <v>11</v>
      </c>
      <c r="E99" s="3">
        <f ca="1">IFERROR(__xludf.DUMMYFUNCTION("""COMPUTED_VALUE"""),79275)</f>
        <v>79275</v>
      </c>
    </row>
    <row r="100" spans="1:5" ht="15.75" customHeight="1" x14ac:dyDescent="0.2">
      <c r="A100" s="4" t="s">
        <v>26</v>
      </c>
      <c r="B100" s="4" t="s">
        <v>11</v>
      </c>
      <c r="C100" s="2">
        <v>2024</v>
      </c>
      <c r="D100" s="5">
        <v>11</v>
      </c>
      <c r="E100" s="3">
        <f ca="1">IFERROR(__xludf.DUMMYFUNCTION("""COMPUTED_VALUE"""),11590.4048614039)</f>
        <v>11590.4048614039</v>
      </c>
    </row>
    <row r="101" spans="1:5" ht="15.75" customHeight="1" x14ac:dyDescent="0.2">
      <c r="A101" s="4" t="s">
        <v>26</v>
      </c>
      <c r="B101" s="4" t="s">
        <v>12</v>
      </c>
      <c r="C101" s="2">
        <v>2024</v>
      </c>
      <c r="D101" s="5">
        <v>11</v>
      </c>
      <c r="E101" s="3">
        <f ca="1">IFERROR(__xludf.DUMMYFUNCTION("""COMPUTED_VALUE"""),8569.81414634146)</f>
        <v>8569.8141463414595</v>
      </c>
    </row>
    <row r="102" spans="1:5" ht="15.75" customHeight="1" x14ac:dyDescent="0.2">
      <c r="A102" s="4" t="s">
        <v>26</v>
      </c>
      <c r="B102" s="4" t="s">
        <v>13</v>
      </c>
      <c r="C102" s="2">
        <v>2024</v>
      </c>
      <c r="D102" s="5">
        <v>11</v>
      </c>
      <c r="E102" s="3">
        <f ca="1">IFERROR(__xludf.DUMMYFUNCTION("""COMPUTED_VALUE"""),2327.74358974358)</f>
        <v>2327.7435897435798</v>
      </c>
    </row>
    <row r="103" spans="1:5" ht="15.75" customHeight="1" x14ac:dyDescent="0.2">
      <c r="A103" s="4" t="s">
        <v>26</v>
      </c>
      <c r="B103" s="4" t="s">
        <v>4</v>
      </c>
      <c r="C103" s="2">
        <v>2024</v>
      </c>
      <c r="D103" s="5">
        <v>11</v>
      </c>
      <c r="E103" s="3">
        <f ca="1">IFERROR(__xludf.DUMMYFUNCTION("""COMPUTED_VALUE"""),1833.21071428571)</f>
        <v>1833.2107142857101</v>
      </c>
    </row>
    <row r="104" spans="1:5" ht="15.75" customHeight="1" x14ac:dyDescent="0.2">
      <c r="A104" s="4" t="s">
        <v>26</v>
      </c>
      <c r="B104" s="4" t="s">
        <v>1</v>
      </c>
      <c r="C104" s="2">
        <v>2024</v>
      </c>
      <c r="D104" s="5">
        <v>11</v>
      </c>
      <c r="E104" s="3">
        <f ca="1">IFERROR(__xludf.DUMMYFUNCTION("""COMPUTED_VALUE"""),650.447244094488)</f>
        <v>650.44724409448804</v>
      </c>
    </row>
    <row r="105" spans="1:5" ht="15.75" customHeight="1" x14ac:dyDescent="0.2">
      <c r="A105" s="4" t="s">
        <v>26</v>
      </c>
      <c r="B105" s="4" t="s">
        <v>14</v>
      </c>
      <c r="C105" s="2">
        <v>2024</v>
      </c>
      <c r="D105" s="5">
        <v>11</v>
      </c>
      <c r="E105" s="3" t="s">
        <v>21</v>
      </c>
    </row>
    <row r="106" spans="1:5" ht="15.75" customHeight="1" x14ac:dyDescent="0.2">
      <c r="A106" s="4" t="s">
        <v>26</v>
      </c>
      <c r="B106" s="4" t="s">
        <v>15</v>
      </c>
      <c r="C106" s="2">
        <v>2024</v>
      </c>
      <c r="D106" s="5">
        <v>11</v>
      </c>
      <c r="E106" s="3">
        <f ca="1">IFERROR(__xludf.DUMMYFUNCTION("""COMPUTED_VALUE"""),787.8)</f>
        <v>787.8</v>
      </c>
    </row>
    <row r="107" spans="1:5" ht="15.75" customHeight="1" x14ac:dyDescent="0.2">
      <c r="A107" s="4" t="s">
        <v>26</v>
      </c>
      <c r="B107" s="4" t="s">
        <v>2</v>
      </c>
      <c r="C107" s="2">
        <v>2024</v>
      </c>
      <c r="D107" s="5">
        <v>11</v>
      </c>
      <c r="E107" s="3">
        <f ca="1">IFERROR(__xludf.DUMMYFUNCTION("""COMPUTED_VALUE"""),869.14696485623)</f>
        <v>869.14696485623006</v>
      </c>
    </row>
    <row r="108" spans="1:5" ht="15.75" customHeight="1" x14ac:dyDescent="0.2">
      <c r="A108" s="4" t="s">
        <v>26</v>
      </c>
      <c r="B108" s="4" t="s">
        <v>16</v>
      </c>
      <c r="C108" s="2">
        <v>2024</v>
      </c>
      <c r="D108" s="5">
        <v>11</v>
      </c>
      <c r="E108" s="3">
        <f ca="1">IFERROR(__xludf.DUMMYFUNCTION("""COMPUTED_VALUE"""),49002.2667489421)</f>
        <v>49002.2667489421</v>
      </c>
    </row>
    <row r="109" spans="1:5" ht="15.75" customHeight="1" x14ac:dyDescent="0.2">
      <c r="A109" s="4" t="s">
        <v>26</v>
      </c>
      <c r="B109" s="4" t="s">
        <v>17</v>
      </c>
      <c r="C109" s="2">
        <v>2024</v>
      </c>
      <c r="D109" s="5">
        <v>11</v>
      </c>
      <c r="E109" s="3">
        <f ca="1">IFERROR(__xludf.DUMMYFUNCTION("""COMPUTED_VALUE"""),53799.7515055427)</f>
        <v>53799.751505542699</v>
      </c>
    </row>
    <row r="110" spans="1:5" ht="15.75" customHeight="1" x14ac:dyDescent="0.2">
      <c r="A110" s="4" t="s">
        <v>27</v>
      </c>
      <c r="B110" s="10" t="s">
        <v>5</v>
      </c>
      <c r="C110" s="2">
        <v>2024</v>
      </c>
      <c r="D110" s="5">
        <v>11</v>
      </c>
      <c r="E110" s="3">
        <f ca="1">IFERROR(__xludf.DUMMYFUNCTION("TRANSPOSE(IMPORTRANGE(""https://docs.google.com/spreadsheets/d/1aShJkEUKQn2xgZT8xSfUykbY1AAronZNMhmmKjxM5vY/edit?usp=sharing"",""Perhitungan Stok!$J$26:$J$37""))"),151844.406539509)</f>
        <v>151844.40653950899</v>
      </c>
    </row>
    <row r="111" spans="1:5" ht="15.75" customHeight="1" x14ac:dyDescent="0.2">
      <c r="A111" s="4" t="s">
        <v>27</v>
      </c>
      <c r="B111" s="4" t="s">
        <v>3</v>
      </c>
      <c r="C111" s="2">
        <v>2024</v>
      </c>
      <c r="D111" s="5">
        <v>11</v>
      </c>
      <c r="E111" s="3">
        <f ca="1">IFERROR(__xludf.DUMMYFUNCTION("""COMPUTED_VALUE"""),25057.9838509316)</f>
        <v>25057.9838509316</v>
      </c>
    </row>
    <row r="112" spans="1:5" ht="15.75" customHeight="1" x14ac:dyDescent="0.2">
      <c r="A112" s="4" t="s">
        <v>27</v>
      </c>
      <c r="B112" s="4" t="s">
        <v>11</v>
      </c>
      <c r="C112" s="2">
        <v>2024</v>
      </c>
      <c r="D112" s="5">
        <v>11</v>
      </c>
      <c r="E112" s="3">
        <f ca="1">IFERROR(__xludf.DUMMYFUNCTION("""COMPUTED_VALUE"""),27619.7095435684)</f>
        <v>27619.709543568399</v>
      </c>
    </row>
    <row r="113" spans="1:9" ht="15.75" customHeight="1" x14ac:dyDescent="0.2">
      <c r="A113" s="4" t="s">
        <v>27</v>
      </c>
      <c r="B113" s="4" t="s">
        <v>12</v>
      </c>
      <c r="C113" s="2">
        <v>2024</v>
      </c>
      <c r="D113" s="5">
        <v>11</v>
      </c>
      <c r="E113" s="3">
        <f ca="1">IFERROR(__xludf.DUMMYFUNCTION("""COMPUTED_VALUE"""),12.3880597014925)</f>
        <v>12.3880597014925</v>
      </c>
      <c r="I113" s="9"/>
    </row>
    <row r="114" spans="1:9" ht="15.75" customHeight="1" x14ac:dyDescent="0.2">
      <c r="A114" s="4" t="s">
        <v>27</v>
      </c>
      <c r="B114" s="4" t="s">
        <v>13</v>
      </c>
      <c r="C114" s="2">
        <v>2024</v>
      </c>
      <c r="D114" s="5">
        <v>11</v>
      </c>
      <c r="E114" s="3">
        <f ca="1">IFERROR(__xludf.DUMMYFUNCTION("""COMPUTED_VALUE"""),12.2033898305084)</f>
        <v>12.203389830508399</v>
      </c>
      <c r="I114" s="9"/>
    </row>
    <row r="115" spans="1:9" ht="15.75" customHeight="1" x14ac:dyDescent="0.2">
      <c r="A115" s="4" t="s">
        <v>27</v>
      </c>
      <c r="B115" s="4" t="s">
        <v>4</v>
      </c>
      <c r="C115" s="2">
        <v>2024</v>
      </c>
      <c r="D115" s="5">
        <v>11</v>
      </c>
      <c r="E115" s="3">
        <f ca="1">IFERROR(__xludf.DUMMYFUNCTION("""COMPUTED_VALUE"""),5.77777777777777)</f>
        <v>5.7777777777777697</v>
      </c>
      <c r="I115" s="9"/>
    </row>
    <row r="116" spans="1:9" ht="15.75" customHeight="1" x14ac:dyDescent="0.2">
      <c r="A116" s="4" t="s">
        <v>27</v>
      </c>
      <c r="B116" s="4" t="s">
        <v>1</v>
      </c>
      <c r="C116" s="2">
        <v>2024</v>
      </c>
      <c r="D116" s="5">
        <v>11</v>
      </c>
      <c r="E116" s="3">
        <f ca="1">IFERROR(__xludf.DUMMYFUNCTION("""COMPUTED_VALUE"""),6.6)</f>
        <v>6.6</v>
      </c>
      <c r="I116" s="9"/>
    </row>
    <row r="117" spans="1:9" ht="15.75" customHeight="1" x14ac:dyDescent="0.2">
      <c r="A117" s="4" t="s">
        <v>27</v>
      </c>
      <c r="B117" s="4" t="s">
        <v>14</v>
      </c>
      <c r="C117" s="2">
        <v>2024</v>
      </c>
      <c r="D117" s="5">
        <v>11</v>
      </c>
      <c r="E117" s="3">
        <f ca="1">IFERROR(__xludf.DUMMYFUNCTION("""COMPUTED_VALUE"""),352.058823529411)</f>
        <v>352.05882352941097</v>
      </c>
      <c r="I117" s="9"/>
    </row>
    <row r="118" spans="1:9" ht="15.75" customHeight="1" x14ac:dyDescent="0.2">
      <c r="A118" s="4" t="s">
        <v>27</v>
      </c>
      <c r="B118" s="4" t="s">
        <v>15</v>
      </c>
      <c r="C118" s="2">
        <v>2024</v>
      </c>
      <c r="D118" s="5">
        <v>11</v>
      </c>
      <c r="E118" s="3">
        <f ca="1">IFERROR(__xludf.DUMMYFUNCTION("""COMPUTED_VALUE"""),574.75)</f>
        <v>574.75</v>
      </c>
      <c r="I118" s="9"/>
    </row>
    <row r="119" spans="1:9" ht="15.75" customHeight="1" x14ac:dyDescent="0.2">
      <c r="A119" s="4" t="s">
        <v>27</v>
      </c>
      <c r="B119" s="4" t="s">
        <v>2</v>
      </c>
      <c r="C119" s="2">
        <v>2024</v>
      </c>
      <c r="D119" s="5">
        <v>11</v>
      </c>
      <c r="E119" s="3">
        <f ca="1">IFERROR(__xludf.DUMMYFUNCTION("""COMPUTED_VALUE"""),7739.88764044943)</f>
        <v>7739.8876404494304</v>
      </c>
      <c r="I119" s="9"/>
    </row>
    <row r="120" spans="1:9" ht="15.75" customHeight="1" x14ac:dyDescent="0.2">
      <c r="A120" s="4" t="s">
        <v>27</v>
      </c>
      <c r="B120" s="4" t="s">
        <v>16</v>
      </c>
      <c r="C120" s="2">
        <v>2024</v>
      </c>
      <c r="D120" s="5">
        <v>11</v>
      </c>
      <c r="E120" s="3">
        <f ca="1">IFERROR(__xludf.DUMMYFUNCTION("""COMPUTED_VALUE"""),6098.23204419889)</f>
        <v>6098.2320441988904</v>
      </c>
      <c r="I120" s="9"/>
    </row>
    <row r="121" spans="1:9" ht="15.75" customHeight="1" x14ac:dyDescent="0.2">
      <c r="A121" s="4" t="s">
        <v>27</v>
      </c>
      <c r="B121" s="4" t="s">
        <v>17</v>
      </c>
      <c r="C121" s="2">
        <v>2024</v>
      </c>
      <c r="D121" s="5">
        <v>11</v>
      </c>
      <c r="E121" s="3">
        <f ca="1">IFERROR(__xludf.DUMMYFUNCTION("""COMPUTED_VALUE"""),8113.17692307692)</f>
        <v>8113.1769230769196</v>
      </c>
      <c r="I121" s="9"/>
    </row>
    <row r="122" spans="1:9" ht="15.75" customHeight="1" x14ac:dyDescent="0.2">
      <c r="A122" s="4" t="s">
        <v>28</v>
      </c>
      <c r="B122" s="10" t="s">
        <v>5</v>
      </c>
      <c r="C122" s="2">
        <v>2024</v>
      </c>
      <c r="D122" s="5">
        <v>11</v>
      </c>
      <c r="E122" s="3">
        <f ca="1">IFERROR(__xludf.DUMMYFUNCTION("TRANSPOSE(IMPORTRANGE(""https://docs.google.com/spreadsheets/d/1fhnWJ22CL1CLnM8yDaqFFy0IpnLfRpNb0YPe0U15EHM/edit?usp=sharing"",""Perhitungan Stok!$J$26:$J$37""))"),34369.1919191919)</f>
        <v>34369.191919191901</v>
      </c>
      <c r="I122" s="9"/>
    </row>
    <row r="123" spans="1:9" ht="15.75" customHeight="1" x14ac:dyDescent="0.2">
      <c r="A123" s="4" t="s">
        <v>28</v>
      </c>
      <c r="B123" s="4" t="s">
        <v>3</v>
      </c>
      <c r="C123" s="2">
        <v>2024</v>
      </c>
      <c r="D123" s="5">
        <v>11</v>
      </c>
      <c r="E123" s="3">
        <f ca="1">IFERROR(__xludf.DUMMYFUNCTION("""COMPUTED_VALUE"""),60009.9999999999)</f>
        <v>60009.999999999898</v>
      </c>
      <c r="I123" s="2"/>
    </row>
    <row r="124" spans="1:9" ht="15.75" customHeight="1" x14ac:dyDescent="0.2">
      <c r="A124" s="4" t="s">
        <v>28</v>
      </c>
      <c r="B124" s="4" t="s">
        <v>11</v>
      </c>
      <c r="C124" s="2">
        <v>2024</v>
      </c>
      <c r="D124" s="5">
        <v>11</v>
      </c>
      <c r="E124" s="3">
        <f ca="1">IFERROR(__xludf.DUMMYFUNCTION("""COMPUTED_VALUE"""),225030)</f>
        <v>225030</v>
      </c>
    </row>
    <row r="125" spans="1:9" ht="15.75" customHeight="1" x14ac:dyDescent="0.2">
      <c r="A125" s="4" t="s">
        <v>28</v>
      </c>
      <c r="B125" s="4" t="s">
        <v>12</v>
      </c>
      <c r="C125" s="2">
        <v>2024</v>
      </c>
      <c r="D125" s="5">
        <v>11</v>
      </c>
      <c r="E125" s="3">
        <f ca="1">IFERROR(__xludf.DUMMYFUNCTION("""COMPUTED_VALUE"""),375.100671140939)</f>
        <v>375.10067114093903</v>
      </c>
    </row>
    <row r="126" spans="1:9" ht="15.75" customHeight="1" x14ac:dyDescent="0.2">
      <c r="A126" s="4" t="s">
        <v>28</v>
      </c>
      <c r="B126" s="4" t="s">
        <v>13</v>
      </c>
      <c r="C126" s="2">
        <v>2024</v>
      </c>
      <c r="D126" s="5">
        <v>11</v>
      </c>
      <c r="E126" s="3">
        <f ca="1">IFERROR(__xludf.DUMMYFUNCTION("""COMPUTED_VALUE"""),787.5)</f>
        <v>787.5</v>
      </c>
    </row>
    <row r="127" spans="1:9" ht="15.75" customHeight="1" x14ac:dyDescent="0.2">
      <c r="A127" s="4" t="s">
        <v>28</v>
      </c>
      <c r="B127" s="4" t="s">
        <v>4</v>
      </c>
      <c r="C127" s="2">
        <v>2024</v>
      </c>
      <c r="D127" s="5">
        <v>11</v>
      </c>
      <c r="E127" s="3">
        <f ca="1">IFERROR(__xludf.DUMMYFUNCTION("""COMPUTED_VALUE"""),90)</f>
        <v>90</v>
      </c>
    </row>
    <row r="128" spans="1:9" ht="15.75" customHeight="1" x14ac:dyDescent="0.2">
      <c r="A128" s="4" t="s">
        <v>28</v>
      </c>
      <c r="B128" s="4" t="s">
        <v>1</v>
      </c>
      <c r="C128" s="2">
        <v>2024</v>
      </c>
      <c r="D128" s="5">
        <v>11</v>
      </c>
      <c r="E128" s="3">
        <f ca="1">IFERROR(__xludf.DUMMYFUNCTION("""COMPUTED_VALUE"""),100)</f>
        <v>100</v>
      </c>
    </row>
    <row r="129" spans="1:5" ht="15.75" customHeight="1" x14ac:dyDescent="0.2">
      <c r="A129" s="4" t="s">
        <v>28</v>
      </c>
      <c r="B129" s="4" t="s">
        <v>14</v>
      </c>
      <c r="C129" s="2">
        <v>2024</v>
      </c>
      <c r="D129" s="5">
        <v>11</v>
      </c>
      <c r="E129" s="3">
        <f ca="1">IFERROR(__xludf.DUMMYFUNCTION("""COMPUTED_VALUE"""),50)</f>
        <v>50</v>
      </c>
    </row>
    <row r="130" spans="1:5" ht="15.75" customHeight="1" x14ac:dyDescent="0.2">
      <c r="A130" s="4" t="s">
        <v>28</v>
      </c>
      <c r="B130" s="4" t="s">
        <v>15</v>
      </c>
      <c r="C130" s="2">
        <v>2024</v>
      </c>
      <c r="D130" s="5">
        <v>11</v>
      </c>
      <c r="E130" s="3">
        <f ca="1">IFERROR(__xludf.DUMMYFUNCTION("""COMPUTED_VALUE"""),500)</f>
        <v>500</v>
      </c>
    </row>
    <row r="131" spans="1:5" ht="15.75" customHeight="1" x14ac:dyDescent="0.2">
      <c r="A131" s="4" t="s">
        <v>28</v>
      </c>
      <c r="B131" s="4" t="s">
        <v>2</v>
      </c>
      <c r="C131" s="2">
        <v>2024</v>
      </c>
      <c r="D131" s="5">
        <v>11</v>
      </c>
      <c r="E131" s="3">
        <f ca="1">IFERROR(__xludf.DUMMYFUNCTION("""COMPUTED_VALUE"""),27677.4251497005)</f>
        <v>27677.425149700499</v>
      </c>
    </row>
    <row r="132" spans="1:5" ht="15.75" customHeight="1" x14ac:dyDescent="0.2">
      <c r="A132" s="4" t="s">
        <v>28</v>
      </c>
      <c r="B132" s="4" t="s">
        <v>16</v>
      </c>
      <c r="C132" s="2">
        <v>2024</v>
      </c>
      <c r="D132" s="5">
        <v>11</v>
      </c>
      <c r="E132" s="3">
        <f ca="1">IFERROR(__xludf.DUMMYFUNCTION("""COMPUTED_VALUE"""),1815.40229885057)</f>
        <v>1815.4022988505701</v>
      </c>
    </row>
    <row r="133" spans="1:5" ht="15.75" customHeight="1" x14ac:dyDescent="0.2">
      <c r="A133" s="4" t="s">
        <v>28</v>
      </c>
      <c r="B133" s="4" t="s">
        <v>17</v>
      </c>
      <c r="C133" s="2">
        <v>2024</v>
      </c>
      <c r="D133" s="5">
        <v>11</v>
      </c>
      <c r="E133" s="3">
        <f ca="1">IFERROR(__xludf.DUMMYFUNCTION("""COMPUTED_VALUE"""),617.777777777777)</f>
        <v>617.77777777777703</v>
      </c>
    </row>
    <row r="134" spans="1:5" ht="15.75" customHeight="1" x14ac:dyDescent="0.2">
      <c r="A134" s="4" t="s">
        <v>29</v>
      </c>
      <c r="B134" s="10" t="s">
        <v>5</v>
      </c>
      <c r="C134" s="2">
        <v>2024</v>
      </c>
      <c r="D134" s="5">
        <v>11</v>
      </c>
      <c r="E134" s="3">
        <f ca="1">IFERROR(__xludf.DUMMYFUNCTION("TRANSPOSE(IMPORTRANGE(""https://docs.google.com/spreadsheets/d/1FZs6yi73px1UeIq12X4pJWRpMY-i9pr7NJo7QazmvpY/edit?usp=sharing"",""Perhitungan Stok!$J$26:$J$37""))"),157583.904286718)</f>
        <v>157583.904286718</v>
      </c>
    </row>
    <row r="135" spans="1:5" ht="15.75" customHeight="1" x14ac:dyDescent="0.2">
      <c r="A135" s="4" t="s">
        <v>29</v>
      </c>
      <c r="B135" s="4" t="s">
        <v>3</v>
      </c>
      <c r="C135" s="2">
        <v>2024</v>
      </c>
      <c r="D135" s="5">
        <v>11</v>
      </c>
      <c r="E135" s="3">
        <f ca="1">IFERROR(__xludf.DUMMYFUNCTION("""COMPUTED_VALUE"""),25851.497005988)</f>
        <v>25851.497005988</v>
      </c>
    </row>
    <row r="136" spans="1:5" ht="15.75" customHeight="1" x14ac:dyDescent="0.2">
      <c r="A136" s="4" t="s">
        <v>29</v>
      </c>
      <c r="B136" s="4" t="s">
        <v>11</v>
      </c>
      <c r="C136" s="2">
        <v>2024</v>
      </c>
      <c r="D136" s="5">
        <v>11</v>
      </c>
      <c r="E136" s="3">
        <f ca="1">IFERROR(__xludf.DUMMYFUNCTION("""COMPUTED_VALUE"""),35909.8011363636)</f>
        <v>35909.801136363603</v>
      </c>
    </row>
    <row r="137" spans="1:5" ht="15.75" customHeight="1" x14ac:dyDescent="0.2">
      <c r="A137" s="4" t="s">
        <v>29</v>
      </c>
      <c r="B137" s="4" t="s">
        <v>12</v>
      </c>
      <c r="C137" s="2">
        <v>2024</v>
      </c>
      <c r="D137" s="5">
        <v>11</v>
      </c>
      <c r="E137" s="3">
        <f ca="1">IFERROR(__xludf.DUMMYFUNCTION("""COMPUTED_VALUE"""),2166.88888888888)</f>
        <v>2166.88888888888</v>
      </c>
    </row>
    <row r="138" spans="1:5" ht="15.75" customHeight="1" x14ac:dyDescent="0.2">
      <c r="A138" s="4" t="s">
        <v>29</v>
      </c>
      <c r="B138" s="4" t="s">
        <v>13</v>
      </c>
      <c r="C138" s="2">
        <v>2024</v>
      </c>
      <c r="D138" s="5">
        <v>11</v>
      </c>
      <c r="E138" s="3">
        <f ca="1">IFERROR(__xludf.DUMMYFUNCTION("""COMPUTED_VALUE"""),2214.12765957446)</f>
        <v>2214.1276595744598</v>
      </c>
    </row>
    <row r="139" spans="1:5" ht="15.75" customHeight="1" x14ac:dyDescent="0.2">
      <c r="A139" s="4" t="s">
        <v>29</v>
      </c>
      <c r="B139" s="4" t="s">
        <v>4</v>
      </c>
      <c r="C139" s="2">
        <v>2024</v>
      </c>
      <c r="D139" s="5">
        <v>11</v>
      </c>
      <c r="E139" s="3">
        <f ca="1">IFERROR(__xludf.DUMMYFUNCTION("""COMPUTED_VALUE"""),203.65625)</f>
        <v>203.65625</v>
      </c>
    </row>
    <row r="140" spans="1:5" ht="15.75" customHeight="1" x14ac:dyDescent="0.2">
      <c r="A140" s="4" t="s">
        <v>29</v>
      </c>
      <c r="B140" s="4" t="s">
        <v>1</v>
      </c>
      <c r="C140" s="2">
        <v>2024</v>
      </c>
      <c r="D140" s="5">
        <v>11</v>
      </c>
      <c r="E140" s="3">
        <f ca="1">IFERROR(__xludf.DUMMYFUNCTION("""COMPUTED_VALUE"""),466.631578947368)</f>
        <v>466.63157894736798</v>
      </c>
    </row>
    <row r="141" spans="1:5" ht="15.75" customHeight="1" x14ac:dyDescent="0.2">
      <c r="A141" s="4" t="s">
        <v>29</v>
      </c>
      <c r="B141" s="4" t="s">
        <v>14</v>
      </c>
      <c r="C141" s="2">
        <v>2024</v>
      </c>
      <c r="D141" s="5">
        <v>11</v>
      </c>
      <c r="E141" s="3">
        <f ca="1">IFERROR(__xludf.DUMMYFUNCTION("""COMPUTED_VALUE"""),93.6)</f>
        <v>93.6</v>
      </c>
    </row>
    <row r="142" spans="1:5" ht="15.75" customHeight="1" x14ac:dyDescent="0.2">
      <c r="A142" s="4" t="s">
        <v>29</v>
      </c>
      <c r="B142" s="4" t="s">
        <v>15</v>
      </c>
      <c r="C142" s="2">
        <v>2024</v>
      </c>
      <c r="D142" s="5">
        <v>11</v>
      </c>
      <c r="E142" s="3">
        <f ca="1">IFERROR(__xludf.DUMMYFUNCTION("""COMPUTED_VALUE"""),1530)</f>
        <v>1530</v>
      </c>
    </row>
    <row r="143" spans="1:5" ht="15.75" customHeight="1" x14ac:dyDescent="0.2">
      <c r="A143" s="4" t="s">
        <v>29</v>
      </c>
      <c r="B143" s="4" t="s">
        <v>2</v>
      </c>
      <c r="C143" s="2">
        <v>2024</v>
      </c>
      <c r="D143" s="5">
        <v>11</v>
      </c>
      <c r="E143" s="3">
        <f ca="1">IFERROR(__xludf.DUMMYFUNCTION("""COMPUTED_VALUE"""),14332.0378378378)</f>
        <v>14332.037837837801</v>
      </c>
    </row>
    <row r="144" spans="1:5" ht="15.75" customHeight="1" x14ac:dyDescent="0.2">
      <c r="A144" s="4" t="s">
        <v>29</v>
      </c>
      <c r="B144" s="4" t="s">
        <v>16</v>
      </c>
      <c r="C144" s="2">
        <v>2024</v>
      </c>
      <c r="D144" s="5">
        <v>11</v>
      </c>
      <c r="E144" s="3">
        <f ca="1">IFERROR(__xludf.DUMMYFUNCTION("""COMPUTED_VALUE"""),41793.0568720379)</f>
        <v>41793.056872037901</v>
      </c>
    </row>
    <row r="145" spans="1:5" ht="15.75" customHeight="1" x14ac:dyDescent="0.2">
      <c r="A145" s="4" t="s">
        <v>29</v>
      </c>
      <c r="B145" s="4" t="s">
        <v>17</v>
      </c>
      <c r="C145" s="2">
        <v>2024</v>
      </c>
      <c r="D145" s="5">
        <v>11</v>
      </c>
      <c r="E145" s="3">
        <f ca="1">IFERROR(__xludf.DUMMYFUNCTION("""COMPUTED_VALUE"""),128153.608695158)</f>
        <v>128153.60869515799</v>
      </c>
    </row>
    <row r="146" spans="1:5" ht="15.75" customHeight="1" x14ac:dyDescent="0.2">
      <c r="A146" s="4" t="s">
        <v>30</v>
      </c>
      <c r="B146" s="10" t="s">
        <v>5</v>
      </c>
      <c r="C146" s="2">
        <v>2024</v>
      </c>
      <c r="D146" s="5">
        <v>11</v>
      </c>
      <c r="E146" s="3">
        <f ca="1">IFERROR(__xludf.DUMMYFUNCTION("TRANSPOSE(IMPORTRANGE(""https://docs.google.com/spreadsheets/d/1xBM7mOEG38prtetY9HT35-b5NhNoQALxyERnMGh_kRA/edit?usp=sharing"",""Perhitungan Stok!$J$26:$J$37""))"),56250)</f>
        <v>56250</v>
      </c>
    </row>
    <row r="147" spans="1:5" ht="15.75" customHeight="1" x14ac:dyDescent="0.2">
      <c r="A147" s="4" t="s">
        <v>30</v>
      </c>
      <c r="B147" s="4" t="s">
        <v>3</v>
      </c>
      <c r="C147" s="2">
        <v>2024</v>
      </c>
      <c r="D147" s="5">
        <v>11</v>
      </c>
      <c r="E147" s="3">
        <f ca="1">IFERROR(__xludf.DUMMYFUNCTION("""COMPUTED_VALUE"""),40225.4347826086)</f>
        <v>40225.434782608601</v>
      </c>
    </row>
    <row r="148" spans="1:5" ht="15.75" customHeight="1" x14ac:dyDescent="0.2">
      <c r="A148" s="4" t="s">
        <v>30</v>
      </c>
      <c r="B148" s="4" t="s">
        <v>11</v>
      </c>
      <c r="C148" s="2">
        <v>2024</v>
      </c>
      <c r="D148" s="5">
        <v>11</v>
      </c>
      <c r="E148" s="3">
        <f ca="1">IFERROR(__xludf.DUMMYFUNCTION("""COMPUTED_VALUE"""),5350)</f>
        <v>5350</v>
      </c>
    </row>
    <row r="149" spans="1:5" ht="15.75" customHeight="1" x14ac:dyDescent="0.2">
      <c r="A149" s="4" t="s">
        <v>30</v>
      </c>
      <c r="B149" s="4" t="s">
        <v>12</v>
      </c>
      <c r="C149" s="2">
        <v>2024</v>
      </c>
      <c r="D149" s="5">
        <v>11</v>
      </c>
      <c r="E149" s="3">
        <f ca="1">IFERROR(__xludf.DUMMYFUNCTION("""COMPUTED_VALUE"""),11049.6657633243)</f>
        <v>11049.665763324299</v>
      </c>
    </row>
    <row r="150" spans="1:5" ht="15.75" customHeight="1" x14ac:dyDescent="0.2">
      <c r="A150" s="4" t="s">
        <v>30</v>
      </c>
      <c r="B150" s="4" t="s">
        <v>13</v>
      </c>
      <c r="C150" s="2">
        <v>2024</v>
      </c>
      <c r="D150" s="5">
        <v>11</v>
      </c>
      <c r="E150" s="3">
        <f ca="1">IFERROR(__xludf.DUMMYFUNCTION("""COMPUTED_VALUE"""),13894.6153846153)</f>
        <v>13894.615384615299</v>
      </c>
    </row>
    <row r="151" spans="1:5" ht="15.75" customHeight="1" x14ac:dyDescent="0.2">
      <c r="A151" s="4" t="s">
        <v>30</v>
      </c>
      <c r="B151" s="4" t="s">
        <v>4</v>
      </c>
      <c r="C151" s="2">
        <v>2024</v>
      </c>
      <c r="D151" s="5">
        <v>11</v>
      </c>
      <c r="E151" s="3">
        <f ca="1">IFERROR(__xludf.DUMMYFUNCTION("""COMPUTED_VALUE"""),545)</f>
        <v>545</v>
      </c>
    </row>
    <row r="152" spans="1:5" ht="15.75" customHeight="1" x14ac:dyDescent="0.2">
      <c r="A152" s="4" t="s">
        <v>30</v>
      </c>
      <c r="B152" s="4" t="s">
        <v>1</v>
      </c>
      <c r="C152" s="2">
        <v>2024</v>
      </c>
      <c r="D152" s="5">
        <v>11</v>
      </c>
      <c r="E152" s="3">
        <f ca="1">IFERROR(__xludf.DUMMYFUNCTION("""COMPUTED_VALUE"""),687.692307692307)</f>
        <v>687.69230769230705</v>
      </c>
    </row>
    <row r="153" spans="1:5" ht="15.75" customHeight="1" x14ac:dyDescent="0.2">
      <c r="A153" s="4" t="s">
        <v>30</v>
      </c>
      <c r="B153" s="4" t="s">
        <v>14</v>
      </c>
      <c r="C153" s="2">
        <v>2024</v>
      </c>
      <c r="D153" s="5">
        <v>11</v>
      </c>
      <c r="E153" s="3">
        <f ca="1">IFERROR(__xludf.DUMMYFUNCTION("""COMPUTED_VALUE"""),0)</f>
        <v>0</v>
      </c>
    </row>
    <row r="154" spans="1:5" ht="15.75" customHeight="1" x14ac:dyDescent="0.2">
      <c r="A154" s="4" t="s">
        <v>30</v>
      </c>
      <c r="B154" s="4" t="s">
        <v>15</v>
      </c>
      <c r="C154" s="2">
        <v>2024</v>
      </c>
      <c r="D154" s="5">
        <v>11</v>
      </c>
      <c r="E154" s="3">
        <f ca="1">IFERROR(__xludf.DUMMYFUNCTION("""COMPUTED_VALUE"""),0)</f>
        <v>0</v>
      </c>
    </row>
    <row r="155" spans="1:5" ht="15.75" customHeight="1" x14ac:dyDescent="0.2">
      <c r="A155" s="4" t="s">
        <v>30</v>
      </c>
      <c r="B155" s="4" t="s">
        <v>2</v>
      </c>
      <c r="C155" s="2">
        <v>2024</v>
      </c>
      <c r="D155" s="5">
        <v>11</v>
      </c>
      <c r="E155" s="3">
        <f ca="1">IFERROR(__xludf.DUMMYFUNCTION("""COMPUTED_VALUE"""),11621.3461538461)</f>
        <v>11621.3461538461</v>
      </c>
    </row>
    <row r="156" spans="1:5" ht="15.75" customHeight="1" x14ac:dyDescent="0.2">
      <c r="A156" s="4" t="s">
        <v>30</v>
      </c>
      <c r="B156" s="4" t="s">
        <v>16</v>
      </c>
      <c r="C156" s="2">
        <v>2024</v>
      </c>
      <c r="D156" s="5">
        <v>11</v>
      </c>
      <c r="E156" s="3">
        <f ca="1">IFERROR(__xludf.DUMMYFUNCTION("""COMPUTED_VALUE"""),1989.5652173913)</f>
        <v>1989.5652173912999</v>
      </c>
    </row>
    <row r="157" spans="1:5" ht="15.75" customHeight="1" x14ac:dyDescent="0.2">
      <c r="A157" s="4" t="s">
        <v>30</v>
      </c>
      <c r="B157" s="4" t="s">
        <v>17</v>
      </c>
      <c r="C157" s="2">
        <v>2024</v>
      </c>
      <c r="D157" s="5">
        <v>11</v>
      </c>
      <c r="E157" s="3">
        <f ca="1">IFERROR(__xludf.DUMMYFUNCTION("""COMPUTED_VALUE"""),7512.81323087203)</f>
        <v>7512.8132308720296</v>
      </c>
    </row>
    <row r="158" spans="1:5" ht="15.75" customHeight="1" x14ac:dyDescent="0.2">
      <c r="A158" s="4" t="s">
        <v>31</v>
      </c>
      <c r="B158" s="10" t="s">
        <v>5</v>
      </c>
      <c r="C158" s="2">
        <v>2024</v>
      </c>
      <c r="D158" s="5">
        <v>11</v>
      </c>
      <c r="E158" s="3">
        <f ca="1">IFERROR(__xludf.DUMMYFUNCTION("TRANSPOSE(IMPORTRANGE(""https://docs.google.com/spreadsheets/d/1cv8w4RgreF55A1mw5YfUmgV2e6j-PXym1SXozOAxbDQ/edit?usp=sharing"",""Perhitungan Stok!$J$26:$J$37""))"),862301.565535443)</f>
        <v>862301.56553544302</v>
      </c>
    </row>
    <row r="159" spans="1:5" ht="15.75" customHeight="1" x14ac:dyDescent="0.2">
      <c r="A159" s="4" t="s">
        <v>31</v>
      </c>
      <c r="B159" s="4" t="s">
        <v>3</v>
      </c>
      <c r="C159" s="2">
        <v>2024</v>
      </c>
      <c r="D159" s="5">
        <v>11</v>
      </c>
      <c r="E159" s="3">
        <f ca="1">IFERROR(__xludf.DUMMYFUNCTION("""COMPUTED_VALUE"""),1350)</f>
        <v>1350</v>
      </c>
    </row>
    <row r="160" spans="1:5" ht="15.75" customHeight="1" x14ac:dyDescent="0.2">
      <c r="A160" s="4" t="s">
        <v>31</v>
      </c>
      <c r="B160" s="4" t="s">
        <v>11</v>
      </c>
      <c r="C160" s="2">
        <v>2024</v>
      </c>
      <c r="D160" s="5">
        <v>11</v>
      </c>
      <c r="E160" s="3">
        <f ca="1">IFERROR(__xludf.DUMMYFUNCTION("""COMPUTED_VALUE"""),4063.2)</f>
        <v>4063.2</v>
      </c>
    </row>
    <row r="161" spans="1:5" ht="15.75" customHeight="1" x14ac:dyDescent="0.2">
      <c r="A161" s="4" t="s">
        <v>31</v>
      </c>
      <c r="B161" s="4" t="s">
        <v>12</v>
      </c>
      <c r="C161" s="2">
        <v>2024</v>
      </c>
      <c r="D161" s="5">
        <v>11</v>
      </c>
      <c r="E161" s="3">
        <f ca="1">IFERROR(__xludf.DUMMYFUNCTION("""COMPUTED_VALUE"""),1140)</f>
        <v>1140</v>
      </c>
    </row>
    <row r="162" spans="1:5" ht="15.75" customHeight="1" x14ac:dyDescent="0.2">
      <c r="A162" s="4" t="s">
        <v>31</v>
      </c>
      <c r="B162" s="4" t="s">
        <v>13</v>
      </c>
      <c r="C162" s="2">
        <v>2024</v>
      </c>
      <c r="D162" s="5">
        <v>11</v>
      </c>
      <c r="E162" s="3">
        <f ca="1">IFERROR(__xludf.DUMMYFUNCTION("""COMPUTED_VALUE"""),593)</f>
        <v>593</v>
      </c>
    </row>
    <row r="163" spans="1:5" ht="15.75" customHeight="1" x14ac:dyDescent="0.2">
      <c r="A163" s="4" t="s">
        <v>31</v>
      </c>
      <c r="B163" s="4" t="s">
        <v>4</v>
      </c>
      <c r="C163" s="2">
        <v>2024</v>
      </c>
      <c r="D163" s="5">
        <v>11</v>
      </c>
      <c r="E163" s="3">
        <f ca="1">IFERROR(__xludf.DUMMYFUNCTION("""COMPUTED_VALUE"""),159.25)</f>
        <v>159.25</v>
      </c>
    </row>
    <row r="164" spans="1:5" ht="15.75" customHeight="1" x14ac:dyDescent="0.2">
      <c r="A164" s="4" t="s">
        <v>31</v>
      </c>
      <c r="B164" s="4" t="s">
        <v>1</v>
      </c>
      <c r="C164" s="2">
        <v>2024</v>
      </c>
      <c r="D164" s="5">
        <v>11</v>
      </c>
      <c r="E164" s="3">
        <f ca="1">IFERROR(__xludf.DUMMYFUNCTION("""COMPUTED_VALUE"""),608.052631578947)</f>
        <v>608.05263157894694</v>
      </c>
    </row>
    <row r="165" spans="1:5" ht="15.75" customHeight="1" x14ac:dyDescent="0.2">
      <c r="A165" s="4" t="s">
        <v>31</v>
      </c>
      <c r="B165" s="4" t="s">
        <v>14</v>
      </c>
      <c r="C165" s="2">
        <v>2024</v>
      </c>
      <c r="D165" s="5">
        <v>11</v>
      </c>
      <c r="E165" s="3">
        <f ca="1">IFERROR(__xludf.DUMMYFUNCTION("""COMPUTED_VALUE"""),246.045918367346)</f>
        <v>246.04591836734599</v>
      </c>
    </row>
    <row r="166" spans="1:5" ht="15.75" customHeight="1" x14ac:dyDescent="0.2">
      <c r="A166" s="4" t="s">
        <v>31</v>
      </c>
      <c r="B166" s="4" t="s">
        <v>15</v>
      </c>
      <c r="C166" s="2">
        <v>2024</v>
      </c>
      <c r="D166" s="5">
        <v>11</v>
      </c>
      <c r="E166" s="3">
        <f ca="1">IFERROR(__xludf.DUMMYFUNCTION("""COMPUTED_VALUE"""),121)</f>
        <v>121</v>
      </c>
    </row>
    <row r="167" spans="1:5" ht="15.75" customHeight="1" x14ac:dyDescent="0.2">
      <c r="A167" s="4" t="s">
        <v>31</v>
      </c>
      <c r="B167" s="4" t="s">
        <v>2</v>
      </c>
      <c r="C167" s="2">
        <v>2024</v>
      </c>
      <c r="D167" s="5">
        <v>11</v>
      </c>
      <c r="E167" s="3">
        <f ca="1">IFERROR(__xludf.DUMMYFUNCTION("""COMPUTED_VALUE"""),9677.26358148893)</f>
        <v>9677.2635814889309</v>
      </c>
    </row>
    <row r="168" spans="1:5" ht="15.75" customHeight="1" x14ac:dyDescent="0.2">
      <c r="A168" s="4" t="s">
        <v>31</v>
      </c>
      <c r="B168" s="4" t="s">
        <v>16</v>
      </c>
      <c r="C168" s="2">
        <v>2024</v>
      </c>
      <c r="D168" s="5">
        <v>11</v>
      </c>
      <c r="E168" s="3">
        <f ca="1">IFERROR(__xludf.DUMMYFUNCTION("""COMPUTED_VALUE"""),617.5)</f>
        <v>617.5</v>
      </c>
    </row>
    <row r="169" spans="1:5" ht="15.75" customHeight="1" x14ac:dyDescent="0.2">
      <c r="A169" s="4" t="s">
        <v>31</v>
      </c>
      <c r="B169" s="4" t="s">
        <v>17</v>
      </c>
      <c r="C169" s="2">
        <v>2024</v>
      </c>
      <c r="D169" s="5">
        <v>11</v>
      </c>
      <c r="E169" s="3">
        <f ca="1">IFERROR(__xludf.DUMMYFUNCTION("""COMPUTED_VALUE"""),1546.11111111111)</f>
        <v>1546.1111111111099</v>
      </c>
    </row>
    <row r="170" spans="1:5" ht="15.75" customHeight="1" x14ac:dyDescent="0.2">
      <c r="A170" s="4" t="s">
        <v>32</v>
      </c>
      <c r="B170" s="10" t="s">
        <v>5</v>
      </c>
      <c r="C170" s="2">
        <v>2024</v>
      </c>
      <c r="D170" s="5">
        <v>11</v>
      </c>
      <c r="E170" s="3">
        <f ca="1">IFERROR(__xludf.DUMMYFUNCTION("TRANSPOSE(IMPORTRANGE(""https://docs.google.com/spreadsheets/d/18D7pHiWpJ4gLst8rmYyUj14WiVjxp1qK_8RCugx8bpg/edit?usp=sharing"",""Perhitungan Stok!$J$26:$J$37""))"),574006.044905008)</f>
        <v>574006.04490500805</v>
      </c>
    </row>
    <row r="171" spans="1:5" ht="15.75" customHeight="1" x14ac:dyDescent="0.2">
      <c r="A171" s="4" t="s">
        <v>32</v>
      </c>
      <c r="B171" s="4" t="s">
        <v>3</v>
      </c>
      <c r="C171" s="2">
        <v>2024</v>
      </c>
      <c r="D171" s="5">
        <v>11</v>
      </c>
      <c r="E171" s="3">
        <f ca="1">IFERROR(__xludf.DUMMYFUNCTION("""COMPUTED_VALUE"""),218454.545454545)</f>
        <v>218454.545454545</v>
      </c>
    </row>
    <row r="172" spans="1:5" ht="15.75" customHeight="1" x14ac:dyDescent="0.2">
      <c r="A172" s="4" t="s">
        <v>32</v>
      </c>
      <c r="B172" s="4" t="s">
        <v>11</v>
      </c>
      <c r="C172" s="2">
        <v>2024</v>
      </c>
      <c r="D172" s="5">
        <v>11</v>
      </c>
      <c r="E172" s="3">
        <f ca="1">IFERROR(__xludf.DUMMYFUNCTION("""COMPUTED_VALUE"""),258000)</f>
        <v>258000</v>
      </c>
    </row>
    <row r="173" spans="1:5" ht="15.75" customHeight="1" x14ac:dyDescent="0.2">
      <c r="A173" s="4" t="s">
        <v>32</v>
      </c>
      <c r="B173" s="4" t="s">
        <v>12</v>
      </c>
      <c r="C173" s="2">
        <v>2024</v>
      </c>
      <c r="D173" s="5">
        <v>11</v>
      </c>
      <c r="E173" s="3">
        <f ca="1">IFERROR(__xludf.DUMMYFUNCTION("""COMPUTED_VALUE"""),29600)</f>
        <v>29600</v>
      </c>
    </row>
    <row r="174" spans="1:5" ht="15.75" customHeight="1" x14ac:dyDescent="0.2">
      <c r="A174" s="4" t="s">
        <v>32</v>
      </c>
      <c r="B174" s="4" t="s">
        <v>13</v>
      </c>
      <c r="C174" s="2">
        <v>2024</v>
      </c>
      <c r="D174" s="5">
        <v>11</v>
      </c>
      <c r="E174" s="3">
        <f ca="1">IFERROR(__xludf.DUMMYFUNCTION("""COMPUTED_VALUE"""),25000)</f>
        <v>25000</v>
      </c>
    </row>
    <row r="175" spans="1:5" ht="15.75" customHeight="1" x14ac:dyDescent="0.2">
      <c r="A175" s="4" t="s">
        <v>32</v>
      </c>
      <c r="B175" s="4" t="s">
        <v>4</v>
      </c>
      <c r="C175" s="2">
        <v>2024</v>
      </c>
      <c r="D175" s="5">
        <v>11</v>
      </c>
      <c r="E175" s="3">
        <f ca="1">IFERROR(__xludf.DUMMYFUNCTION("""COMPUTED_VALUE"""),100)</f>
        <v>100</v>
      </c>
    </row>
    <row r="176" spans="1:5" ht="15.75" customHeight="1" x14ac:dyDescent="0.2">
      <c r="A176" s="4" t="s">
        <v>32</v>
      </c>
      <c r="B176" s="4" t="s">
        <v>1</v>
      </c>
      <c r="C176" s="2">
        <v>2024</v>
      </c>
      <c r="D176" s="5">
        <v>11</v>
      </c>
      <c r="E176" s="3">
        <f ca="1">IFERROR(__xludf.DUMMYFUNCTION("""COMPUTED_VALUE"""),1316)</f>
        <v>1316</v>
      </c>
    </row>
    <row r="177" spans="1:5" ht="15.75" customHeight="1" x14ac:dyDescent="0.2">
      <c r="A177" s="4" t="s">
        <v>32</v>
      </c>
      <c r="B177" s="4" t="s">
        <v>14</v>
      </c>
      <c r="C177" s="2">
        <v>2024</v>
      </c>
      <c r="D177" s="5">
        <v>11</v>
      </c>
      <c r="E177" s="3">
        <f ca="1">IFERROR(__xludf.DUMMYFUNCTION("""COMPUTED_VALUE"""),9224.35294117647)</f>
        <v>9224.3529411764703</v>
      </c>
    </row>
    <row r="178" spans="1:5" ht="15.75" customHeight="1" x14ac:dyDescent="0.2">
      <c r="A178" s="4" t="s">
        <v>32</v>
      </c>
      <c r="B178" s="4" t="s">
        <v>15</v>
      </c>
      <c r="C178" s="2">
        <v>2024</v>
      </c>
      <c r="D178" s="5">
        <v>11</v>
      </c>
      <c r="E178" s="3">
        <f ca="1">IFERROR(__xludf.DUMMYFUNCTION("""COMPUTED_VALUE"""),998.461538461538)</f>
        <v>998.461538461538</v>
      </c>
    </row>
    <row r="179" spans="1:5" ht="15.75" customHeight="1" x14ac:dyDescent="0.2">
      <c r="A179" s="4" t="s">
        <v>32</v>
      </c>
      <c r="B179" s="4" t="s">
        <v>2</v>
      </c>
      <c r="C179" s="2">
        <v>2024</v>
      </c>
      <c r="D179" s="5">
        <v>11</v>
      </c>
      <c r="E179" s="3">
        <f ca="1">IFERROR(__xludf.DUMMYFUNCTION("""COMPUTED_VALUE"""),1053.56132075471)</f>
        <v>1053.5613207547101</v>
      </c>
    </row>
    <row r="180" spans="1:5" ht="15.75" customHeight="1" x14ac:dyDescent="0.2">
      <c r="A180" s="4" t="s">
        <v>32</v>
      </c>
      <c r="B180" s="4" t="s">
        <v>16</v>
      </c>
      <c r="C180" s="2">
        <v>2024</v>
      </c>
      <c r="D180" s="5">
        <v>11</v>
      </c>
      <c r="E180" s="3">
        <f ca="1">IFERROR(__xludf.DUMMYFUNCTION("""COMPUTED_VALUE"""),201635.135135135)</f>
        <v>201635.135135135</v>
      </c>
    </row>
    <row r="181" spans="1:5" ht="15.75" customHeight="1" x14ac:dyDescent="0.2">
      <c r="A181" s="4" t="s">
        <v>32</v>
      </c>
      <c r="B181" s="4" t="s">
        <v>17</v>
      </c>
      <c r="C181" s="2">
        <v>2024</v>
      </c>
      <c r="D181" s="5">
        <v>11</v>
      </c>
      <c r="E181" s="3">
        <f ca="1">IFERROR(__xludf.DUMMYFUNCTION("""COMPUTED_VALUE"""),257161.132738917)</f>
        <v>257161.13273891699</v>
      </c>
    </row>
    <row r="182" spans="1:5" ht="15.75" customHeight="1" x14ac:dyDescent="0.2">
      <c r="A182" s="4" t="s">
        <v>33</v>
      </c>
      <c r="B182" s="10" t="s">
        <v>5</v>
      </c>
      <c r="C182" s="2">
        <v>2024</v>
      </c>
      <c r="D182" s="5">
        <v>11</v>
      </c>
      <c r="E182" s="3">
        <f ca="1">IFERROR(__xludf.DUMMYFUNCTION("TRANSPOSE(IMPORTRANGE(""https://docs.google.com/spreadsheets/d/1ArHx5-8u4ELpz2uUlOuKHoaCijkEJNBjpAucWEyfJG8/edit?usp=sharing"",""Perhitungan Stok!$J$26:$J$37""))"),60700.5032467532)</f>
        <v>60700.5032467532</v>
      </c>
    </row>
    <row r="183" spans="1:5" ht="15.75" customHeight="1" x14ac:dyDescent="0.2">
      <c r="A183" s="4" t="s">
        <v>33</v>
      </c>
      <c r="B183" s="4" t="s">
        <v>3</v>
      </c>
      <c r="C183" s="2">
        <v>2024</v>
      </c>
      <c r="D183" s="5">
        <v>11</v>
      </c>
      <c r="E183" s="3">
        <f ca="1">IFERROR(__xludf.DUMMYFUNCTION("""COMPUTED_VALUE"""),6000)</f>
        <v>6000</v>
      </c>
    </row>
    <row r="184" spans="1:5" ht="15.75" customHeight="1" x14ac:dyDescent="0.2">
      <c r="A184" s="4" t="s">
        <v>33</v>
      </c>
      <c r="B184" s="4" t="s">
        <v>11</v>
      </c>
      <c r="C184" s="2">
        <v>2024</v>
      </c>
      <c r="D184" s="5">
        <v>11</v>
      </c>
      <c r="E184" s="3">
        <f ca="1">IFERROR(__xludf.DUMMYFUNCTION("""COMPUTED_VALUE"""),9015)</f>
        <v>9015</v>
      </c>
    </row>
    <row r="185" spans="1:5" ht="15.75" customHeight="1" x14ac:dyDescent="0.2">
      <c r="A185" s="4" t="s">
        <v>33</v>
      </c>
      <c r="B185" s="4" t="s">
        <v>12</v>
      </c>
      <c r="C185" s="2">
        <v>2024</v>
      </c>
      <c r="D185" s="5">
        <v>11</v>
      </c>
      <c r="E185" s="3">
        <f ca="1">IFERROR(__xludf.DUMMYFUNCTION("""COMPUTED_VALUE"""),3672)</f>
        <v>3672</v>
      </c>
    </row>
    <row r="186" spans="1:5" ht="15.75" customHeight="1" x14ac:dyDescent="0.2">
      <c r="A186" s="4" t="s">
        <v>33</v>
      </c>
      <c r="B186" s="4" t="s">
        <v>13</v>
      </c>
      <c r="C186" s="2">
        <v>2024</v>
      </c>
      <c r="D186" s="5">
        <v>11</v>
      </c>
      <c r="E186" s="3">
        <f ca="1">IFERROR(__xludf.DUMMYFUNCTION("""COMPUTED_VALUE"""),2206.15384615384)</f>
        <v>2206.1538461538398</v>
      </c>
    </row>
    <row r="187" spans="1:5" ht="15.75" customHeight="1" x14ac:dyDescent="0.2">
      <c r="A187" s="4" t="s">
        <v>33</v>
      </c>
      <c r="B187" s="4" t="s">
        <v>4</v>
      </c>
      <c r="C187" s="2">
        <v>2024</v>
      </c>
      <c r="D187" s="5">
        <v>11</v>
      </c>
      <c r="E187" s="3">
        <f ca="1">IFERROR(__xludf.DUMMYFUNCTION("""COMPUTED_VALUE"""),10599.5)</f>
        <v>10599.5</v>
      </c>
    </row>
    <row r="188" spans="1:5" ht="15.75" customHeight="1" x14ac:dyDescent="0.2">
      <c r="A188" s="4" t="s">
        <v>33</v>
      </c>
      <c r="B188" s="4" t="s">
        <v>1</v>
      </c>
      <c r="C188" s="2">
        <v>2024</v>
      </c>
      <c r="D188" s="5">
        <v>11</v>
      </c>
      <c r="E188" s="3">
        <f ca="1">IFERROR(__xludf.DUMMYFUNCTION("""COMPUTED_VALUE"""),6404.45347786811)</f>
        <v>6404.45347786811</v>
      </c>
    </row>
    <row r="189" spans="1:5" ht="15.75" customHeight="1" x14ac:dyDescent="0.2">
      <c r="A189" s="4" t="s">
        <v>33</v>
      </c>
      <c r="B189" s="4" t="s">
        <v>14</v>
      </c>
      <c r="C189" s="2">
        <v>2024</v>
      </c>
      <c r="D189" s="5">
        <v>11</v>
      </c>
      <c r="E189" s="3">
        <f ca="1">IFERROR(__xludf.DUMMYFUNCTION("""COMPUTED_VALUE"""),0)</f>
        <v>0</v>
      </c>
    </row>
    <row r="190" spans="1:5" ht="15.75" customHeight="1" x14ac:dyDescent="0.2">
      <c r="A190" s="4" t="s">
        <v>33</v>
      </c>
      <c r="B190" s="4" t="s">
        <v>15</v>
      </c>
      <c r="C190" s="2">
        <v>2024</v>
      </c>
      <c r="D190" s="5">
        <v>11</v>
      </c>
      <c r="E190" s="3">
        <f ca="1">IFERROR(__xludf.DUMMYFUNCTION("""COMPUTED_VALUE"""),1554.66666666666)</f>
        <v>1554.6666666666599</v>
      </c>
    </row>
    <row r="191" spans="1:5" ht="15.75" customHeight="1" x14ac:dyDescent="0.2">
      <c r="A191" s="4" t="s">
        <v>33</v>
      </c>
      <c r="B191" s="4" t="s">
        <v>2</v>
      </c>
      <c r="C191" s="2">
        <v>2024</v>
      </c>
      <c r="D191" s="5">
        <v>11</v>
      </c>
      <c r="E191" s="3">
        <f ca="1">IFERROR(__xludf.DUMMYFUNCTION("""COMPUTED_VALUE"""),1968.21428571428)</f>
        <v>1968.2142857142801</v>
      </c>
    </row>
    <row r="192" spans="1:5" ht="15.75" customHeight="1" x14ac:dyDescent="0.2">
      <c r="A192" s="4" t="s">
        <v>33</v>
      </c>
      <c r="B192" s="4" t="s">
        <v>16</v>
      </c>
      <c r="C192" s="2">
        <v>2024</v>
      </c>
      <c r="D192" s="5">
        <v>11</v>
      </c>
      <c r="E192" s="3">
        <f ca="1">IFERROR(__xludf.DUMMYFUNCTION("""COMPUTED_VALUE"""),72000)</f>
        <v>72000</v>
      </c>
    </row>
    <row r="193" spans="1:5" ht="15.75" customHeight="1" x14ac:dyDescent="0.2">
      <c r="A193" s="4" t="s">
        <v>33</v>
      </c>
      <c r="B193" s="4" t="s">
        <v>17</v>
      </c>
      <c r="C193" s="2">
        <v>2024</v>
      </c>
      <c r="D193" s="5">
        <v>11</v>
      </c>
      <c r="E193" s="3">
        <f ca="1">IFERROR(__xludf.DUMMYFUNCTION("""COMPUTED_VALUE"""),25906.3492063492)</f>
        <v>25906.349206349201</v>
      </c>
    </row>
    <row r="194" spans="1:5" ht="15.75" customHeight="1" x14ac:dyDescent="0.2">
      <c r="A194" s="4" t="s">
        <v>34</v>
      </c>
      <c r="B194" s="10" t="s">
        <v>5</v>
      </c>
      <c r="C194" s="2">
        <v>2024</v>
      </c>
      <c r="D194" s="5">
        <v>11</v>
      </c>
      <c r="E194" s="3">
        <f ca="1">IFERROR(__xludf.DUMMYFUNCTION("TRANSPOSE(IMPORTRANGE(""https://docs.google.com/spreadsheets/d/1kLe3nWHd3by4MLnEx5u1gOw0zTx4XY5f-DO5W5CXE3k/edit?usp=sharing"",""Perhitungan Stok!$J$26:$J$37""))"),26926.892556737)</f>
        <v>26926.892556736999</v>
      </c>
    </row>
    <row r="195" spans="1:5" ht="15.75" customHeight="1" x14ac:dyDescent="0.2">
      <c r="A195" s="4" t="s">
        <v>34</v>
      </c>
      <c r="B195" s="4" t="s">
        <v>3</v>
      </c>
      <c r="C195" s="2">
        <v>2024</v>
      </c>
      <c r="D195" s="5">
        <v>11</v>
      </c>
      <c r="E195" s="3">
        <f ca="1">IFERROR(__xludf.DUMMYFUNCTION("""COMPUTED_VALUE"""),1569.14142899147)</f>
        <v>1569.1414289914701</v>
      </c>
    </row>
    <row r="196" spans="1:5" ht="15.75" customHeight="1" x14ac:dyDescent="0.2">
      <c r="A196" s="4" t="s">
        <v>34</v>
      </c>
      <c r="B196" s="4" t="s">
        <v>11</v>
      </c>
      <c r="C196" s="2">
        <v>2024</v>
      </c>
      <c r="D196" s="5">
        <v>11</v>
      </c>
      <c r="E196" s="3">
        <f ca="1">IFERROR(__xludf.DUMMYFUNCTION("""COMPUTED_VALUE"""),29601.7617732264)</f>
        <v>29601.761773226401</v>
      </c>
    </row>
    <row r="197" spans="1:5" ht="15.75" customHeight="1" x14ac:dyDescent="0.2">
      <c r="A197" s="4" t="s">
        <v>34</v>
      </c>
      <c r="B197" s="4" t="s">
        <v>12</v>
      </c>
      <c r="C197" s="2">
        <v>2024</v>
      </c>
      <c r="D197" s="5">
        <v>11</v>
      </c>
      <c r="E197" s="3">
        <f ca="1">IFERROR(__xludf.DUMMYFUNCTION("""COMPUTED_VALUE"""),38460.6275681733)</f>
        <v>38460.627568173302</v>
      </c>
    </row>
    <row r="198" spans="1:5" ht="15.75" customHeight="1" x14ac:dyDescent="0.2">
      <c r="A198" s="4" t="s">
        <v>34</v>
      </c>
      <c r="B198" s="4" t="s">
        <v>13</v>
      </c>
      <c r="C198" s="2">
        <v>2024</v>
      </c>
      <c r="D198" s="5">
        <v>11</v>
      </c>
      <c r="E198" s="3">
        <f ca="1">IFERROR(__xludf.DUMMYFUNCTION("""COMPUTED_VALUE"""),36250.6316279069)</f>
        <v>36250.6316279069</v>
      </c>
    </row>
    <row r="199" spans="1:5" ht="15.75" customHeight="1" x14ac:dyDescent="0.2">
      <c r="A199" s="4" t="s">
        <v>34</v>
      </c>
      <c r="B199" s="4" t="s">
        <v>4</v>
      </c>
      <c r="C199" s="2">
        <v>2024</v>
      </c>
      <c r="D199" s="5">
        <v>11</v>
      </c>
      <c r="E199" s="3">
        <f ca="1">IFERROR(__xludf.DUMMYFUNCTION("""COMPUTED_VALUE"""),430465.014975041)</f>
        <v>430465.01497504098</v>
      </c>
    </row>
    <row r="200" spans="1:5" ht="15.75" customHeight="1" x14ac:dyDescent="0.2">
      <c r="A200" s="4" t="s">
        <v>34</v>
      </c>
      <c r="B200" s="4" t="s">
        <v>1</v>
      </c>
      <c r="C200" s="2">
        <v>2024</v>
      </c>
      <c r="D200" s="5">
        <v>11</v>
      </c>
      <c r="E200" s="3">
        <f ca="1">IFERROR(__xludf.DUMMYFUNCTION("""COMPUTED_VALUE"""),59612.0066666666)</f>
        <v>59612.006666666603</v>
      </c>
    </row>
    <row r="201" spans="1:5" ht="15.75" customHeight="1" x14ac:dyDescent="0.2">
      <c r="A201" s="4" t="s">
        <v>34</v>
      </c>
      <c r="B201" s="4" t="s">
        <v>14</v>
      </c>
      <c r="C201" s="2">
        <v>2024</v>
      </c>
      <c r="D201" s="5">
        <v>11</v>
      </c>
      <c r="E201" s="3">
        <f ca="1">IFERROR(__xludf.DUMMYFUNCTION("""COMPUTED_VALUE"""),51993.75)</f>
        <v>51993.75</v>
      </c>
    </row>
    <row r="202" spans="1:5" ht="15.75" customHeight="1" x14ac:dyDescent="0.2">
      <c r="A202" s="4" t="s">
        <v>34</v>
      </c>
      <c r="B202" s="4" t="s">
        <v>15</v>
      </c>
      <c r="C202" s="2">
        <v>2024</v>
      </c>
      <c r="D202" s="5">
        <v>11</v>
      </c>
      <c r="E202" s="3">
        <f ca="1">IFERROR(__xludf.DUMMYFUNCTION("""COMPUTED_VALUE"""),2008.125)</f>
        <v>2008.125</v>
      </c>
    </row>
    <row r="203" spans="1:5" ht="15.75" customHeight="1" x14ac:dyDescent="0.2">
      <c r="A203" s="4" t="s">
        <v>34</v>
      </c>
      <c r="B203" s="4" t="s">
        <v>2</v>
      </c>
      <c r="C203" s="2">
        <v>2024</v>
      </c>
      <c r="D203" s="5">
        <v>11</v>
      </c>
      <c r="E203" s="3">
        <f ca="1">IFERROR(__xludf.DUMMYFUNCTION("""COMPUTED_VALUE"""),37783.5913978494)</f>
        <v>37783.591397849399</v>
      </c>
    </row>
    <row r="204" spans="1:5" ht="15.75" customHeight="1" x14ac:dyDescent="0.2">
      <c r="A204" s="4" t="s">
        <v>34</v>
      </c>
      <c r="B204" s="4" t="s">
        <v>16</v>
      </c>
      <c r="C204" s="2">
        <v>2024</v>
      </c>
      <c r="D204" s="5">
        <v>11</v>
      </c>
      <c r="E204" s="3">
        <f ca="1">IFERROR(__xludf.DUMMYFUNCTION("""COMPUTED_VALUE"""),2857.29710584901)</f>
        <v>2857.2971058490102</v>
      </c>
    </row>
    <row r="205" spans="1:5" ht="15.75" customHeight="1" x14ac:dyDescent="0.2">
      <c r="A205" s="4" t="s">
        <v>34</v>
      </c>
      <c r="B205" s="4" t="s">
        <v>17</v>
      </c>
      <c r="C205" s="2">
        <v>2024</v>
      </c>
      <c r="D205" s="5">
        <v>11</v>
      </c>
      <c r="E205" s="3">
        <f ca="1">IFERROR(__xludf.DUMMYFUNCTION("""COMPUTED_VALUE"""),117042.133076443)</f>
        <v>117042.133076443</v>
      </c>
    </row>
    <row r="206" spans="1:5" ht="15.75" customHeight="1" x14ac:dyDescent="0.2">
      <c r="A206" s="4" t="s">
        <v>35</v>
      </c>
      <c r="B206" s="10" t="s">
        <v>5</v>
      </c>
      <c r="C206" s="2">
        <v>2024</v>
      </c>
      <c r="D206" s="5">
        <v>11</v>
      </c>
      <c r="E206" s="3">
        <f ca="1">IFERROR(__xludf.DUMMYFUNCTION("TRANSPOSE(IMPORTRANGE(""https://docs.google.com/spreadsheets/d/1gJzSp5cbYFocOtgYIyG1Wg-CFWI1-6TNNGjKqY22Ue0/edit?usp=sharing"",""Perhitungan Stok!$J$26:$J$37""))"),79829.3313069908)</f>
        <v>79829.331306990804</v>
      </c>
    </row>
    <row r="207" spans="1:5" ht="15.75" customHeight="1" x14ac:dyDescent="0.2">
      <c r="A207" s="4" t="s">
        <v>35</v>
      </c>
      <c r="B207" s="4" t="s">
        <v>3</v>
      </c>
      <c r="C207" s="2">
        <v>2024</v>
      </c>
      <c r="D207" s="5">
        <v>11</v>
      </c>
      <c r="E207" s="3">
        <f ca="1">IFERROR(__xludf.DUMMYFUNCTION("""COMPUTED_VALUE"""),1100)</f>
        <v>1100</v>
      </c>
    </row>
    <row r="208" spans="1:5" ht="15.75" customHeight="1" x14ac:dyDescent="0.2">
      <c r="A208" s="4" t="s">
        <v>35</v>
      </c>
      <c r="B208" s="4" t="s">
        <v>11</v>
      </c>
      <c r="C208" s="2">
        <v>2024</v>
      </c>
      <c r="D208" s="5">
        <v>11</v>
      </c>
      <c r="E208" s="3">
        <f ca="1">IFERROR(__xludf.DUMMYFUNCTION("""COMPUTED_VALUE"""),103844.285714285)</f>
        <v>103844.285714285</v>
      </c>
    </row>
    <row r="209" spans="1:5" ht="15.75" customHeight="1" x14ac:dyDescent="0.2">
      <c r="A209" s="4" t="s">
        <v>35</v>
      </c>
      <c r="B209" s="4" t="s">
        <v>12</v>
      </c>
      <c r="C209" s="2">
        <v>2024</v>
      </c>
      <c r="D209" s="5">
        <v>11</v>
      </c>
      <c r="E209" s="3">
        <f ca="1">IFERROR(__xludf.DUMMYFUNCTION("""COMPUTED_VALUE"""),2104.88198757763)</f>
        <v>2104.8819875776298</v>
      </c>
    </row>
    <row r="210" spans="1:5" ht="15.75" customHeight="1" x14ac:dyDescent="0.2">
      <c r="A210" s="4" t="s">
        <v>35</v>
      </c>
      <c r="B210" s="4" t="s">
        <v>13</v>
      </c>
      <c r="C210" s="2">
        <v>2024</v>
      </c>
      <c r="D210" s="5">
        <v>11</v>
      </c>
      <c r="E210" s="3">
        <f ca="1">IFERROR(__xludf.DUMMYFUNCTION("""COMPUTED_VALUE"""),9176.976)</f>
        <v>9176.9760000000006</v>
      </c>
    </row>
    <row r="211" spans="1:5" ht="15.75" customHeight="1" x14ac:dyDescent="0.2">
      <c r="A211" s="4" t="s">
        <v>35</v>
      </c>
      <c r="B211" s="4" t="s">
        <v>4</v>
      </c>
      <c r="C211" s="2">
        <v>2024</v>
      </c>
      <c r="D211" s="5">
        <v>11</v>
      </c>
      <c r="E211" s="3">
        <f ca="1">IFERROR(__xludf.DUMMYFUNCTION("""COMPUTED_VALUE"""),555.1)</f>
        <v>555.1</v>
      </c>
    </row>
    <row r="212" spans="1:5" ht="15.75" customHeight="1" x14ac:dyDescent="0.2">
      <c r="A212" s="4" t="s">
        <v>35</v>
      </c>
      <c r="B212" s="4" t="s">
        <v>1</v>
      </c>
      <c r="C212" s="2">
        <v>2024</v>
      </c>
      <c r="D212" s="5">
        <v>11</v>
      </c>
      <c r="E212" s="3">
        <f ca="1">IFERROR(__xludf.DUMMYFUNCTION("""COMPUTED_VALUE"""),598.199999999999)</f>
        <v>598.19999999999902</v>
      </c>
    </row>
    <row r="213" spans="1:5" ht="15.75" customHeight="1" x14ac:dyDescent="0.2">
      <c r="A213" s="4" t="s">
        <v>35</v>
      </c>
      <c r="B213" s="4" t="s">
        <v>14</v>
      </c>
      <c r="C213" s="2">
        <v>2024</v>
      </c>
      <c r="D213" s="5">
        <v>11</v>
      </c>
      <c r="E213" s="3">
        <f ca="1">IFERROR(__xludf.DUMMYFUNCTION("""COMPUTED_VALUE"""),2566.61538461538)</f>
        <v>2566.6153846153802</v>
      </c>
    </row>
    <row r="214" spans="1:5" ht="15.75" customHeight="1" x14ac:dyDescent="0.2">
      <c r="A214" s="4" t="s">
        <v>35</v>
      </c>
      <c r="B214" s="4" t="s">
        <v>15</v>
      </c>
      <c r="C214" s="2">
        <v>2024</v>
      </c>
      <c r="D214" s="5">
        <v>11</v>
      </c>
      <c r="E214" s="3">
        <f ca="1">IFERROR(__xludf.DUMMYFUNCTION("""COMPUTED_VALUE"""),2909.35319148936)</f>
        <v>2909.3531914893601</v>
      </c>
    </row>
    <row r="215" spans="1:5" ht="15.75" customHeight="1" x14ac:dyDescent="0.2">
      <c r="A215" s="4" t="s">
        <v>35</v>
      </c>
      <c r="B215" s="4" t="s">
        <v>2</v>
      </c>
      <c r="C215" s="2">
        <v>2024</v>
      </c>
      <c r="D215" s="5">
        <v>11</v>
      </c>
      <c r="E215" s="3">
        <f ca="1">IFERROR(__xludf.DUMMYFUNCTION("""COMPUTED_VALUE"""),3856.56686626746)</f>
        <v>3856.5668662674598</v>
      </c>
    </row>
    <row r="216" spans="1:5" ht="15.75" customHeight="1" x14ac:dyDescent="0.2">
      <c r="A216" s="4" t="s">
        <v>35</v>
      </c>
      <c r="B216" s="4" t="s">
        <v>16</v>
      </c>
      <c r="C216" s="2">
        <v>2024</v>
      </c>
      <c r="D216" s="5">
        <v>11</v>
      </c>
      <c r="E216" s="3">
        <f ca="1">IFERROR(__xludf.DUMMYFUNCTION("""COMPUTED_VALUE"""),60114.0119760479)</f>
        <v>60114.011976047899</v>
      </c>
    </row>
    <row r="217" spans="1:5" ht="15.75" customHeight="1" x14ac:dyDescent="0.2">
      <c r="A217" s="4" t="s">
        <v>35</v>
      </c>
      <c r="B217" s="4" t="s">
        <v>17</v>
      </c>
      <c r="C217" s="2">
        <v>2024</v>
      </c>
      <c r="D217" s="5">
        <v>11</v>
      </c>
      <c r="E217" s="3">
        <f ca="1">IFERROR(__xludf.DUMMYFUNCTION("""COMPUTED_VALUE"""),204651.112586581)</f>
        <v>204651.112586581</v>
      </c>
    </row>
    <row r="218" spans="1:5" ht="15.75" customHeight="1" x14ac:dyDescent="0.2">
      <c r="A218" s="4" t="s">
        <v>36</v>
      </c>
      <c r="B218" s="10" t="s">
        <v>5</v>
      </c>
      <c r="C218" s="2">
        <v>2024</v>
      </c>
      <c r="D218" s="5">
        <v>11</v>
      </c>
      <c r="E218" s="3">
        <f ca="1">IFERROR(__xludf.DUMMYFUNCTION("TRANSPOSE(IMPORTRANGE(""https://docs.google.com/spreadsheets/d/1hoq_4P55Wq7WfLD0YKYtZM8RJ1skpb6QSlP5ingN8H4/edit?usp=sharing"",""Perhitungan Stok!$J$26:$J$37""))"),27275)</f>
        <v>27275</v>
      </c>
    </row>
    <row r="219" spans="1:5" ht="15.75" customHeight="1" x14ac:dyDescent="0.2">
      <c r="A219" s="4" t="s">
        <v>36</v>
      </c>
      <c r="B219" s="4" t="s">
        <v>3</v>
      </c>
      <c r="C219" s="2">
        <v>2024</v>
      </c>
      <c r="D219" s="5">
        <v>11</v>
      </c>
      <c r="E219" s="3">
        <f ca="1">IFERROR(__xludf.DUMMYFUNCTION("""COMPUTED_VALUE"""),146722.199999999)</f>
        <v>146722.19999999899</v>
      </c>
    </row>
    <row r="220" spans="1:5" ht="15.75" customHeight="1" x14ac:dyDescent="0.2">
      <c r="A220" s="4" t="s">
        <v>36</v>
      </c>
      <c r="B220" s="4" t="s">
        <v>11</v>
      </c>
      <c r="C220" s="2">
        <v>2024</v>
      </c>
      <c r="D220" s="5">
        <v>11</v>
      </c>
      <c r="E220" s="3">
        <f ca="1">IFERROR(__xludf.DUMMYFUNCTION("""COMPUTED_VALUE"""),9433.17647058823)</f>
        <v>9433.1764705882306</v>
      </c>
    </row>
    <row r="221" spans="1:5" ht="15.75" customHeight="1" x14ac:dyDescent="0.2">
      <c r="A221" s="4" t="s">
        <v>36</v>
      </c>
      <c r="B221" s="4" t="s">
        <v>12</v>
      </c>
      <c r="C221" s="2">
        <v>2024</v>
      </c>
      <c r="D221" s="5">
        <v>11</v>
      </c>
      <c r="E221" s="3">
        <f ca="1">IFERROR(__xludf.DUMMYFUNCTION("""COMPUTED_VALUE"""),130.799999999999)</f>
        <v>130.79999999999899</v>
      </c>
    </row>
    <row r="222" spans="1:5" ht="15.75" customHeight="1" x14ac:dyDescent="0.2">
      <c r="A222" s="4" t="s">
        <v>36</v>
      </c>
      <c r="B222" s="4" t="s">
        <v>13</v>
      </c>
      <c r="C222" s="2">
        <v>2024</v>
      </c>
      <c r="D222" s="5">
        <v>11</v>
      </c>
      <c r="E222" s="3">
        <f ca="1">IFERROR(__xludf.DUMMYFUNCTION("""COMPUTED_VALUE"""),1573.30179282868)</f>
        <v>1573.3017928286799</v>
      </c>
    </row>
    <row r="223" spans="1:5" ht="15.75" customHeight="1" x14ac:dyDescent="0.2">
      <c r="A223" s="4" t="s">
        <v>36</v>
      </c>
      <c r="B223" s="4" t="s">
        <v>4</v>
      </c>
      <c r="C223" s="2">
        <v>2024</v>
      </c>
      <c r="D223" s="5">
        <v>11</v>
      </c>
      <c r="E223" s="3">
        <f ca="1">IFERROR(__xludf.DUMMYFUNCTION("""COMPUTED_VALUE"""),21254.1428571428)</f>
        <v>21254.1428571428</v>
      </c>
    </row>
    <row r="224" spans="1:5" ht="15.75" customHeight="1" x14ac:dyDescent="0.2">
      <c r="A224" s="4" t="s">
        <v>36</v>
      </c>
      <c r="B224" s="4" t="s">
        <v>1</v>
      </c>
      <c r="C224" s="2">
        <v>2024</v>
      </c>
      <c r="D224" s="5">
        <v>11</v>
      </c>
      <c r="E224" s="3">
        <f ca="1">IFERROR(__xludf.DUMMYFUNCTION("""COMPUTED_VALUE"""),300)</f>
        <v>300</v>
      </c>
    </row>
    <row r="225" spans="1:5" ht="15.75" customHeight="1" x14ac:dyDescent="0.2">
      <c r="A225" s="4" t="s">
        <v>36</v>
      </c>
      <c r="B225" s="4" t="s">
        <v>14</v>
      </c>
      <c r="C225" s="2">
        <v>2024</v>
      </c>
      <c r="D225" s="5">
        <v>11</v>
      </c>
      <c r="E225" s="3" t="s">
        <v>21</v>
      </c>
    </row>
    <row r="226" spans="1:5" ht="15.75" customHeight="1" x14ac:dyDescent="0.2">
      <c r="A226" s="4" t="s">
        <v>36</v>
      </c>
      <c r="B226" s="4" t="s">
        <v>15</v>
      </c>
      <c r="C226" s="2">
        <v>2024</v>
      </c>
      <c r="D226" s="5">
        <v>11</v>
      </c>
      <c r="E226" s="3" t="s">
        <v>21</v>
      </c>
    </row>
    <row r="227" spans="1:5" ht="15.75" customHeight="1" x14ac:dyDescent="0.2">
      <c r="A227" s="4" t="s">
        <v>36</v>
      </c>
      <c r="B227" s="4" t="s">
        <v>2</v>
      </c>
      <c r="C227" s="2">
        <v>2024</v>
      </c>
      <c r="D227" s="5">
        <v>11</v>
      </c>
      <c r="E227" s="3">
        <f ca="1">IFERROR(__xludf.DUMMYFUNCTION("""COMPUTED_VALUE"""),5947.16814650388)</f>
        <v>5947.1681465038801</v>
      </c>
    </row>
    <row r="228" spans="1:5" ht="15.75" customHeight="1" x14ac:dyDescent="0.2">
      <c r="A228" s="4" t="s">
        <v>36</v>
      </c>
      <c r="B228" s="4" t="s">
        <v>16</v>
      </c>
      <c r="C228" s="2">
        <v>2024</v>
      </c>
      <c r="D228" s="5">
        <v>11</v>
      </c>
      <c r="E228" s="3">
        <f ca="1">IFERROR(__xludf.DUMMYFUNCTION("""COMPUTED_VALUE"""),73.4999999999999)</f>
        <v>73.499999999999901</v>
      </c>
    </row>
    <row r="229" spans="1:5" ht="15.75" customHeight="1" x14ac:dyDescent="0.2">
      <c r="A229" s="4" t="s">
        <v>36</v>
      </c>
      <c r="B229" s="4" t="s">
        <v>17</v>
      </c>
      <c r="C229" s="2">
        <v>2024</v>
      </c>
      <c r="D229" s="5">
        <v>11</v>
      </c>
      <c r="E229" s="3">
        <f ca="1">IFERROR(__xludf.DUMMYFUNCTION("""COMPUTED_VALUE"""),370)</f>
        <v>370</v>
      </c>
    </row>
    <row r="230" spans="1:5" ht="15.75" customHeight="1" x14ac:dyDescent="0.2">
      <c r="A230" s="4" t="s">
        <v>37</v>
      </c>
      <c r="B230" s="10" t="s">
        <v>5</v>
      </c>
      <c r="C230" s="2">
        <v>2024</v>
      </c>
      <c r="D230" s="5">
        <v>11</v>
      </c>
      <c r="E230" s="3">
        <f ca="1">IFERROR(__xludf.DUMMYFUNCTION("TRANSPOSE(IMPORTRANGE(""https://docs.google.com/spreadsheets/d/1nhrG8aUhwlu8h9RD8LxjTGiz9Y-B18aQAaUEaBSJOCg/edit?usp=sharing"",""Perhitungan Stok!$J$26:$J$37""))"),14426.456043956)</f>
        <v>14426.456043955999</v>
      </c>
    </row>
    <row r="231" spans="1:5" ht="15.75" customHeight="1" x14ac:dyDescent="0.2">
      <c r="A231" s="4" t="s">
        <v>37</v>
      </c>
      <c r="B231" s="4" t="s">
        <v>3</v>
      </c>
      <c r="C231" s="2">
        <v>2024</v>
      </c>
      <c r="D231" s="5">
        <v>11</v>
      </c>
      <c r="E231" s="3">
        <f ca="1">IFERROR(__xludf.DUMMYFUNCTION("""COMPUTED_VALUE"""),4012.33766233766)</f>
        <v>4012.3376623376598</v>
      </c>
    </row>
    <row r="232" spans="1:5" ht="15.75" customHeight="1" x14ac:dyDescent="0.2">
      <c r="A232" s="4" t="s">
        <v>37</v>
      </c>
      <c r="B232" s="4" t="s">
        <v>11</v>
      </c>
      <c r="C232" s="2">
        <v>2024</v>
      </c>
      <c r="D232" s="5">
        <v>11</v>
      </c>
      <c r="E232" s="3">
        <f ca="1">IFERROR(__xludf.DUMMYFUNCTION("""COMPUTED_VALUE"""),911.026103151862)</f>
        <v>911.026103151862</v>
      </c>
    </row>
    <row r="233" spans="1:5" ht="15.75" customHeight="1" x14ac:dyDescent="0.2">
      <c r="A233" s="4" t="s">
        <v>37</v>
      </c>
      <c r="B233" s="4" t="s">
        <v>12</v>
      </c>
      <c r="C233" s="2">
        <v>2024</v>
      </c>
      <c r="D233" s="5">
        <v>11</v>
      </c>
      <c r="E233" s="3">
        <f ca="1">IFERROR(__xludf.DUMMYFUNCTION("""COMPUTED_VALUE"""),566)</f>
        <v>566</v>
      </c>
    </row>
    <row r="234" spans="1:5" ht="15.75" customHeight="1" x14ac:dyDescent="0.2">
      <c r="A234" s="4" t="s">
        <v>37</v>
      </c>
      <c r="B234" s="4" t="s">
        <v>13</v>
      </c>
      <c r="C234" s="2">
        <v>2024</v>
      </c>
      <c r="D234" s="5">
        <v>11</v>
      </c>
      <c r="E234" s="3">
        <f ca="1">IFERROR(__xludf.DUMMYFUNCTION("""COMPUTED_VALUE"""),897.6)</f>
        <v>897.6</v>
      </c>
    </row>
    <row r="235" spans="1:5" ht="15.75" customHeight="1" x14ac:dyDescent="0.2">
      <c r="A235" s="4" t="s">
        <v>37</v>
      </c>
      <c r="B235" s="4" t="s">
        <v>4</v>
      </c>
      <c r="C235" s="2">
        <v>2024</v>
      </c>
      <c r="D235" s="5">
        <v>11</v>
      </c>
      <c r="E235" s="3">
        <f ca="1">IFERROR(__xludf.DUMMYFUNCTION("""COMPUTED_VALUE"""),4452.10714285714)</f>
        <v>4452.1071428571404</v>
      </c>
    </row>
    <row r="236" spans="1:5" ht="15.75" customHeight="1" x14ac:dyDescent="0.2">
      <c r="A236" s="4" t="s">
        <v>37</v>
      </c>
      <c r="B236" s="4" t="s">
        <v>1</v>
      </c>
      <c r="C236" s="2">
        <v>2024</v>
      </c>
      <c r="D236" s="5">
        <v>11</v>
      </c>
      <c r="E236" s="3">
        <f ca="1">IFERROR(__xludf.DUMMYFUNCTION("""COMPUTED_VALUE"""),1867.17307692307)</f>
        <v>1867.1730769230701</v>
      </c>
    </row>
    <row r="237" spans="1:5" ht="15.75" customHeight="1" x14ac:dyDescent="0.2">
      <c r="A237" s="4" t="s">
        <v>37</v>
      </c>
      <c r="B237" s="4" t="s">
        <v>14</v>
      </c>
      <c r="C237" s="2">
        <v>2024</v>
      </c>
      <c r="D237" s="5">
        <v>11</v>
      </c>
      <c r="E237" s="3">
        <f ca="1">IFERROR(__xludf.DUMMYFUNCTION("""COMPUTED_VALUE"""),2584)</f>
        <v>2584</v>
      </c>
    </row>
    <row r="238" spans="1:5" ht="15.75" customHeight="1" x14ac:dyDescent="0.2">
      <c r="A238" s="4" t="s">
        <v>37</v>
      </c>
      <c r="B238" s="4" t="s">
        <v>15</v>
      </c>
      <c r="C238" s="2">
        <v>2024</v>
      </c>
      <c r="D238" s="5">
        <v>11</v>
      </c>
      <c r="E238" s="3">
        <f ca="1">IFERROR(__xludf.DUMMYFUNCTION("""COMPUTED_VALUE"""),3623.5294117647)</f>
        <v>3623.5294117646999</v>
      </c>
    </row>
    <row r="239" spans="1:5" ht="15.75" customHeight="1" x14ac:dyDescent="0.2">
      <c r="A239" s="4" t="s">
        <v>37</v>
      </c>
      <c r="B239" s="4" t="s">
        <v>2</v>
      </c>
      <c r="C239" s="2">
        <v>2024</v>
      </c>
      <c r="D239" s="5">
        <v>11</v>
      </c>
      <c r="E239" s="3">
        <f ca="1">IFERROR(__xludf.DUMMYFUNCTION("""COMPUTED_VALUE"""),11465.3164556962)</f>
        <v>11465.3164556962</v>
      </c>
    </row>
    <row r="240" spans="1:5" ht="15.75" customHeight="1" x14ac:dyDescent="0.2">
      <c r="A240" s="4" t="s">
        <v>37</v>
      </c>
      <c r="B240" s="4" t="s">
        <v>16</v>
      </c>
      <c r="C240" s="2">
        <v>2024</v>
      </c>
      <c r="D240" s="5">
        <v>11</v>
      </c>
      <c r="E240" s="3">
        <f ca="1">IFERROR(__xludf.DUMMYFUNCTION("""COMPUTED_VALUE"""),1013.28740697439)</f>
        <v>1013.28740697439</v>
      </c>
    </row>
    <row r="241" spans="1:5" ht="15.75" customHeight="1" x14ac:dyDescent="0.2">
      <c r="A241" s="4" t="s">
        <v>37</v>
      </c>
      <c r="B241" s="4" t="s">
        <v>17</v>
      </c>
      <c r="C241" s="2">
        <v>2024</v>
      </c>
      <c r="D241" s="5">
        <v>11</v>
      </c>
      <c r="E241" s="3">
        <f ca="1">IFERROR(__xludf.DUMMYFUNCTION("""COMPUTED_VALUE"""),497122.405400248)</f>
        <v>497122.40540024801</v>
      </c>
    </row>
    <row r="242" spans="1:5" ht="15.75" customHeight="1" x14ac:dyDescent="0.2">
      <c r="A242" s="4" t="s">
        <v>38</v>
      </c>
      <c r="B242" s="10" t="s">
        <v>5</v>
      </c>
      <c r="C242" s="2">
        <v>2024</v>
      </c>
      <c r="D242" s="5">
        <v>11</v>
      </c>
      <c r="E242" s="3">
        <f ca="1">IFERROR(__xludf.DUMMYFUNCTION("TRANSPOSE(IMPORTRANGE(""https://docs.google.com/spreadsheets/d/1cnnoH2DzFv3zqxk0Yl4qfpoTY4Eh1GUn4Dj-GmU6csM/edit?usp=sharing"",""Perhitungan Stok!$J$26:$J$37""))"),357368.898305084)</f>
        <v>357368.89830508397</v>
      </c>
    </row>
    <row r="243" spans="1:5" ht="15.75" customHeight="1" x14ac:dyDescent="0.2">
      <c r="A243" s="4" t="s">
        <v>38</v>
      </c>
      <c r="B243" s="4" t="s">
        <v>3</v>
      </c>
      <c r="C243" s="2">
        <v>2024</v>
      </c>
      <c r="D243" s="5">
        <v>11</v>
      </c>
      <c r="E243" s="3">
        <f ca="1">IFERROR(__xludf.DUMMYFUNCTION("""COMPUTED_VALUE"""),5386.66666666666)</f>
        <v>5386.6666666666597</v>
      </c>
    </row>
    <row r="244" spans="1:5" ht="15.75" customHeight="1" x14ac:dyDescent="0.2">
      <c r="A244" s="4" t="s">
        <v>38</v>
      </c>
      <c r="B244" s="4" t="s">
        <v>11</v>
      </c>
      <c r="C244" s="2">
        <v>2024</v>
      </c>
      <c r="D244" s="5">
        <v>11</v>
      </c>
      <c r="E244" s="3">
        <f ca="1">IFERROR(__xludf.DUMMYFUNCTION("""COMPUTED_VALUE"""),38012.6666666666)</f>
        <v>38012.666666666599</v>
      </c>
    </row>
    <row r="245" spans="1:5" ht="15.75" customHeight="1" x14ac:dyDescent="0.2">
      <c r="A245" s="4" t="s">
        <v>38</v>
      </c>
      <c r="B245" s="4" t="s">
        <v>12</v>
      </c>
      <c r="C245" s="2">
        <v>2024</v>
      </c>
      <c r="D245" s="5">
        <v>11</v>
      </c>
      <c r="E245" s="3">
        <f ca="1">IFERROR(__xludf.DUMMYFUNCTION("""COMPUTED_VALUE"""),2344.53519417475)</f>
        <v>2344.5351941747499</v>
      </c>
    </row>
    <row r="246" spans="1:5" ht="15.75" customHeight="1" x14ac:dyDescent="0.2">
      <c r="A246" s="4" t="s">
        <v>38</v>
      </c>
      <c r="B246" s="4" t="s">
        <v>13</v>
      </c>
      <c r="C246" s="2">
        <v>2024</v>
      </c>
      <c r="D246" s="5">
        <v>11</v>
      </c>
      <c r="E246" s="3">
        <f ca="1">IFERROR(__xludf.DUMMYFUNCTION("""COMPUTED_VALUE"""),4128.58333333333)</f>
        <v>4128.5833333333303</v>
      </c>
    </row>
    <row r="247" spans="1:5" ht="15.75" customHeight="1" x14ac:dyDescent="0.2">
      <c r="A247" s="4" t="s">
        <v>38</v>
      </c>
      <c r="B247" s="4" t="s">
        <v>4</v>
      </c>
      <c r="C247" s="2">
        <v>2024</v>
      </c>
      <c r="D247" s="5">
        <v>11</v>
      </c>
      <c r="E247" s="3">
        <f ca="1">IFERROR(__xludf.DUMMYFUNCTION("""COMPUTED_VALUE"""),92016)</f>
        <v>92016</v>
      </c>
    </row>
    <row r="248" spans="1:5" ht="15.75" customHeight="1" x14ac:dyDescent="0.2">
      <c r="A248" s="4" t="s">
        <v>38</v>
      </c>
      <c r="B248" s="4" t="s">
        <v>1</v>
      </c>
      <c r="C248" s="2">
        <v>2024</v>
      </c>
      <c r="D248" s="5">
        <v>11</v>
      </c>
      <c r="E248" s="3">
        <f ca="1">IFERROR(__xludf.DUMMYFUNCTION("""COMPUTED_VALUE"""),2332.84523809523)</f>
        <v>2332.8452380952299</v>
      </c>
    </row>
    <row r="249" spans="1:5" ht="15.75" customHeight="1" x14ac:dyDescent="0.2">
      <c r="A249" s="4" t="s">
        <v>38</v>
      </c>
      <c r="B249" s="4" t="s">
        <v>14</v>
      </c>
      <c r="C249" s="2">
        <v>2024</v>
      </c>
      <c r="D249" s="5">
        <v>11</v>
      </c>
      <c r="E249" s="3">
        <f ca="1">IFERROR(__xludf.DUMMYFUNCTION("""COMPUTED_VALUE"""),237.5)</f>
        <v>237.5</v>
      </c>
    </row>
    <row r="250" spans="1:5" ht="15.75" customHeight="1" x14ac:dyDescent="0.2">
      <c r="A250" s="4" t="s">
        <v>38</v>
      </c>
      <c r="B250" s="4" t="s">
        <v>15</v>
      </c>
      <c r="C250" s="2">
        <v>2024</v>
      </c>
      <c r="D250" s="5">
        <v>11</v>
      </c>
      <c r="E250" s="3">
        <f ca="1">IFERROR(__xludf.DUMMYFUNCTION("""COMPUTED_VALUE"""),3229.99999999999)</f>
        <v>3229.99999999999</v>
      </c>
    </row>
    <row r="251" spans="1:5" ht="15.75" customHeight="1" x14ac:dyDescent="0.2">
      <c r="A251" s="4" t="s">
        <v>38</v>
      </c>
      <c r="B251" s="4" t="s">
        <v>2</v>
      </c>
      <c r="C251" s="2">
        <v>2024</v>
      </c>
      <c r="D251" s="5">
        <v>11</v>
      </c>
      <c r="E251" s="3">
        <f ca="1">IFERROR(__xludf.DUMMYFUNCTION("""COMPUTED_VALUE"""),6221.6923076923)</f>
        <v>6221.6923076923003</v>
      </c>
    </row>
    <row r="252" spans="1:5" ht="15.75" customHeight="1" x14ac:dyDescent="0.2">
      <c r="A252" s="4" t="s">
        <v>38</v>
      </c>
      <c r="B252" s="4" t="s">
        <v>16</v>
      </c>
      <c r="C252" s="2">
        <v>2024</v>
      </c>
      <c r="D252" s="5">
        <v>11</v>
      </c>
      <c r="E252" s="3">
        <f ca="1">IFERROR(__xludf.DUMMYFUNCTION("""COMPUTED_VALUE"""),2977.55621890547)</f>
        <v>2977.5562189054699</v>
      </c>
    </row>
    <row r="253" spans="1:5" ht="15.75" customHeight="1" x14ac:dyDescent="0.2">
      <c r="A253" s="4" t="s">
        <v>38</v>
      </c>
      <c r="B253" s="4" t="s">
        <v>17</v>
      </c>
      <c r="C253" s="2">
        <v>2024</v>
      </c>
      <c r="D253" s="5">
        <v>11</v>
      </c>
      <c r="E253" s="3">
        <f ca="1">IFERROR(__xludf.DUMMYFUNCTION("""COMPUTED_VALUE"""),36168.5798548094)</f>
        <v>36168.579854809403</v>
      </c>
    </row>
    <row r="254" spans="1:5" ht="15.75" customHeight="1" x14ac:dyDescent="0.2">
      <c r="A254" s="4" t="s">
        <v>39</v>
      </c>
      <c r="B254" s="10" t="s">
        <v>5</v>
      </c>
      <c r="C254" s="2">
        <v>2024</v>
      </c>
      <c r="D254" s="5">
        <v>11</v>
      </c>
      <c r="E254" s="3">
        <f ca="1">IFERROR(__xludf.DUMMYFUNCTION("TRANSPOSE(IMPORTRANGE(""https://docs.google.com/spreadsheets/d/1vjoYpAKwt-1uYvHssYaITGNWtHjFb67ZO2O1EfOX948/edit?usp=sharing"",""Perhitungan Stok!$J$26:$J$37""))"),380179.121260262)</f>
        <v>380179.12126026198</v>
      </c>
    </row>
    <row r="255" spans="1:5" ht="15.75" customHeight="1" x14ac:dyDescent="0.2">
      <c r="A255" s="4" t="s">
        <v>39</v>
      </c>
      <c r="B255" s="4" t="s">
        <v>3</v>
      </c>
      <c r="C255" s="2">
        <v>2024</v>
      </c>
      <c r="D255" s="5">
        <v>11</v>
      </c>
      <c r="E255" s="3">
        <f ca="1">IFERROR(__xludf.DUMMYFUNCTION("""COMPUTED_VALUE"""),46770.9126984127)</f>
        <v>46770.9126984127</v>
      </c>
    </row>
    <row r="256" spans="1:5" ht="15.75" customHeight="1" x14ac:dyDescent="0.2">
      <c r="A256" s="4" t="s">
        <v>39</v>
      </c>
      <c r="B256" s="4" t="s">
        <v>11</v>
      </c>
      <c r="C256" s="2">
        <v>2024</v>
      </c>
      <c r="D256" s="5">
        <v>11</v>
      </c>
      <c r="E256" s="3">
        <f ca="1">IFERROR(__xludf.DUMMYFUNCTION("""COMPUTED_VALUE"""),17762.918095238)</f>
        <v>17762.918095238001</v>
      </c>
    </row>
    <row r="257" spans="1:5" ht="15.75" customHeight="1" x14ac:dyDescent="0.2">
      <c r="A257" s="4" t="s">
        <v>39</v>
      </c>
      <c r="B257" s="4" t="s">
        <v>12</v>
      </c>
      <c r="C257" s="2">
        <v>2024</v>
      </c>
      <c r="D257" s="5">
        <v>11</v>
      </c>
      <c r="E257" s="3">
        <f ca="1">IFERROR(__xludf.DUMMYFUNCTION("""COMPUTED_VALUE"""),887.630039525691)</f>
        <v>887.63003952569102</v>
      </c>
    </row>
    <row r="258" spans="1:5" ht="15.75" customHeight="1" x14ac:dyDescent="0.2">
      <c r="A258" s="4" t="s">
        <v>39</v>
      </c>
      <c r="B258" s="4" t="s">
        <v>13</v>
      </c>
      <c r="C258" s="2">
        <v>2024</v>
      </c>
      <c r="D258" s="5">
        <v>11</v>
      </c>
      <c r="E258" s="3">
        <f ca="1">IFERROR(__xludf.DUMMYFUNCTION("""COMPUTED_VALUE"""),3527.90748898678)</f>
        <v>3527.9074889867802</v>
      </c>
    </row>
    <row r="259" spans="1:5" ht="15.75" customHeight="1" x14ac:dyDescent="0.2">
      <c r="A259" s="4" t="s">
        <v>39</v>
      </c>
      <c r="B259" s="4" t="s">
        <v>4</v>
      </c>
      <c r="C259" s="2">
        <v>2024</v>
      </c>
      <c r="D259" s="5">
        <v>11</v>
      </c>
      <c r="E259" s="3">
        <f ca="1">IFERROR(__xludf.DUMMYFUNCTION("""COMPUTED_VALUE"""),1016.57466918714)</f>
        <v>1016.57466918714</v>
      </c>
    </row>
    <row r="260" spans="1:5" ht="15.75" customHeight="1" x14ac:dyDescent="0.2">
      <c r="A260" s="4" t="s">
        <v>39</v>
      </c>
      <c r="B260" s="4" t="s">
        <v>1</v>
      </c>
      <c r="C260" s="2">
        <v>2024</v>
      </c>
      <c r="D260" s="5">
        <v>11</v>
      </c>
      <c r="E260" s="3">
        <f ca="1">IFERROR(__xludf.DUMMYFUNCTION("""COMPUTED_VALUE"""),1174.11891891891)</f>
        <v>1174.1189189189099</v>
      </c>
    </row>
    <row r="261" spans="1:5" ht="15.75" customHeight="1" x14ac:dyDescent="0.2">
      <c r="A261" s="4" t="s">
        <v>39</v>
      </c>
      <c r="B261" s="4" t="s">
        <v>14</v>
      </c>
      <c r="C261" s="2">
        <v>2024</v>
      </c>
      <c r="D261" s="5">
        <v>11</v>
      </c>
      <c r="E261" s="3">
        <f ca="1">IFERROR(__xludf.DUMMYFUNCTION("""COMPUTED_VALUE"""),691.25)</f>
        <v>691.25</v>
      </c>
    </row>
    <row r="262" spans="1:5" ht="15.75" customHeight="1" x14ac:dyDescent="0.2">
      <c r="A262" s="4" t="s">
        <v>39</v>
      </c>
      <c r="B262" s="4" t="s">
        <v>15</v>
      </c>
      <c r="C262" s="2">
        <v>2024</v>
      </c>
      <c r="D262" s="5">
        <v>11</v>
      </c>
      <c r="E262" s="3">
        <f ca="1">IFERROR(__xludf.DUMMYFUNCTION("""COMPUTED_VALUE"""),5589.08952380952)</f>
        <v>5589.08952380952</v>
      </c>
    </row>
    <row r="263" spans="1:5" ht="15.75" customHeight="1" x14ac:dyDescent="0.2">
      <c r="A263" s="4" t="s">
        <v>39</v>
      </c>
      <c r="B263" s="4" t="s">
        <v>2</v>
      </c>
      <c r="C263" s="2">
        <v>2024</v>
      </c>
      <c r="D263" s="5">
        <v>11</v>
      </c>
      <c r="E263" s="3">
        <f ca="1">IFERROR(__xludf.DUMMYFUNCTION("""COMPUTED_VALUE"""),1407.18181818181)</f>
        <v>1407.1818181818101</v>
      </c>
    </row>
    <row r="264" spans="1:5" ht="15.75" customHeight="1" x14ac:dyDescent="0.2">
      <c r="A264" s="4" t="s">
        <v>39</v>
      </c>
      <c r="B264" s="4" t="s">
        <v>16</v>
      </c>
      <c r="C264" s="2">
        <v>2024</v>
      </c>
      <c r="D264" s="5">
        <v>11</v>
      </c>
      <c r="E264" s="3">
        <f ca="1">IFERROR(__xludf.DUMMYFUNCTION("""COMPUTED_VALUE"""),179263.711024759)</f>
        <v>179263.71102475899</v>
      </c>
    </row>
    <row r="265" spans="1:5" ht="15.75" customHeight="1" x14ac:dyDescent="0.2">
      <c r="A265" s="4" t="s">
        <v>39</v>
      </c>
      <c r="B265" s="4" t="s">
        <v>17</v>
      </c>
      <c r="C265" s="2">
        <v>2024</v>
      </c>
      <c r="D265" s="5">
        <v>11</v>
      </c>
      <c r="E265" s="3">
        <f ca="1">IFERROR(__xludf.DUMMYFUNCTION("""COMPUTED_VALUE"""),20811.4774235556)</f>
        <v>20811.4774235556</v>
      </c>
    </row>
    <row r="266" spans="1:5" ht="15.75" customHeight="1" x14ac:dyDescent="0.2">
      <c r="A266" s="4" t="s">
        <v>40</v>
      </c>
      <c r="B266" s="10" t="s">
        <v>5</v>
      </c>
      <c r="C266" s="2">
        <v>2024</v>
      </c>
      <c r="D266" s="5">
        <v>11</v>
      </c>
      <c r="E266" s="3">
        <f ca="1">IFERROR(__xludf.DUMMYFUNCTION("TRANSPOSE(IMPORTRANGE(""https://docs.google.com/spreadsheets/d/1a-yinyZMPWvIFnuwmKIvmbn9HnV88O1eISRoq9xl3ow/edit?usp=sharing"",""Perhitungan Stok!$J$26:$J$37""))"),1356307.17701253)</f>
        <v>1356307.1770125299</v>
      </c>
    </row>
    <row r="267" spans="1:5" ht="15.75" customHeight="1" x14ac:dyDescent="0.2">
      <c r="A267" s="4" t="s">
        <v>40</v>
      </c>
      <c r="B267" s="4" t="s">
        <v>3</v>
      </c>
      <c r="C267" s="2">
        <v>2024</v>
      </c>
      <c r="D267" s="5">
        <v>11</v>
      </c>
      <c r="E267" s="3" t="s">
        <v>21</v>
      </c>
    </row>
    <row r="268" spans="1:5" ht="15.75" customHeight="1" x14ac:dyDescent="0.2">
      <c r="A268" s="4" t="s">
        <v>40</v>
      </c>
      <c r="B268" s="4" t="s">
        <v>11</v>
      </c>
      <c r="C268" s="2">
        <v>2024</v>
      </c>
      <c r="D268" s="5">
        <v>11</v>
      </c>
      <c r="E268" s="3">
        <f ca="1">IFERROR(__xludf.DUMMYFUNCTION("""COMPUTED_VALUE"""),227375)</f>
        <v>227375</v>
      </c>
    </row>
    <row r="269" spans="1:5" ht="15.75" customHeight="1" x14ac:dyDescent="0.2">
      <c r="A269" s="4" t="s">
        <v>40</v>
      </c>
      <c r="B269" s="4" t="s">
        <v>12</v>
      </c>
      <c r="C269" s="2">
        <v>2024</v>
      </c>
      <c r="D269" s="5">
        <v>11</v>
      </c>
      <c r="E269" s="3">
        <f ca="1">IFERROR(__xludf.DUMMYFUNCTION("""COMPUTED_VALUE"""),293.647058823529)</f>
        <v>293.64705882352899</v>
      </c>
    </row>
    <row r="270" spans="1:5" ht="15.75" customHeight="1" x14ac:dyDescent="0.2">
      <c r="A270" s="4" t="s">
        <v>40</v>
      </c>
      <c r="B270" s="4" t="s">
        <v>13</v>
      </c>
      <c r="C270" s="2">
        <v>2024</v>
      </c>
      <c r="D270" s="5">
        <v>11</v>
      </c>
      <c r="E270" s="3">
        <f ca="1">IFERROR(__xludf.DUMMYFUNCTION("""COMPUTED_VALUE"""),642.307692307692)</f>
        <v>642.30769230769204</v>
      </c>
    </row>
    <row r="271" spans="1:5" ht="15.75" customHeight="1" x14ac:dyDescent="0.2">
      <c r="A271" s="4" t="s">
        <v>40</v>
      </c>
      <c r="B271" s="4" t="s">
        <v>4</v>
      </c>
      <c r="C271" s="2">
        <v>2024</v>
      </c>
      <c r="D271" s="5">
        <v>11</v>
      </c>
      <c r="E271" s="3">
        <f ca="1">IFERROR(__xludf.DUMMYFUNCTION("""COMPUTED_VALUE"""),6708)</f>
        <v>6708</v>
      </c>
    </row>
    <row r="272" spans="1:5" ht="15.75" customHeight="1" x14ac:dyDescent="0.2">
      <c r="A272" s="4" t="s">
        <v>40</v>
      </c>
      <c r="B272" s="4" t="s">
        <v>1</v>
      </c>
      <c r="C272" s="2">
        <v>2024</v>
      </c>
      <c r="D272" s="5">
        <v>11</v>
      </c>
      <c r="E272" s="3">
        <f ca="1">IFERROR(__xludf.DUMMYFUNCTION("""COMPUTED_VALUE"""),119891.2)</f>
        <v>119891.2</v>
      </c>
    </row>
    <row r="273" spans="1:5" ht="15.75" customHeight="1" x14ac:dyDescent="0.2">
      <c r="A273" s="4" t="s">
        <v>40</v>
      </c>
      <c r="B273" s="4" t="s">
        <v>14</v>
      </c>
      <c r="C273" s="2">
        <v>2024</v>
      </c>
      <c r="D273" s="5">
        <v>11</v>
      </c>
      <c r="E273" s="3">
        <f ca="1">IFERROR(__xludf.DUMMYFUNCTION("""COMPUTED_VALUE"""),1950)</f>
        <v>1950</v>
      </c>
    </row>
    <row r="274" spans="1:5" ht="15.75" customHeight="1" x14ac:dyDescent="0.2">
      <c r="A274" s="4" t="s">
        <v>40</v>
      </c>
      <c r="B274" s="4" t="s">
        <v>15</v>
      </c>
      <c r="C274" s="2">
        <v>2024</v>
      </c>
      <c r="D274" s="5">
        <v>11</v>
      </c>
      <c r="E274" s="3">
        <f ca="1">IFERROR(__xludf.DUMMYFUNCTION("""COMPUTED_VALUE"""),1905.26315789473)</f>
        <v>1905.2631578947301</v>
      </c>
    </row>
    <row r="275" spans="1:5" ht="15.75" customHeight="1" x14ac:dyDescent="0.2">
      <c r="A275" s="4" t="s">
        <v>40</v>
      </c>
      <c r="B275" s="4" t="s">
        <v>2</v>
      </c>
      <c r="C275" s="2">
        <v>2024</v>
      </c>
      <c r="D275" s="5">
        <v>11</v>
      </c>
      <c r="E275" s="3">
        <f ca="1">IFERROR(__xludf.DUMMYFUNCTION("""COMPUTED_VALUE"""),1797.60368663594)</f>
        <v>1797.60368663594</v>
      </c>
    </row>
    <row r="276" spans="1:5" ht="15.75" customHeight="1" x14ac:dyDescent="0.2">
      <c r="A276" s="4" t="s">
        <v>40</v>
      </c>
      <c r="B276" s="4" t="s">
        <v>16</v>
      </c>
      <c r="C276" s="2">
        <v>2024</v>
      </c>
      <c r="D276" s="5">
        <v>11</v>
      </c>
      <c r="E276" s="3">
        <f ca="1">IFERROR(__xludf.DUMMYFUNCTION("""COMPUTED_VALUE"""),66865.4897598212)</f>
        <v>66865.489759821197</v>
      </c>
    </row>
    <row r="277" spans="1:5" ht="15.75" customHeight="1" x14ac:dyDescent="0.2">
      <c r="A277" s="4" t="s">
        <v>40</v>
      </c>
      <c r="B277" s="4" t="s">
        <v>17</v>
      </c>
      <c r="C277" s="2">
        <v>2024</v>
      </c>
      <c r="D277" s="5">
        <v>11</v>
      </c>
      <c r="E277" s="3">
        <f ca="1">IFERROR(__xludf.DUMMYFUNCTION("""COMPUTED_VALUE"""),1143108.06796727)</f>
        <v>1143108.06796727</v>
      </c>
    </row>
    <row r="278" spans="1:5" ht="15.75" customHeight="1" x14ac:dyDescent="0.2">
      <c r="A278" s="4" t="s">
        <v>41</v>
      </c>
      <c r="B278" s="10" t="s">
        <v>5</v>
      </c>
      <c r="C278" s="2">
        <v>2024</v>
      </c>
      <c r="D278" s="5">
        <v>11</v>
      </c>
      <c r="E278" s="3">
        <f ca="1">IFERROR(__xludf.DUMMYFUNCTION("TRANSPOSE(IMPORTRANGE(""https://docs.google.com/spreadsheets/d/1mU4EIcXrwUDeB7vEe4Xgk9GJ4ybq50bGeYst7gDl-KE/edit?usp=sharing"",""Perhitungan Stok!$J$26:$J$37""))"),46849.7096899224)</f>
        <v>46849.709689922398</v>
      </c>
    </row>
    <row r="279" spans="1:5" ht="15.75" customHeight="1" x14ac:dyDescent="0.2">
      <c r="A279" s="4" t="s">
        <v>41</v>
      </c>
      <c r="B279" s="4" t="s">
        <v>3</v>
      </c>
      <c r="C279" s="2">
        <v>2024</v>
      </c>
      <c r="D279" s="5">
        <v>11</v>
      </c>
      <c r="E279" s="3">
        <f ca="1">IFERROR(__xludf.DUMMYFUNCTION("""COMPUTED_VALUE"""),24284.6428571428)</f>
        <v>24284.6428571428</v>
      </c>
    </row>
    <row r="280" spans="1:5" ht="15.75" customHeight="1" x14ac:dyDescent="0.2">
      <c r="A280" s="4" t="s">
        <v>41</v>
      </c>
      <c r="B280" s="4" t="s">
        <v>11</v>
      </c>
      <c r="C280" s="2">
        <v>2024</v>
      </c>
      <c r="D280" s="5">
        <v>11</v>
      </c>
      <c r="E280" s="3">
        <f ca="1">IFERROR(__xludf.DUMMYFUNCTION("""COMPUTED_VALUE"""),59651.8095238095)</f>
        <v>59651.809523809497</v>
      </c>
    </row>
    <row r="281" spans="1:5" ht="15.75" customHeight="1" x14ac:dyDescent="0.2">
      <c r="A281" s="4" t="s">
        <v>41</v>
      </c>
      <c r="B281" s="4" t="s">
        <v>12</v>
      </c>
      <c r="C281" s="2">
        <v>2024</v>
      </c>
      <c r="D281" s="5">
        <v>11</v>
      </c>
      <c r="E281" s="3">
        <f ca="1">IFERROR(__xludf.DUMMYFUNCTION("""COMPUTED_VALUE"""),11383.1666666666)</f>
        <v>11383.166666666601</v>
      </c>
    </row>
    <row r="282" spans="1:5" ht="15.75" customHeight="1" x14ac:dyDescent="0.2">
      <c r="A282" s="4" t="s">
        <v>41</v>
      </c>
      <c r="B282" s="4" t="s">
        <v>13</v>
      </c>
      <c r="C282" s="2">
        <v>2024</v>
      </c>
      <c r="D282" s="5">
        <v>11</v>
      </c>
      <c r="E282" s="3">
        <f ca="1">IFERROR(__xludf.DUMMYFUNCTION("""COMPUTED_VALUE"""),11299.3124999999)</f>
        <v>11299.3124999999</v>
      </c>
    </row>
    <row r="283" spans="1:5" ht="15.75" customHeight="1" x14ac:dyDescent="0.2">
      <c r="A283" s="4" t="s">
        <v>41</v>
      </c>
      <c r="B283" s="4" t="s">
        <v>4</v>
      </c>
      <c r="C283" s="2">
        <v>2024</v>
      </c>
      <c r="D283" s="5">
        <v>11</v>
      </c>
      <c r="E283" s="3">
        <f ca="1">IFERROR(__xludf.DUMMYFUNCTION("""COMPUTED_VALUE"""),2650.29952830188)</f>
        <v>2650.2995283018799</v>
      </c>
    </row>
    <row r="284" spans="1:5" ht="15.75" customHeight="1" x14ac:dyDescent="0.2">
      <c r="A284" s="4" t="s">
        <v>41</v>
      </c>
      <c r="B284" s="4" t="s">
        <v>1</v>
      </c>
      <c r="C284" s="2">
        <v>2024</v>
      </c>
      <c r="D284" s="5">
        <v>11</v>
      </c>
      <c r="E284" s="3">
        <f ca="1">IFERROR(__xludf.DUMMYFUNCTION("""COMPUTED_VALUE"""),575.061607142857)</f>
        <v>575.06160714285704</v>
      </c>
    </row>
    <row r="285" spans="1:5" ht="15.75" customHeight="1" x14ac:dyDescent="0.2">
      <c r="A285" s="4" t="s">
        <v>41</v>
      </c>
      <c r="B285" s="4" t="s">
        <v>14</v>
      </c>
      <c r="C285" s="2">
        <v>2024</v>
      </c>
      <c r="D285" s="5">
        <v>11</v>
      </c>
      <c r="E285" s="3">
        <f ca="1">IFERROR(__xludf.DUMMYFUNCTION("""COMPUTED_VALUE"""),5615.45454545454)</f>
        <v>5615.4545454545396</v>
      </c>
    </row>
    <row r="286" spans="1:5" ht="15.75" customHeight="1" x14ac:dyDescent="0.2">
      <c r="A286" s="4" t="s">
        <v>41</v>
      </c>
      <c r="B286" s="4" t="s">
        <v>15</v>
      </c>
      <c r="C286" s="2">
        <v>2024</v>
      </c>
      <c r="D286" s="5">
        <v>11</v>
      </c>
      <c r="E286" s="3">
        <f ca="1">IFERROR(__xludf.DUMMYFUNCTION("""COMPUTED_VALUE"""),19408.75)</f>
        <v>19408.75</v>
      </c>
    </row>
    <row r="287" spans="1:5" ht="15.75" customHeight="1" x14ac:dyDescent="0.2">
      <c r="A287" s="4" t="s">
        <v>41</v>
      </c>
      <c r="B287" s="4" t="s">
        <v>2</v>
      </c>
      <c r="C287" s="2">
        <v>2024</v>
      </c>
      <c r="D287" s="5">
        <v>11</v>
      </c>
      <c r="E287" s="3">
        <f ca="1">IFERROR(__xludf.DUMMYFUNCTION("""COMPUTED_VALUE"""),65800)</f>
        <v>65800</v>
      </c>
    </row>
    <row r="288" spans="1:5" ht="15.75" customHeight="1" x14ac:dyDescent="0.2">
      <c r="A288" s="4" t="s">
        <v>41</v>
      </c>
      <c r="B288" s="4" t="s">
        <v>16</v>
      </c>
      <c r="C288" s="2">
        <v>2024</v>
      </c>
      <c r="D288" s="5">
        <v>11</v>
      </c>
      <c r="E288" s="3">
        <f ca="1">IFERROR(__xludf.DUMMYFUNCTION("""COMPUTED_VALUE"""),13005)</f>
        <v>13005</v>
      </c>
    </row>
    <row r="289" spans="1:5" ht="15.75" customHeight="1" x14ac:dyDescent="0.2">
      <c r="A289" s="4" t="s">
        <v>41</v>
      </c>
      <c r="B289" s="4" t="s">
        <v>17</v>
      </c>
      <c r="C289" s="2">
        <v>2024</v>
      </c>
      <c r="D289" s="5">
        <v>11</v>
      </c>
      <c r="E289" s="3">
        <f ca="1">IFERROR(__xludf.DUMMYFUNCTION("""COMPUTED_VALUE"""),7048.50704225352)</f>
        <v>7048.50704225352</v>
      </c>
    </row>
    <row r="290" spans="1:5" ht="15.75" customHeight="1" x14ac:dyDescent="0.2">
      <c r="A290" s="4" t="s">
        <v>42</v>
      </c>
      <c r="B290" s="10" t="s">
        <v>5</v>
      </c>
      <c r="C290" s="2">
        <v>2024</v>
      </c>
      <c r="D290" s="5">
        <v>11</v>
      </c>
      <c r="E290" s="3">
        <f ca="1">IFERROR(__xludf.DUMMYFUNCTION("TRANSPOSE(IMPORTRANGE(""https://docs.google.com/spreadsheets/d/1RtKPQyOO7LmdCKbTIs0prNnx7wEDb46eo2A3rO1IrDQ/edit?usp=sharing"",""Perhitungan Stok!$J$26:$J$37""))"),1179904.61825396)</f>
        <v>1179904.61825396</v>
      </c>
    </row>
    <row r="291" spans="1:5" ht="15.75" customHeight="1" x14ac:dyDescent="0.2">
      <c r="A291" s="4" t="s">
        <v>42</v>
      </c>
      <c r="B291" s="4" t="s">
        <v>3</v>
      </c>
      <c r="C291" s="2">
        <v>2024</v>
      </c>
      <c r="D291" s="5">
        <v>11</v>
      </c>
      <c r="E291" s="3">
        <f ca="1">IFERROR(__xludf.DUMMYFUNCTION("""COMPUTED_VALUE"""),1500)</f>
        <v>1500</v>
      </c>
    </row>
    <row r="292" spans="1:5" ht="15.75" customHeight="1" x14ac:dyDescent="0.2">
      <c r="A292" s="4" t="s">
        <v>42</v>
      </c>
      <c r="B292" s="4" t="s">
        <v>11</v>
      </c>
      <c r="C292" s="2">
        <v>2024</v>
      </c>
      <c r="D292" s="5">
        <v>11</v>
      </c>
      <c r="E292" s="3">
        <f ca="1">IFERROR(__xludf.DUMMYFUNCTION("""COMPUTED_VALUE"""),14426.1764705882)</f>
        <v>14426.1764705882</v>
      </c>
    </row>
    <row r="293" spans="1:5" ht="15.75" customHeight="1" x14ac:dyDescent="0.2">
      <c r="A293" s="4" t="s">
        <v>42</v>
      </c>
      <c r="B293" s="4" t="s">
        <v>12</v>
      </c>
      <c r="C293" s="2">
        <v>2024</v>
      </c>
      <c r="D293" s="5">
        <v>11</v>
      </c>
      <c r="E293" s="3">
        <f ca="1">IFERROR(__xludf.DUMMYFUNCTION("""COMPUTED_VALUE"""),175.5)</f>
        <v>175.5</v>
      </c>
    </row>
    <row r="294" spans="1:5" ht="15.75" customHeight="1" x14ac:dyDescent="0.2">
      <c r="A294" s="4" t="s">
        <v>42</v>
      </c>
      <c r="B294" s="4" t="s">
        <v>13</v>
      </c>
      <c r="C294" s="2">
        <v>2024</v>
      </c>
      <c r="D294" s="5">
        <v>11</v>
      </c>
      <c r="E294" s="3">
        <f ca="1">IFERROR(__xludf.DUMMYFUNCTION("""COMPUTED_VALUE"""),199.666666666666)</f>
        <v>199.666666666666</v>
      </c>
    </row>
    <row r="295" spans="1:5" ht="15.75" customHeight="1" x14ac:dyDescent="0.2">
      <c r="A295" s="4" t="s">
        <v>42</v>
      </c>
      <c r="B295" s="4" t="s">
        <v>4</v>
      </c>
      <c r="C295" s="2">
        <v>2024</v>
      </c>
      <c r="D295" s="5">
        <v>11</v>
      </c>
      <c r="E295" s="3">
        <f ca="1">IFERROR(__xludf.DUMMYFUNCTION("""COMPUTED_VALUE"""),423)</f>
        <v>423</v>
      </c>
    </row>
    <row r="296" spans="1:5" ht="15.75" customHeight="1" x14ac:dyDescent="0.2">
      <c r="A296" s="4" t="s">
        <v>42</v>
      </c>
      <c r="B296" s="4" t="s">
        <v>1</v>
      </c>
      <c r="C296" s="2">
        <v>2024</v>
      </c>
      <c r="D296" s="5">
        <v>11</v>
      </c>
      <c r="E296" s="3">
        <f ca="1">IFERROR(__xludf.DUMMYFUNCTION("""COMPUTED_VALUE"""),458.999999999999)</f>
        <v>458.99999999999898</v>
      </c>
    </row>
    <row r="297" spans="1:5" ht="15.75" customHeight="1" x14ac:dyDescent="0.2">
      <c r="A297" s="4" t="s">
        <v>42</v>
      </c>
      <c r="B297" s="4" t="s">
        <v>14</v>
      </c>
      <c r="C297" s="2">
        <v>2024</v>
      </c>
      <c r="D297" s="5">
        <v>11</v>
      </c>
      <c r="E297" s="3">
        <f ca="1">IFERROR(__xludf.DUMMYFUNCTION("""COMPUTED_VALUE"""),6924.04458598726)</f>
        <v>6924.0445859872598</v>
      </c>
    </row>
    <row r="298" spans="1:5" ht="15.75" customHeight="1" x14ac:dyDescent="0.2">
      <c r="A298" s="4" t="s">
        <v>42</v>
      </c>
      <c r="B298" s="4" t="s">
        <v>15</v>
      </c>
      <c r="C298" s="2">
        <v>2024</v>
      </c>
      <c r="D298" s="5">
        <v>11</v>
      </c>
      <c r="E298" s="3" t="s">
        <v>21</v>
      </c>
    </row>
    <row r="299" spans="1:5" ht="15.75" customHeight="1" x14ac:dyDescent="0.2">
      <c r="A299" s="4" t="s">
        <v>42</v>
      </c>
      <c r="B299" s="4" t="s">
        <v>2</v>
      </c>
      <c r="C299" s="2">
        <v>2024</v>
      </c>
      <c r="D299" s="5">
        <v>11</v>
      </c>
      <c r="E299" s="3">
        <f ca="1">IFERROR(__xludf.DUMMYFUNCTION("""COMPUTED_VALUE"""),2183.43811394891)</f>
        <v>2183.4381139489101</v>
      </c>
    </row>
    <row r="300" spans="1:5" ht="15.75" customHeight="1" x14ac:dyDescent="0.2">
      <c r="A300" s="4" t="s">
        <v>42</v>
      </c>
      <c r="B300" s="4" t="s">
        <v>16</v>
      </c>
      <c r="C300" s="2">
        <v>2024</v>
      </c>
      <c r="D300" s="5">
        <v>11</v>
      </c>
      <c r="E300" s="3">
        <f ca="1">IFERROR(__xludf.DUMMYFUNCTION("""COMPUTED_VALUE"""),57047.1904109589)</f>
        <v>57047.190410958901</v>
      </c>
    </row>
    <row r="301" spans="1:5" ht="15.75" customHeight="1" x14ac:dyDescent="0.2">
      <c r="A301" s="4" t="s">
        <v>42</v>
      </c>
      <c r="B301" s="4" t="s">
        <v>17</v>
      </c>
      <c r="C301" s="2">
        <v>2024</v>
      </c>
      <c r="D301" s="5">
        <v>11</v>
      </c>
      <c r="E301" s="3">
        <f ca="1">IFERROR(__xludf.DUMMYFUNCTION("""COMPUTED_VALUE"""),150836.228356017)</f>
        <v>150836.228356017</v>
      </c>
    </row>
    <row r="302" spans="1:5" ht="15.75" customHeight="1" x14ac:dyDescent="0.2">
      <c r="A302" s="4" t="s">
        <v>43</v>
      </c>
      <c r="B302" s="10" t="s">
        <v>5</v>
      </c>
      <c r="C302" s="2">
        <v>2024</v>
      </c>
      <c r="D302" s="5">
        <v>11</v>
      </c>
      <c r="E302" s="3">
        <f ca="1">IFERROR(__xludf.DUMMYFUNCTION("TRANSPOSE(IMPORTRANGE(""https://docs.google.com/spreadsheets/d/1P96zExzZ_FAGTmCPEbN-_JSVdJbkoS61itTZxFOJirQ/edit?usp=sharing"",""Perhitungan Stok!$J$26:$J$37""))"),194267.35042735)</f>
        <v>194267.35042735</v>
      </c>
    </row>
    <row r="303" spans="1:5" ht="15.75" customHeight="1" x14ac:dyDescent="0.2">
      <c r="A303" s="4" t="s">
        <v>43</v>
      </c>
      <c r="B303" s="4" t="s">
        <v>3</v>
      </c>
      <c r="C303" s="2">
        <v>2024</v>
      </c>
      <c r="D303" s="5">
        <v>11</v>
      </c>
      <c r="E303" s="3">
        <f ca="1">IFERROR(__xludf.DUMMYFUNCTION("""COMPUTED_VALUE"""),3250)</f>
        <v>3250</v>
      </c>
    </row>
    <row r="304" spans="1:5" ht="15.75" customHeight="1" x14ac:dyDescent="0.2">
      <c r="A304" s="4" t="s">
        <v>43</v>
      </c>
      <c r="B304" s="4" t="s">
        <v>11</v>
      </c>
      <c r="C304" s="2">
        <v>2024</v>
      </c>
      <c r="D304" s="5">
        <v>11</v>
      </c>
      <c r="E304" s="3">
        <f ca="1">IFERROR(__xludf.DUMMYFUNCTION("""COMPUTED_VALUE"""),61600)</f>
        <v>61600</v>
      </c>
    </row>
    <row r="305" spans="1:5" ht="15.75" customHeight="1" x14ac:dyDescent="0.2">
      <c r="A305" s="4" t="s">
        <v>43</v>
      </c>
      <c r="B305" s="4" t="s">
        <v>12</v>
      </c>
      <c r="C305" s="2">
        <v>2024</v>
      </c>
      <c r="D305" s="5">
        <v>11</v>
      </c>
      <c r="E305" s="3">
        <f ca="1">IFERROR(__xludf.DUMMYFUNCTION("""COMPUTED_VALUE"""),9150.59694129255)</f>
        <v>9150.5969412925497</v>
      </c>
    </row>
    <row r="306" spans="1:5" ht="15.75" customHeight="1" x14ac:dyDescent="0.2">
      <c r="A306" s="4" t="s">
        <v>43</v>
      </c>
      <c r="B306" s="4" t="s">
        <v>13</v>
      </c>
      <c r="C306" s="2">
        <v>2024</v>
      </c>
      <c r="D306" s="5">
        <v>11</v>
      </c>
      <c r="E306" s="3">
        <f ca="1">IFERROR(__xludf.DUMMYFUNCTION("""COMPUTED_VALUE"""),11318.1786867599)</f>
        <v>11318.1786867599</v>
      </c>
    </row>
    <row r="307" spans="1:5" ht="15.75" customHeight="1" x14ac:dyDescent="0.2">
      <c r="A307" s="4" t="s">
        <v>43</v>
      </c>
      <c r="B307" s="4" t="s">
        <v>4</v>
      </c>
      <c r="C307" s="2">
        <v>2024</v>
      </c>
      <c r="D307" s="5">
        <v>11</v>
      </c>
      <c r="E307" s="3">
        <f ca="1">IFERROR(__xludf.DUMMYFUNCTION("""COMPUTED_VALUE"""),4956.19047619047)</f>
        <v>4956.1904761904698</v>
      </c>
    </row>
    <row r="308" spans="1:5" ht="15.75" customHeight="1" x14ac:dyDescent="0.2">
      <c r="A308" s="4" t="s">
        <v>43</v>
      </c>
      <c r="B308" s="4" t="s">
        <v>1</v>
      </c>
      <c r="C308" s="2">
        <v>2024</v>
      </c>
      <c r="D308" s="5">
        <v>11</v>
      </c>
      <c r="E308" s="3">
        <f ca="1">IFERROR(__xludf.DUMMYFUNCTION("""COMPUTED_VALUE"""),2164.38648648648)</f>
        <v>2164.38648648648</v>
      </c>
    </row>
    <row r="309" spans="1:5" ht="15.75" customHeight="1" x14ac:dyDescent="0.2">
      <c r="A309" s="4" t="s">
        <v>43</v>
      </c>
      <c r="B309" s="4" t="s">
        <v>14</v>
      </c>
      <c r="C309" s="2">
        <v>2024</v>
      </c>
      <c r="D309" s="5">
        <v>11</v>
      </c>
      <c r="E309" s="3">
        <f ca="1">IFERROR(__xludf.DUMMYFUNCTION("""COMPUTED_VALUE"""),2351.62162162162)</f>
        <v>2351.6216216216199</v>
      </c>
    </row>
    <row r="310" spans="1:5" ht="15.75" customHeight="1" x14ac:dyDescent="0.2">
      <c r="A310" s="4" t="s">
        <v>43</v>
      </c>
      <c r="B310" s="4" t="s">
        <v>15</v>
      </c>
      <c r="C310" s="2">
        <v>2024</v>
      </c>
      <c r="D310" s="5">
        <v>11</v>
      </c>
      <c r="E310" s="3">
        <f ca="1">IFERROR(__xludf.DUMMYFUNCTION("""COMPUTED_VALUE"""),2207.61904761904)</f>
        <v>2207.61904761904</v>
      </c>
    </row>
    <row r="311" spans="1:5" ht="15.75" customHeight="1" x14ac:dyDescent="0.2">
      <c r="A311" s="4" t="s">
        <v>43</v>
      </c>
      <c r="B311" s="4" t="s">
        <v>2</v>
      </c>
      <c r="C311" s="2">
        <v>2024</v>
      </c>
      <c r="D311" s="5">
        <v>11</v>
      </c>
      <c r="E311" s="3">
        <f ca="1">IFERROR(__xludf.DUMMYFUNCTION("""COMPUTED_VALUE"""),2481.70530451866)</f>
        <v>2481.7053045186599</v>
      </c>
    </row>
    <row r="312" spans="1:5" ht="15.75" customHeight="1" x14ac:dyDescent="0.2">
      <c r="A312" s="4" t="s">
        <v>43</v>
      </c>
      <c r="B312" s="4" t="s">
        <v>16</v>
      </c>
      <c r="C312" s="2">
        <v>2024</v>
      </c>
      <c r="D312" s="5">
        <v>11</v>
      </c>
      <c r="E312" s="3">
        <f ca="1">IFERROR(__xludf.DUMMYFUNCTION("""COMPUTED_VALUE"""),8778.75)</f>
        <v>8778.75</v>
      </c>
    </row>
    <row r="313" spans="1:5" ht="15.75" customHeight="1" x14ac:dyDescent="0.2">
      <c r="A313" s="4" t="s">
        <v>43</v>
      </c>
      <c r="B313" s="4" t="s">
        <v>17</v>
      </c>
      <c r="C313" s="2">
        <v>2024</v>
      </c>
      <c r="D313" s="5">
        <v>11</v>
      </c>
      <c r="E313" s="3">
        <f ca="1">IFERROR(__xludf.DUMMYFUNCTION("""COMPUTED_VALUE"""),8921.42553191489)</f>
        <v>8921.4255319148906</v>
      </c>
    </row>
    <row r="314" spans="1:5" ht="15.75" customHeight="1" x14ac:dyDescent="0.2">
      <c r="A314" s="4" t="s">
        <v>44</v>
      </c>
      <c r="B314" s="10" t="s">
        <v>5</v>
      </c>
      <c r="C314" s="2">
        <v>2024</v>
      </c>
      <c r="D314" s="5">
        <v>11</v>
      </c>
      <c r="E314" s="3">
        <f ca="1">IFERROR(__xludf.DUMMYFUNCTION("TRANSPOSE(IMPORTRANGE(""https://docs.google.com/spreadsheets/d/13sC7GAx5GW9Y4AKkeKOD8XAoz69RjfvFJbdV-Oj6oNo/edit?usp=sharing"",""Perhitungan Stok!$J$26:$J$37""))"),5228299.5482846)</f>
        <v>5228299.5482845996</v>
      </c>
    </row>
    <row r="315" spans="1:5" ht="15.75" customHeight="1" x14ac:dyDescent="0.2">
      <c r="A315" s="4" t="s">
        <v>44</v>
      </c>
      <c r="B315" s="4" t="s">
        <v>3</v>
      </c>
      <c r="C315" s="2">
        <v>2024</v>
      </c>
      <c r="D315" s="5">
        <v>11</v>
      </c>
      <c r="E315" s="3">
        <f ca="1">IFERROR(__xludf.DUMMYFUNCTION("""COMPUTED_VALUE"""),100013.793103448)</f>
        <v>100013.793103448</v>
      </c>
    </row>
    <row r="316" spans="1:5" ht="15.75" customHeight="1" x14ac:dyDescent="0.2">
      <c r="A316" s="4" t="s">
        <v>44</v>
      </c>
      <c r="B316" s="4" t="s">
        <v>11</v>
      </c>
      <c r="C316" s="2">
        <v>2024</v>
      </c>
      <c r="D316" s="5">
        <v>11</v>
      </c>
      <c r="E316" s="3">
        <f ca="1">IFERROR(__xludf.DUMMYFUNCTION("""COMPUTED_VALUE"""),30957.3167848699)</f>
        <v>30957.316784869901</v>
      </c>
    </row>
    <row r="317" spans="1:5" ht="15.75" customHeight="1" x14ac:dyDescent="0.2">
      <c r="A317" s="4" t="s">
        <v>44</v>
      </c>
      <c r="B317" s="4" t="s">
        <v>12</v>
      </c>
      <c r="C317" s="2">
        <v>2024</v>
      </c>
      <c r="D317" s="5">
        <v>11</v>
      </c>
      <c r="E317" s="3">
        <f ca="1">IFERROR(__xludf.DUMMYFUNCTION("""COMPUTED_VALUE"""),2525.90909090909)</f>
        <v>2525.9090909090901</v>
      </c>
    </row>
    <row r="318" spans="1:5" ht="15.75" customHeight="1" x14ac:dyDescent="0.2">
      <c r="A318" s="4" t="s">
        <v>44</v>
      </c>
      <c r="B318" s="4" t="s">
        <v>13</v>
      </c>
      <c r="C318" s="2">
        <v>2024</v>
      </c>
      <c r="D318" s="5">
        <v>11</v>
      </c>
      <c r="E318" s="3">
        <f ca="1">IFERROR(__xludf.DUMMYFUNCTION("""COMPUTED_VALUE"""),43924.5048173092)</f>
        <v>43924.5048173092</v>
      </c>
    </row>
    <row r="319" spans="1:5" ht="15.75" customHeight="1" x14ac:dyDescent="0.2">
      <c r="A319" s="4" t="s">
        <v>44</v>
      </c>
      <c r="B319" s="4" t="s">
        <v>4</v>
      </c>
      <c r="C319" s="2">
        <v>2024</v>
      </c>
      <c r="D319" s="5">
        <v>11</v>
      </c>
      <c r="E319" s="3">
        <f ca="1">IFERROR(__xludf.DUMMYFUNCTION("""COMPUTED_VALUE"""),117)</f>
        <v>117</v>
      </c>
    </row>
    <row r="320" spans="1:5" ht="15.75" customHeight="1" x14ac:dyDescent="0.2">
      <c r="A320" s="4" t="s">
        <v>44</v>
      </c>
      <c r="B320" s="4" t="s">
        <v>1</v>
      </c>
      <c r="C320" s="2">
        <v>2024</v>
      </c>
      <c r="D320" s="5">
        <v>11</v>
      </c>
      <c r="E320" s="3">
        <f ca="1">IFERROR(__xludf.DUMMYFUNCTION("""COMPUTED_VALUE"""),213.088235294117)</f>
        <v>213.088235294117</v>
      </c>
    </row>
    <row r="321" spans="1:5" ht="15.75" customHeight="1" x14ac:dyDescent="0.2">
      <c r="A321" s="4" t="s">
        <v>44</v>
      </c>
      <c r="B321" s="4" t="s">
        <v>14</v>
      </c>
      <c r="C321" s="2">
        <v>2024</v>
      </c>
      <c r="D321" s="5">
        <v>11</v>
      </c>
      <c r="E321" s="3">
        <f ca="1">IFERROR(__xludf.DUMMYFUNCTION("""COMPUTED_VALUE"""),717.5)</f>
        <v>717.5</v>
      </c>
    </row>
    <row r="322" spans="1:5" ht="15.75" customHeight="1" x14ac:dyDescent="0.2">
      <c r="A322" s="4" t="s">
        <v>44</v>
      </c>
      <c r="B322" s="4" t="s">
        <v>15</v>
      </c>
      <c r="C322" s="2">
        <v>2024</v>
      </c>
      <c r="D322" s="5">
        <v>11</v>
      </c>
      <c r="E322" s="3">
        <f ca="1">IFERROR(__xludf.DUMMYFUNCTION("""COMPUTED_VALUE"""),42370)</f>
        <v>42370</v>
      </c>
    </row>
    <row r="323" spans="1:5" ht="15.75" customHeight="1" x14ac:dyDescent="0.2">
      <c r="A323" s="4" t="s">
        <v>44</v>
      </c>
      <c r="B323" s="4" t="s">
        <v>2</v>
      </c>
      <c r="C323" s="2">
        <v>2024</v>
      </c>
      <c r="D323" s="5">
        <v>11</v>
      </c>
      <c r="E323" s="3">
        <f ca="1">IFERROR(__xludf.DUMMYFUNCTION("""COMPUTED_VALUE"""),19199.8102766798)</f>
        <v>19199.8102766798</v>
      </c>
    </row>
    <row r="324" spans="1:5" ht="15.75" customHeight="1" x14ac:dyDescent="0.2">
      <c r="A324" s="4" t="s">
        <v>44</v>
      </c>
      <c r="B324" s="4" t="s">
        <v>16</v>
      </c>
      <c r="C324" s="2">
        <v>2024</v>
      </c>
      <c r="D324" s="5">
        <v>11</v>
      </c>
      <c r="E324" s="3">
        <f ca="1">IFERROR(__xludf.DUMMYFUNCTION("""COMPUTED_VALUE"""),278559.327945555)</f>
        <v>278559.32794555498</v>
      </c>
    </row>
    <row r="325" spans="1:5" ht="15.75" customHeight="1" x14ac:dyDescent="0.2">
      <c r="A325" s="4" t="s">
        <v>44</v>
      </c>
      <c r="B325" s="4" t="s">
        <v>17</v>
      </c>
      <c r="C325" s="2">
        <v>2024</v>
      </c>
      <c r="D325" s="5">
        <v>11</v>
      </c>
      <c r="E325" s="3">
        <f ca="1">IFERROR(__xludf.DUMMYFUNCTION("""COMPUTED_VALUE"""),1960840.7915249)</f>
        <v>1960840.7915248999</v>
      </c>
    </row>
    <row r="326" spans="1:5" ht="15.75" customHeight="1" x14ac:dyDescent="0.2">
      <c r="A326" s="4" t="s">
        <v>45</v>
      </c>
      <c r="B326" s="10" t="s">
        <v>5</v>
      </c>
      <c r="C326" s="2">
        <v>2024</v>
      </c>
      <c r="D326" s="5">
        <v>11</v>
      </c>
      <c r="E326" s="3">
        <f ca="1">IFERROR(__xludf.DUMMYFUNCTION("TRANSPOSE(IMPORTRANGE(""https://docs.google.com/spreadsheets/d/14A0DNgZ904tq3xNlIBMNddwXRU3VDeUDJbBdf315Yvo/edit?usp=sharing"",""Perhitungan Stok!$J$26:$J$37""))"),70789.84375)</f>
        <v>70789.84375</v>
      </c>
    </row>
    <row r="327" spans="1:5" ht="15.75" customHeight="1" x14ac:dyDescent="0.2">
      <c r="A327" s="4" t="s">
        <v>45</v>
      </c>
      <c r="B327" s="4" t="s">
        <v>3</v>
      </c>
      <c r="C327" s="2">
        <v>2024</v>
      </c>
      <c r="D327" s="5">
        <v>11</v>
      </c>
      <c r="E327" s="3">
        <f ca="1">IFERROR(__xludf.DUMMYFUNCTION("""COMPUTED_VALUE"""),125)</f>
        <v>125</v>
      </c>
    </row>
    <row r="328" spans="1:5" ht="15.75" customHeight="1" x14ac:dyDescent="0.2">
      <c r="A328" s="4" t="s">
        <v>45</v>
      </c>
      <c r="B328" s="4" t="s">
        <v>11</v>
      </c>
      <c r="C328" s="2">
        <v>2024</v>
      </c>
      <c r="D328" s="5">
        <v>11</v>
      </c>
      <c r="E328" s="3">
        <f ca="1">IFERROR(__xludf.DUMMYFUNCTION("""COMPUTED_VALUE"""),24600)</f>
        <v>24600</v>
      </c>
    </row>
    <row r="329" spans="1:5" ht="15.75" customHeight="1" x14ac:dyDescent="0.2">
      <c r="A329" s="4" t="s">
        <v>45</v>
      </c>
      <c r="B329" s="4" t="s">
        <v>12</v>
      </c>
      <c r="C329" s="2">
        <v>2024</v>
      </c>
      <c r="D329" s="5">
        <v>11</v>
      </c>
      <c r="E329" s="3">
        <f ca="1">IFERROR(__xludf.DUMMYFUNCTION("""COMPUTED_VALUE"""),9790.76388888888)</f>
        <v>9790.7638888888796</v>
      </c>
    </row>
    <row r="330" spans="1:5" ht="15.75" customHeight="1" x14ac:dyDescent="0.2">
      <c r="A330" s="4" t="s">
        <v>45</v>
      </c>
      <c r="B330" s="4" t="s">
        <v>13</v>
      </c>
      <c r="C330" s="2">
        <v>2024</v>
      </c>
      <c r="D330" s="5">
        <v>11</v>
      </c>
      <c r="E330" s="3">
        <f ca="1">IFERROR(__xludf.DUMMYFUNCTION("""COMPUTED_VALUE"""),22321.2)</f>
        <v>22321.200000000001</v>
      </c>
    </row>
    <row r="331" spans="1:5" ht="15.75" customHeight="1" x14ac:dyDescent="0.2">
      <c r="A331" s="4" t="s">
        <v>45</v>
      </c>
      <c r="B331" s="4" t="s">
        <v>4</v>
      </c>
      <c r="C331" s="2">
        <v>2024</v>
      </c>
      <c r="D331" s="5">
        <v>11</v>
      </c>
      <c r="E331" s="3">
        <f ca="1">IFERROR(__xludf.DUMMYFUNCTION("""COMPUTED_VALUE"""),172.5)</f>
        <v>172.5</v>
      </c>
    </row>
    <row r="332" spans="1:5" ht="15.75" customHeight="1" x14ac:dyDescent="0.2">
      <c r="A332" s="4" t="s">
        <v>45</v>
      </c>
      <c r="B332" s="4" t="s">
        <v>1</v>
      </c>
      <c r="C332" s="2">
        <v>2024</v>
      </c>
      <c r="D332" s="5">
        <v>11</v>
      </c>
      <c r="E332" s="3">
        <f ca="1">IFERROR(__xludf.DUMMYFUNCTION("""COMPUTED_VALUE"""),125.999999999999)</f>
        <v>125.99999999999901</v>
      </c>
    </row>
    <row r="333" spans="1:5" ht="15.75" customHeight="1" x14ac:dyDescent="0.2">
      <c r="A333" s="4" t="s">
        <v>45</v>
      </c>
      <c r="B333" s="4" t="s">
        <v>14</v>
      </c>
      <c r="C333" s="2">
        <v>2024</v>
      </c>
      <c r="D333" s="5">
        <v>11</v>
      </c>
      <c r="E333" s="3">
        <f ca="1">IFERROR(__xludf.DUMMYFUNCTION("""COMPUTED_VALUE"""),140)</f>
        <v>140</v>
      </c>
    </row>
    <row r="334" spans="1:5" ht="15.75" customHeight="1" x14ac:dyDescent="0.2">
      <c r="A334" s="4" t="s">
        <v>45</v>
      </c>
      <c r="B334" s="4" t="s">
        <v>15</v>
      </c>
      <c r="C334" s="2">
        <v>2024</v>
      </c>
      <c r="D334" s="5">
        <v>11</v>
      </c>
      <c r="E334" s="3">
        <f ca="1">IFERROR(__xludf.DUMMYFUNCTION("""COMPUTED_VALUE"""),185)</f>
        <v>185</v>
      </c>
    </row>
    <row r="335" spans="1:5" ht="15.75" customHeight="1" x14ac:dyDescent="0.2">
      <c r="A335" s="4" t="s">
        <v>45</v>
      </c>
      <c r="B335" s="4" t="s">
        <v>2</v>
      </c>
      <c r="C335" s="2">
        <v>2024</v>
      </c>
      <c r="D335" s="5">
        <v>11</v>
      </c>
      <c r="E335" s="3">
        <f ca="1">IFERROR(__xludf.DUMMYFUNCTION("""COMPUTED_VALUE"""),601.25)</f>
        <v>601.25</v>
      </c>
    </row>
    <row r="336" spans="1:5" ht="15.75" customHeight="1" x14ac:dyDescent="0.2">
      <c r="A336" s="4" t="s">
        <v>45</v>
      </c>
      <c r="B336" s="4" t="s">
        <v>16</v>
      </c>
      <c r="C336" s="2">
        <v>2024</v>
      </c>
      <c r="D336" s="5">
        <v>11</v>
      </c>
      <c r="E336" s="3">
        <f ca="1">IFERROR(__xludf.DUMMYFUNCTION("""COMPUTED_VALUE"""),145970.553030303)</f>
        <v>145970.55303030301</v>
      </c>
    </row>
    <row r="337" spans="1:5" ht="15.75" customHeight="1" x14ac:dyDescent="0.2">
      <c r="A337" s="4" t="s">
        <v>45</v>
      </c>
      <c r="B337" s="4" t="s">
        <v>17</v>
      </c>
      <c r="C337" s="2">
        <v>2024</v>
      </c>
      <c r="D337" s="5">
        <v>11</v>
      </c>
      <c r="E337" s="3">
        <f ca="1">IFERROR(__xludf.DUMMYFUNCTION("""COMPUTED_VALUE"""),200158.774468085)</f>
        <v>200158.774468085</v>
      </c>
    </row>
    <row r="338" spans="1:5" ht="15.75" customHeight="1" x14ac:dyDescent="0.2">
      <c r="A338" s="4" t="s">
        <v>46</v>
      </c>
      <c r="B338" s="10" t="s">
        <v>5</v>
      </c>
      <c r="C338" s="2">
        <v>2024</v>
      </c>
      <c r="D338" s="5">
        <v>11</v>
      </c>
      <c r="E338" s="3">
        <f ca="1">IFERROR(__xludf.DUMMYFUNCTION("TRANSPOSE(IMPORTRANGE(""https://docs.google.com/spreadsheets/d/1IOqPAcRQw0MsUcmTGJungPyv0gJ8RLeotagPVhIIGCc/edit?usp=sharing"",""Perhitungan Stok!$J$26:$J$37""))"),75214.0932497402)</f>
        <v>75214.093249740195</v>
      </c>
    </row>
    <row r="339" spans="1:5" ht="15.75" customHeight="1" x14ac:dyDescent="0.2">
      <c r="A339" s="4" t="s">
        <v>46</v>
      </c>
      <c r="B339" s="4" t="s">
        <v>3</v>
      </c>
      <c r="C339" s="2">
        <v>2024</v>
      </c>
      <c r="D339" s="5">
        <v>11</v>
      </c>
      <c r="E339" s="3">
        <f ca="1">IFERROR(__xludf.DUMMYFUNCTION("""COMPUTED_VALUE"""),1050)</f>
        <v>1050</v>
      </c>
    </row>
    <row r="340" spans="1:5" ht="15.75" customHeight="1" x14ac:dyDescent="0.2">
      <c r="A340" s="4" t="s">
        <v>46</v>
      </c>
      <c r="B340" s="4" t="s">
        <v>11</v>
      </c>
      <c r="C340" s="2">
        <v>2024</v>
      </c>
      <c r="D340" s="5">
        <v>11</v>
      </c>
      <c r="E340" s="3">
        <f ca="1">IFERROR(__xludf.DUMMYFUNCTION("""COMPUTED_VALUE"""),20000)</f>
        <v>20000</v>
      </c>
    </row>
    <row r="341" spans="1:5" ht="15.75" customHeight="1" x14ac:dyDescent="0.2">
      <c r="A341" s="4" t="s">
        <v>46</v>
      </c>
      <c r="B341" s="4" t="s">
        <v>12</v>
      </c>
      <c r="C341" s="2">
        <v>2024</v>
      </c>
      <c r="D341" s="5">
        <v>11</v>
      </c>
      <c r="E341" s="3">
        <f ca="1">IFERROR(__xludf.DUMMYFUNCTION("""COMPUTED_VALUE"""),410.492682926829)</f>
        <v>410.49268292682899</v>
      </c>
    </row>
    <row r="342" spans="1:5" ht="15.75" customHeight="1" x14ac:dyDescent="0.2">
      <c r="A342" s="4" t="s">
        <v>46</v>
      </c>
      <c r="B342" s="4" t="s">
        <v>13</v>
      </c>
      <c r="C342" s="2">
        <v>2024</v>
      </c>
      <c r="D342" s="5">
        <v>11</v>
      </c>
      <c r="E342" s="3">
        <f ca="1">IFERROR(__xludf.DUMMYFUNCTION("""COMPUTED_VALUE"""),340.878048780487)</f>
        <v>340.87804878048701</v>
      </c>
    </row>
    <row r="343" spans="1:5" ht="15.75" customHeight="1" x14ac:dyDescent="0.2">
      <c r="A343" s="4" t="s">
        <v>46</v>
      </c>
      <c r="B343" s="4" t="s">
        <v>4</v>
      </c>
      <c r="C343" s="2">
        <v>2024</v>
      </c>
      <c r="D343" s="5">
        <v>11</v>
      </c>
      <c r="E343" s="3">
        <f ca="1">IFERROR(__xludf.DUMMYFUNCTION("""COMPUTED_VALUE"""),0)</f>
        <v>0</v>
      </c>
    </row>
    <row r="344" spans="1:5" ht="15.75" customHeight="1" x14ac:dyDescent="0.2">
      <c r="A344" s="4" t="s">
        <v>46</v>
      </c>
      <c r="B344" s="4" t="s">
        <v>1</v>
      </c>
      <c r="C344" s="2">
        <v>2024</v>
      </c>
      <c r="D344" s="5">
        <v>11</v>
      </c>
      <c r="E344" s="3">
        <f ca="1">IFERROR(__xludf.DUMMYFUNCTION("""COMPUTED_VALUE"""),3558.33333333333)</f>
        <v>3558.3333333333298</v>
      </c>
    </row>
    <row r="345" spans="1:5" ht="15.75" customHeight="1" x14ac:dyDescent="0.2">
      <c r="A345" s="4" t="s">
        <v>46</v>
      </c>
      <c r="B345" s="4" t="s">
        <v>14</v>
      </c>
      <c r="C345" s="2">
        <v>2024</v>
      </c>
      <c r="D345" s="5">
        <v>11</v>
      </c>
      <c r="E345" s="3">
        <f ca="1">IFERROR(__xludf.DUMMYFUNCTION("""COMPUTED_VALUE"""),0)</f>
        <v>0</v>
      </c>
    </row>
    <row r="346" spans="1:5" ht="15.75" customHeight="1" x14ac:dyDescent="0.2">
      <c r="A346" s="4" t="s">
        <v>46</v>
      </c>
      <c r="B346" s="4" t="s">
        <v>15</v>
      </c>
      <c r="C346" s="2">
        <v>2024</v>
      </c>
      <c r="D346" s="5">
        <v>11</v>
      </c>
      <c r="E346" s="3">
        <f ca="1">IFERROR(__xludf.DUMMYFUNCTION("""COMPUTED_VALUE"""),3127.27272727272)</f>
        <v>3127.2727272727202</v>
      </c>
    </row>
    <row r="347" spans="1:5" ht="15.75" customHeight="1" x14ac:dyDescent="0.2">
      <c r="A347" s="4" t="s">
        <v>46</v>
      </c>
      <c r="B347" s="4" t="s">
        <v>2</v>
      </c>
      <c r="C347" s="2">
        <v>2024</v>
      </c>
      <c r="D347" s="5">
        <v>11</v>
      </c>
      <c r="E347" s="3">
        <f ca="1">IFERROR(__xludf.DUMMYFUNCTION("""COMPUTED_VALUE"""),822.828947368421)</f>
        <v>822.82894736842104</v>
      </c>
    </row>
    <row r="348" spans="1:5" ht="15.75" customHeight="1" x14ac:dyDescent="0.2">
      <c r="A348" s="4" t="s">
        <v>46</v>
      </c>
      <c r="B348" s="4" t="s">
        <v>16</v>
      </c>
      <c r="C348" s="2">
        <v>2024</v>
      </c>
      <c r="D348" s="5">
        <v>11</v>
      </c>
      <c r="E348" s="3">
        <f ca="1">IFERROR(__xludf.DUMMYFUNCTION("""COMPUTED_VALUE"""),21785.5723098012)</f>
        <v>21785.572309801199</v>
      </c>
    </row>
    <row r="349" spans="1:5" ht="15.75" customHeight="1" x14ac:dyDescent="0.2">
      <c r="A349" s="4" t="s">
        <v>46</v>
      </c>
      <c r="B349" s="4" t="s">
        <v>17</v>
      </c>
      <c r="C349" s="2">
        <v>2024</v>
      </c>
      <c r="D349" s="5">
        <v>11</v>
      </c>
      <c r="E349" s="3">
        <f ca="1">IFERROR(__xludf.DUMMYFUNCTION("""COMPUTED_VALUE"""),20311.5)</f>
        <v>20311.5</v>
      </c>
    </row>
    <row r="350" spans="1:5" ht="15.75" customHeight="1" x14ac:dyDescent="0.2">
      <c r="A350" s="4" t="s">
        <v>47</v>
      </c>
      <c r="B350" s="10" t="s">
        <v>5</v>
      </c>
      <c r="C350" s="2">
        <v>2024</v>
      </c>
      <c r="D350" s="5">
        <v>11</v>
      </c>
      <c r="E350" s="3">
        <f ca="1">IFERROR(__xludf.DUMMYFUNCTION("TRANSPOSE(IMPORTRANGE(""https://docs.google.com/spreadsheets/d/1UBNDIB22NDBqqUlOVUWEEfB7VNFvljdWNbp2szC8yMI/edit?usp=sharing"",""Perhitungan Stok!$J$26:$J$37""))"),43786.329113924)</f>
        <v>43786.329113924003</v>
      </c>
    </row>
    <row r="351" spans="1:5" ht="15.75" customHeight="1" x14ac:dyDescent="0.2">
      <c r="A351" s="4" t="s">
        <v>47</v>
      </c>
      <c r="B351" s="4" t="s">
        <v>3</v>
      </c>
      <c r="C351" s="2">
        <v>2024</v>
      </c>
      <c r="D351" s="5">
        <v>11</v>
      </c>
      <c r="E351" s="3">
        <f ca="1">IFERROR(__xludf.DUMMYFUNCTION("""COMPUTED_VALUE"""),501.25)</f>
        <v>501.25</v>
      </c>
    </row>
    <row r="352" spans="1:5" ht="15.75" customHeight="1" x14ac:dyDescent="0.2">
      <c r="A352" s="4" t="s">
        <v>47</v>
      </c>
      <c r="B352" s="4" t="s">
        <v>11</v>
      </c>
      <c r="C352" s="2">
        <v>2024</v>
      </c>
      <c r="D352" s="5">
        <v>11</v>
      </c>
      <c r="E352" s="3">
        <f ca="1">IFERROR(__xludf.DUMMYFUNCTION("""COMPUTED_VALUE"""),9708.73)</f>
        <v>9708.73</v>
      </c>
    </row>
    <row r="353" spans="1:5" ht="15.75" customHeight="1" x14ac:dyDescent="0.2">
      <c r="A353" s="4" t="s">
        <v>47</v>
      </c>
      <c r="B353" s="4" t="s">
        <v>12</v>
      </c>
      <c r="C353" s="2">
        <v>2024</v>
      </c>
      <c r="D353" s="5">
        <v>11</v>
      </c>
      <c r="E353" s="3">
        <f ca="1">IFERROR(__xludf.DUMMYFUNCTION("""COMPUTED_VALUE"""),1182)</f>
        <v>1182</v>
      </c>
    </row>
    <row r="354" spans="1:5" ht="15.75" customHeight="1" x14ac:dyDescent="0.2">
      <c r="A354" s="4" t="s">
        <v>47</v>
      </c>
      <c r="B354" s="4" t="s">
        <v>13</v>
      </c>
      <c r="C354" s="2">
        <v>2024</v>
      </c>
      <c r="D354" s="5">
        <v>11</v>
      </c>
      <c r="E354" s="3">
        <f ca="1">IFERROR(__xludf.DUMMYFUNCTION("""COMPUTED_VALUE"""),1222)</f>
        <v>1222</v>
      </c>
    </row>
    <row r="355" spans="1:5" ht="15.75" customHeight="1" x14ac:dyDescent="0.2">
      <c r="A355" s="4" t="s">
        <v>47</v>
      </c>
      <c r="B355" s="4" t="s">
        <v>4</v>
      </c>
      <c r="C355" s="2">
        <v>2024</v>
      </c>
      <c r="D355" s="5">
        <v>11</v>
      </c>
      <c r="E355" s="3">
        <f ca="1">IFERROR(__xludf.DUMMYFUNCTION("""COMPUTED_VALUE"""),706)</f>
        <v>706</v>
      </c>
    </row>
    <row r="356" spans="1:5" ht="15.75" customHeight="1" x14ac:dyDescent="0.2">
      <c r="A356" s="4" t="s">
        <v>47</v>
      </c>
      <c r="B356" s="4" t="s">
        <v>1</v>
      </c>
      <c r="C356" s="2">
        <v>2024</v>
      </c>
      <c r="D356" s="5">
        <v>11</v>
      </c>
      <c r="E356" s="3">
        <f ca="1">IFERROR(__xludf.DUMMYFUNCTION("""COMPUTED_VALUE"""),456)</f>
        <v>456</v>
      </c>
    </row>
    <row r="357" spans="1:5" ht="15.75" customHeight="1" x14ac:dyDescent="0.2">
      <c r="A357" s="4" t="s">
        <v>47</v>
      </c>
      <c r="B357" s="4" t="s">
        <v>14</v>
      </c>
      <c r="C357" s="2">
        <v>2024</v>
      </c>
      <c r="D357" s="5">
        <v>11</v>
      </c>
      <c r="E357" s="3">
        <f ca="1">IFERROR(__xludf.DUMMYFUNCTION("""COMPUTED_VALUE"""),193.230769230769)</f>
        <v>193.230769230769</v>
      </c>
    </row>
    <row r="358" spans="1:5" ht="15.75" customHeight="1" x14ac:dyDescent="0.2">
      <c r="A358" s="4" t="s">
        <v>47</v>
      </c>
      <c r="B358" s="4" t="s">
        <v>15</v>
      </c>
      <c r="C358" s="2">
        <v>2024</v>
      </c>
      <c r="D358" s="5">
        <v>11</v>
      </c>
      <c r="E358" s="3">
        <f ca="1">IFERROR(__xludf.DUMMYFUNCTION("""COMPUTED_VALUE"""),5139)</f>
        <v>5139</v>
      </c>
    </row>
    <row r="359" spans="1:5" ht="15.75" customHeight="1" x14ac:dyDescent="0.2">
      <c r="A359" s="4" t="s">
        <v>47</v>
      </c>
      <c r="B359" s="4" t="s">
        <v>2</v>
      </c>
      <c r="C359" s="2">
        <v>2024</v>
      </c>
      <c r="D359" s="5">
        <v>11</v>
      </c>
      <c r="E359" s="3">
        <f ca="1">IFERROR(__xludf.DUMMYFUNCTION("""COMPUTED_VALUE"""),147.2)</f>
        <v>147.19999999999999</v>
      </c>
    </row>
    <row r="360" spans="1:5" ht="15.75" customHeight="1" x14ac:dyDescent="0.2">
      <c r="A360" s="4" t="s">
        <v>47</v>
      </c>
      <c r="B360" s="4" t="s">
        <v>16</v>
      </c>
      <c r="C360" s="2">
        <v>2024</v>
      </c>
      <c r="D360" s="5">
        <v>11</v>
      </c>
      <c r="E360" s="3">
        <f ca="1">IFERROR(__xludf.DUMMYFUNCTION("""COMPUTED_VALUE"""),25039.3740188383)</f>
        <v>25039.374018838302</v>
      </c>
    </row>
    <row r="361" spans="1:5" ht="15.75" customHeight="1" x14ac:dyDescent="0.2">
      <c r="A361" s="4" t="s">
        <v>47</v>
      </c>
      <c r="B361" s="4" t="s">
        <v>17</v>
      </c>
      <c r="C361" s="2">
        <v>2024</v>
      </c>
      <c r="D361" s="5">
        <v>11</v>
      </c>
      <c r="E361" s="3">
        <f ca="1">IFERROR(__xludf.DUMMYFUNCTION("""COMPUTED_VALUE"""),9477.98447058823)</f>
        <v>9477.9844705882297</v>
      </c>
    </row>
    <row r="362" spans="1:5" ht="15.75" customHeight="1" x14ac:dyDescent="0.2">
      <c r="A362" s="4" t="s">
        <v>48</v>
      </c>
      <c r="B362" s="10" t="s">
        <v>5</v>
      </c>
      <c r="C362" s="2">
        <v>2024</v>
      </c>
      <c r="D362" s="5">
        <v>11</v>
      </c>
      <c r="E362" s="3">
        <f ca="1">IFERROR(__xludf.DUMMYFUNCTION("TRANSPOSE(IMPORTRANGE(""https://docs.google.com/spreadsheets/d/1Neux5hclRUvn-l11oCucFs5U3HxYGAHbfPQXuRnkeiM/edit?usp=sharing"",""Perhitungan Stok!$J$26:$J$37""))"),42693.9018261015)</f>
        <v>42693.901826101501</v>
      </c>
    </row>
    <row r="363" spans="1:5" ht="15.75" customHeight="1" x14ac:dyDescent="0.2">
      <c r="A363" s="4" t="s">
        <v>48</v>
      </c>
      <c r="B363" s="4" t="s">
        <v>3</v>
      </c>
      <c r="C363" s="2">
        <v>2024</v>
      </c>
      <c r="D363" s="5">
        <v>11</v>
      </c>
      <c r="E363" s="3" t="s">
        <v>21</v>
      </c>
    </row>
    <row r="364" spans="1:5" ht="15.75" customHeight="1" x14ac:dyDescent="0.2">
      <c r="A364" s="4" t="s">
        <v>48</v>
      </c>
      <c r="B364" s="4" t="s">
        <v>11</v>
      </c>
      <c r="C364" s="2">
        <v>2024</v>
      </c>
      <c r="D364" s="5">
        <v>11</v>
      </c>
      <c r="E364" s="3">
        <f ca="1">IFERROR(__xludf.DUMMYFUNCTION("""COMPUTED_VALUE"""),-10200)</f>
        <v>-10200</v>
      </c>
    </row>
    <row r="365" spans="1:5" ht="15.75" customHeight="1" x14ac:dyDescent="0.2">
      <c r="A365" s="4" t="s">
        <v>48</v>
      </c>
      <c r="B365" s="4" t="s">
        <v>12</v>
      </c>
      <c r="C365" s="2">
        <v>2024</v>
      </c>
      <c r="D365" s="5">
        <v>11</v>
      </c>
      <c r="E365" s="3">
        <f ca="1">IFERROR(__xludf.DUMMYFUNCTION("""COMPUTED_VALUE"""),4240)</f>
        <v>4240</v>
      </c>
    </row>
    <row r="366" spans="1:5" ht="15.75" customHeight="1" x14ac:dyDescent="0.2">
      <c r="A366" s="4" t="s">
        <v>48</v>
      </c>
      <c r="B366" s="4" t="s">
        <v>13</v>
      </c>
      <c r="C366" s="2">
        <v>2024</v>
      </c>
      <c r="D366" s="5">
        <v>11</v>
      </c>
      <c r="E366" s="3">
        <f ca="1">IFERROR(__xludf.DUMMYFUNCTION("""COMPUTED_VALUE"""),75)</f>
        <v>75</v>
      </c>
    </row>
    <row r="367" spans="1:5" ht="15.75" customHeight="1" x14ac:dyDescent="0.2">
      <c r="A367" s="4" t="s">
        <v>48</v>
      </c>
      <c r="B367" s="4" t="s">
        <v>4</v>
      </c>
      <c r="C367" s="2">
        <v>2024</v>
      </c>
      <c r="D367" s="5">
        <v>11</v>
      </c>
      <c r="E367" s="3">
        <f ca="1">IFERROR(__xludf.DUMMYFUNCTION("""COMPUTED_VALUE"""),60)</f>
        <v>60</v>
      </c>
    </row>
    <row r="368" spans="1:5" ht="15.75" customHeight="1" x14ac:dyDescent="0.2">
      <c r="A368" s="4" t="s">
        <v>48</v>
      </c>
      <c r="B368" s="4" t="s">
        <v>1</v>
      </c>
      <c r="C368" s="2">
        <v>2024</v>
      </c>
      <c r="D368" s="5">
        <v>11</v>
      </c>
      <c r="E368" s="3">
        <f ca="1">IFERROR(__xludf.DUMMYFUNCTION("""COMPUTED_VALUE"""),335)</f>
        <v>335</v>
      </c>
    </row>
    <row r="369" spans="1:5" ht="15.75" customHeight="1" x14ac:dyDescent="0.2">
      <c r="A369" s="4" t="s">
        <v>48</v>
      </c>
      <c r="B369" s="4" t="s">
        <v>14</v>
      </c>
      <c r="C369" s="2">
        <v>2024</v>
      </c>
      <c r="D369" s="5">
        <v>11</v>
      </c>
      <c r="E369" s="3">
        <f ca="1">IFERROR(__xludf.DUMMYFUNCTION("""COMPUTED_VALUE"""),0)</f>
        <v>0</v>
      </c>
    </row>
    <row r="370" spans="1:5" ht="15.75" customHeight="1" x14ac:dyDescent="0.2">
      <c r="A370" s="4" t="s">
        <v>48</v>
      </c>
      <c r="B370" s="4" t="s">
        <v>15</v>
      </c>
      <c r="C370" s="2">
        <v>2024</v>
      </c>
      <c r="D370" s="5">
        <v>11</v>
      </c>
      <c r="E370" s="3">
        <f ca="1">IFERROR(__xludf.DUMMYFUNCTION("""COMPUTED_VALUE"""),0)</f>
        <v>0</v>
      </c>
    </row>
    <row r="371" spans="1:5" ht="15.75" customHeight="1" x14ac:dyDescent="0.2">
      <c r="A371" s="4" t="s">
        <v>48</v>
      </c>
      <c r="B371" s="4" t="s">
        <v>2</v>
      </c>
      <c r="C371" s="2">
        <v>2024</v>
      </c>
      <c r="D371" s="5">
        <v>11</v>
      </c>
      <c r="E371" s="3">
        <f ca="1">IFERROR(__xludf.DUMMYFUNCTION("""COMPUTED_VALUE"""),1406)</f>
        <v>1406</v>
      </c>
    </row>
    <row r="372" spans="1:5" ht="15.75" customHeight="1" x14ac:dyDescent="0.2">
      <c r="A372" s="4" t="s">
        <v>48</v>
      </c>
      <c r="B372" s="4" t="s">
        <v>16</v>
      </c>
      <c r="C372" s="2">
        <v>2024</v>
      </c>
      <c r="D372" s="5">
        <v>11</v>
      </c>
      <c r="E372" s="3">
        <f ca="1">IFERROR(__xludf.DUMMYFUNCTION("""COMPUTED_VALUE"""),37975.3846153846)</f>
        <v>37975.384615384603</v>
      </c>
    </row>
    <row r="373" spans="1:5" ht="15.75" customHeight="1" x14ac:dyDescent="0.2">
      <c r="A373" s="4" t="s">
        <v>48</v>
      </c>
      <c r="B373" s="4" t="s">
        <v>17</v>
      </c>
      <c r="C373" s="2">
        <v>2024</v>
      </c>
      <c r="D373" s="5">
        <v>11</v>
      </c>
      <c r="E373" s="3">
        <f ca="1">IFERROR(__xludf.DUMMYFUNCTION("""COMPUTED_VALUE"""),9232.58817533129)</f>
        <v>9232.5881753312897</v>
      </c>
    </row>
    <row r="374" spans="1:5" ht="15.75" customHeight="1" x14ac:dyDescent="0.2">
      <c r="A374" s="4" t="s">
        <v>49</v>
      </c>
      <c r="B374" s="10" t="s">
        <v>5</v>
      </c>
      <c r="C374" s="2">
        <v>2024</v>
      </c>
      <c r="D374" s="5">
        <v>11</v>
      </c>
      <c r="E374" s="3">
        <f ca="1">IFERROR(__xludf.DUMMYFUNCTION("TRANSPOSE(IMPORTRANGE(""https://docs.google.com/spreadsheets/d/1YP2JnoksgNTGTq3Y_cG0aVYHnh52cpd0EbwD2VhFviE/edit?usp=sharing"",""Perhitungan Stok!$J$26:$J$37""))"),246137.103156462)</f>
        <v>246137.10315646199</v>
      </c>
    </row>
    <row r="375" spans="1:5" ht="15.75" customHeight="1" x14ac:dyDescent="0.2">
      <c r="A375" s="4" t="s">
        <v>49</v>
      </c>
      <c r="B375" s="4" t="s">
        <v>3</v>
      </c>
      <c r="C375" s="2">
        <v>2024</v>
      </c>
      <c r="D375" s="5">
        <v>11</v>
      </c>
      <c r="E375" s="3">
        <f ca="1">IFERROR(__xludf.DUMMYFUNCTION("""COMPUTED_VALUE"""),11440)</f>
        <v>11440</v>
      </c>
    </row>
    <row r="376" spans="1:5" ht="15.75" customHeight="1" x14ac:dyDescent="0.2">
      <c r="A376" s="4" t="s">
        <v>49</v>
      </c>
      <c r="B376" s="4" t="s">
        <v>11</v>
      </c>
      <c r="C376" s="2">
        <v>2024</v>
      </c>
      <c r="D376" s="5">
        <v>11</v>
      </c>
      <c r="E376" s="3">
        <f ca="1">IFERROR(__xludf.DUMMYFUNCTION("""COMPUTED_VALUE"""),250600.036065573)</f>
        <v>250600.03606557299</v>
      </c>
    </row>
    <row r="377" spans="1:5" ht="15.75" customHeight="1" x14ac:dyDescent="0.2">
      <c r="A377" s="4" t="s">
        <v>49</v>
      </c>
      <c r="B377" s="4" t="s">
        <v>12</v>
      </c>
      <c r="C377" s="2">
        <v>2024</v>
      </c>
      <c r="D377" s="5">
        <v>11</v>
      </c>
      <c r="E377" s="3">
        <f ca="1">IFERROR(__xludf.DUMMYFUNCTION("""COMPUTED_VALUE"""),0)</f>
        <v>0</v>
      </c>
    </row>
    <row r="378" spans="1:5" ht="15.75" customHeight="1" x14ac:dyDescent="0.2">
      <c r="A378" s="4" t="s">
        <v>49</v>
      </c>
      <c r="B378" s="4" t="s">
        <v>13</v>
      </c>
      <c r="C378" s="2">
        <v>2024</v>
      </c>
      <c r="D378" s="5">
        <v>11</v>
      </c>
      <c r="E378" s="3">
        <f ca="1">IFERROR(__xludf.DUMMYFUNCTION("""COMPUTED_VALUE"""),70109.2905613818)</f>
        <v>70109.2905613818</v>
      </c>
    </row>
    <row r="379" spans="1:5" ht="15.75" customHeight="1" x14ac:dyDescent="0.2">
      <c r="A379" s="4" t="s">
        <v>49</v>
      </c>
      <c r="B379" s="4" t="s">
        <v>4</v>
      </c>
      <c r="C379" s="2">
        <v>2024</v>
      </c>
      <c r="D379" s="5">
        <v>11</v>
      </c>
      <c r="E379" s="3">
        <f ca="1">IFERROR(__xludf.DUMMYFUNCTION("""COMPUTED_VALUE"""),21875)</f>
        <v>21875</v>
      </c>
    </row>
    <row r="380" spans="1:5" ht="15.75" customHeight="1" x14ac:dyDescent="0.2">
      <c r="A380" s="4" t="s">
        <v>49</v>
      </c>
      <c r="B380" s="4" t="s">
        <v>1</v>
      </c>
      <c r="C380" s="2">
        <v>2024</v>
      </c>
      <c r="D380" s="5">
        <v>11</v>
      </c>
      <c r="E380" s="3">
        <f ca="1">IFERROR(__xludf.DUMMYFUNCTION("""COMPUTED_VALUE"""),21319.9999999999)</f>
        <v>21319.999999999902</v>
      </c>
    </row>
    <row r="381" spans="1:5" ht="15.75" customHeight="1" x14ac:dyDescent="0.2">
      <c r="A381" s="4" t="s">
        <v>49</v>
      </c>
      <c r="B381" s="4" t="s">
        <v>14</v>
      </c>
      <c r="C381" s="2">
        <v>2024</v>
      </c>
      <c r="D381" s="5">
        <v>11</v>
      </c>
      <c r="E381" s="3">
        <f ca="1">IFERROR(__xludf.DUMMYFUNCTION("""COMPUTED_VALUE"""),45829.5652173913)</f>
        <v>45829.565217391297</v>
      </c>
    </row>
    <row r="382" spans="1:5" ht="15.75" customHeight="1" x14ac:dyDescent="0.2">
      <c r="A382" s="4" t="s">
        <v>49</v>
      </c>
      <c r="B382" s="4" t="s">
        <v>15</v>
      </c>
      <c r="C382" s="2">
        <v>2024</v>
      </c>
      <c r="D382" s="5">
        <v>11</v>
      </c>
      <c r="E382" s="3">
        <f ca="1">IFERROR(__xludf.DUMMYFUNCTION("""COMPUTED_VALUE"""),20340)</f>
        <v>20340</v>
      </c>
    </row>
    <row r="383" spans="1:5" ht="15.75" customHeight="1" x14ac:dyDescent="0.2">
      <c r="A383" s="4" t="s">
        <v>49</v>
      </c>
      <c r="B383" s="4" t="s">
        <v>2</v>
      </c>
      <c r="C383" s="2">
        <v>2024</v>
      </c>
      <c r="D383" s="5">
        <v>11</v>
      </c>
      <c r="E383" s="3">
        <f ca="1">IFERROR(__xludf.DUMMYFUNCTION("""COMPUTED_VALUE"""),107770.426540284)</f>
        <v>107770.426540284</v>
      </c>
    </row>
    <row r="384" spans="1:5" ht="15.75" customHeight="1" x14ac:dyDescent="0.2">
      <c r="A384" s="4" t="s">
        <v>49</v>
      </c>
      <c r="B384" s="4" t="s">
        <v>16</v>
      </c>
      <c r="C384" s="2">
        <v>2024</v>
      </c>
      <c r="D384" s="5">
        <v>11</v>
      </c>
      <c r="E384" s="3">
        <f ca="1">IFERROR(__xludf.DUMMYFUNCTION("""COMPUTED_VALUE"""),93165.9572649572)</f>
        <v>93165.957264957193</v>
      </c>
    </row>
    <row r="385" spans="1:5" ht="15.75" customHeight="1" x14ac:dyDescent="0.2">
      <c r="A385" s="4" t="s">
        <v>49</v>
      </c>
      <c r="B385" s="4" t="s">
        <v>17</v>
      </c>
      <c r="C385" s="2">
        <v>2024</v>
      </c>
      <c r="D385" s="5">
        <v>11</v>
      </c>
      <c r="E385" s="3">
        <f ca="1">IFERROR(__xludf.DUMMYFUNCTION("""COMPUTED_VALUE"""),171269.624173989)</f>
        <v>171269.624173989</v>
      </c>
    </row>
    <row r="386" spans="1:5" ht="15.75" customHeight="1" x14ac:dyDescent="0.2">
      <c r="A386" s="4" t="s">
        <v>50</v>
      </c>
      <c r="B386" s="10" t="s">
        <v>5</v>
      </c>
      <c r="C386" s="2">
        <v>2024</v>
      </c>
      <c r="D386" s="5">
        <v>11</v>
      </c>
      <c r="E386" s="3">
        <f ca="1">IFERROR(__xludf.DUMMYFUNCTION("TRANSPOSE(IMPORTRANGE(""https://docs.google.com/spreadsheets/d/1mT3IjyNoODrU_LG3JEun9khz8b3FeOSoNSOv43fG8HI/edit?usp=sharing"",""Perhitungan Stok!$J$26:$J$37""))"),12816.9262589019)</f>
        <v>12816.9262589019</v>
      </c>
    </row>
    <row r="387" spans="1:5" ht="15.75" customHeight="1" x14ac:dyDescent="0.2">
      <c r="A387" s="4" t="s">
        <v>50</v>
      </c>
      <c r="B387" s="4" t="s">
        <v>3</v>
      </c>
      <c r="C387" s="2">
        <v>2024</v>
      </c>
      <c r="D387" s="5">
        <v>11</v>
      </c>
      <c r="E387" s="3">
        <f ca="1">IFERROR(__xludf.DUMMYFUNCTION("""COMPUTED_VALUE"""),9297.80663083519)</f>
        <v>9297.8066308351899</v>
      </c>
    </row>
    <row r="388" spans="1:5" ht="15.75" customHeight="1" x14ac:dyDescent="0.2">
      <c r="A388" s="4" t="s">
        <v>50</v>
      </c>
      <c r="B388" s="4" t="s">
        <v>11</v>
      </c>
      <c r="C388" s="2">
        <v>2024</v>
      </c>
      <c r="D388" s="5">
        <v>11</v>
      </c>
      <c r="E388" s="3">
        <f ca="1">IFERROR(__xludf.DUMMYFUNCTION("""COMPUTED_VALUE"""),24378.9519101123)</f>
        <v>24378.951910112301</v>
      </c>
    </row>
    <row r="389" spans="1:5" ht="15.75" customHeight="1" x14ac:dyDescent="0.2">
      <c r="A389" s="4" t="s">
        <v>50</v>
      </c>
      <c r="B389" s="4" t="s">
        <v>12</v>
      </c>
      <c r="C389" s="2">
        <v>2024</v>
      </c>
      <c r="D389" s="5">
        <v>11</v>
      </c>
      <c r="E389" s="3">
        <f ca="1">IFERROR(__xludf.DUMMYFUNCTION("""COMPUTED_VALUE"""),1405.70497784727)</f>
        <v>1405.7049778472699</v>
      </c>
    </row>
    <row r="390" spans="1:5" ht="15.75" customHeight="1" x14ac:dyDescent="0.2">
      <c r="A390" s="4" t="s">
        <v>50</v>
      </c>
      <c r="B390" s="4" t="s">
        <v>13</v>
      </c>
      <c r="C390" s="2">
        <v>2024</v>
      </c>
      <c r="D390" s="5">
        <v>11</v>
      </c>
      <c r="E390" s="3">
        <f ca="1">IFERROR(__xludf.DUMMYFUNCTION("""COMPUTED_VALUE"""),539.078069222411)</f>
        <v>539.07806922241105</v>
      </c>
    </row>
    <row r="391" spans="1:5" ht="15.75" customHeight="1" x14ac:dyDescent="0.2">
      <c r="A391" s="4" t="s">
        <v>50</v>
      </c>
      <c r="B391" s="4" t="s">
        <v>4</v>
      </c>
      <c r="C391" s="2">
        <v>2024</v>
      </c>
      <c r="D391" s="5">
        <v>11</v>
      </c>
      <c r="E391" s="3">
        <f ca="1">IFERROR(__xludf.DUMMYFUNCTION("""COMPUTED_VALUE"""),8642.48281249999)</f>
        <v>8642.4828124999894</v>
      </c>
    </row>
    <row r="392" spans="1:5" ht="15.75" customHeight="1" x14ac:dyDescent="0.2">
      <c r="A392" s="4" t="s">
        <v>50</v>
      </c>
      <c r="B392" s="4" t="s">
        <v>1</v>
      </c>
      <c r="C392" s="2">
        <v>2024</v>
      </c>
      <c r="D392" s="5">
        <v>11</v>
      </c>
      <c r="E392" s="3">
        <f ca="1">IFERROR(__xludf.DUMMYFUNCTION("""COMPUTED_VALUE"""),22510.6580886653)</f>
        <v>22510.658088665299</v>
      </c>
    </row>
    <row r="393" spans="1:5" ht="15.75" customHeight="1" x14ac:dyDescent="0.2">
      <c r="A393" s="4" t="s">
        <v>50</v>
      </c>
      <c r="B393" s="4" t="s">
        <v>14</v>
      </c>
      <c r="C393" s="2">
        <v>2024</v>
      </c>
      <c r="D393" s="5">
        <v>11</v>
      </c>
      <c r="E393" s="3">
        <f ca="1">IFERROR(__xludf.DUMMYFUNCTION("""COMPUTED_VALUE"""),20160.3818181818)</f>
        <v>20160.381818181799</v>
      </c>
    </row>
    <row r="394" spans="1:5" ht="15.75" customHeight="1" x14ac:dyDescent="0.2">
      <c r="A394" s="4" t="s">
        <v>50</v>
      </c>
      <c r="B394" s="4" t="s">
        <v>15</v>
      </c>
      <c r="C394" s="2">
        <v>2024</v>
      </c>
      <c r="D394" s="5">
        <v>11</v>
      </c>
      <c r="E394" s="3">
        <f ca="1">IFERROR(__xludf.DUMMYFUNCTION("""COMPUTED_VALUE"""),31053.6450946359)</f>
        <v>31053.6450946359</v>
      </c>
    </row>
    <row r="395" spans="1:5" ht="15.75" customHeight="1" x14ac:dyDescent="0.2">
      <c r="A395" s="4" t="s">
        <v>50</v>
      </c>
      <c r="B395" s="4" t="s">
        <v>2</v>
      </c>
      <c r="C395" s="2">
        <v>2024</v>
      </c>
      <c r="D395" s="5">
        <v>11</v>
      </c>
      <c r="E395" s="3">
        <f ca="1">IFERROR(__xludf.DUMMYFUNCTION("""COMPUTED_VALUE"""),7651.91676340047)</f>
        <v>7651.9167634004698</v>
      </c>
    </row>
    <row r="396" spans="1:5" ht="15.75" customHeight="1" x14ac:dyDescent="0.2">
      <c r="A396" s="4" t="s">
        <v>50</v>
      </c>
      <c r="B396" s="4" t="s">
        <v>16</v>
      </c>
      <c r="C396" s="2">
        <v>2024</v>
      </c>
      <c r="D396" s="5">
        <v>11</v>
      </c>
      <c r="E396" s="3">
        <f ca="1">IFERROR(__xludf.DUMMYFUNCTION("""COMPUTED_VALUE"""),31268.0470588235)</f>
        <v>31268.0470588235</v>
      </c>
    </row>
    <row r="397" spans="1:5" ht="15.75" customHeight="1" x14ac:dyDescent="0.2">
      <c r="A397" s="4" t="s">
        <v>50</v>
      </c>
      <c r="B397" s="4" t="s">
        <v>17</v>
      </c>
      <c r="C397" s="2">
        <v>2024</v>
      </c>
      <c r="D397" s="5">
        <v>11</v>
      </c>
      <c r="E397" s="3">
        <f ca="1">IFERROR(__xludf.DUMMYFUNCTION("""COMPUTED_VALUE"""),1752.01563517915)</f>
        <v>1752.01563517915</v>
      </c>
    </row>
    <row r="398" spans="1:5" ht="15.75" customHeight="1" x14ac:dyDescent="0.2">
      <c r="A398" s="4" t="s">
        <v>51</v>
      </c>
      <c r="B398" s="10" t="s">
        <v>5</v>
      </c>
      <c r="C398" s="2">
        <v>2024</v>
      </c>
      <c r="D398" s="5">
        <v>11</v>
      </c>
      <c r="E398" s="3">
        <f ca="1">IFERROR(__xludf.DUMMYFUNCTION("TRANSPOSE(IMPORTRANGE(""https://docs.google.com/spreadsheets/d/18yT69aQlf6J1sEmVuUDlca7R2wc3eYvTk7Wv4aA2uKk/edit?usp=sharing"",""Perhitungan Stok!$J$26:$J$37""))"),20641.5379026521)</f>
        <v>20641.5379026521</v>
      </c>
    </row>
    <row r="399" spans="1:5" ht="15.75" customHeight="1" x14ac:dyDescent="0.2">
      <c r="A399" s="4" t="s">
        <v>51</v>
      </c>
      <c r="B399" s="4" t="s">
        <v>3</v>
      </c>
      <c r="C399" s="2">
        <v>2024</v>
      </c>
      <c r="D399" s="5">
        <v>11</v>
      </c>
      <c r="E399" s="3" t="s">
        <v>21</v>
      </c>
    </row>
    <row r="400" spans="1:5" ht="15.75" customHeight="1" x14ac:dyDescent="0.2">
      <c r="A400" s="4" t="s">
        <v>51</v>
      </c>
      <c r="B400" s="4" t="s">
        <v>11</v>
      </c>
      <c r="C400" s="2">
        <v>2024</v>
      </c>
      <c r="D400" s="5">
        <v>11</v>
      </c>
      <c r="E400" s="3">
        <f ca="1">IFERROR(__xludf.DUMMYFUNCTION("""COMPUTED_VALUE"""),0)</f>
        <v>0</v>
      </c>
    </row>
    <row r="401" spans="1:5" ht="15.75" customHeight="1" x14ac:dyDescent="0.2">
      <c r="A401" s="4" t="s">
        <v>51</v>
      </c>
      <c r="B401" s="4" t="s">
        <v>12</v>
      </c>
      <c r="C401" s="2">
        <v>2024</v>
      </c>
      <c r="D401" s="5">
        <v>11</v>
      </c>
      <c r="E401" s="3">
        <f ca="1">IFERROR(__xludf.DUMMYFUNCTION("""COMPUTED_VALUE"""),0)</f>
        <v>0</v>
      </c>
    </row>
    <row r="402" spans="1:5" ht="15.75" customHeight="1" x14ac:dyDescent="0.2">
      <c r="A402" s="4" t="s">
        <v>51</v>
      </c>
      <c r="B402" s="4" t="s">
        <v>13</v>
      </c>
      <c r="C402" s="2">
        <v>2024</v>
      </c>
      <c r="D402" s="5">
        <v>11</v>
      </c>
      <c r="E402" s="3">
        <f ca="1">IFERROR(__xludf.DUMMYFUNCTION("""COMPUTED_VALUE"""),0)</f>
        <v>0</v>
      </c>
    </row>
    <row r="403" spans="1:5" ht="15.75" customHeight="1" x14ac:dyDescent="0.2">
      <c r="A403" s="4" t="s">
        <v>51</v>
      </c>
      <c r="B403" s="4" t="s">
        <v>4</v>
      </c>
      <c r="C403" s="2">
        <v>2024</v>
      </c>
      <c r="D403" s="5">
        <v>11</v>
      </c>
      <c r="E403" s="3">
        <f ca="1">IFERROR(__xludf.DUMMYFUNCTION("""COMPUTED_VALUE"""),0)</f>
        <v>0</v>
      </c>
    </row>
    <row r="404" spans="1:5" ht="15.75" customHeight="1" x14ac:dyDescent="0.2">
      <c r="A404" s="4" t="s">
        <v>51</v>
      </c>
      <c r="B404" s="4" t="s">
        <v>1</v>
      </c>
      <c r="C404" s="2">
        <v>2024</v>
      </c>
      <c r="D404" s="5">
        <v>11</v>
      </c>
      <c r="E404" s="3">
        <f ca="1">IFERROR(__xludf.DUMMYFUNCTION("""COMPUTED_VALUE"""),0)</f>
        <v>0</v>
      </c>
    </row>
    <row r="405" spans="1:5" ht="15.75" customHeight="1" x14ac:dyDescent="0.2">
      <c r="A405" s="4" t="s">
        <v>51</v>
      </c>
      <c r="B405" s="4" t="s">
        <v>14</v>
      </c>
      <c r="C405" s="2">
        <v>2024</v>
      </c>
      <c r="D405" s="5">
        <v>11</v>
      </c>
      <c r="E405" s="3">
        <f ca="1">IFERROR(__xludf.DUMMYFUNCTION("""COMPUTED_VALUE"""),0)</f>
        <v>0</v>
      </c>
    </row>
    <row r="406" spans="1:5" ht="15.75" customHeight="1" x14ac:dyDescent="0.2">
      <c r="A406" s="4" t="s">
        <v>51</v>
      </c>
      <c r="B406" s="4" t="s">
        <v>15</v>
      </c>
      <c r="C406" s="2">
        <v>2024</v>
      </c>
      <c r="D406" s="5">
        <v>11</v>
      </c>
      <c r="E406" s="3">
        <f ca="1">IFERROR(__xludf.DUMMYFUNCTION("""COMPUTED_VALUE"""),0)</f>
        <v>0</v>
      </c>
    </row>
    <row r="407" spans="1:5" ht="15.75" customHeight="1" x14ac:dyDescent="0.2">
      <c r="A407" s="4" t="s">
        <v>51</v>
      </c>
      <c r="B407" s="4" t="s">
        <v>2</v>
      </c>
      <c r="C407" s="2">
        <v>2024</v>
      </c>
      <c r="D407" s="5">
        <v>11</v>
      </c>
      <c r="E407" s="3">
        <f ca="1">IFERROR(__xludf.DUMMYFUNCTION("""COMPUTED_VALUE"""),2383.57300884955)</f>
        <v>2383.5730088495502</v>
      </c>
    </row>
    <row r="408" spans="1:5" ht="15.75" customHeight="1" x14ac:dyDescent="0.2">
      <c r="A408" s="4" t="s">
        <v>51</v>
      </c>
      <c r="B408" s="4" t="s">
        <v>16</v>
      </c>
      <c r="C408" s="2">
        <v>2024</v>
      </c>
      <c r="D408" s="5">
        <v>11</v>
      </c>
      <c r="E408" s="3">
        <f ca="1">IFERROR(__xludf.DUMMYFUNCTION("""COMPUTED_VALUE"""),4712.35934664246)</f>
        <v>4712.35934664246</v>
      </c>
    </row>
    <row r="409" spans="1:5" ht="15.75" customHeight="1" x14ac:dyDescent="0.2">
      <c r="A409" s="4" t="s">
        <v>51</v>
      </c>
      <c r="B409" s="4" t="s">
        <v>17</v>
      </c>
      <c r="C409" s="2">
        <v>2024</v>
      </c>
      <c r="D409" s="5">
        <v>11</v>
      </c>
      <c r="E409" s="3">
        <f ca="1">IFERROR(__xludf.DUMMYFUNCTION("""COMPUTED_VALUE"""),8949.63391136801)</f>
        <v>8949.6339113680096</v>
      </c>
    </row>
    <row r="410" spans="1:5" ht="15.75" customHeight="1" x14ac:dyDescent="0.2">
      <c r="A410" s="4" t="s">
        <v>52</v>
      </c>
      <c r="B410" s="10" t="s">
        <v>5</v>
      </c>
      <c r="C410" s="2">
        <v>2024</v>
      </c>
      <c r="D410" s="5">
        <v>11</v>
      </c>
      <c r="E410" s="3">
        <f ca="1">IFERROR(__xludf.DUMMYFUNCTION("TRANSPOSE(IMPORTRANGE(""https://docs.google.com/spreadsheets/d/1uZDbd7QqVDyXIy3J32lMUgNi0cYm-p80FJc-hWxxacs/edit?usp=sharing"",""Perhitungan Stok!$J$26:$J$37""))"),678061.885272111)</f>
        <v>678061.88527211105</v>
      </c>
    </row>
    <row r="411" spans="1:5" ht="15.75" customHeight="1" x14ac:dyDescent="0.2">
      <c r="A411" s="4" t="s">
        <v>52</v>
      </c>
      <c r="B411" s="4" t="s">
        <v>3</v>
      </c>
      <c r="C411" s="2">
        <v>2024</v>
      </c>
      <c r="D411" s="5">
        <v>11</v>
      </c>
      <c r="E411" s="3">
        <f ca="1">IFERROR(__xludf.DUMMYFUNCTION("""COMPUTED_VALUE"""),306)</f>
        <v>306</v>
      </c>
    </row>
    <row r="412" spans="1:5" ht="15.75" customHeight="1" x14ac:dyDescent="0.2">
      <c r="A412" s="4" t="s">
        <v>52</v>
      </c>
      <c r="B412" s="4" t="s">
        <v>11</v>
      </c>
      <c r="C412" s="2">
        <v>2024</v>
      </c>
      <c r="D412" s="5">
        <v>11</v>
      </c>
      <c r="E412" s="3">
        <f ca="1">IFERROR(__xludf.DUMMYFUNCTION("""COMPUTED_VALUE"""),19502.4375)</f>
        <v>19502.4375</v>
      </c>
    </row>
    <row r="413" spans="1:5" ht="15.75" customHeight="1" x14ac:dyDescent="0.2">
      <c r="A413" s="4" t="s">
        <v>52</v>
      </c>
      <c r="B413" s="4" t="s">
        <v>12</v>
      </c>
      <c r="C413" s="2">
        <v>2024</v>
      </c>
      <c r="D413" s="5">
        <v>11</v>
      </c>
      <c r="E413" s="3">
        <f ca="1">IFERROR(__xludf.DUMMYFUNCTION("""COMPUTED_VALUE"""),43)</f>
        <v>43</v>
      </c>
    </row>
    <row r="414" spans="1:5" ht="15.75" customHeight="1" x14ac:dyDescent="0.2">
      <c r="A414" s="4" t="s">
        <v>52</v>
      </c>
      <c r="B414" s="4" t="s">
        <v>13</v>
      </c>
      <c r="C414" s="2">
        <v>2024</v>
      </c>
      <c r="D414" s="5">
        <v>11</v>
      </c>
      <c r="E414" s="3">
        <f ca="1">IFERROR(__xludf.DUMMYFUNCTION("""COMPUTED_VALUE"""),6242.52069536423)</f>
        <v>6242.5206953642301</v>
      </c>
    </row>
    <row r="415" spans="1:5" ht="15.75" customHeight="1" x14ac:dyDescent="0.2">
      <c r="A415" s="4" t="s">
        <v>52</v>
      </c>
      <c r="B415" s="4" t="s">
        <v>4</v>
      </c>
      <c r="C415" s="2">
        <v>2024</v>
      </c>
      <c r="D415" s="5">
        <v>11</v>
      </c>
      <c r="E415" s="3">
        <f ca="1">IFERROR(__xludf.DUMMYFUNCTION("""COMPUTED_VALUE"""),97.5)</f>
        <v>97.5</v>
      </c>
    </row>
    <row r="416" spans="1:5" ht="15.75" customHeight="1" x14ac:dyDescent="0.2">
      <c r="A416" s="4" t="s">
        <v>52</v>
      </c>
      <c r="B416" s="4" t="s">
        <v>1</v>
      </c>
      <c r="C416" s="2">
        <v>2024</v>
      </c>
      <c r="D416" s="5">
        <v>11</v>
      </c>
      <c r="E416" s="3">
        <f ca="1">IFERROR(__xludf.DUMMYFUNCTION("""COMPUTED_VALUE"""),48.3333333333333)</f>
        <v>48.3333333333333</v>
      </c>
    </row>
    <row r="417" spans="1:5" ht="15.75" customHeight="1" x14ac:dyDescent="0.2">
      <c r="A417" s="4" t="s">
        <v>52</v>
      </c>
      <c r="B417" s="4" t="s">
        <v>14</v>
      </c>
      <c r="C417" s="2">
        <v>2024</v>
      </c>
      <c r="D417" s="5">
        <v>11</v>
      </c>
      <c r="E417" s="3">
        <f ca="1">IFERROR(__xludf.DUMMYFUNCTION("""COMPUTED_VALUE"""),19.375)</f>
        <v>19.375</v>
      </c>
    </row>
    <row r="418" spans="1:5" ht="15.75" customHeight="1" x14ac:dyDescent="0.2">
      <c r="A418" s="4" t="s">
        <v>52</v>
      </c>
      <c r="B418" s="4" t="s">
        <v>15</v>
      </c>
      <c r="C418" s="2">
        <v>2024</v>
      </c>
      <c r="D418" s="5">
        <v>11</v>
      </c>
      <c r="E418" s="3">
        <f ca="1">IFERROR(__xludf.DUMMYFUNCTION("""COMPUTED_VALUE"""),2.63492063492063)</f>
        <v>2.63492063492063</v>
      </c>
    </row>
    <row r="419" spans="1:5" ht="15.75" customHeight="1" x14ac:dyDescent="0.2">
      <c r="A419" s="4" t="s">
        <v>52</v>
      </c>
      <c r="B419" s="4" t="s">
        <v>2</v>
      </c>
      <c r="C419" s="2">
        <v>2024</v>
      </c>
      <c r="D419" s="5">
        <v>11</v>
      </c>
      <c r="E419" s="3">
        <f ca="1">IFERROR(__xludf.DUMMYFUNCTION("""COMPUTED_VALUE"""),1314.43298969072)</f>
        <v>1314.43298969072</v>
      </c>
    </row>
    <row r="420" spans="1:5" ht="15.75" customHeight="1" x14ac:dyDescent="0.2">
      <c r="A420" s="4" t="s">
        <v>52</v>
      </c>
      <c r="B420" s="4" t="s">
        <v>16</v>
      </c>
      <c r="C420" s="2">
        <v>2024</v>
      </c>
      <c r="D420" s="5">
        <v>11</v>
      </c>
      <c r="E420" s="3">
        <f ca="1">IFERROR(__xludf.DUMMYFUNCTION("""COMPUTED_VALUE"""),123492.775678461)</f>
        <v>123492.775678461</v>
      </c>
    </row>
    <row r="421" spans="1:5" ht="15.75" customHeight="1" x14ac:dyDescent="0.2">
      <c r="A421" s="4" t="s">
        <v>52</v>
      </c>
      <c r="B421" s="4" t="s">
        <v>17</v>
      </c>
      <c r="C421" s="2">
        <v>2024</v>
      </c>
      <c r="D421" s="5">
        <v>11</v>
      </c>
      <c r="E421" s="3">
        <f ca="1">IFERROR(__xludf.DUMMYFUNCTION("""COMPUTED_VALUE"""),18424.4181602001)</f>
        <v>18424.418160200101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csv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JACK / MIA</cp:lastModifiedBy>
  <dcterms:modified xsi:type="dcterms:W3CDTF">2025-02-10T10:22:11Z</dcterms:modified>
</cp:coreProperties>
</file>