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896bfc1bb1b6519b/MAGANG/KSP di DISPANHAN/project stok/"/>
    </mc:Choice>
  </mc:AlternateContent>
  <xr:revisionPtr revIDLastSave="470" documentId="11_0B39AAEEBE8CE3D6701DBE861E260243F1C63135" xr6:coauthVersionLast="47" xr6:coauthVersionMax="47" xr10:uidLastSave="{D822E3F7-8B1A-4C6C-88C5-6A7BA2F61985}"/>
  <bookViews>
    <workbookView xWindow="-108" yWindow="-108" windowWidth="23256" windowHeight="12456" xr2:uid="{00000000-000D-0000-FFFF-FFFF00000000}"/>
  </bookViews>
  <sheets>
    <sheet name="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9" i="1" l="1"/>
  <c r="E267" i="1"/>
  <c r="E226" i="1"/>
  <c r="E225" i="1"/>
  <c r="E105" i="1"/>
  <c r="E92" i="1"/>
  <c r="E8" i="1"/>
  <c r="E7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P170" i="1"/>
  <c r="O170" i="1"/>
  <c r="N170" i="1"/>
  <c r="M170" i="1"/>
  <c r="L170" i="1"/>
  <c r="K170" i="1"/>
  <c r="J170" i="1"/>
  <c r="H170" i="1"/>
  <c r="F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  <c r="E3" i="1"/>
  <c r="E4" i="1"/>
  <c r="E5" i="1"/>
  <c r="E6" i="1"/>
  <c r="E9" i="1"/>
  <c r="E10" i="1"/>
  <c r="E11" i="1"/>
  <c r="E12" i="1"/>
  <c r="E13" i="1"/>
  <c r="E1238" i="1"/>
  <c r="E1239" i="1"/>
  <c r="E1203" i="1"/>
  <c r="E1107" i="1"/>
  <c r="E1066" i="1"/>
  <c r="E1065" i="1"/>
  <c r="E945" i="1"/>
  <c r="E932" i="1"/>
  <c r="E848" i="1"/>
  <c r="E847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6" i="1"/>
  <c r="E845" i="1"/>
  <c r="E844" i="1"/>
  <c r="E843" i="1"/>
  <c r="E842" i="1"/>
  <c r="E841" i="1" l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433" i="1"/>
  <c r="E432" i="1"/>
  <c r="E431" i="1"/>
  <c r="E430" i="1"/>
  <c r="E429" i="1"/>
  <c r="E426" i="1"/>
  <c r="E425" i="1"/>
  <c r="E424" i="1"/>
  <c r="E423" i="1"/>
  <c r="E422" i="1"/>
  <c r="E793" i="1"/>
  <c r="E792" i="1"/>
  <c r="E791" i="1"/>
  <c r="E790" i="1"/>
  <c r="E789" i="1"/>
  <c r="E788" i="1"/>
  <c r="E787" i="1"/>
  <c r="E786" i="1"/>
  <c r="E785" i="1"/>
  <c r="E784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29" i="1"/>
  <c r="E528" i="1"/>
  <c r="E527" i="1"/>
  <c r="E526" i="1"/>
  <c r="E524" i="1"/>
  <c r="E523" i="1"/>
  <c r="E522" i="1"/>
  <c r="E521" i="1"/>
  <c r="E520" i="1"/>
  <c r="E519" i="1"/>
  <c r="E518" i="1"/>
</calcChain>
</file>

<file path=xl/sharedStrings.xml><?xml version="1.0" encoding="utf-8"?>
<sst xmlns="http://schemas.openxmlformats.org/spreadsheetml/2006/main" count="2536" uniqueCount="53">
  <si>
    <t>kota</t>
  </si>
  <si>
    <t>cabairawit</t>
  </si>
  <si>
    <t>telur</t>
  </si>
  <si>
    <t>jagung</t>
  </si>
  <si>
    <t>cabaibesar</t>
  </si>
  <si>
    <t>beras</t>
  </si>
  <si>
    <t>bulan</t>
  </si>
  <si>
    <t>bahanpokok</t>
  </si>
  <si>
    <t>stok</t>
  </si>
  <si>
    <t>tahun</t>
  </si>
  <si>
    <t>kab_banjarnegara</t>
  </si>
  <si>
    <t>kedelai</t>
  </si>
  <si>
    <t>bawangmerah</t>
  </si>
  <si>
    <t>bawangputih</t>
  </si>
  <si>
    <t>dagingsapi</t>
  </si>
  <si>
    <t>dagingayamras</t>
  </si>
  <si>
    <t>gulapasir</t>
  </si>
  <si>
    <t>minyakgoreng</t>
  </si>
  <si>
    <t>kab_banyumas</t>
  </si>
  <si>
    <t>kab_batang</t>
  </si>
  <si>
    <t>kab_blora</t>
  </si>
  <si>
    <t>NULL</t>
  </si>
  <si>
    <t>kab_boyolali</t>
  </si>
  <si>
    <t>kab_brebes</t>
  </si>
  <si>
    <t>kab_cilacap</t>
  </si>
  <si>
    <t>kab_demak</t>
  </si>
  <si>
    <t>kab_grobogan</t>
  </si>
  <si>
    <t>kab_jepara</t>
  </si>
  <si>
    <t>kab_karanganyar</t>
  </si>
  <si>
    <t>kab_kebumen</t>
  </si>
  <si>
    <t>kab_kendal</t>
  </si>
  <si>
    <t>kab_klaten</t>
  </si>
  <si>
    <t>kab_kudus</t>
  </si>
  <si>
    <t>kab_magelang</t>
  </si>
  <si>
    <t>kab_pati</t>
  </si>
  <si>
    <t>kab_pekalongan</t>
  </si>
  <si>
    <t>kab_pemalang</t>
  </si>
  <si>
    <t>kab_purbalingga</t>
  </si>
  <si>
    <t>kab_purworejo</t>
  </si>
  <si>
    <t>kab_rembang</t>
  </si>
  <si>
    <t>kab_sragen</t>
  </si>
  <si>
    <t>kab_semarang</t>
  </si>
  <si>
    <t>kab_sukoharjo</t>
  </si>
  <si>
    <t>kab_temanggung</t>
  </si>
  <si>
    <t>kab_tegal</t>
  </si>
  <si>
    <t>kab_wonogiri</t>
  </si>
  <si>
    <t>kab_wonosobo</t>
  </si>
  <si>
    <t>kota_magelang</t>
  </si>
  <si>
    <t>kota_pekalongan</t>
  </si>
  <si>
    <t>kota_surakarta</t>
  </si>
  <si>
    <t>kota_salatiga</t>
  </si>
  <si>
    <t>kota_semarang</t>
  </si>
  <si>
    <t>kota_tegal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</si>
</sst>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i/>
      <sz val="14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4F6652C0-71FA-4FE9-A985-7BDDDE3CDB1E}"/>
  </cellStyles>
  <dxfs count="9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261"/>
  <sheetViews>
    <sheetView tabSelected="1" zoomScale="95" zoomScaleNormal="95" workbookViewId="0">
      <selection activeCell="E105" sqref="E105"/>
    </sheetView>
  </sheetViews>
  <sheetFormatPr defaultColWidth="12.6640625" defaultRowHeight="15.75" customHeight="1" x14ac:dyDescent="0.25"/>
  <cols>
    <col min="1" max="5" width="12.6640625" style="8"/>
    <col min="6" max="6" width="12.6640625" style="2"/>
    <col min="8" max="8" width="12.6640625" style="2"/>
    <col min="10" max="10" width="12.88671875" style="2" customWidth="1"/>
    <col min="11" max="11" width="13.77734375" style="2" customWidth="1"/>
    <col min="12" max="16384" width="12.6640625" style="2"/>
  </cols>
  <sheetData>
    <row r="1" spans="1:19" ht="13.2" x14ac:dyDescent="0.25">
      <c r="A1" s="5" t="s">
        <v>0</v>
      </c>
      <c r="B1" s="5" t="s">
        <v>7</v>
      </c>
      <c r="C1" s="6" t="s">
        <v>9</v>
      </c>
      <c r="D1" s="6" t="s">
        <v>6</v>
      </c>
      <c r="E1" s="7" t="s">
        <v>8</v>
      </c>
      <c r="F1" s="1"/>
      <c r="H1" s="1"/>
      <c r="O1" s="1"/>
      <c r="P1" s="1"/>
      <c r="Q1" s="1"/>
      <c r="R1" s="1"/>
      <c r="S1" s="1"/>
    </row>
    <row r="2" spans="1:19" ht="15.75" customHeight="1" x14ac:dyDescent="0.3">
      <c r="A2" s="7" t="s">
        <v>10</v>
      </c>
      <c r="B2" s="7" t="s">
        <v>5</v>
      </c>
      <c r="C2" s="8">
        <v>2024</v>
      </c>
      <c r="D2" s="8">
        <v>10</v>
      </c>
      <c r="E2">
        <f ca="1">IFERROR(__xludf.DUMMYFUNCTION("TRANSPOSE(IMPORTRANGE(""https://docs.google.com/spreadsheets/d/1AtdMzuToiWUhtlxnY1Dz2wS_LuWlSr9V3xqy8xdgs8Y/edit?usp=sharing"",""Perhitungan Stok!$J$6:$J$17""))"),51000)</f>
        <v>51000</v>
      </c>
      <c r="F2" s="3"/>
    </row>
    <row r="3" spans="1:19" ht="15.75" customHeight="1" x14ac:dyDescent="0.25">
      <c r="A3" s="7" t="s">
        <v>10</v>
      </c>
      <c r="B3" s="7" t="s">
        <v>3</v>
      </c>
      <c r="C3" s="8">
        <v>2024</v>
      </c>
      <c r="D3" s="8">
        <v>10</v>
      </c>
      <c r="E3">
        <f ca="1">IFERROR(__xludf.DUMMYFUNCTION("""COMPUTED_VALUE"""),1010)</f>
        <v>1010</v>
      </c>
      <c r="F3" s="4"/>
    </row>
    <row r="4" spans="1:19" ht="15.75" customHeight="1" x14ac:dyDescent="0.25">
      <c r="A4" s="7" t="s">
        <v>10</v>
      </c>
      <c r="B4" s="7" t="s">
        <v>11</v>
      </c>
      <c r="C4" s="8">
        <v>2024</v>
      </c>
      <c r="D4" s="8">
        <v>10</v>
      </c>
      <c r="E4">
        <f ca="1">IFERROR(__xludf.DUMMYFUNCTION("""COMPUTED_VALUE"""),8000)</f>
        <v>8000</v>
      </c>
      <c r="F4" s="4"/>
    </row>
    <row r="5" spans="1:19" ht="15.75" customHeight="1" x14ac:dyDescent="0.25">
      <c r="A5" s="7" t="s">
        <v>10</v>
      </c>
      <c r="B5" s="7" t="s">
        <v>12</v>
      </c>
      <c r="C5" s="8">
        <v>2024</v>
      </c>
      <c r="D5" s="8">
        <v>10</v>
      </c>
      <c r="E5">
        <f ca="1">IFERROR(__xludf.DUMMYFUNCTION("""COMPUTED_VALUE"""),500)</f>
        <v>500</v>
      </c>
      <c r="F5" s="4"/>
    </row>
    <row r="6" spans="1:19" ht="15.75" customHeight="1" x14ac:dyDescent="0.25">
      <c r="A6" s="7" t="s">
        <v>10</v>
      </c>
      <c r="B6" s="7" t="s">
        <v>13</v>
      </c>
      <c r="C6" s="8">
        <v>2024</v>
      </c>
      <c r="D6" s="8">
        <v>10</v>
      </c>
      <c r="E6">
        <f ca="1">IFERROR(__xludf.DUMMYFUNCTION("""COMPUTED_VALUE"""),500)</f>
        <v>500</v>
      </c>
      <c r="F6" s="4"/>
    </row>
    <row r="7" spans="1:19" ht="15.75" customHeight="1" x14ac:dyDescent="0.25">
      <c r="A7" s="7" t="s">
        <v>10</v>
      </c>
      <c r="B7" s="7" t="s">
        <v>4</v>
      </c>
      <c r="C7" s="8">
        <v>2024</v>
      </c>
      <c r="D7" s="8">
        <v>10</v>
      </c>
      <c r="E7" t="str">
        <f ca="1">IFERROR(__xludf.DUMMYFUNCTION("""COMPUTED_VALUE"""),"NULL")</f>
        <v>NULL</v>
      </c>
      <c r="F7" s="4"/>
    </row>
    <row r="8" spans="1:19" ht="15.75" customHeight="1" x14ac:dyDescent="0.25">
      <c r="A8" s="7" t="s">
        <v>10</v>
      </c>
      <c r="B8" s="7" t="s">
        <v>1</v>
      </c>
      <c r="C8" s="8">
        <v>2024</v>
      </c>
      <c r="D8" s="8">
        <v>10</v>
      </c>
      <c r="E8" t="str">
        <f ca="1">IFERROR(__xludf.DUMMYFUNCTION("""COMPUTED_VALUE"""),"NULL")</f>
        <v>NULL</v>
      </c>
      <c r="F8" s="4"/>
    </row>
    <row r="9" spans="1:19" ht="15.75" customHeight="1" x14ac:dyDescent="0.25">
      <c r="A9" s="7" t="s">
        <v>10</v>
      </c>
      <c r="B9" s="7" t="s">
        <v>14</v>
      </c>
      <c r="C9" s="8">
        <v>2024</v>
      </c>
      <c r="D9" s="8">
        <v>10</v>
      </c>
      <c r="E9">
        <f ca="1">IFERROR(__xludf.DUMMYFUNCTION("""COMPUTED_VALUE"""),1480)</f>
        <v>1480</v>
      </c>
      <c r="F9" s="4"/>
    </row>
    <row r="10" spans="1:19" ht="15.75" customHeight="1" x14ac:dyDescent="0.25">
      <c r="A10" s="7" t="s">
        <v>10</v>
      </c>
      <c r="B10" s="7" t="s">
        <v>15</v>
      </c>
      <c r="C10" s="8">
        <v>2024</v>
      </c>
      <c r="D10" s="8">
        <v>10</v>
      </c>
      <c r="E10">
        <f ca="1">IFERROR(__xludf.DUMMYFUNCTION("""COMPUTED_VALUE"""),1070)</f>
        <v>1070</v>
      </c>
      <c r="F10" s="4"/>
    </row>
    <row r="11" spans="1:19" ht="15.75" customHeight="1" x14ac:dyDescent="0.25">
      <c r="A11" s="7" t="s">
        <v>10</v>
      </c>
      <c r="B11" s="7" t="s">
        <v>2</v>
      </c>
      <c r="C11" s="8">
        <v>2024</v>
      </c>
      <c r="D11" s="8">
        <v>10</v>
      </c>
      <c r="E11">
        <f ca="1">IFERROR(__xludf.DUMMYFUNCTION("""COMPUTED_VALUE"""),805.614035087719)</f>
        <v>805.614035087719</v>
      </c>
      <c r="F11" s="4"/>
    </row>
    <row r="12" spans="1:19" ht="15.75" customHeight="1" x14ac:dyDescent="0.25">
      <c r="A12" s="7" t="s">
        <v>10</v>
      </c>
      <c r="B12" s="7" t="s">
        <v>16</v>
      </c>
      <c r="C12" s="8">
        <v>2024</v>
      </c>
      <c r="D12" s="8">
        <v>10</v>
      </c>
      <c r="E12">
        <f ca="1">IFERROR(__xludf.DUMMYFUNCTION("""COMPUTED_VALUE"""),5000)</f>
        <v>5000</v>
      </c>
      <c r="F12" s="4"/>
    </row>
    <row r="13" spans="1:19" ht="15.75" customHeight="1" x14ac:dyDescent="0.25">
      <c r="A13" s="7" t="s">
        <v>10</v>
      </c>
      <c r="B13" s="7" t="s">
        <v>17</v>
      </c>
      <c r="C13" s="8">
        <v>2024</v>
      </c>
      <c r="D13" s="8">
        <v>10</v>
      </c>
      <c r="E13">
        <f ca="1">IFERROR(__xludf.DUMMYFUNCTION("""COMPUTED_VALUE"""),2720)</f>
        <v>2720</v>
      </c>
      <c r="F13" s="4"/>
    </row>
    <row r="14" spans="1:19" ht="15.75" customHeight="1" x14ac:dyDescent="0.25">
      <c r="A14" s="7" t="s">
        <v>18</v>
      </c>
      <c r="B14" s="7" t="s">
        <v>5</v>
      </c>
      <c r="C14" s="8">
        <v>2024</v>
      </c>
      <c r="D14" s="8">
        <v>10</v>
      </c>
      <c r="E14">
        <f ca="1">IFERROR(__xludf.DUMMYFUNCTION("TRANSPOSE(IMPORTRANGE(""https://docs.google.com/spreadsheets/d/1Kl6hcZbk0Xm-rTfEbqmPvGqFowxLYpC5mFoXw2ogkHw/edit?usp=sharing"",""Perhitungan Stok!$J$6:$J$17""))"),41351.4875239923)</f>
        <v>41351.487523992299</v>
      </c>
      <c r="F14" s="4"/>
    </row>
    <row r="15" spans="1:19" ht="15.75" customHeight="1" x14ac:dyDescent="0.25">
      <c r="A15" s="7" t="s">
        <v>18</v>
      </c>
      <c r="B15" s="7" t="s">
        <v>3</v>
      </c>
      <c r="C15" s="8">
        <v>2024</v>
      </c>
      <c r="D15" s="8">
        <v>10</v>
      </c>
      <c r="E15">
        <f ca="1">IFERROR(__xludf.DUMMYFUNCTION("""COMPUTED_VALUE"""),3000)</f>
        <v>3000</v>
      </c>
      <c r="F15" s="4"/>
    </row>
    <row r="16" spans="1:19" ht="13.2" x14ac:dyDescent="0.25">
      <c r="A16" s="7" t="s">
        <v>18</v>
      </c>
      <c r="B16" s="7" t="s">
        <v>11</v>
      </c>
      <c r="C16" s="8">
        <v>2024</v>
      </c>
      <c r="D16" s="8">
        <v>10</v>
      </c>
      <c r="E16">
        <f ca="1">IFERROR(__xludf.DUMMYFUNCTION("""COMPUTED_VALUE"""),1250)</f>
        <v>1250</v>
      </c>
      <c r="F16" s="4"/>
    </row>
    <row r="17" spans="1:6" ht="13.2" x14ac:dyDescent="0.25">
      <c r="A17" s="7" t="s">
        <v>18</v>
      </c>
      <c r="B17" s="7" t="s">
        <v>12</v>
      </c>
      <c r="C17" s="8">
        <v>2024</v>
      </c>
      <c r="D17" s="8">
        <v>10</v>
      </c>
      <c r="E17">
        <f ca="1">IFERROR(__xludf.DUMMYFUNCTION("""COMPUTED_VALUE"""),2078.76923076923)</f>
        <v>2078.76923076923</v>
      </c>
      <c r="F17" s="4"/>
    </row>
    <row r="18" spans="1:6" ht="13.2" x14ac:dyDescent="0.25">
      <c r="A18" s="7" t="s">
        <v>18</v>
      </c>
      <c r="B18" s="7" t="s">
        <v>13</v>
      </c>
      <c r="C18" s="8">
        <v>2024</v>
      </c>
      <c r="D18" s="8">
        <v>10</v>
      </c>
      <c r="E18">
        <f ca="1">IFERROR(__xludf.DUMMYFUNCTION("""COMPUTED_VALUE"""),5400.6941410129)</f>
        <v>5400.6941410129002</v>
      </c>
      <c r="F18" s="4"/>
    </row>
    <row r="19" spans="1:6" ht="13.2" x14ac:dyDescent="0.25">
      <c r="A19" s="7" t="s">
        <v>18</v>
      </c>
      <c r="B19" s="7" t="s">
        <v>4</v>
      </c>
      <c r="C19" s="8">
        <v>2024</v>
      </c>
      <c r="D19" s="8">
        <v>10</v>
      </c>
      <c r="E19">
        <f ca="1">IFERROR(__xludf.DUMMYFUNCTION("""COMPUTED_VALUE"""),1352.4)</f>
        <v>1352.4</v>
      </c>
      <c r="F19" s="4"/>
    </row>
    <row r="20" spans="1:6" ht="13.2" x14ac:dyDescent="0.25">
      <c r="A20" s="7" t="s">
        <v>18</v>
      </c>
      <c r="B20" s="7" t="s">
        <v>1</v>
      </c>
      <c r="C20" s="8">
        <v>2024</v>
      </c>
      <c r="D20" s="8">
        <v>10</v>
      </c>
      <c r="E20">
        <f ca="1">IFERROR(__xludf.DUMMYFUNCTION("""COMPUTED_VALUE"""),1835.625)</f>
        <v>1835.625</v>
      </c>
      <c r="F20" s="4"/>
    </row>
    <row r="21" spans="1:6" ht="13.2" x14ac:dyDescent="0.25">
      <c r="A21" s="7" t="s">
        <v>18</v>
      </c>
      <c r="B21" s="7" t="s">
        <v>14</v>
      </c>
      <c r="C21" s="8">
        <v>2024</v>
      </c>
      <c r="D21" s="8">
        <v>10</v>
      </c>
      <c r="E21">
        <f ca="1">IFERROR(__xludf.DUMMYFUNCTION("""COMPUTED_VALUE"""),141.714285714285)</f>
        <v>141.71428571428501</v>
      </c>
      <c r="F21" s="4"/>
    </row>
    <row r="22" spans="1:6" ht="13.2" x14ac:dyDescent="0.25">
      <c r="A22" s="7" t="s">
        <v>18</v>
      </c>
      <c r="B22" s="7" t="s">
        <v>15</v>
      </c>
      <c r="C22" s="8">
        <v>2024</v>
      </c>
      <c r="D22" s="8">
        <v>10</v>
      </c>
      <c r="E22">
        <f ca="1">IFERROR(__xludf.DUMMYFUNCTION("""COMPUTED_VALUE"""),49703.1629392971)</f>
        <v>49703.162939297101</v>
      </c>
      <c r="F22" s="4"/>
    </row>
    <row r="23" spans="1:6" ht="13.2" x14ac:dyDescent="0.25">
      <c r="A23" s="7" t="s">
        <v>18</v>
      </c>
      <c r="B23" s="7" t="s">
        <v>2</v>
      </c>
      <c r="C23" s="8">
        <v>2024</v>
      </c>
      <c r="D23" s="8">
        <v>10</v>
      </c>
      <c r="E23">
        <f ca="1">IFERROR(__xludf.DUMMYFUNCTION("""COMPUTED_VALUE"""),14989.7229219143)</f>
        <v>14989.722921914299</v>
      </c>
      <c r="F23" s="4"/>
    </row>
    <row r="24" spans="1:6" ht="13.2" x14ac:dyDescent="0.25">
      <c r="A24" s="7" t="s">
        <v>18</v>
      </c>
      <c r="B24" s="7" t="s">
        <v>16</v>
      </c>
      <c r="C24" s="8">
        <v>2024</v>
      </c>
      <c r="D24" s="8">
        <v>10</v>
      </c>
      <c r="E24">
        <f ca="1">IFERROR(__xludf.DUMMYFUNCTION("""COMPUTED_VALUE"""),18224.0034256351)</f>
        <v>18224.003425635099</v>
      </c>
      <c r="F24" s="4"/>
    </row>
    <row r="25" spans="1:6" ht="13.2" x14ac:dyDescent="0.25">
      <c r="A25" s="7" t="s">
        <v>18</v>
      </c>
      <c r="B25" s="7" t="s">
        <v>17</v>
      </c>
      <c r="C25" s="8">
        <v>2024</v>
      </c>
      <c r="D25" s="8">
        <v>10</v>
      </c>
      <c r="E25">
        <f ca="1">IFERROR(__xludf.DUMMYFUNCTION("""COMPUTED_VALUE"""),1595.51491166077)</f>
        <v>1595.5149116607699</v>
      </c>
      <c r="F25" s="4"/>
    </row>
    <row r="26" spans="1:6" ht="13.2" x14ac:dyDescent="0.25">
      <c r="A26" s="7" t="s">
        <v>19</v>
      </c>
      <c r="B26" s="7" t="s">
        <v>5</v>
      </c>
      <c r="C26" s="8">
        <v>2024</v>
      </c>
      <c r="D26" s="8">
        <v>10</v>
      </c>
      <c r="E26">
        <f ca="1">IFERROR(__xludf.DUMMYFUNCTION("TRANSPOSE(IMPORTRANGE(""https://docs.google.com/spreadsheets/d/1xvoedWrhqk3-exzHTGmXmwnmfnuZnP7GvG4G_DiivbU/edit?usp=sharing"",""Perhitungan Stok!$J$6:$J$17""))"),10726.1904761904)</f>
        <v>10726.190476190401</v>
      </c>
      <c r="F26" s="4"/>
    </row>
    <row r="27" spans="1:6" ht="13.2" x14ac:dyDescent="0.25">
      <c r="A27" s="7" t="s">
        <v>19</v>
      </c>
      <c r="B27" s="7" t="s">
        <v>3</v>
      </c>
      <c r="C27" s="8">
        <v>2024</v>
      </c>
      <c r="D27" s="8">
        <v>10</v>
      </c>
      <c r="E27">
        <f ca="1">IFERROR(__xludf.DUMMYFUNCTION("""COMPUTED_VALUE"""),2844.03409090909)</f>
        <v>2844.0340909090901</v>
      </c>
      <c r="F27" s="4"/>
    </row>
    <row r="28" spans="1:6" ht="13.2" x14ac:dyDescent="0.25">
      <c r="A28" s="7" t="s">
        <v>19</v>
      </c>
      <c r="B28" s="7" t="s">
        <v>11</v>
      </c>
      <c r="C28" s="8">
        <v>2024</v>
      </c>
      <c r="D28" s="8">
        <v>10</v>
      </c>
      <c r="E28">
        <f ca="1">IFERROR(__xludf.DUMMYFUNCTION("""COMPUTED_VALUE"""),40514.5894607843)</f>
        <v>40514.5894607843</v>
      </c>
      <c r="F28" s="4"/>
    </row>
    <row r="29" spans="1:6" ht="13.2" x14ac:dyDescent="0.25">
      <c r="A29" s="7" t="s">
        <v>19</v>
      </c>
      <c r="B29" s="7" t="s">
        <v>12</v>
      </c>
      <c r="C29" s="8">
        <v>2024</v>
      </c>
      <c r="D29" s="8">
        <v>10</v>
      </c>
      <c r="E29">
        <f ca="1">IFERROR(__xludf.DUMMYFUNCTION("""COMPUTED_VALUE"""),162)</f>
        <v>162</v>
      </c>
      <c r="F29" s="4"/>
    </row>
    <row r="30" spans="1:6" ht="13.2" x14ac:dyDescent="0.25">
      <c r="A30" s="7" t="s">
        <v>19</v>
      </c>
      <c r="B30" s="7" t="s">
        <v>13</v>
      </c>
      <c r="C30" s="8">
        <v>2024</v>
      </c>
      <c r="D30" s="8">
        <v>10</v>
      </c>
      <c r="E30">
        <f ca="1">IFERROR(__xludf.DUMMYFUNCTION("""COMPUTED_VALUE"""),708.959999999999)</f>
        <v>708.95999999999901</v>
      </c>
      <c r="F30" s="4"/>
    </row>
    <row r="31" spans="1:6" ht="13.2" x14ac:dyDescent="0.25">
      <c r="A31" s="7" t="s">
        <v>19</v>
      </c>
      <c r="B31" s="7" t="s">
        <v>4</v>
      </c>
      <c r="C31" s="8">
        <v>2024</v>
      </c>
      <c r="D31" s="8">
        <v>10</v>
      </c>
      <c r="E31">
        <f ca="1">IFERROR(__xludf.DUMMYFUNCTION("""COMPUTED_VALUE"""),110.833333333333)</f>
        <v>110.833333333333</v>
      </c>
      <c r="F31" s="4"/>
    </row>
    <row r="32" spans="1:6" ht="13.2" x14ac:dyDescent="0.25">
      <c r="A32" s="7" t="s">
        <v>19</v>
      </c>
      <c r="B32" s="7" t="s">
        <v>1</v>
      </c>
      <c r="C32" s="8">
        <v>2024</v>
      </c>
      <c r="D32" s="8">
        <v>10</v>
      </c>
      <c r="E32">
        <f ca="1">IFERROR(__xludf.DUMMYFUNCTION("""COMPUTED_VALUE"""),195)</f>
        <v>195</v>
      </c>
      <c r="F32" s="4"/>
    </row>
    <row r="33" spans="1:6" ht="13.2" x14ac:dyDescent="0.25">
      <c r="A33" s="7" t="s">
        <v>19</v>
      </c>
      <c r="B33" s="7" t="s">
        <v>14</v>
      </c>
      <c r="C33" s="8">
        <v>2024</v>
      </c>
      <c r="D33" s="8">
        <v>10</v>
      </c>
      <c r="E33">
        <f ca="1">IFERROR(__xludf.DUMMYFUNCTION("""COMPUTED_VALUE"""),79.108280254777)</f>
        <v>79.108280254777</v>
      </c>
      <c r="F33" s="4"/>
    </row>
    <row r="34" spans="1:6" ht="13.2" x14ac:dyDescent="0.25">
      <c r="A34" s="7" t="s">
        <v>19</v>
      </c>
      <c r="B34" s="7" t="s">
        <v>15</v>
      </c>
      <c r="C34" s="8">
        <v>2024</v>
      </c>
      <c r="D34" s="8">
        <v>10</v>
      </c>
      <c r="E34">
        <f ca="1">IFERROR(__xludf.DUMMYFUNCTION("""COMPUTED_VALUE"""),110.588235294117)</f>
        <v>110.588235294117</v>
      </c>
      <c r="F34" s="4"/>
    </row>
    <row r="35" spans="1:6" ht="13.2" x14ac:dyDescent="0.25">
      <c r="A35" s="7" t="s">
        <v>19</v>
      </c>
      <c r="B35" s="7" t="s">
        <v>2</v>
      </c>
      <c r="C35" s="8">
        <v>2024</v>
      </c>
      <c r="D35" s="8">
        <v>10</v>
      </c>
      <c r="E35">
        <f ca="1">IFERROR(__xludf.DUMMYFUNCTION("""COMPUTED_VALUE"""),2692.96103896103)</f>
        <v>2692.9610389610302</v>
      </c>
      <c r="F35" s="4"/>
    </row>
    <row r="36" spans="1:6" ht="13.2" x14ac:dyDescent="0.25">
      <c r="A36" s="7" t="s">
        <v>19</v>
      </c>
      <c r="B36" s="7" t="s">
        <v>16</v>
      </c>
      <c r="C36" s="8">
        <v>2024</v>
      </c>
      <c r="D36" s="8">
        <v>10</v>
      </c>
      <c r="E36">
        <f ca="1">IFERROR(__xludf.DUMMYFUNCTION("""COMPUTED_VALUE"""),1397.64705882352)</f>
        <v>1397.64705882352</v>
      </c>
      <c r="F36" s="4"/>
    </row>
    <row r="37" spans="1:6" ht="15.75" customHeight="1" x14ac:dyDescent="0.25">
      <c r="A37" s="7" t="s">
        <v>19</v>
      </c>
      <c r="B37" s="7" t="s">
        <v>17</v>
      </c>
      <c r="C37" s="8">
        <v>2024</v>
      </c>
      <c r="D37" s="8">
        <v>10</v>
      </c>
      <c r="E37">
        <f ca="1">IFERROR(__xludf.DUMMYFUNCTION("""COMPUTED_VALUE"""),9516.04803493449)</f>
        <v>9516.0480349344907</v>
      </c>
    </row>
    <row r="38" spans="1:6" ht="15.75" customHeight="1" x14ac:dyDescent="0.25">
      <c r="A38" s="7" t="s">
        <v>20</v>
      </c>
      <c r="B38" s="7" t="s">
        <v>5</v>
      </c>
      <c r="C38" s="8">
        <v>2024</v>
      </c>
      <c r="D38" s="8">
        <v>10</v>
      </c>
      <c r="E38">
        <f ca="1">IFERROR(__xludf.DUMMYFUNCTION("TRANSPOSE(IMPORTRANGE(""https://docs.google.com/spreadsheets/d/1Ju_v-uQmWpLGDtMfHbQ4-NbOO5xSN_XWIQWTdgAKaFQ/edit?usp=sharing"",""Perhitungan Stok!$J$6:$J$17""))"),1116965.97030809)</f>
        <v>1116965.9703080901</v>
      </c>
    </row>
    <row r="39" spans="1:6" ht="15.75" customHeight="1" x14ac:dyDescent="0.25">
      <c r="A39" s="7" t="s">
        <v>20</v>
      </c>
      <c r="B39" s="7" t="s">
        <v>3</v>
      </c>
      <c r="C39" s="8">
        <v>2024</v>
      </c>
      <c r="D39" s="8">
        <v>10</v>
      </c>
      <c r="E39">
        <f ca="1">IFERROR(__xludf.DUMMYFUNCTION("""COMPUTED_VALUE"""),3742378.84262477)</f>
        <v>3742378.84262477</v>
      </c>
    </row>
    <row r="40" spans="1:6" ht="15.75" customHeight="1" x14ac:dyDescent="0.25">
      <c r="A40" s="7" t="s">
        <v>20</v>
      </c>
      <c r="B40" s="7" t="s">
        <v>11</v>
      </c>
      <c r="C40" s="8">
        <v>2024</v>
      </c>
      <c r="D40" s="8">
        <v>10</v>
      </c>
      <c r="E40">
        <f ca="1">IFERROR(__xludf.DUMMYFUNCTION("""COMPUTED_VALUE"""),13777.1773906861)</f>
        <v>13777.1773906861</v>
      </c>
    </row>
    <row r="41" spans="1:6" ht="15.75" customHeight="1" x14ac:dyDescent="0.25">
      <c r="A41" s="7" t="s">
        <v>20</v>
      </c>
      <c r="B41" s="7" t="s">
        <v>12</v>
      </c>
      <c r="C41" s="8">
        <v>2024</v>
      </c>
      <c r="D41" s="8">
        <v>10</v>
      </c>
      <c r="E41">
        <f ca="1">IFERROR(__xludf.DUMMYFUNCTION("""COMPUTED_VALUE"""),8.032)</f>
        <v>8.032</v>
      </c>
    </row>
    <row r="42" spans="1:6" ht="15.75" customHeight="1" x14ac:dyDescent="0.25">
      <c r="A42" s="7" t="s">
        <v>20</v>
      </c>
      <c r="B42" s="7" t="s">
        <v>13</v>
      </c>
      <c r="C42" s="8">
        <v>2024</v>
      </c>
      <c r="D42" s="8">
        <v>10</v>
      </c>
      <c r="E42">
        <f ca="1">IFERROR(__xludf.DUMMYFUNCTION("""COMPUTED_VALUE"""),0)</f>
        <v>0</v>
      </c>
    </row>
    <row r="43" spans="1:6" ht="15.75" customHeight="1" x14ac:dyDescent="0.25">
      <c r="A43" s="7" t="s">
        <v>20</v>
      </c>
      <c r="B43" s="7" t="s">
        <v>4</v>
      </c>
      <c r="C43" s="8">
        <v>2024</v>
      </c>
      <c r="D43" s="8">
        <v>10</v>
      </c>
      <c r="E43">
        <f ca="1">IFERROR(__xludf.DUMMYFUNCTION("""COMPUTED_VALUE"""),93.6752136752136)</f>
        <v>93.675213675213598</v>
      </c>
    </row>
    <row r="44" spans="1:6" ht="15.75" customHeight="1" x14ac:dyDescent="0.25">
      <c r="A44" s="7" t="s">
        <v>20</v>
      </c>
      <c r="B44" s="7" t="s">
        <v>1</v>
      </c>
      <c r="C44" s="8">
        <v>2024</v>
      </c>
      <c r="D44" s="8">
        <v>10</v>
      </c>
      <c r="E44">
        <f ca="1">IFERROR(__xludf.DUMMYFUNCTION("""COMPUTED_VALUE"""),0)</f>
        <v>0</v>
      </c>
    </row>
    <row r="45" spans="1:6" ht="15.75" customHeight="1" x14ac:dyDescent="0.25">
      <c r="A45" s="7" t="s">
        <v>20</v>
      </c>
      <c r="B45" s="7" t="s">
        <v>14</v>
      </c>
      <c r="C45" s="8">
        <v>2024</v>
      </c>
      <c r="D45" s="8">
        <v>10</v>
      </c>
      <c r="E45">
        <f ca="1">IFERROR(__xludf.DUMMYFUNCTION("""COMPUTED_VALUE"""),16598.2419215055)</f>
        <v>16598.241921505502</v>
      </c>
    </row>
    <row r="46" spans="1:6" ht="15.75" customHeight="1" x14ac:dyDescent="0.25">
      <c r="A46" s="7" t="s">
        <v>20</v>
      </c>
      <c r="B46" s="7" t="s">
        <v>15</v>
      </c>
      <c r="C46" s="8">
        <v>2024</v>
      </c>
      <c r="D46" s="8">
        <v>10</v>
      </c>
      <c r="E46">
        <f ca="1">IFERROR(__xludf.DUMMYFUNCTION("""COMPUTED_VALUE"""),0)</f>
        <v>0</v>
      </c>
    </row>
    <row r="47" spans="1:6" ht="15.75" customHeight="1" x14ac:dyDescent="0.25">
      <c r="A47" s="7" t="s">
        <v>20</v>
      </c>
      <c r="B47" s="7" t="s">
        <v>2</v>
      </c>
      <c r="C47" s="8">
        <v>2024</v>
      </c>
      <c r="D47" s="8">
        <v>10</v>
      </c>
      <c r="E47">
        <f ca="1">IFERROR(__xludf.DUMMYFUNCTION("""COMPUTED_VALUE"""),19728.9112804128)</f>
        <v>19728.911280412802</v>
      </c>
    </row>
    <row r="48" spans="1:6" ht="15.75" customHeight="1" x14ac:dyDescent="0.25">
      <c r="A48" s="7" t="s">
        <v>20</v>
      </c>
      <c r="B48" s="7" t="s">
        <v>16</v>
      </c>
      <c r="C48" s="8">
        <v>2024</v>
      </c>
      <c r="D48" s="8">
        <v>10</v>
      </c>
      <c r="E48">
        <f ca="1">IFERROR(__xludf.DUMMYFUNCTION("""COMPUTED_VALUE"""),15576.9054780313)</f>
        <v>15576.9054780313</v>
      </c>
    </row>
    <row r="49" spans="1:5" ht="15.75" customHeight="1" x14ac:dyDescent="0.25">
      <c r="A49" s="7" t="s">
        <v>20</v>
      </c>
      <c r="B49" s="7" t="s">
        <v>17</v>
      </c>
      <c r="C49" s="8">
        <v>2024</v>
      </c>
      <c r="D49" s="8">
        <v>10</v>
      </c>
      <c r="E49">
        <f ca="1">IFERROR(__xludf.DUMMYFUNCTION("""COMPUTED_VALUE"""),107088.683587989)</f>
        <v>107088.683587989</v>
      </c>
    </row>
    <row r="50" spans="1:5" ht="15.75" customHeight="1" x14ac:dyDescent="0.25">
      <c r="A50" s="7" t="s">
        <v>22</v>
      </c>
      <c r="B50" s="7" t="s">
        <v>5</v>
      </c>
      <c r="C50" s="8">
        <v>2024</v>
      </c>
      <c r="D50" s="8">
        <v>10</v>
      </c>
      <c r="E50">
        <f ca="1">IFERROR(__xludf.DUMMYFUNCTION("TRANSPOSE(IMPORTRANGE(""https://docs.google.com/spreadsheets/d/1QrH6xGEwyvEP6Jp4fAFz45PSjobEVe4G2UYIuP3CLDA/edit?usp=sharing"",""Perhitungan Stok!$J$6:$J$17""))"),36361.1111111111)</f>
        <v>36361.111111111102</v>
      </c>
    </row>
    <row r="51" spans="1:5" ht="15.75" customHeight="1" x14ac:dyDescent="0.25">
      <c r="A51" s="7" t="s">
        <v>22</v>
      </c>
      <c r="B51" s="7" t="s">
        <v>3</v>
      </c>
      <c r="C51" s="8">
        <v>2024</v>
      </c>
      <c r="D51" s="8">
        <v>10</v>
      </c>
      <c r="E51">
        <f ca="1">IFERROR(__xludf.DUMMYFUNCTION("""COMPUTED_VALUE"""),15000)</f>
        <v>15000</v>
      </c>
    </row>
    <row r="52" spans="1:5" ht="15.75" customHeight="1" x14ac:dyDescent="0.25">
      <c r="A52" s="7" t="s">
        <v>22</v>
      </c>
      <c r="B52" s="7" t="s">
        <v>11</v>
      </c>
      <c r="C52" s="8">
        <v>2024</v>
      </c>
      <c r="D52" s="8">
        <v>10</v>
      </c>
      <c r="E52">
        <f ca="1">IFERROR(__xludf.DUMMYFUNCTION("""COMPUTED_VALUE"""),10697.3642384105)</f>
        <v>10697.364238410501</v>
      </c>
    </row>
    <row r="53" spans="1:5" ht="15.75" customHeight="1" x14ac:dyDescent="0.25">
      <c r="A53" s="7" t="s">
        <v>22</v>
      </c>
      <c r="B53" s="7" t="s">
        <v>12</v>
      </c>
      <c r="C53" s="8">
        <v>2024</v>
      </c>
      <c r="D53" s="8">
        <v>10</v>
      </c>
      <c r="E53">
        <f ca="1">IFERROR(__xludf.DUMMYFUNCTION("""COMPUTED_VALUE"""),895.442708333333)</f>
        <v>895.44270833333303</v>
      </c>
    </row>
    <row r="54" spans="1:5" ht="15.75" customHeight="1" x14ac:dyDescent="0.25">
      <c r="A54" s="7" t="s">
        <v>22</v>
      </c>
      <c r="B54" s="7" t="s">
        <v>13</v>
      </c>
      <c r="C54" s="8">
        <v>2024</v>
      </c>
      <c r="D54" s="8">
        <v>10</v>
      </c>
      <c r="E54">
        <f ca="1">IFERROR(__xludf.DUMMYFUNCTION("""COMPUTED_VALUE"""),259.999999999999)</f>
        <v>259.99999999999898</v>
      </c>
    </row>
    <row r="55" spans="1:5" ht="15.75" customHeight="1" x14ac:dyDescent="0.25">
      <c r="A55" s="7" t="s">
        <v>22</v>
      </c>
      <c r="B55" s="7" t="s">
        <v>4</v>
      </c>
      <c r="C55" s="8">
        <v>2024</v>
      </c>
      <c r="D55" s="8">
        <v>10</v>
      </c>
      <c r="E55">
        <f ca="1">IFERROR(__xludf.DUMMYFUNCTION("""COMPUTED_VALUE"""),586.024096385542)</f>
        <v>586.02409638554195</v>
      </c>
    </row>
    <row r="56" spans="1:5" ht="15.75" customHeight="1" x14ac:dyDescent="0.25">
      <c r="A56" s="7" t="s">
        <v>22</v>
      </c>
      <c r="B56" s="7" t="s">
        <v>1</v>
      </c>
      <c r="C56" s="8">
        <v>2024</v>
      </c>
      <c r="D56" s="8">
        <v>10</v>
      </c>
      <c r="E56">
        <f ca="1">IFERROR(__xludf.DUMMYFUNCTION("""COMPUTED_VALUE"""),3130.41810344827)</f>
        <v>3130.4181034482699</v>
      </c>
    </row>
    <row r="57" spans="1:5" ht="15.75" customHeight="1" x14ac:dyDescent="0.25">
      <c r="A57" s="7" t="s">
        <v>22</v>
      </c>
      <c r="B57" s="7" t="s">
        <v>14</v>
      </c>
      <c r="C57" s="8">
        <v>2024</v>
      </c>
      <c r="D57" s="8">
        <v>10</v>
      </c>
      <c r="E57">
        <f ca="1">IFERROR(__xludf.DUMMYFUNCTION("""COMPUTED_VALUE"""),2867.8125)</f>
        <v>2867.8125</v>
      </c>
    </row>
    <row r="58" spans="1:5" ht="15.75" customHeight="1" x14ac:dyDescent="0.25">
      <c r="A58" s="7" t="s">
        <v>22</v>
      </c>
      <c r="B58" s="7" t="s">
        <v>15</v>
      </c>
      <c r="C58" s="8">
        <v>2024</v>
      </c>
      <c r="D58" s="8">
        <v>10</v>
      </c>
      <c r="E58">
        <f ca="1">IFERROR(__xludf.DUMMYFUNCTION("""COMPUTED_VALUE"""),351862.684236938)</f>
        <v>351862.68423693802</v>
      </c>
    </row>
    <row r="59" spans="1:5" ht="15.75" customHeight="1" x14ac:dyDescent="0.25">
      <c r="A59" s="7" t="s">
        <v>22</v>
      </c>
      <c r="B59" s="7" t="s">
        <v>2</v>
      </c>
      <c r="C59" s="8">
        <v>2024</v>
      </c>
      <c r="D59" s="8">
        <v>10</v>
      </c>
      <c r="E59">
        <f ca="1">IFERROR(__xludf.DUMMYFUNCTION("""COMPUTED_VALUE"""),4391.34108527131)</f>
        <v>4391.3410852713096</v>
      </c>
    </row>
    <row r="60" spans="1:5" ht="15.75" customHeight="1" x14ac:dyDescent="0.25">
      <c r="A60" s="7" t="s">
        <v>22</v>
      </c>
      <c r="B60" s="7" t="s">
        <v>16</v>
      </c>
      <c r="C60" s="8">
        <v>2024</v>
      </c>
      <c r="D60" s="8">
        <v>10</v>
      </c>
      <c r="E60">
        <f ca="1">IFERROR(__xludf.DUMMYFUNCTION("""COMPUTED_VALUE"""),791.540923639689)</f>
        <v>791.54092363968903</v>
      </c>
    </row>
    <row r="61" spans="1:5" ht="15.75" customHeight="1" x14ac:dyDescent="0.25">
      <c r="A61" s="7" t="s">
        <v>22</v>
      </c>
      <c r="B61" s="7" t="s">
        <v>17</v>
      </c>
      <c r="C61" s="8">
        <v>2024</v>
      </c>
      <c r="D61" s="8">
        <v>10</v>
      </c>
      <c r="E61">
        <f ca="1">IFERROR(__xludf.DUMMYFUNCTION("""COMPUTED_VALUE"""),6527.79927193301)</f>
        <v>6527.7992719330095</v>
      </c>
    </row>
    <row r="62" spans="1:5" ht="15.75" customHeight="1" x14ac:dyDescent="0.25">
      <c r="A62" s="7" t="s">
        <v>23</v>
      </c>
      <c r="B62" s="7" t="s">
        <v>5</v>
      </c>
      <c r="C62" s="8">
        <v>2024</v>
      </c>
      <c r="D62" s="8">
        <v>10</v>
      </c>
      <c r="E62">
        <f ca="1">IFERROR(__xludf.DUMMYFUNCTION("TRANSPOSE(IMPORTRANGE(""https://docs.google.com/spreadsheets/d/1abYjrPNXrjyrQBRe279vqnheT_sTochIzSQxER-5Lp4/edit?usp=sharing"",""Perhitungan Stok!$J$6:$J$17""))"),47749.6153846153)</f>
        <v>47749.615384615303</v>
      </c>
    </row>
    <row r="63" spans="1:5" ht="15.75" customHeight="1" x14ac:dyDescent="0.25">
      <c r="A63" s="7" t="s">
        <v>23</v>
      </c>
      <c r="B63" s="7" t="s">
        <v>3</v>
      </c>
      <c r="C63" s="8">
        <v>2024</v>
      </c>
      <c r="D63" s="8">
        <v>10</v>
      </c>
      <c r="E63">
        <f ca="1">IFERROR(__xludf.DUMMYFUNCTION("""COMPUTED_VALUE"""),60607.4149659864)</f>
        <v>60607.414965986398</v>
      </c>
    </row>
    <row r="64" spans="1:5" ht="15.75" customHeight="1" x14ac:dyDescent="0.25">
      <c r="A64" s="7" t="s">
        <v>23</v>
      </c>
      <c r="B64" s="7" t="s">
        <v>11</v>
      </c>
      <c r="C64" s="8">
        <v>2024</v>
      </c>
      <c r="D64" s="8">
        <v>10</v>
      </c>
      <c r="E64">
        <f ca="1">IFERROR(__xludf.DUMMYFUNCTION("""COMPUTED_VALUE"""),4600)</f>
        <v>4600</v>
      </c>
    </row>
    <row r="65" spans="1:5" ht="15.75" customHeight="1" x14ac:dyDescent="0.25">
      <c r="A65" s="7" t="s">
        <v>23</v>
      </c>
      <c r="B65" s="7" t="s">
        <v>12</v>
      </c>
      <c r="C65" s="8">
        <v>2024</v>
      </c>
      <c r="D65" s="8">
        <v>10</v>
      </c>
      <c r="E65">
        <f ca="1">IFERROR(__xludf.DUMMYFUNCTION("""COMPUTED_VALUE"""),51987.6200317965)</f>
        <v>51987.620031796498</v>
      </c>
    </row>
    <row r="66" spans="1:5" ht="15.75" customHeight="1" x14ac:dyDescent="0.25">
      <c r="A66" s="7" t="s">
        <v>23</v>
      </c>
      <c r="B66" s="7" t="s">
        <v>13</v>
      </c>
      <c r="C66" s="8">
        <v>2024</v>
      </c>
      <c r="D66" s="8">
        <v>10</v>
      </c>
      <c r="E66">
        <f ca="1">IFERROR(__xludf.DUMMYFUNCTION("""COMPUTED_VALUE"""),1498.95833333333)</f>
        <v>1498.9583333333301</v>
      </c>
    </row>
    <row r="67" spans="1:5" ht="15.75" customHeight="1" x14ac:dyDescent="0.25">
      <c r="A67" s="7" t="s">
        <v>23</v>
      </c>
      <c r="B67" s="7" t="s">
        <v>4</v>
      </c>
      <c r="C67" s="8">
        <v>2024</v>
      </c>
      <c r="D67" s="8">
        <v>10</v>
      </c>
      <c r="E67">
        <f ca="1">IFERROR(__xludf.DUMMYFUNCTION("""COMPUTED_VALUE"""),713.766666666666)</f>
        <v>713.76666666666597</v>
      </c>
    </row>
    <row r="68" spans="1:5" ht="15.75" customHeight="1" x14ac:dyDescent="0.25">
      <c r="A68" s="7" t="s">
        <v>23</v>
      </c>
      <c r="B68" s="7" t="s">
        <v>1</v>
      </c>
      <c r="C68" s="8">
        <v>2024</v>
      </c>
      <c r="D68" s="8">
        <v>10</v>
      </c>
      <c r="E68">
        <f ca="1">IFERROR(__xludf.DUMMYFUNCTION("""COMPUTED_VALUE"""),587.277777777777)</f>
        <v>587.27777777777703</v>
      </c>
    </row>
    <row r="69" spans="1:5" ht="15.75" customHeight="1" x14ac:dyDescent="0.25">
      <c r="A69" s="7" t="s">
        <v>23</v>
      </c>
      <c r="B69" s="7" t="s">
        <v>14</v>
      </c>
      <c r="C69" s="8">
        <v>2024</v>
      </c>
      <c r="D69" s="8">
        <v>10</v>
      </c>
      <c r="E69">
        <f ca="1">IFERROR(__xludf.DUMMYFUNCTION("""COMPUTED_VALUE"""),546.891891891891)</f>
        <v>546.89189189189096</v>
      </c>
    </row>
    <row r="70" spans="1:5" ht="15.75" customHeight="1" x14ac:dyDescent="0.25">
      <c r="A70" s="7" t="s">
        <v>23</v>
      </c>
      <c r="B70" s="7" t="s">
        <v>15</v>
      </c>
      <c r="C70" s="8">
        <v>2024</v>
      </c>
      <c r="D70" s="8">
        <v>10</v>
      </c>
      <c r="E70">
        <f ca="1">IFERROR(__xludf.DUMMYFUNCTION("""COMPUTED_VALUE"""),2556)</f>
        <v>2556</v>
      </c>
    </row>
    <row r="71" spans="1:5" ht="15.75" customHeight="1" x14ac:dyDescent="0.25">
      <c r="A71" s="7" t="s">
        <v>23</v>
      </c>
      <c r="B71" s="7" t="s">
        <v>2</v>
      </c>
      <c r="C71" s="8">
        <v>2024</v>
      </c>
      <c r="D71" s="8">
        <v>10</v>
      </c>
      <c r="E71">
        <f ca="1">IFERROR(__xludf.DUMMYFUNCTION("""COMPUTED_VALUE"""),2532.22222222222)</f>
        <v>2532.2222222222199</v>
      </c>
    </row>
    <row r="72" spans="1:5" ht="15.75" customHeight="1" x14ac:dyDescent="0.25">
      <c r="A72" s="7" t="s">
        <v>23</v>
      </c>
      <c r="B72" s="7" t="s">
        <v>16</v>
      </c>
      <c r="C72" s="8">
        <v>2024</v>
      </c>
      <c r="D72" s="8">
        <v>10</v>
      </c>
      <c r="E72">
        <f ca="1">IFERROR(__xludf.DUMMYFUNCTION("""COMPUTED_VALUE"""),705)</f>
        <v>705</v>
      </c>
    </row>
    <row r="73" spans="1:5" ht="15.75" customHeight="1" x14ac:dyDescent="0.25">
      <c r="A73" s="7" t="s">
        <v>23</v>
      </c>
      <c r="B73" s="7" t="s">
        <v>17</v>
      </c>
      <c r="C73" s="8">
        <v>2024</v>
      </c>
      <c r="D73" s="8">
        <v>10</v>
      </c>
      <c r="E73">
        <f ca="1">IFERROR(__xludf.DUMMYFUNCTION("""COMPUTED_VALUE"""),1475.86)</f>
        <v>1475.86</v>
      </c>
    </row>
    <row r="74" spans="1:5" ht="15.75" customHeight="1" x14ac:dyDescent="0.25">
      <c r="A74" s="7" t="s">
        <v>24</v>
      </c>
      <c r="B74" s="7" t="s">
        <v>5</v>
      </c>
      <c r="C74" s="8">
        <v>2024</v>
      </c>
      <c r="D74" s="8">
        <v>10</v>
      </c>
      <c r="E74">
        <f ca="1">IFERROR(__xludf.DUMMYFUNCTION("TRANSPOSE(IMPORTRANGE(""https://docs.google.com/spreadsheets/d/162lqdnznmafNiFSUZSYMQ_z5XK7KaZvUYY8a69l6taA/edit?usp=sharing"",""Perhitungan Stok!$J$6:$J$17""))"),505485.595390525)</f>
        <v>505485.59539052501</v>
      </c>
    </row>
    <row r="75" spans="1:5" ht="15.75" customHeight="1" x14ac:dyDescent="0.25">
      <c r="A75" s="7" t="s">
        <v>24</v>
      </c>
      <c r="B75" s="7" t="s">
        <v>3</v>
      </c>
      <c r="C75" s="8">
        <v>2024</v>
      </c>
      <c r="D75" s="8">
        <v>10</v>
      </c>
      <c r="E75">
        <f ca="1">IFERROR(__xludf.DUMMYFUNCTION("""COMPUTED_VALUE"""),0)</f>
        <v>0</v>
      </c>
    </row>
    <row r="76" spans="1:5" ht="15.75" customHeight="1" x14ac:dyDescent="0.25">
      <c r="A76" s="7" t="s">
        <v>24</v>
      </c>
      <c r="B76" s="7" t="s">
        <v>11</v>
      </c>
      <c r="C76" s="8">
        <v>2024</v>
      </c>
      <c r="D76" s="8">
        <v>10</v>
      </c>
      <c r="E76">
        <f ca="1">IFERROR(__xludf.DUMMYFUNCTION("""COMPUTED_VALUE"""),10140.2536231884)</f>
        <v>10140.253623188401</v>
      </c>
    </row>
    <row r="77" spans="1:5" ht="15.75" customHeight="1" x14ac:dyDescent="0.25">
      <c r="A77" s="7" t="s">
        <v>24</v>
      </c>
      <c r="B77" s="7" t="s">
        <v>12</v>
      </c>
      <c r="C77" s="8">
        <v>2024</v>
      </c>
      <c r="D77" s="8">
        <v>10</v>
      </c>
      <c r="E77">
        <f ca="1">IFERROR(__xludf.DUMMYFUNCTION("""COMPUTED_VALUE"""),851.304705882353)</f>
        <v>851.30470588235301</v>
      </c>
    </row>
    <row r="78" spans="1:5" ht="15.75" customHeight="1" x14ac:dyDescent="0.25">
      <c r="A78" s="7" t="s">
        <v>24</v>
      </c>
      <c r="B78" s="7" t="s">
        <v>13</v>
      </c>
      <c r="C78" s="8">
        <v>2024</v>
      </c>
      <c r="D78" s="8">
        <v>10</v>
      </c>
      <c r="E78">
        <f ca="1">IFERROR(__xludf.DUMMYFUNCTION("""COMPUTED_VALUE"""),10354.8092071611)</f>
        <v>10354.809207161101</v>
      </c>
    </row>
    <row r="79" spans="1:5" ht="15.75" customHeight="1" x14ac:dyDescent="0.25">
      <c r="A79" s="7" t="s">
        <v>24</v>
      </c>
      <c r="B79" s="7" t="s">
        <v>4</v>
      </c>
      <c r="C79" s="8">
        <v>2024</v>
      </c>
      <c r="D79" s="8">
        <v>10</v>
      </c>
      <c r="E79">
        <f ca="1">IFERROR(__xludf.DUMMYFUNCTION("""COMPUTED_VALUE"""),148.516666666666)</f>
        <v>148.516666666666</v>
      </c>
    </row>
    <row r="80" spans="1:5" ht="15.75" customHeight="1" x14ac:dyDescent="0.25">
      <c r="A80" s="7" t="s">
        <v>24</v>
      </c>
      <c r="B80" s="7" t="s">
        <v>1</v>
      </c>
      <c r="C80" s="8">
        <v>2024</v>
      </c>
      <c r="D80" s="8">
        <v>10</v>
      </c>
      <c r="E80">
        <f ca="1">IFERROR(__xludf.DUMMYFUNCTION("""COMPUTED_VALUE"""),148.618421052631)</f>
        <v>148.61842105263099</v>
      </c>
    </row>
    <row r="81" spans="1:5" ht="15.75" customHeight="1" x14ac:dyDescent="0.25">
      <c r="A81" s="7" t="s">
        <v>24</v>
      </c>
      <c r="B81" s="7" t="s">
        <v>14</v>
      </c>
      <c r="C81" s="8">
        <v>2024</v>
      </c>
      <c r="D81" s="8">
        <v>10</v>
      </c>
      <c r="E81">
        <f ca="1">IFERROR(__xludf.DUMMYFUNCTION("""COMPUTED_VALUE"""),535)</f>
        <v>535</v>
      </c>
    </row>
    <row r="82" spans="1:5" ht="15.75" customHeight="1" x14ac:dyDescent="0.25">
      <c r="A82" s="7" t="s">
        <v>24</v>
      </c>
      <c r="B82" s="7" t="s">
        <v>15</v>
      </c>
      <c r="C82" s="8">
        <v>2024</v>
      </c>
      <c r="D82" s="8">
        <v>10</v>
      </c>
      <c r="E82">
        <f ca="1">IFERROR(__xludf.DUMMYFUNCTION("""COMPUTED_VALUE"""),970)</f>
        <v>970</v>
      </c>
    </row>
    <row r="83" spans="1:5" ht="15.75" customHeight="1" x14ac:dyDescent="0.25">
      <c r="A83" s="7" t="s">
        <v>24</v>
      </c>
      <c r="B83" s="7" t="s">
        <v>2</v>
      </c>
      <c r="C83" s="8">
        <v>2024</v>
      </c>
      <c r="D83" s="8">
        <v>10</v>
      </c>
      <c r="E83">
        <f ca="1">IFERROR(__xludf.DUMMYFUNCTION("""COMPUTED_VALUE"""),607.384615384615)</f>
        <v>607.38461538461502</v>
      </c>
    </row>
    <row r="84" spans="1:5" ht="15.75" customHeight="1" x14ac:dyDescent="0.25">
      <c r="A84" s="7" t="s">
        <v>24</v>
      </c>
      <c r="B84" s="7" t="s">
        <v>16</v>
      </c>
      <c r="C84" s="8">
        <v>2024</v>
      </c>
      <c r="D84" s="8">
        <v>10</v>
      </c>
      <c r="E84">
        <f ca="1">IFERROR(__xludf.DUMMYFUNCTION("""COMPUTED_VALUE"""),2637.30434782608)</f>
        <v>2637.3043478260802</v>
      </c>
    </row>
    <row r="85" spans="1:5" ht="15.75" customHeight="1" x14ac:dyDescent="0.25">
      <c r="A85" s="7" t="s">
        <v>24</v>
      </c>
      <c r="B85" s="7" t="s">
        <v>17</v>
      </c>
      <c r="C85" s="8">
        <v>2024</v>
      </c>
      <c r="D85" s="8">
        <v>10</v>
      </c>
      <c r="E85">
        <f ca="1">IFERROR(__xludf.DUMMYFUNCTION("""COMPUTED_VALUE"""),34520.1662433618)</f>
        <v>34520.166243361797</v>
      </c>
    </row>
    <row r="86" spans="1:5" ht="15.75" customHeight="1" x14ac:dyDescent="0.25">
      <c r="A86" s="7" t="s">
        <v>25</v>
      </c>
      <c r="B86" s="9" t="s">
        <v>5</v>
      </c>
      <c r="C86" s="8">
        <v>2024</v>
      </c>
      <c r="D86" s="8">
        <v>10</v>
      </c>
      <c r="E86">
        <f ca="1">IFERROR(__xludf.DUMMYFUNCTION("TRANSPOSE(IMPORTRANGE(""https://docs.google.com/spreadsheets/d/1wW7aIQCjZpQhGNEcqxHrtnn7ldFRNQ-wlibQ5l7I2cs/edit?usp=sharing"",""Perhitungan Stok!$J$6:$J$17""))"),1448711.94286568)</f>
        <v>1448711.94286568</v>
      </c>
    </row>
    <row r="87" spans="1:5" ht="15.75" customHeight="1" x14ac:dyDescent="0.25">
      <c r="A87" s="7" t="s">
        <v>25</v>
      </c>
      <c r="B87" s="7" t="s">
        <v>3</v>
      </c>
      <c r="C87" s="8">
        <v>2024</v>
      </c>
      <c r="D87" s="8">
        <v>10</v>
      </c>
      <c r="E87">
        <f ca="1">IFERROR(__xludf.DUMMYFUNCTION("""COMPUTED_VALUE"""),64542.2950819672)</f>
        <v>64542.295081967197</v>
      </c>
    </row>
    <row r="88" spans="1:5" ht="15.75" customHeight="1" x14ac:dyDescent="0.25">
      <c r="A88" s="7" t="s">
        <v>25</v>
      </c>
      <c r="B88" s="7" t="s">
        <v>11</v>
      </c>
      <c r="C88" s="8">
        <v>2024</v>
      </c>
      <c r="D88" s="8">
        <v>10</v>
      </c>
      <c r="E88">
        <f ca="1">IFERROR(__xludf.DUMMYFUNCTION("""COMPUTED_VALUE"""),0)</f>
        <v>0</v>
      </c>
    </row>
    <row r="89" spans="1:5" ht="15.75" customHeight="1" x14ac:dyDescent="0.25">
      <c r="A89" s="7" t="s">
        <v>25</v>
      </c>
      <c r="B89" s="7" t="s">
        <v>12</v>
      </c>
      <c r="C89" s="8">
        <v>2024</v>
      </c>
      <c r="D89" s="8">
        <v>10</v>
      </c>
      <c r="E89">
        <f ca="1">IFERROR(__xludf.DUMMYFUNCTION("""COMPUTED_VALUE"""),9690.625)</f>
        <v>9690.625</v>
      </c>
    </row>
    <row r="90" spans="1:5" ht="15.75" customHeight="1" x14ac:dyDescent="0.25">
      <c r="A90" s="7" t="s">
        <v>25</v>
      </c>
      <c r="B90" s="7" t="s">
        <v>13</v>
      </c>
      <c r="C90" s="8">
        <v>2024</v>
      </c>
      <c r="D90" s="8">
        <v>10</v>
      </c>
      <c r="E90">
        <f ca="1">IFERROR(__xludf.DUMMYFUNCTION("""COMPUTED_VALUE"""),2095)</f>
        <v>2095</v>
      </c>
    </row>
    <row r="91" spans="1:5" ht="15.75" customHeight="1" x14ac:dyDescent="0.25">
      <c r="A91" s="7" t="s">
        <v>25</v>
      </c>
      <c r="B91" s="7" t="s">
        <v>4</v>
      </c>
      <c r="C91" s="8">
        <v>2024</v>
      </c>
      <c r="D91" s="8">
        <v>10</v>
      </c>
      <c r="E91">
        <f ca="1">IFERROR(__xludf.DUMMYFUNCTION("""COMPUTED_VALUE"""),14851.2857142857)</f>
        <v>14851.285714285699</v>
      </c>
    </row>
    <row r="92" spans="1:5" ht="15.75" customHeight="1" x14ac:dyDescent="0.25">
      <c r="A92" s="7" t="s">
        <v>25</v>
      </c>
      <c r="B92" s="7" t="s">
        <v>1</v>
      </c>
      <c r="C92" s="8">
        <v>2024</v>
      </c>
      <c r="D92" s="8">
        <v>10</v>
      </c>
      <c r="E92" t="str">
        <f ca="1">IFERROR(__xludf.DUMMYFUNCTION("""COMPUTED_VALUE"""),"NULL")</f>
        <v>NULL</v>
      </c>
    </row>
    <row r="93" spans="1:5" ht="15.75" customHeight="1" x14ac:dyDescent="0.25">
      <c r="A93" s="7" t="s">
        <v>25</v>
      </c>
      <c r="B93" s="7" t="s">
        <v>14</v>
      </c>
      <c r="C93" s="8">
        <v>2024</v>
      </c>
      <c r="D93" s="8">
        <v>10</v>
      </c>
      <c r="E93">
        <f ca="1">IFERROR(__xludf.DUMMYFUNCTION("""COMPUTED_VALUE"""),0)</f>
        <v>0</v>
      </c>
    </row>
    <row r="94" spans="1:5" ht="15.75" customHeight="1" x14ac:dyDescent="0.25">
      <c r="A94" s="7" t="s">
        <v>25</v>
      </c>
      <c r="B94" s="7" t="s">
        <v>15</v>
      </c>
      <c r="C94" s="8">
        <v>2024</v>
      </c>
      <c r="D94" s="8">
        <v>10</v>
      </c>
      <c r="E94">
        <f ca="1">IFERROR(__xludf.DUMMYFUNCTION("""COMPUTED_VALUE"""),1819840)</f>
        <v>1819840</v>
      </c>
    </row>
    <row r="95" spans="1:5" ht="15.75" customHeight="1" x14ac:dyDescent="0.25">
      <c r="A95" s="7" t="s">
        <v>25</v>
      </c>
      <c r="B95" s="7" t="s">
        <v>2</v>
      </c>
      <c r="C95" s="8">
        <v>2024</v>
      </c>
      <c r="D95" s="8">
        <v>10</v>
      </c>
      <c r="E95">
        <f ca="1">IFERROR(__xludf.DUMMYFUNCTION("""COMPUTED_VALUE"""),9765.43209876543)</f>
        <v>9765.4320987654301</v>
      </c>
    </row>
    <row r="96" spans="1:5" ht="15.75" customHeight="1" x14ac:dyDescent="0.25">
      <c r="A96" s="7" t="s">
        <v>25</v>
      </c>
      <c r="B96" s="7" t="s">
        <v>16</v>
      </c>
      <c r="C96" s="8">
        <v>2024</v>
      </c>
      <c r="D96" s="8">
        <v>10</v>
      </c>
      <c r="E96">
        <f ca="1">IFERROR(__xludf.DUMMYFUNCTION("""COMPUTED_VALUE"""),9040.50314465408)</f>
        <v>9040.5031446540797</v>
      </c>
    </row>
    <row r="97" spans="1:5" ht="15.75" customHeight="1" x14ac:dyDescent="0.25">
      <c r="A97" s="7" t="s">
        <v>25</v>
      </c>
      <c r="B97" s="7" t="s">
        <v>17</v>
      </c>
      <c r="C97" s="8">
        <v>2024</v>
      </c>
      <c r="D97" s="8">
        <v>10</v>
      </c>
      <c r="E97">
        <f ca="1">IFERROR(__xludf.DUMMYFUNCTION("""COMPUTED_VALUE"""),31418.3431952662)</f>
        <v>31418.343195266199</v>
      </c>
    </row>
    <row r="98" spans="1:5" ht="15.75" customHeight="1" x14ac:dyDescent="0.25">
      <c r="A98" s="7" t="s">
        <v>26</v>
      </c>
      <c r="B98" s="9" t="s">
        <v>5</v>
      </c>
      <c r="C98" s="8">
        <v>2024</v>
      </c>
      <c r="D98" s="8">
        <v>10</v>
      </c>
      <c r="E98">
        <f ca="1">IFERROR(__xludf.DUMMYFUNCTION("TRANSPOSE(IMPORTRANGE(""https://docs.google.com/spreadsheets/d/1F9VkpCGgiSm7cP70MReDW5TTFwAoKnNBcFE7o4tY-E4/edit?usp=sharing"",""Perhitungan Stok!$J$6:$J$17""))"),83663.9386563163)</f>
        <v>83663.938656316299</v>
      </c>
    </row>
    <row r="99" spans="1:5" ht="15.75" customHeight="1" x14ac:dyDescent="0.25">
      <c r="A99" s="7" t="s">
        <v>26</v>
      </c>
      <c r="B99" s="7" t="s">
        <v>3</v>
      </c>
      <c r="C99" s="8">
        <v>2024</v>
      </c>
      <c r="D99" s="8">
        <v>10</v>
      </c>
      <c r="E99">
        <f ca="1">IFERROR(__xludf.DUMMYFUNCTION("""COMPUTED_VALUE"""),74275)</f>
        <v>74275</v>
      </c>
    </row>
    <row r="100" spans="1:5" ht="15.75" customHeight="1" x14ac:dyDescent="0.25">
      <c r="A100" s="7" t="s">
        <v>26</v>
      </c>
      <c r="B100" s="7" t="s">
        <v>11</v>
      </c>
      <c r="C100" s="8">
        <v>2024</v>
      </c>
      <c r="D100" s="8">
        <v>10</v>
      </c>
      <c r="E100">
        <f ca="1">IFERROR(__xludf.DUMMYFUNCTION("""COMPUTED_VALUE"""),7443.10355403902)</f>
        <v>7443.1035540390203</v>
      </c>
    </row>
    <row r="101" spans="1:5" ht="15.75" customHeight="1" x14ac:dyDescent="0.25">
      <c r="A101" s="7" t="s">
        <v>26</v>
      </c>
      <c r="B101" s="7" t="s">
        <v>12</v>
      </c>
      <c r="C101" s="8">
        <v>2024</v>
      </c>
      <c r="D101" s="8">
        <v>10</v>
      </c>
      <c r="E101">
        <f ca="1">IFERROR(__xludf.DUMMYFUNCTION("""COMPUTED_VALUE"""),8438.45040650406)</f>
        <v>8438.4504065040601</v>
      </c>
    </row>
    <row r="102" spans="1:5" ht="15.75" customHeight="1" x14ac:dyDescent="0.25">
      <c r="A102" s="7" t="s">
        <v>26</v>
      </c>
      <c r="B102" s="7" t="s">
        <v>13</v>
      </c>
      <c r="C102" s="8">
        <v>2024</v>
      </c>
      <c r="D102" s="8">
        <v>10</v>
      </c>
      <c r="E102">
        <f ca="1">IFERROR(__xludf.DUMMYFUNCTION("""COMPUTED_VALUE"""),2021.46153846153)</f>
        <v>2021.4615384615299</v>
      </c>
    </row>
    <row r="103" spans="1:5" ht="15.75" customHeight="1" x14ac:dyDescent="0.25">
      <c r="A103" s="7" t="s">
        <v>26</v>
      </c>
      <c r="B103" s="7" t="s">
        <v>4</v>
      </c>
      <c r="C103" s="8">
        <v>2024</v>
      </c>
      <c r="D103" s="8">
        <v>10</v>
      </c>
      <c r="E103">
        <f ca="1">IFERROR(__xludf.DUMMYFUNCTION("""COMPUTED_VALUE"""),1833.21071428571)</f>
        <v>1833.2107142857101</v>
      </c>
    </row>
    <row r="104" spans="1:5" ht="15.75" customHeight="1" x14ac:dyDescent="0.25">
      <c r="A104" s="7" t="s">
        <v>26</v>
      </c>
      <c r="B104" s="7" t="s">
        <v>1</v>
      </c>
      <c r="C104" s="8">
        <v>2024</v>
      </c>
      <c r="D104" s="8">
        <v>10</v>
      </c>
      <c r="E104">
        <f ca="1">IFERROR(__xludf.DUMMYFUNCTION("""COMPUTED_VALUE"""),650.447244094488)</f>
        <v>650.44724409448804</v>
      </c>
    </row>
    <row r="105" spans="1:5" ht="15.75" customHeight="1" x14ac:dyDescent="0.25">
      <c r="A105" s="7" t="s">
        <v>26</v>
      </c>
      <c r="B105" s="7" t="s">
        <v>14</v>
      </c>
      <c r="C105" s="8">
        <v>2024</v>
      </c>
      <c r="D105" s="8">
        <v>10</v>
      </c>
      <c r="E105" t="str">
        <f ca="1">IFERROR(__xludf.DUMMYFUNCTION("""COMPUTED_VALUE"""),"NULL")</f>
        <v>NULL</v>
      </c>
    </row>
    <row r="106" spans="1:5" ht="15.75" customHeight="1" x14ac:dyDescent="0.25">
      <c r="A106" s="7" t="s">
        <v>26</v>
      </c>
      <c r="B106" s="7" t="s">
        <v>15</v>
      </c>
      <c r="C106" s="8">
        <v>2024</v>
      </c>
      <c r="D106" s="8">
        <v>10</v>
      </c>
      <c r="E106">
        <f ca="1">IFERROR(__xludf.DUMMYFUNCTION("""COMPUTED_VALUE"""),787.8)</f>
        <v>787.8</v>
      </c>
    </row>
    <row r="107" spans="1:5" ht="15.75" customHeight="1" x14ac:dyDescent="0.25">
      <c r="A107" s="7" t="s">
        <v>26</v>
      </c>
      <c r="B107" s="7" t="s">
        <v>2</v>
      </c>
      <c r="C107" s="8">
        <v>2024</v>
      </c>
      <c r="D107" s="8">
        <v>10</v>
      </c>
      <c r="E107">
        <f ca="1">IFERROR(__xludf.DUMMYFUNCTION("""COMPUTED_VALUE"""),806.693290734824)</f>
        <v>806.69329073482402</v>
      </c>
    </row>
    <row r="108" spans="1:5" ht="15.75" customHeight="1" x14ac:dyDescent="0.25">
      <c r="A108" s="7" t="s">
        <v>26</v>
      </c>
      <c r="B108" s="7" t="s">
        <v>16</v>
      </c>
      <c r="C108" s="8">
        <v>2024</v>
      </c>
      <c r="D108" s="8">
        <v>10</v>
      </c>
      <c r="E108">
        <f ca="1">IFERROR(__xludf.DUMMYFUNCTION("""COMPUTED_VALUE"""),27842.4247179125)</f>
        <v>27842.424717912501</v>
      </c>
    </row>
    <row r="109" spans="1:5" ht="15.75" customHeight="1" x14ac:dyDescent="0.25">
      <c r="A109" s="7" t="s">
        <v>26</v>
      </c>
      <c r="B109" s="7" t="s">
        <v>17</v>
      </c>
      <c r="C109" s="8">
        <v>2024</v>
      </c>
      <c r="D109" s="8">
        <v>10</v>
      </c>
      <c r="E109">
        <f ca="1">IFERROR(__xludf.DUMMYFUNCTION("""COMPUTED_VALUE"""),51444.2118755673)</f>
        <v>51444.2118755673</v>
      </c>
    </row>
    <row r="110" spans="1:5" ht="15.75" customHeight="1" x14ac:dyDescent="0.25">
      <c r="A110" s="7" t="s">
        <v>27</v>
      </c>
      <c r="B110" s="9" t="s">
        <v>5</v>
      </c>
      <c r="C110" s="8">
        <v>2024</v>
      </c>
      <c r="D110" s="8">
        <v>10</v>
      </c>
      <c r="E110">
        <f ca="1">IFERROR(__xludf.DUMMYFUNCTION("TRANSPOSE(IMPORTRANGE(""https://docs.google.com/spreadsheets/d/1aShJkEUKQn2xgZT8xSfUykbY1AAronZNMhmmKjxM5vY/edit?usp=sharing"",""Perhitungan Stok!$J$6:$J$17""))"),129656.453405994)</f>
        <v>129656.45340599401</v>
      </c>
    </row>
    <row r="111" spans="1:5" ht="15.75" customHeight="1" x14ac:dyDescent="0.25">
      <c r="A111" s="7" t="s">
        <v>27</v>
      </c>
      <c r="B111" s="7" t="s">
        <v>3</v>
      </c>
      <c r="C111" s="8">
        <v>2024</v>
      </c>
      <c r="D111" s="8">
        <v>10</v>
      </c>
      <c r="E111">
        <f ca="1">IFERROR(__xludf.DUMMYFUNCTION("""COMPUTED_VALUE"""),25128.0621118012)</f>
        <v>25128.062111801199</v>
      </c>
    </row>
    <row r="112" spans="1:5" ht="15.75" customHeight="1" x14ac:dyDescent="0.25">
      <c r="A112" s="7" t="s">
        <v>27</v>
      </c>
      <c r="B112" s="7" t="s">
        <v>11</v>
      </c>
      <c r="C112" s="8">
        <v>2024</v>
      </c>
      <c r="D112" s="8">
        <v>10</v>
      </c>
      <c r="E112">
        <f ca="1">IFERROR(__xludf.DUMMYFUNCTION("""COMPUTED_VALUE"""),24370.3319502074)</f>
        <v>24370.331950207401</v>
      </c>
    </row>
    <row r="113" spans="1:5" ht="15.75" customHeight="1" x14ac:dyDescent="0.25">
      <c r="A113" s="7" t="s">
        <v>27</v>
      </c>
      <c r="B113" s="7" t="s">
        <v>12</v>
      </c>
      <c r="C113" s="8">
        <v>2024</v>
      </c>
      <c r="D113" s="8">
        <v>10</v>
      </c>
      <c r="E113">
        <f ca="1">IFERROR(__xludf.DUMMYFUNCTION("""COMPUTED_VALUE"""),12.3880597014925)</f>
        <v>12.3880597014925</v>
      </c>
    </row>
    <row r="114" spans="1:5" ht="15.75" customHeight="1" x14ac:dyDescent="0.25">
      <c r="A114" s="7" t="s">
        <v>27</v>
      </c>
      <c r="B114" s="7" t="s">
        <v>13</v>
      </c>
      <c r="C114" s="8">
        <v>2024</v>
      </c>
      <c r="D114" s="8">
        <v>10</v>
      </c>
      <c r="E114">
        <f ca="1">IFERROR(__xludf.DUMMYFUNCTION("""COMPUTED_VALUE"""),12.2033898305084)</f>
        <v>12.203389830508399</v>
      </c>
    </row>
    <row r="115" spans="1:5" ht="15.75" customHeight="1" x14ac:dyDescent="0.25">
      <c r="A115" s="7" t="s">
        <v>27</v>
      </c>
      <c r="B115" s="7" t="s">
        <v>4</v>
      </c>
      <c r="C115" s="8">
        <v>2024</v>
      </c>
      <c r="D115" s="8">
        <v>10</v>
      </c>
      <c r="E115">
        <f ca="1">IFERROR(__xludf.DUMMYFUNCTION("""COMPUTED_VALUE"""),5.77777777777777)</f>
        <v>5.7777777777777697</v>
      </c>
    </row>
    <row r="116" spans="1:5" ht="15.75" customHeight="1" x14ac:dyDescent="0.25">
      <c r="A116" s="7" t="s">
        <v>27</v>
      </c>
      <c r="B116" s="7" t="s">
        <v>1</v>
      </c>
      <c r="C116" s="8">
        <v>2024</v>
      </c>
      <c r="D116" s="8">
        <v>10</v>
      </c>
      <c r="E116">
        <f ca="1">IFERROR(__xludf.DUMMYFUNCTION("""COMPUTED_VALUE"""),6.6)</f>
        <v>6.6</v>
      </c>
    </row>
    <row r="117" spans="1:5" ht="15.75" customHeight="1" x14ac:dyDescent="0.25">
      <c r="A117" s="7" t="s">
        <v>27</v>
      </c>
      <c r="B117" s="7" t="s">
        <v>14</v>
      </c>
      <c r="C117" s="8">
        <v>2024</v>
      </c>
      <c r="D117" s="8">
        <v>10</v>
      </c>
      <c r="E117">
        <f ca="1">IFERROR(__xludf.DUMMYFUNCTION("""COMPUTED_VALUE"""),339.705882352941)</f>
        <v>339.70588235294099</v>
      </c>
    </row>
    <row r="118" spans="1:5" ht="15.75" customHeight="1" x14ac:dyDescent="0.25">
      <c r="A118" s="7" t="s">
        <v>27</v>
      </c>
      <c r="B118" s="7" t="s">
        <v>15</v>
      </c>
      <c r="C118" s="8">
        <v>2024</v>
      </c>
      <c r="D118" s="8">
        <v>10</v>
      </c>
      <c r="E118">
        <f ca="1">IFERROR(__xludf.DUMMYFUNCTION("""COMPUTED_VALUE"""),574.75)</f>
        <v>574.75</v>
      </c>
    </row>
    <row r="119" spans="1:5" ht="15.75" customHeight="1" x14ac:dyDescent="0.25">
      <c r="A119" s="7" t="s">
        <v>27</v>
      </c>
      <c r="B119" s="7" t="s">
        <v>2</v>
      </c>
      <c r="C119" s="8">
        <v>2024</v>
      </c>
      <c r="D119" s="8">
        <v>10</v>
      </c>
      <c r="E119">
        <f ca="1">IFERROR(__xludf.DUMMYFUNCTION("""COMPUTED_VALUE"""),4374.71910112359)</f>
        <v>4374.71910112359</v>
      </c>
    </row>
    <row r="120" spans="1:5" ht="15.75" customHeight="1" x14ac:dyDescent="0.25">
      <c r="A120" s="7" t="s">
        <v>27</v>
      </c>
      <c r="B120" s="7" t="s">
        <v>16</v>
      </c>
      <c r="C120" s="8">
        <v>2024</v>
      </c>
      <c r="D120" s="8">
        <v>10</v>
      </c>
      <c r="E120">
        <f ca="1">IFERROR(__xludf.DUMMYFUNCTION("""COMPUTED_VALUE"""),8944.91712707182)</f>
        <v>8944.9171270718198</v>
      </c>
    </row>
    <row r="121" spans="1:5" ht="15.75" customHeight="1" x14ac:dyDescent="0.25">
      <c r="A121" s="7" t="s">
        <v>27</v>
      </c>
      <c r="B121" s="7" t="s">
        <v>17</v>
      </c>
      <c r="C121" s="8">
        <v>2024</v>
      </c>
      <c r="D121" s="8">
        <v>10</v>
      </c>
      <c r="E121">
        <f ca="1">IFERROR(__xludf.DUMMYFUNCTION("""COMPUTED_VALUE"""),9214.86923076923)</f>
        <v>9214.8692307692309</v>
      </c>
    </row>
    <row r="122" spans="1:5" ht="15.75" customHeight="1" x14ac:dyDescent="0.25">
      <c r="A122" s="7" t="s">
        <v>28</v>
      </c>
      <c r="B122" s="9" t="s">
        <v>5</v>
      </c>
      <c r="C122" s="8">
        <v>2024</v>
      </c>
      <c r="D122" s="8">
        <v>10</v>
      </c>
      <c r="E122">
        <f ca="1">IFERROR(__xludf.DUMMYFUNCTION("TRANSPOSE(IMPORTRANGE(""https://docs.google.com/spreadsheets/d/1fhnWJ22CL1CLnM8yDaqFFy0IpnLfRpNb0YPe0U15EHM/edit?usp=sharing"",""Perhitungan Stok!$J$6:$J$17""))"),31943.1313131313)</f>
        <v>31943.1313131313</v>
      </c>
    </row>
    <row r="123" spans="1:5" ht="15.75" customHeight="1" x14ac:dyDescent="0.25">
      <c r="A123" s="7" t="s">
        <v>28</v>
      </c>
      <c r="B123" s="7" t="s">
        <v>3</v>
      </c>
      <c r="C123" s="8">
        <v>2024</v>
      </c>
      <c r="D123" s="8">
        <v>10</v>
      </c>
      <c r="E123">
        <f ca="1">IFERROR(__xludf.DUMMYFUNCTION("""COMPUTED_VALUE"""),60009.9999999999)</f>
        <v>60009.999999999898</v>
      </c>
    </row>
    <row r="124" spans="1:5" ht="15.75" customHeight="1" x14ac:dyDescent="0.25">
      <c r="A124" s="7" t="s">
        <v>28</v>
      </c>
      <c r="B124" s="7" t="s">
        <v>11</v>
      </c>
      <c r="C124" s="8">
        <v>2024</v>
      </c>
      <c r="D124" s="8">
        <v>10</v>
      </c>
      <c r="E124">
        <f ca="1">IFERROR(__xludf.DUMMYFUNCTION("""COMPUTED_VALUE"""),75010)</f>
        <v>75010</v>
      </c>
    </row>
    <row r="125" spans="1:5" ht="15.75" customHeight="1" x14ac:dyDescent="0.25">
      <c r="A125" s="7" t="s">
        <v>28</v>
      </c>
      <c r="B125" s="7" t="s">
        <v>12</v>
      </c>
      <c r="C125" s="8">
        <v>2024</v>
      </c>
      <c r="D125" s="8">
        <v>10</v>
      </c>
      <c r="E125">
        <f ca="1">IFERROR(__xludf.DUMMYFUNCTION("""COMPUTED_VALUE"""),326.174496644295)</f>
        <v>326.174496644295</v>
      </c>
    </row>
    <row r="126" spans="1:5" ht="15.75" customHeight="1" x14ac:dyDescent="0.25">
      <c r="A126" s="7" t="s">
        <v>28</v>
      </c>
      <c r="B126" s="7" t="s">
        <v>13</v>
      </c>
      <c r="C126" s="8">
        <v>2024</v>
      </c>
      <c r="D126" s="8">
        <v>10</v>
      </c>
      <c r="E126">
        <f ca="1">IFERROR(__xludf.DUMMYFUNCTION("""COMPUTED_VALUE"""),745.3125)</f>
        <v>745.3125</v>
      </c>
    </row>
    <row r="127" spans="1:5" ht="15.75" customHeight="1" x14ac:dyDescent="0.25">
      <c r="A127" s="7" t="s">
        <v>28</v>
      </c>
      <c r="B127" s="7" t="s">
        <v>4</v>
      </c>
      <c r="C127" s="8">
        <v>2024</v>
      </c>
      <c r="D127" s="8">
        <v>10</v>
      </c>
      <c r="E127">
        <f ca="1">IFERROR(__xludf.DUMMYFUNCTION("""COMPUTED_VALUE"""),80)</f>
        <v>80</v>
      </c>
    </row>
    <row r="128" spans="1:5" ht="15.75" customHeight="1" x14ac:dyDescent="0.25">
      <c r="A128" s="7" t="s">
        <v>28</v>
      </c>
      <c r="B128" s="7" t="s">
        <v>1</v>
      </c>
      <c r="C128" s="8">
        <v>2024</v>
      </c>
      <c r="D128" s="8">
        <v>10</v>
      </c>
      <c r="E128">
        <f ca="1">IFERROR(__xludf.DUMMYFUNCTION("""COMPUTED_VALUE"""),95)</f>
        <v>95</v>
      </c>
    </row>
    <row r="129" spans="1:5" ht="15.75" customHeight="1" x14ac:dyDescent="0.25">
      <c r="A129" s="7" t="s">
        <v>28</v>
      </c>
      <c r="B129" s="7" t="s">
        <v>14</v>
      </c>
      <c r="C129" s="8">
        <v>2024</v>
      </c>
      <c r="D129" s="8">
        <v>10</v>
      </c>
      <c r="E129">
        <f ca="1">IFERROR(__xludf.DUMMYFUNCTION("""COMPUTED_VALUE"""),50)</f>
        <v>50</v>
      </c>
    </row>
    <row r="130" spans="1:5" ht="15.75" customHeight="1" x14ac:dyDescent="0.25">
      <c r="A130" s="7" t="s">
        <v>28</v>
      </c>
      <c r="B130" s="7" t="s">
        <v>15</v>
      </c>
      <c r="C130" s="8">
        <v>2024</v>
      </c>
      <c r="D130" s="8">
        <v>10</v>
      </c>
      <c r="E130">
        <f ca="1">IFERROR(__xludf.DUMMYFUNCTION("""COMPUTED_VALUE"""),500)</f>
        <v>500</v>
      </c>
    </row>
    <row r="131" spans="1:5" ht="15.75" customHeight="1" x14ac:dyDescent="0.25">
      <c r="A131" s="7" t="s">
        <v>28</v>
      </c>
      <c r="B131" s="7" t="s">
        <v>2</v>
      </c>
      <c r="C131" s="8">
        <v>2024</v>
      </c>
      <c r="D131" s="8">
        <v>10</v>
      </c>
      <c r="E131">
        <f ca="1">IFERROR(__xludf.DUMMYFUNCTION("""COMPUTED_VALUE"""),26632.994011976)</f>
        <v>26632.994011975999</v>
      </c>
    </row>
    <row r="132" spans="1:5" ht="15.75" customHeight="1" x14ac:dyDescent="0.25">
      <c r="A132" s="7" t="s">
        <v>28</v>
      </c>
      <c r="B132" s="7" t="s">
        <v>16</v>
      </c>
      <c r="C132" s="8">
        <v>2024</v>
      </c>
      <c r="D132" s="8">
        <v>10</v>
      </c>
      <c r="E132">
        <f ca="1">IFERROR(__xludf.DUMMYFUNCTION("""COMPUTED_VALUE"""),1729.77011494252)</f>
        <v>1729.77011494252</v>
      </c>
    </row>
    <row r="133" spans="1:5" ht="15.75" customHeight="1" x14ac:dyDescent="0.25">
      <c r="A133" s="7" t="s">
        <v>28</v>
      </c>
      <c r="B133" s="7" t="s">
        <v>17</v>
      </c>
      <c r="C133" s="8">
        <v>2024</v>
      </c>
      <c r="D133" s="8">
        <v>10</v>
      </c>
      <c r="E133">
        <f ca="1">IFERROR(__xludf.DUMMYFUNCTION("""COMPUTED_VALUE"""),525.111111111111)</f>
        <v>525.11111111111097</v>
      </c>
    </row>
    <row r="134" spans="1:5" ht="15.75" customHeight="1" x14ac:dyDescent="0.25">
      <c r="A134" s="7" t="s">
        <v>29</v>
      </c>
      <c r="B134" s="9" t="s">
        <v>5</v>
      </c>
      <c r="C134" s="8">
        <v>2024</v>
      </c>
      <c r="D134" s="8">
        <v>10</v>
      </c>
      <c r="E134">
        <f ca="1">IFERROR(__xludf.DUMMYFUNCTION("TRANSPOSE(IMPORTRANGE(""https://docs.google.com/spreadsheets/d/1FZs6yi73px1UeIq12X4pJWRpMY-i9pr7NJo7QazmvpY/edit?usp=sharing"",""Perhitungan Stok!$J$6:$J$17""))"),61155.9849613492)</f>
        <v>61155.984961349197</v>
      </c>
    </row>
    <row r="135" spans="1:5" ht="15.75" customHeight="1" x14ac:dyDescent="0.25">
      <c r="A135" s="7" t="s">
        <v>29</v>
      </c>
      <c r="B135" s="7" t="s">
        <v>3</v>
      </c>
      <c r="C135" s="8">
        <v>2024</v>
      </c>
      <c r="D135" s="8">
        <v>10</v>
      </c>
      <c r="E135">
        <f ca="1">IFERROR(__xludf.DUMMYFUNCTION("""COMPUTED_VALUE"""),25550.8982035928)</f>
        <v>25550.898203592798</v>
      </c>
    </row>
    <row r="136" spans="1:5" ht="15.75" customHeight="1" x14ac:dyDescent="0.25">
      <c r="A136" s="7" t="s">
        <v>29</v>
      </c>
      <c r="B136" s="7" t="s">
        <v>11</v>
      </c>
      <c r="C136" s="8">
        <v>2024</v>
      </c>
      <c r="D136" s="8">
        <v>10</v>
      </c>
      <c r="E136">
        <f ca="1">IFERROR(__xludf.DUMMYFUNCTION("""COMPUTED_VALUE"""),28214.84375)</f>
        <v>28214.84375</v>
      </c>
    </row>
    <row r="137" spans="1:5" ht="15.75" customHeight="1" x14ac:dyDescent="0.25">
      <c r="A137" s="7" t="s">
        <v>29</v>
      </c>
      <c r="B137" s="7" t="s">
        <v>12</v>
      </c>
      <c r="C137" s="8">
        <v>2024</v>
      </c>
      <c r="D137" s="8">
        <v>10</v>
      </c>
      <c r="E137">
        <f ca="1">IFERROR(__xludf.DUMMYFUNCTION("""COMPUTED_VALUE"""),3449.33333333333)</f>
        <v>3449.3333333333298</v>
      </c>
    </row>
    <row r="138" spans="1:5" ht="15.75" customHeight="1" x14ac:dyDescent="0.25">
      <c r="A138" s="7" t="s">
        <v>29</v>
      </c>
      <c r="B138" s="7" t="s">
        <v>13</v>
      </c>
      <c r="C138" s="8">
        <v>2024</v>
      </c>
      <c r="D138" s="8">
        <v>10</v>
      </c>
      <c r="E138">
        <f ca="1">IFERROR(__xludf.DUMMYFUNCTION("""COMPUTED_VALUE"""),2490.89361702127)</f>
        <v>2490.8936170212701</v>
      </c>
    </row>
    <row r="139" spans="1:5" ht="15.75" customHeight="1" x14ac:dyDescent="0.25">
      <c r="A139" s="7" t="s">
        <v>29</v>
      </c>
      <c r="B139" s="7" t="s">
        <v>4</v>
      </c>
      <c r="C139" s="8">
        <v>2024</v>
      </c>
      <c r="D139" s="8">
        <v>10</v>
      </c>
      <c r="E139">
        <f ca="1">IFERROR(__xludf.DUMMYFUNCTION("""COMPUTED_VALUE"""),203.65625)</f>
        <v>203.65625</v>
      </c>
    </row>
    <row r="140" spans="1:5" ht="15.75" customHeight="1" x14ac:dyDescent="0.25">
      <c r="A140" s="7" t="s">
        <v>29</v>
      </c>
      <c r="B140" s="7" t="s">
        <v>1</v>
      </c>
      <c r="C140" s="8">
        <v>2024</v>
      </c>
      <c r="D140" s="8">
        <v>10</v>
      </c>
      <c r="E140">
        <f ca="1">IFERROR(__xludf.DUMMYFUNCTION("""COMPUTED_VALUE"""),466.631578947368)</f>
        <v>466.63157894736798</v>
      </c>
    </row>
    <row r="141" spans="1:5" ht="15.75" customHeight="1" x14ac:dyDescent="0.25">
      <c r="A141" s="7" t="s">
        <v>29</v>
      </c>
      <c r="B141" s="7" t="s">
        <v>14</v>
      </c>
      <c r="C141" s="8">
        <v>2024</v>
      </c>
      <c r="D141" s="8">
        <v>10</v>
      </c>
      <c r="E141">
        <f ca="1">IFERROR(__xludf.DUMMYFUNCTION("""COMPUTED_VALUE"""),72)</f>
        <v>72</v>
      </c>
    </row>
    <row r="142" spans="1:5" ht="15.75" customHeight="1" x14ac:dyDescent="0.25">
      <c r="A142" s="7" t="s">
        <v>29</v>
      </c>
      <c r="B142" s="7" t="s">
        <v>15</v>
      </c>
      <c r="C142" s="8">
        <v>2024</v>
      </c>
      <c r="D142" s="8">
        <v>10</v>
      </c>
      <c r="E142">
        <f ca="1">IFERROR(__xludf.DUMMYFUNCTION("""COMPUTED_VALUE"""),254.999999999999)</f>
        <v>254.99999999999901</v>
      </c>
    </row>
    <row r="143" spans="1:5" ht="15.75" customHeight="1" x14ac:dyDescent="0.25">
      <c r="A143" s="7" t="s">
        <v>29</v>
      </c>
      <c r="B143" s="7" t="s">
        <v>2</v>
      </c>
      <c r="C143" s="8">
        <v>2024</v>
      </c>
      <c r="D143" s="8">
        <v>10</v>
      </c>
      <c r="E143">
        <f ca="1">IFERROR(__xludf.DUMMYFUNCTION("""COMPUTED_VALUE"""),5979.71351351351)</f>
        <v>5979.7135135135104</v>
      </c>
    </row>
    <row r="144" spans="1:5" ht="15.75" customHeight="1" x14ac:dyDescent="0.25">
      <c r="A144" s="7" t="s">
        <v>29</v>
      </c>
      <c r="B144" s="7" t="s">
        <v>16</v>
      </c>
      <c r="C144" s="8">
        <v>2024</v>
      </c>
      <c r="D144" s="8">
        <v>10</v>
      </c>
      <c r="E144">
        <f ca="1">IFERROR(__xludf.DUMMYFUNCTION("""COMPUTED_VALUE"""),18932.7582938388)</f>
        <v>18932.7582938388</v>
      </c>
    </row>
    <row r="145" spans="1:5" ht="15.75" customHeight="1" x14ac:dyDescent="0.25">
      <c r="A145" s="7" t="s">
        <v>29</v>
      </c>
      <c r="B145" s="7" t="s">
        <v>17</v>
      </c>
      <c r="C145" s="8">
        <v>2024</v>
      </c>
      <c r="D145" s="8">
        <v>10</v>
      </c>
      <c r="E145">
        <f ca="1">IFERROR(__xludf.DUMMYFUNCTION("""COMPUTED_VALUE"""),95251.081628394)</f>
        <v>95251.081628393993</v>
      </c>
    </row>
    <row r="146" spans="1:5" ht="15.75" customHeight="1" x14ac:dyDescent="0.25">
      <c r="A146" s="7" t="s">
        <v>30</v>
      </c>
      <c r="B146" s="9" t="s">
        <v>5</v>
      </c>
      <c r="C146" s="8">
        <v>2024</v>
      </c>
      <c r="D146" s="8">
        <v>10</v>
      </c>
      <c r="E146">
        <f ca="1">IFERROR(__xludf.DUMMYFUNCTION("TRANSPOSE(IMPORTRANGE(""https://docs.google.com/spreadsheets/d/1cv8w4RgreF55A1mw5YfUmgV2e6j-PXym1SXozOAxbDQ/edit?usp=sharing"",""Perhitungan Stok!$J$6:$J$17""))"),924775.559642733)</f>
        <v>924775.55964273296</v>
      </c>
    </row>
    <row r="147" spans="1:5" ht="15.75" customHeight="1" x14ac:dyDescent="0.25">
      <c r="A147" s="7" t="s">
        <v>30</v>
      </c>
      <c r="B147" s="7" t="s">
        <v>3</v>
      </c>
      <c r="C147" s="8">
        <v>2024</v>
      </c>
      <c r="D147" s="8">
        <v>10</v>
      </c>
      <c r="E147">
        <f ca="1">IFERROR(__xludf.DUMMYFUNCTION("""COMPUTED_VALUE"""),1300)</f>
        <v>1300</v>
      </c>
    </row>
    <row r="148" spans="1:5" ht="15.75" customHeight="1" x14ac:dyDescent="0.25">
      <c r="A148" s="7" t="s">
        <v>30</v>
      </c>
      <c r="B148" s="7" t="s">
        <v>11</v>
      </c>
      <c r="C148" s="8">
        <v>2024</v>
      </c>
      <c r="D148" s="8">
        <v>10</v>
      </c>
      <c r="E148">
        <f ca="1">IFERROR(__xludf.DUMMYFUNCTION("""COMPUTED_VALUE"""),4063.2)</f>
        <v>4063.2</v>
      </c>
    </row>
    <row r="149" spans="1:5" ht="15.75" customHeight="1" x14ac:dyDescent="0.25">
      <c r="A149" s="7" t="s">
        <v>30</v>
      </c>
      <c r="B149" s="7" t="s">
        <v>12</v>
      </c>
      <c r="C149" s="8">
        <v>2024</v>
      </c>
      <c r="D149" s="8">
        <v>10</v>
      </c>
      <c r="E149">
        <f ca="1">IFERROR(__xludf.DUMMYFUNCTION("""COMPUTED_VALUE"""),1140)</f>
        <v>1140</v>
      </c>
    </row>
    <row r="150" spans="1:5" ht="15.75" customHeight="1" x14ac:dyDescent="0.25">
      <c r="A150" s="7" t="s">
        <v>30</v>
      </c>
      <c r="B150" s="7" t="s">
        <v>13</v>
      </c>
      <c r="C150" s="8">
        <v>2024</v>
      </c>
      <c r="D150" s="8">
        <v>10</v>
      </c>
      <c r="E150">
        <f ca="1">IFERROR(__xludf.DUMMYFUNCTION("""COMPUTED_VALUE"""),487.577777777777)</f>
        <v>487.57777777777699</v>
      </c>
    </row>
    <row r="151" spans="1:5" ht="15.75" customHeight="1" x14ac:dyDescent="0.25">
      <c r="A151" s="7" t="s">
        <v>30</v>
      </c>
      <c r="B151" s="7" t="s">
        <v>4</v>
      </c>
      <c r="C151" s="8">
        <v>2024</v>
      </c>
      <c r="D151" s="8">
        <v>10</v>
      </c>
      <c r="E151">
        <f ca="1">IFERROR(__xludf.DUMMYFUNCTION("""COMPUTED_VALUE"""),106.166666666666)</f>
        <v>106.166666666666</v>
      </c>
    </row>
    <row r="152" spans="1:5" ht="15.75" customHeight="1" x14ac:dyDescent="0.25">
      <c r="A152" s="7" t="s">
        <v>30</v>
      </c>
      <c r="B152" s="7" t="s">
        <v>1</v>
      </c>
      <c r="C152" s="8">
        <v>2024</v>
      </c>
      <c r="D152" s="8">
        <v>10</v>
      </c>
      <c r="E152">
        <f ca="1">IFERROR(__xludf.DUMMYFUNCTION("""COMPUTED_VALUE"""),557.381578947368)</f>
        <v>557.38157894736798</v>
      </c>
    </row>
    <row r="153" spans="1:5" ht="15.75" customHeight="1" x14ac:dyDescent="0.25">
      <c r="A153" s="7" t="s">
        <v>30</v>
      </c>
      <c r="B153" s="7" t="s">
        <v>14</v>
      </c>
      <c r="C153" s="8">
        <v>2024</v>
      </c>
      <c r="D153" s="8">
        <v>10</v>
      </c>
      <c r="E153">
        <f ca="1">IFERROR(__xludf.DUMMYFUNCTION("""COMPUTED_VALUE"""),240.578231292517)</f>
        <v>240.57823129251699</v>
      </c>
    </row>
    <row r="154" spans="1:5" ht="15.75" customHeight="1" x14ac:dyDescent="0.25">
      <c r="A154" s="7" t="s">
        <v>30</v>
      </c>
      <c r="B154" s="7" t="s">
        <v>15</v>
      </c>
      <c r="C154" s="8">
        <v>2024</v>
      </c>
      <c r="D154" s="8">
        <v>10</v>
      </c>
      <c r="E154">
        <f ca="1">IFERROR(__xludf.DUMMYFUNCTION("""COMPUTED_VALUE"""),100.833333333333)</f>
        <v>100.833333333333</v>
      </c>
    </row>
    <row r="155" spans="1:5" ht="15.75" customHeight="1" x14ac:dyDescent="0.25">
      <c r="A155" s="7" t="s">
        <v>30</v>
      </c>
      <c r="B155" s="7" t="s">
        <v>2</v>
      </c>
      <c r="C155" s="8">
        <v>2024</v>
      </c>
      <c r="D155" s="8">
        <v>10</v>
      </c>
      <c r="E155">
        <f ca="1">IFERROR(__xludf.DUMMYFUNCTION("""COMPUTED_VALUE"""),9677.26358148893)</f>
        <v>9677.2635814889309</v>
      </c>
    </row>
    <row r="156" spans="1:5" ht="15.75" customHeight="1" x14ac:dyDescent="0.25">
      <c r="A156" s="7" t="s">
        <v>30</v>
      </c>
      <c r="B156" s="7" t="s">
        <v>16</v>
      </c>
      <c r="C156" s="8">
        <v>2024</v>
      </c>
      <c r="D156" s="8">
        <v>10</v>
      </c>
      <c r="E156">
        <f ca="1">IFERROR(__xludf.DUMMYFUNCTION("""COMPUTED_VALUE"""),617.5)</f>
        <v>617.5</v>
      </c>
    </row>
    <row r="157" spans="1:5" ht="15.75" customHeight="1" x14ac:dyDescent="0.25">
      <c r="A157" s="7" t="s">
        <v>30</v>
      </c>
      <c r="B157" s="7" t="s">
        <v>17</v>
      </c>
      <c r="C157" s="8">
        <v>2024</v>
      </c>
      <c r="D157" s="8">
        <v>10</v>
      </c>
      <c r="E157">
        <f ca="1">IFERROR(__xludf.DUMMYFUNCTION("""COMPUTED_VALUE"""),1546.11111111111)</f>
        <v>1546.1111111111099</v>
      </c>
    </row>
    <row r="158" spans="1:5" ht="15.75" customHeight="1" x14ac:dyDescent="0.25">
      <c r="A158" s="7" t="s">
        <v>31</v>
      </c>
      <c r="B158" s="9" t="s">
        <v>5</v>
      </c>
      <c r="C158" s="8">
        <v>2024</v>
      </c>
      <c r="D158" s="8">
        <v>10</v>
      </c>
      <c r="E158">
        <f ca="1">IFERROR(__xludf.DUMMYFUNCTION("TRANSPOSE(IMPORTRANGE(""https://docs.google.com/spreadsheets/d/18D7pHiWpJ4gLst8rmYyUj14WiVjxp1qK_8RCugx8bpg/edit?usp=sharing"",""Perhitungan Stok!$J$6:$J$17""))"),175616.58031088)</f>
        <v>175616.58031088</v>
      </c>
    </row>
    <row r="159" spans="1:5" ht="15.75" customHeight="1" x14ac:dyDescent="0.25">
      <c r="A159" s="7" t="s">
        <v>31</v>
      </c>
      <c r="B159" s="7" t="s">
        <v>3</v>
      </c>
      <c r="C159" s="8">
        <v>2024</v>
      </c>
      <c r="D159" s="8">
        <v>10</v>
      </c>
      <c r="E159">
        <f ca="1">IFERROR(__xludf.DUMMYFUNCTION("""COMPUTED_VALUE"""),168136.363636363)</f>
        <v>168136.36363636301</v>
      </c>
    </row>
    <row r="160" spans="1:5" ht="15.75" customHeight="1" x14ac:dyDescent="0.25">
      <c r="A160" s="7" t="s">
        <v>31</v>
      </c>
      <c r="B160" s="7" t="s">
        <v>11</v>
      </c>
      <c r="C160" s="8">
        <v>2024</v>
      </c>
      <c r="D160" s="8">
        <v>10</v>
      </c>
      <c r="E160">
        <f ca="1">IFERROR(__xludf.DUMMYFUNCTION("""COMPUTED_VALUE"""),69000)</f>
        <v>69000</v>
      </c>
    </row>
    <row r="161" spans="1:16" ht="15.75" customHeight="1" x14ac:dyDescent="0.25">
      <c r="A161" s="7" t="s">
        <v>31</v>
      </c>
      <c r="B161" s="7" t="s">
        <v>12</v>
      </c>
      <c r="C161" s="8">
        <v>2024</v>
      </c>
      <c r="D161" s="8">
        <v>10</v>
      </c>
      <c r="E161">
        <f ca="1">IFERROR(__xludf.DUMMYFUNCTION("""COMPUTED_VALUE"""),29600)</f>
        <v>29600</v>
      </c>
    </row>
    <row r="162" spans="1:16" ht="15.75" customHeight="1" x14ac:dyDescent="0.25">
      <c r="A162" s="7" t="s">
        <v>31</v>
      </c>
      <c r="B162" s="7" t="s">
        <v>13</v>
      </c>
      <c r="C162" s="8">
        <v>2024</v>
      </c>
      <c r="D162" s="8">
        <v>10</v>
      </c>
      <c r="E162">
        <f ca="1">IFERROR(__xludf.DUMMYFUNCTION("""COMPUTED_VALUE"""),6000)</f>
        <v>6000</v>
      </c>
    </row>
    <row r="163" spans="1:16" ht="15.75" customHeight="1" x14ac:dyDescent="0.25">
      <c r="A163" s="7" t="s">
        <v>31</v>
      </c>
      <c r="B163" s="7" t="s">
        <v>4</v>
      </c>
      <c r="C163" s="8">
        <v>2024</v>
      </c>
      <c r="D163" s="8">
        <v>10</v>
      </c>
      <c r="E163">
        <f ca="1">IFERROR(__xludf.DUMMYFUNCTION("""COMPUTED_VALUE"""),0)</f>
        <v>0</v>
      </c>
    </row>
    <row r="164" spans="1:16" ht="15.75" customHeight="1" x14ac:dyDescent="0.25">
      <c r="A164" s="7" t="s">
        <v>31</v>
      </c>
      <c r="B164" s="7" t="s">
        <v>1</v>
      </c>
      <c r="C164" s="8">
        <v>2024</v>
      </c>
      <c r="D164" s="8">
        <v>10</v>
      </c>
      <c r="E164">
        <f ca="1">IFERROR(__xludf.DUMMYFUNCTION("""COMPUTED_VALUE"""),0)</f>
        <v>0</v>
      </c>
    </row>
    <row r="165" spans="1:16" ht="15.75" customHeight="1" x14ac:dyDescent="0.25">
      <c r="A165" s="7" t="s">
        <v>31</v>
      </c>
      <c r="B165" s="7" t="s">
        <v>14</v>
      </c>
      <c r="C165" s="8">
        <v>2024</v>
      </c>
      <c r="D165" s="8">
        <v>10</v>
      </c>
      <c r="E165">
        <f ca="1">IFERROR(__xludf.DUMMYFUNCTION("""COMPUTED_VALUE"""),69.4509803921568)</f>
        <v>69.450980392156794</v>
      </c>
    </row>
    <row r="166" spans="1:16" ht="15.75" customHeight="1" x14ac:dyDescent="0.25">
      <c r="A166" s="7" t="s">
        <v>31</v>
      </c>
      <c r="B166" s="7" t="s">
        <v>15</v>
      </c>
      <c r="C166" s="8">
        <v>2024</v>
      </c>
      <c r="D166" s="8">
        <v>10</v>
      </c>
      <c r="E166">
        <f ca="1">IFERROR(__xludf.DUMMYFUNCTION("""COMPUTED_VALUE"""),101.538461538461)</f>
        <v>101.53846153846099</v>
      </c>
    </row>
    <row r="167" spans="1:16" ht="15.75" customHeight="1" x14ac:dyDescent="0.25">
      <c r="A167" s="7" t="s">
        <v>31</v>
      </c>
      <c r="B167" s="7" t="s">
        <v>2</v>
      </c>
      <c r="C167" s="8">
        <v>2024</v>
      </c>
      <c r="D167" s="8">
        <v>10</v>
      </c>
      <c r="E167">
        <f ca="1">IFERROR(__xludf.DUMMYFUNCTION("""COMPUTED_VALUE"""),176.93396226415)</f>
        <v>176.93396226415001</v>
      </c>
    </row>
    <row r="168" spans="1:16" ht="15.75" customHeight="1" x14ac:dyDescent="0.25">
      <c r="A168" s="7" t="s">
        <v>31</v>
      </c>
      <c r="B168" s="7" t="s">
        <v>16</v>
      </c>
      <c r="C168" s="8">
        <v>2024</v>
      </c>
      <c r="D168" s="8">
        <v>10</v>
      </c>
      <c r="E168">
        <f ca="1">IFERROR(__xludf.DUMMYFUNCTION("""COMPUTED_VALUE"""),170256.756756756)</f>
        <v>170256.75675675599</v>
      </c>
    </row>
    <row r="169" spans="1:16" ht="15.75" customHeight="1" x14ac:dyDescent="0.25">
      <c r="A169" s="7" t="s">
        <v>31</v>
      </c>
      <c r="B169" s="7" t="s">
        <v>17</v>
      </c>
      <c r="C169" s="8">
        <v>2024</v>
      </c>
      <c r="D169" s="8">
        <v>10</v>
      </c>
      <c r="E169">
        <f ca="1">IFERROR(__xludf.DUMMYFUNCTION("""COMPUTED_VALUE"""),286897.33140776)</f>
        <v>286897.33140775998</v>
      </c>
    </row>
    <row r="170" spans="1:16" ht="15.75" customHeight="1" x14ac:dyDescent="0.25">
      <c r="A170" s="7" t="s">
        <v>32</v>
      </c>
      <c r="B170" s="9" t="s">
        <v>5</v>
      </c>
      <c r="C170" s="8">
        <v>2024</v>
      </c>
      <c r="D170" s="8">
        <v>10</v>
      </c>
      <c r="E170">
        <f ca="1">IFERROR(__xludf.DUMMYFUNCTION("TRANSPOSE(IMPORTRANGE(""https://docs.google.com/spreadsheets/d/1ArHx5-8u4ELpz2uUlOuKHoaCijkEJNBjpAucWEyfJG8/edit?usp=sharing"",""Perhitungan Stok!$J$6:$J$17""))"),48068.5551948052)</f>
        <v>48068.555194805202</v>
      </c>
      <c r="F170" s="2">
        <f ca="1">IFERROR(__xludf.DUMMYFUNCTION("""COMPUTED_VALUE"""),6000)</f>
        <v>6000</v>
      </c>
      <c r="H170" s="2">
        <f ca="1">IFERROR(__xludf.DUMMYFUNCTION("""COMPUTED_VALUE"""),3672)</f>
        <v>3672</v>
      </c>
      <c r="J170" s="2">
        <f ca="1">IFERROR(__xludf.DUMMYFUNCTION("""COMPUTED_VALUE"""),6553.06925675675)</f>
        <v>6553.0692567567503</v>
      </c>
      <c r="K170" s="2">
        <f ca="1">IFERROR(__xludf.DUMMYFUNCTION("""COMPUTED_VALUE"""),6338.42818428184)</f>
        <v>6338.42818428184</v>
      </c>
      <c r="L170" s="2">
        <f ca="1">IFERROR(__xludf.DUMMYFUNCTION("""COMPUTED_VALUE"""),0)</f>
        <v>0</v>
      </c>
      <c r="M170" s="2">
        <f ca="1">IFERROR(__xludf.DUMMYFUNCTION("""COMPUTED_VALUE"""),1837.33333333333)</f>
        <v>1837.3333333333301</v>
      </c>
      <c r="N170" s="2">
        <f ca="1">IFERROR(__xludf.DUMMYFUNCTION("""COMPUTED_VALUE"""),2326.07142857142)</f>
        <v>2326.0714285714198</v>
      </c>
      <c r="O170" s="2">
        <f ca="1">IFERROR(__xludf.DUMMYFUNCTION("""COMPUTED_VALUE"""),36000)</f>
        <v>36000</v>
      </c>
      <c r="P170" s="2">
        <f ca="1">IFERROR(__xludf.DUMMYFUNCTION("""COMPUTED_VALUE"""),25906.3492063492)</f>
        <v>25906.349206349201</v>
      </c>
    </row>
    <row r="171" spans="1:16" ht="15.75" customHeight="1" x14ac:dyDescent="0.25">
      <c r="A171" s="7" t="s">
        <v>32</v>
      </c>
      <c r="B171" s="7" t="s">
        <v>3</v>
      </c>
      <c r="C171" s="8">
        <v>2024</v>
      </c>
      <c r="D171" s="8">
        <v>10</v>
      </c>
      <c r="E171">
        <f ca="1">IFERROR(__xludf.DUMMYFUNCTION("""COMPUTED_VALUE"""),6000)</f>
        <v>6000</v>
      </c>
    </row>
    <row r="172" spans="1:16" ht="15.75" customHeight="1" x14ac:dyDescent="0.25">
      <c r="A172" s="7" t="s">
        <v>32</v>
      </c>
      <c r="B172" s="7" t="s">
        <v>11</v>
      </c>
      <c r="C172" s="8">
        <v>2024</v>
      </c>
      <c r="D172" s="8">
        <v>10</v>
      </c>
      <c r="E172">
        <f ca="1">IFERROR(__xludf.DUMMYFUNCTION("""COMPUTED_VALUE"""),8013.33333333333)</f>
        <v>8013.3333333333303</v>
      </c>
    </row>
    <row r="173" spans="1:16" ht="15.75" customHeight="1" x14ac:dyDescent="0.25">
      <c r="A173" s="7" t="s">
        <v>32</v>
      </c>
      <c r="B173" s="7" t="s">
        <v>12</v>
      </c>
      <c r="C173" s="8">
        <v>2024</v>
      </c>
      <c r="D173" s="8">
        <v>10</v>
      </c>
      <c r="E173">
        <f ca="1">IFERROR(__xludf.DUMMYFUNCTION("""COMPUTED_VALUE"""),3672)</f>
        <v>3672</v>
      </c>
    </row>
    <row r="174" spans="1:16" ht="15.75" customHeight="1" x14ac:dyDescent="0.25">
      <c r="A174" s="7" t="s">
        <v>32</v>
      </c>
      <c r="B174" s="7" t="s">
        <v>13</v>
      </c>
      <c r="C174" s="8">
        <v>2024</v>
      </c>
      <c r="D174" s="8">
        <v>10</v>
      </c>
      <c r="E174">
        <f ca="1">IFERROR(__xludf.DUMMYFUNCTION("""COMPUTED_VALUE"""),2206.15384615384)</f>
        <v>2206.1538461538398</v>
      </c>
    </row>
    <row r="175" spans="1:16" ht="15.75" customHeight="1" x14ac:dyDescent="0.25">
      <c r="A175" s="7" t="s">
        <v>32</v>
      </c>
      <c r="B175" s="7" t="s">
        <v>4</v>
      </c>
      <c r="C175" s="8">
        <v>2024</v>
      </c>
      <c r="D175" s="8">
        <v>10</v>
      </c>
      <c r="E175">
        <f ca="1">IFERROR(__xludf.DUMMYFUNCTION("""COMPUTED_VALUE"""),6553.06925675675)</f>
        <v>6553.0692567567503</v>
      </c>
    </row>
    <row r="176" spans="1:16" ht="15.75" customHeight="1" x14ac:dyDescent="0.25">
      <c r="A176" s="7" t="s">
        <v>32</v>
      </c>
      <c r="B176" s="7" t="s">
        <v>1</v>
      </c>
      <c r="C176" s="8">
        <v>2024</v>
      </c>
      <c r="D176" s="8">
        <v>10</v>
      </c>
      <c r="E176">
        <f ca="1">IFERROR(__xludf.DUMMYFUNCTION("""COMPUTED_VALUE"""),6338.42818428184)</f>
        <v>6338.42818428184</v>
      </c>
    </row>
    <row r="177" spans="1:5" ht="15.75" customHeight="1" x14ac:dyDescent="0.25">
      <c r="A177" s="7" t="s">
        <v>32</v>
      </c>
      <c r="B177" s="7" t="s">
        <v>14</v>
      </c>
      <c r="C177" s="8">
        <v>2024</v>
      </c>
      <c r="D177" s="8">
        <v>10</v>
      </c>
      <c r="E177">
        <f ca="1">IFERROR(__xludf.DUMMYFUNCTION("""COMPUTED_VALUE"""),0)</f>
        <v>0</v>
      </c>
    </row>
    <row r="178" spans="1:5" ht="15.75" customHeight="1" x14ac:dyDescent="0.25">
      <c r="A178" s="7" t="s">
        <v>32</v>
      </c>
      <c r="B178" s="7" t="s">
        <v>15</v>
      </c>
      <c r="C178" s="8">
        <v>2024</v>
      </c>
      <c r="D178" s="8">
        <v>10</v>
      </c>
      <c r="E178">
        <f ca="1">IFERROR(__xludf.DUMMYFUNCTION("""COMPUTED_VALUE"""),1837.33333333333)</f>
        <v>1837.3333333333301</v>
      </c>
    </row>
    <row r="179" spans="1:5" ht="15.75" customHeight="1" x14ac:dyDescent="0.25">
      <c r="A179" s="7" t="s">
        <v>32</v>
      </c>
      <c r="B179" s="7" t="s">
        <v>2</v>
      </c>
      <c r="C179" s="8">
        <v>2024</v>
      </c>
      <c r="D179" s="8">
        <v>10</v>
      </c>
      <c r="E179">
        <f ca="1">IFERROR(__xludf.DUMMYFUNCTION("""COMPUTED_VALUE"""),2326.07142857142)</f>
        <v>2326.0714285714198</v>
      </c>
    </row>
    <row r="180" spans="1:5" ht="15.75" customHeight="1" x14ac:dyDescent="0.25">
      <c r="A180" s="7" t="s">
        <v>32</v>
      </c>
      <c r="B180" s="7" t="s">
        <v>16</v>
      </c>
      <c r="C180" s="8">
        <v>2024</v>
      </c>
      <c r="D180" s="8">
        <v>10</v>
      </c>
      <c r="E180">
        <f ca="1">IFERROR(__xludf.DUMMYFUNCTION("""COMPUTED_VALUE"""),36000)</f>
        <v>36000</v>
      </c>
    </row>
    <row r="181" spans="1:5" ht="15.75" customHeight="1" x14ac:dyDescent="0.25">
      <c r="A181" s="7" t="s">
        <v>32</v>
      </c>
      <c r="B181" s="7" t="s">
        <v>17</v>
      </c>
      <c r="C181" s="8">
        <v>2024</v>
      </c>
      <c r="D181" s="8">
        <v>10</v>
      </c>
      <c r="E181">
        <f ca="1">IFERROR(__xludf.DUMMYFUNCTION("""COMPUTED_VALUE"""),25906.3492063492)</f>
        <v>25906.349206349201</v>
      </c>
    </row>
    <row r="182" spans="1:5" ht="15.75" customHeight="1" x14ac:dyDescent="0.25">
      <c r="A182" s="7" t="s">
        <v>33</v>
      </c>
      <c r="B182" s="9" t="s">
        <v>5</v>
      </c>
      <c r="C182" s="8">
        <v>2024</v>
      </c>
      <c r="D182" s="8">
        <v>10</v>
      </c>
      <c r="E182">
        <f ca="1">IFERROR(__xludf.DUMMYFUNCTION("TRANSPOSE(IMPORTRANGE(""https://docs.google.com/spreadsheets/d/1ArHx5-8u4ELpz2uUlOuKHoaCijkEJNBjpAucWEyfJG8/edit?usp=sharing"",""Perhitungan Stok!$J$6:$J$17""))"),48068.5551948052)</f>
        <v>48068.555194805202</v>
      </c>
    </row>
    <row r="183" spans="1:5" ht="15.75" customHeight="1" x14ac:dyDescent="0.25">
      <c r="A183" s="7" t="s">
        <v>33</v>
      </c>
      <c r="B183" s="7" t="s">
        <v>3</v>
      </c>
      <c r="C183" s="8">
        <v>2024</v>
      </c>
      <c r="D183" s="8">
        <v>10</v>
      </c>
      <c r="E183">
        <f ca="1">IFERROR(__xludf.DUMMYFUNCTION("""COMPUTED_VALUE"""),6000)</f>
        <v>6000</v>
      </c>
    </row>
    <row r="184" spans="1:5" ht="15.75" customHeight="1" x14ac:dyDescent="0.25">
      <c r="A184" s="7" t="s">
        <v>33</v>
      </c>
      <c r="B184" s="7" t="s">
        <v>11</v>
      </c>
      <c r="C184" s="8">
        <v>2024</v>
      </c>
      <c r="D184" s="8">
        <v>10</v>
      </c>
      <c r="E184">
        <f ca="1">IFERROR(__xludf.DUMMYFUNCTION("""COMPUTED_VALUE"""),8013.33333333333)</f>
        <v>8013.3333333333303</v>
      </c>
    </row>
    <row r="185" spans="1:5" ht="15.75" customHeight="1" x14ac:dyDescent="0.25">
      <c r="A185" s="7" t="s">
        <v>33</v>
      </c>
      <c r="B185" s="7" t="s">
        <v>12</v>
      </c>
      <c r="C185" s="8">
        <v>2024</v>
      </c>
      <c r="D185" s="8">
        <v>10</v>
      </c>
      <c r="E185">
        <f ca="1">IFERROR(__xludf.DUMMYFUNCTION("""COMPUTED_VALUE"""),3672)</f>
        <v>3672</v>
      </c>
    </row>
    <row r="186" spans="1:5" ht="15.75" customHeight="1" x14ac:dyDescent="0.25">
      <c r="A186" s="7" t="s">
        <v>33</v>
      </c>
      <c r="B186" s="7" t="s">
        <v>13</v>
      </c>
      <c r="C186" s="8">
        <v>2024</v>
      </c>
      <c r="D186" s="8">
        <v>10</v>
      </c>
      <c r="E186">
        <f ca="1">IFERROR(__xludf.DUMMYFUNCTION("""COMPUTED_VALUE"""),2206.15384615384)</f>
        <v>2206.1538461538398</v>
      </c>
    </row>
    <row r="187" spans="1:5" ht="15.75" customHeight="1" x14ac:dyDescent="0.25">
      <c r="A187" s="7" t="s">
        <v>33</v>
      </c>
      <c r="B187" s="7" t="s">
        <v>4</v>
      </c>
      <c r="C187" s="8">
        <v>2024</v>
      </c>
      <c r="D187" s="8">
        <v>10</v>
      </c>
      <c r="E187">
        <f ca="1">IFERROR(__xludf.DUMMYFUNCTION("""COMPUTED_VALUE"""),6553.06925675675)</f>
        <v>6553.0692567567503</v>
      </c>
    </row>
    <row r="188" spans="1:5" ht="15.75" customHeight="1" x14ac:dyDescent="0.25">
      <c r="A188" s="7" t="s">
        <v>33</v>
      </c>
      <c r="B188" s="7" t="s">
        <v>1</v>
      </c>
      <c r="C188" s="8">
        <v>2024</v>
      </c>
      <c r="D188" s="8">
        <v>10</v>
      </c>
      <c r="E188">
        <f ca="1">IFERROR(__xludf.DUMMYFUNCTION("""COMPUTED_VALUE"""),6338.42818428184)</f>
        <v>6338.42818428184</v>
      </c>
    </row>
    <row r="189" spans="1:5" ht="15.75" customHeight="1" x14ac:dyDescent="0.25">
      <c r="A189" s="7" t="s">
        <v>33</v>
      </c>
      <c r="B189" s="7" t="s">
        <v>14</v>
      </c>
      <c r="C189" s="8">
        <v>2024</v>
      </c>
      <c r="D189" s="8">
        <v>10</v>
      </c>
      <c r="E189">
        <f ca="1">IFERROR(__xludf.DUMMYFUNCTION("""COMPUTED_VALUE"""),0)</f>
        <v>0</v>
      </c>
    </row>
    <row r="190" spans="1:5" ht="15.75" customHeight="1" x14ac:dyDescent="0.25">
      <c r="A190" s="7" t="s">
        <v>33</v>
      </c>
      <c r="B190" s="7" t="s">
        <v>15</v>
      </c>
      <c r="C190" s="8">
        <v>2024</v>
      </c>
      <c r="D190" s="8">
        <v>10</v>
      </c>
      <c r="E190">
        <f ca="1">IFERROR(__xludf.DUMMYFUNCTION("""COMPUTED_VALUE"""),1837.33333333333)</f>
        <v>1837.3333333333301</v>
      </c>
    </row>
    <row r="191" spans="1:5" ht="15.75" customHeight="1" x14ac:dyDescent="0.25">
      <c r="A191" s="7" t="s">
        <v>33</v>
      </c>
      <c r="B191" s="7" t="s">
        <v>2</v>
      </c>
      <c r="C191" s="8">
        <v>2024</v>
      </c>
      <c r="D191" s="8">
        <v>10</v>
      </c>
      <c r="E191">
        <f ca="1">IFERROR(__xludf.DUMMYFUNCTION("""COMPUTED_VALUE"""),2326.07142857142)</f>
        <v>2326.0714285714198</v>
      </c>
    </row>
    <row r="192" spans="1:5" ht="15.75" customHeight="1" x14ac:dyDescent="0.25">
      <c r="A192" s="7" t="s">
        <v>33</v>
      </c>
      <c r="B192" s="7" t="s">
        <v>16</v>
      </c>
      <c r="C192" s="8">
        <v>2024</v>
      </c>
      <c r="D192" s="8">
        <v>10</v>
      </c>
      <c r="E192">
        <f ca="1">IFERROR(__xludf.DUMMYFUNCTION("""COMPUTED_VALUE"""),36000)</f>
        <v>36000</v>
      </c>
    </row>
    <row r="193" spans="1:5" ht="15.75" customHeight="1" x14ac:dyDescent="0.25">
      <c r="A193" s="7" t="s">
        <v>33</v>
      </c>
      <c r="B193" s="7" t="s">
        <v>17</v>
      </c>
      <c r="C193" s="8">
        <v>2024</v>
      </c>
      <c r="D193" s="8">
        <v>10</v>
      </c>
      <c r="E193">
        <f ca="1">IFERROR(__xludf.DUMMYFUNCTION("""COMPUTED_VALUE"""),25906.3492063492)</f>
        <v>25906.349206349201</v>
      </c>
    </row>
    <row r="194" spans="1:5" ht="15.75" customHeight="1" x14ac:dyDescent="0.25">
      <c r="A194" s="7" t="s">
        <v>34</v>
      </c>
      <c r="B194" s="9" t="s">
        <v>5</v>
      </c>
      <c r="C194" s="8">
        <v>2024</v>
      </c>
      <c r="D194" s="8">
        <v>10</v>
      </c>
      <c r="E194">
        <f ca="1">IFERROR(__xludf.DUMMYFUNCTION("TRANSPOSE(IMPORTRANGE(""https://docs.google.com/spreadsheets/d/1kLe3nWHd3by4MLnEx5u1gOw0zTx4XY5f-DO5W5CXE3k/edit?usp=sharing"",""Perhitungan Stok!$J$6:$J$17""))"),69312.0314235835)</f>
        <v>69312.031423583496</v>
      </c>
    </row>
    <row r="195" spans="1:5" ht="15.75" customHeight="1" x14ac:dyDescent="0.25">
      <c r="A195" s="7" t="s">
        <v>34</v>
      </c>
      <c r="B195" s="7" t="s">
        <v>3</v>
      </c>
      <c r="C195" s="8">
        <v>2024</v>
      </c>
      <c r="D195" s="8">
        <v>10</v>
      </c>
      <c r="E195">
        <f ca="1">IFERROR(__xludf.DUMMYFUNCTION("""COMPUTED_VALUE"""),204640.10585122)</f>
        <v>204640.10585122</v>
      </c>
    </row>
    <row r="196" spans="1:5" ht="15.75" customHeight="1" x14ac:dyDescent="0.25">
      <c r="A196" s="7" t="s">
        <v>34</v>
      </c>
      <c r="B196" s="7" t="s">
        <v>11</v>
      </c>
      <c r="C196" s="8">
        <v>2024</v>
      </c>
      <c r="D196" s="8">
        <v>10</v>
      </c>
      <c r="E196">
        <f ca="1">IFERROR(__xludf.DUMMYFUNCTION("""COMPUTED_VALUE"""),68642.0277571919)</f>
        <v>68642.0277571919</v>
      </c>
    </row>
    <row r="197" spans="1:5" ht="15.75" customHeight="1" x14ac:dyDescent="0.25">
      <c r="A197" s="7" t="s">
        <v>34</v>
      </c>
      <c r="B197" s="7" t="s">
        <v>12</v>
      </c>
      <c r="C197" s="8">
        <v>2024</v>
      </c>
      <c r="D197" s="8">
        <v>10</v>
      </c>
      <c r="E197">
        <f ca="1">IFERROR(__xludf.DUMMYFUNCTION("""COMPUTED_VALUE"""),10288.1060889054)</f>
        <v>10288.106088905401</v>
      </c>
    </row>
    <row r="198" spans="1:5" ht="15.75" customHeight="1" x14ac:dyDescent="0.25">
      <c r="A198" s="7" t="s">
        <v>34</v>
      </c>
      <c r="B198" s="7" t="s">
        <v>13</v>
      </c>
      <c r="C198" s="8">
        <v>2024</v>
      </c>
      <c r="D198" s="8">
        <v>10</v>
      </c>
      <c r="E198">
        <f ca="1">IFERROR(__xludf.DUMMYFUNCTION("""COMPUTED_VALUE"""),2975.98139534883)</f>
        <v>2975.9813953488301</v>
      </c>
    </row>
    <row r="199" spans="1:5" ht="15.75" customHeight="1" x14ac:dyDescent="0.25">
      <c r="A199" s="7" t="s">
        <v>34</v>
      </c>
      <c r="B199" s="7" t="s">
        <v>4</v>
      </c>
      <c r="C199" s="8">
        <v>2024</v>
      </c>
      <c r="D199" s="8">
        <v>10</v>
      </c>
      <c r="E199">
        <f ca="1">IFERROR(__xludf.DUMMYFUNCTION("""COMPUTED_VALUE"""),1613.56073211314)</f>
        <v>1613.5607321131399</v>
      </c>
    </row>
    <row r="200" spans="1:5" ht="15.75" customHeight="1" x14ac:dyDescent="0.25">
      <c r="A200" s="7" t="s">
        <v>34</v>
      </c>
      <c r="B200" s="7" t="s">
        <v>1</v>
      </c>
      <c r="C200" s="8">
        <v>2024</v>
      </c>
      <c r="D200" s="8">
        <v>10</v>
      </c>
      <c r="E200">
        <f ca="1">IFERROR(__xludf.DUMMYFUNCTION("""COMPUTED_VALUE"""),1992.60666666666)</f>
        <v>1992.60666666666</v>
      </c>
    </row>
    <row r="201" spans="1:5" ht="15.75" customHeight="1" x14ac:dyDescent="0.25">
      <c r="A201" s="7" t="s">
        <v>34</v>
      </c>
      <c r="B201" s="7" t="s">
        <v>14</v>
      </c>
      <c r="C201" s="8">
        <v>2024</v>
      </c>
      <c r="D201" s="8">
        <v>10</v>
      </c>
      <c r="E201">
        <f ca="1">IFERROR(__xludf.DUMMYFUNCTION("""COMPUTED_VALUE"""),885)</f>
        <v>885</v>
      </c>
    </row>
    <row r="202" spans="1:5" ht="15.75" customHeight="1" x14ac:dyDescent="0.25">
      <c r="A202" s="7" t="s">
        <v>34</v>
      </c>
      <c r="B202" s="7" t="s">
        <v>15</v>
      </c>
      <c r="C202" s="8">
        <v>2024</v>
      </c>
      <c r="D202" s="8">
        <v>10</v>
      </c>
      <c r="E202">
        <f ca="1">IFERROR(__xludf.DUMMYFUNCTION("""COMPUTED_VALUE"""),3150)</f>
        <v>3150</v>
      </c>
    </row>
    <row r="203" spans="1:5" ht="15.75" customHeight="1" x14ac:dyDescent="0.25">
      <c r="A203" s="7" t="s">
        <v>34</v>
      </c>
      <c r="B203" s="7" t="s">
        <v>2</v>
      </c>
      <c r="C203" s="8">
        <v>2024</v>
      </c>
      <c r="D203" s="8">
        <v>10</v>
      </c>
      <c r="E203">
        <f ca="1">IFERROR(__xludf.DUMMYFUNCTION("""COMPUTED_VALUE"""),2964.68817204301)</f>
        <v>2964.6881720430101</v>
      </c>
    </row>
    <row r="204" spans="1:5" ht="15.75" customHeight="1" x14ac:dyDescent="0.25">
      <c r="A204" s="7" t="s">
        <v>34</v>
      </c>
      <c r="B204" s="7" t="s">
        <v>16</v>
      </c>
      <c r="C204" s="8">
        <v>2024</v>
      </c>
      <c r="D204" s="8">
        <v>10</v>
      </c>
      <c r="E204">
        <f ca="1">IFERROR(__xludf.DUMMYFUNCTION("""COMPUTED_VALUE"""),156677.698778924)</f>
        <v>156677.69877892401</v>
      </c>
    </row>
    <row r="205" spans="1:5" ht="15.75" customHeight="1" x14ac:dyDescent="0.25">
      <c r="A205" s="7" t="s">
        <v>34</v>
      </c>
      <c r="B205" s="7" t="s">
        <v>17</v>
      </c>
      <c r="C205" s="8">
        <v>2024</v>
      </c>
      <c r="D205" s="8">
        <v>10</v>
      </c>
      <c r="E205">
        <f ca="1">IFERROR(__xludf.DUMMYFUNCTION("""COMPUTED_VALUE"""),150101.90717969)</f>
        <v>150101.90717969</v>
      </c>
    </row>
    <row r="206" spans="1:5" ht="15.75" customHeight="1" x14ac:dyDescent="0.25">
      <c r="A206" s="7" t="s">
        <v>35</v>
      </c>
      <c r="B206" s="9" t="s">
        <v>5</v>
      </c>
      <c r="C206" s="8">
        <v>2024</v>
      </c>
      <c r="D206" s="8">
        <v>10</v>
      </c>
      <c r="E206">
        <f ca="1">IFERROR(__xludf.DUMMYFUNCTION("TRANSPOSE(IMPORTRANGE(""https://docs.google.com/spreadsheets/d/1gJzSp5cbYFocOtgYIyG1Wg-CFWI1-6TNNGjKqY22Ue0/edit?usp=sharing"",""Perhitungan Stok!$J$6:$J$17""))"),262219.057750759)</f>
        <v>262219.05775075901</v>
      </c>
    </row>
    <row r="207" spans="1:5" ht="15.75" customHeight="1" x14ac:dyDescent="0.25">
      <c r="A207" s="7" t="s">
        <v>35</v>
      </c>
      <c r="B207" s="7" t="s">
        <v>3</v>
      </c>
      <c r="C207" s="8">
        <v>2024</v>
      </c>
      <c r="D207" s="8">
        <v>10</v>
      </c>
      <c r="E207">
        <f ca="1">IFERROR(__xludf.DUMMYFUNCTION("""COMPUTED_VALUE"""),550)</f>
        <v>550</v>
      </c>
    </row>
    <row r="208" spans="1:5" ht="15.75" customHeight="1" x14ac:dyDescent="0.25">
      <c r="A208" s="7" t="s">
        <v>35</v>
      </c>
      <c r="B208" s="7" t="s">
        <v>11</v>
      </c>
      <c r="C208" s="8">
        <v>2024</v>
      </c>
      <c r="D208" s="8">
        <v>10</v>
      </c>
      <c r="E208">
        <f ca="1">IFERROR(__xludf.DUMMYFUNCTION("""COMPUTED_VALUE"""),91172.1428571428)</f>
        <v>91172.142857142797</v>
      </c>
    </row>
    <row r="209" spans="1:5" ht="15.75" customHeight="1" x14ac:dyDescent="0.25">
      <c r="A209" s="7" t="s">
        <v>35</v>
      </c>
      <c r="B209" s="7" t="s">
        <v>12</v>
      </c>
      <c r="C209" s="8">
        <v>2024</v>
      </c>
      <c r="D209" s="8">
        <v>10</v>
      </c>
      <c r="E209">
        <f ca="1">IFERROR(__xludf.DUMMYFUNCTION("""COMPUTED_VALUE"""),3509.18385093167)</f>
        <v>3509.1838509316699</v>
      </c>
    </row>
    <row r="210" spans="1:5" ht="15.75" customHeight="1" x14ac:dyDescent="0.25">
      <c r="A210" s="7" t="s">
        <v>35</v>
      </c>
      <c r="B210" s="7" t="s">
        <v>13</v>
      </c>
      <c r="C210" s="8">
        <v>2024</v>
      </c>
      <c r="D210" s="8">
        <v>10</v>
      </c>
      <c r="E210">
        <f ca="1">IFERROR(__xludf.DUMMYFUNCTION("""COMPUTED_VALUE"""),7930.71999999999)</f>
        <v>7930.7199999999903</v>
      </c>
    </row>
    <row r="211" spans="1:5" ht="15.75" customHeight="1" x14ac:dyDescent="0.25">
      <c r="A211" s="7" t="s">
        <v>35</v>
      </c>
      <c r="B211" s="7" t="s">
        <v>4</v>
      </c>
      <c r="C211" s="8">
        <v>2024</v>
      </c>
      <c r="D211" s="8">
        <v>10</v>
      </c>
      <c r="E211">
        <f ca="1">IFERROR(__xludf.DUMMYFUNCTION("""COMPUTED_VALUE"""),89.2124999999999)</f>
        <v>89.212499999999906</v>
      </c>
    </row>
    <row r="212" spans="1:5" ht="15.75" customHeight="1" x14ac:dyDescent="0.25">
      <c r="A212" s="7" t="s">
        <v>35</v>
      </c>
      <c r="B212" s="7" t="s">
        <v>1</v>
      </c>
      <c r="C212" s="8">
        <v>2024</v>
      </c>
      <c r="D212" s="8">
        <v>10</v>
      </c>
      <c r="E212">
        <f ca="1">IFERROR(__xludf.DUMMYFUNCTION("""COMPUTED_VALUE"""),847.449999999999)</f>
        <v>847.44999999999902</v>
      </c>
    </row>
    <row r="213" spans="1:5" ht="15.75" customHeight="1" x14ac:dyDescent="0.25">
      <c r="A213" s="7" t="s">
        <v>35</v>
      </c>
      <c r="B213" s="7" t="s">
        <v>14</v>
      </c>
      <c r="C213" s="8">
        <v>2024</v>
      </c>
      <c r="D213" s="8">
        <v>10</v>
      </c>
      <c r="E213">
        <f ca="1">IFERROR(__xludf.DUMMYFUNCTION("""COMPUTED_VALUE"""),3030.46153846153)</f>
        <v>3030.4615384615299</v>
      </c>
    </row>
    <row r="214" spans="1:5" ht="15.75" customHeight="1" x14ac:dyDescent="0.25">
      <c r="A214" s="7" t="s">
        <v>35</v>
      </c>
      <c r="B214" s="7" t="s">
        <v>15</v>
      </c>
      <c r="C214" s="8">
        <v>2024</v>
      </c>
      <c r="D214" s="8">
        <v>10</v>
      </c>
      <c r="E214">
        <f ca="1">IFERROR(__xludf.DUMMYFUNCTION("""COMPUTED_VALUE"""),5638.91489361702)</f>
        <v>5638.9148936170204</v>
      </c>
    </row>
    <row r="215" spans="1:5" ht="15.75" customHeight="1" x14ac:dyDescent="0.25">
      <c r="A215" s="7" t="s">
        <v>35</v>
      </c>
      <c r="B215" s="7" t="s">
        <v>2</v>
      </c>
      <c r="C215" s="8">
        <v>2024</v>
      </c>
      <c r="D215" s="8">
        <v>10</v>
      </c>
      <c r="E215">
        <f ca="1">IFERROR(__xludf.DUMMYFUNCTION("""COMPUTED_VALUE"""),3339.60079840319)</f>
        <v>3339.6007984031899</v>
      </c>
    </row>
    <row r="216" spans="1:5" ht="15.75" customHeight="1" x14ac:dyDescent="0.25">
      <c r="A216" s="7" t="s">
        <v>35</v>
      </c>
      <c r="B216" s="7" t="s">
        <v>16</v>
      </c>
      <c r="C216" s="8">
        <v>2024</v>
      </c>
      <c r="D216" s="8">
        <v>10</v>
      </c>
      <c r="E216">
        <f ca="1">IFERROR(__xludf.DUMMYFUNCTION("""COMPUTED_VALUE"""),62285.0299401197)</f>
        <v>62285.029940119697</v>
      </c>
    </row>
    <row r="217" spans="1:5" ht="15.75" customHeight="1" x14ac:dyDescent="0.25">
      <c r="A217" s="7" t="s">
        <v>35</v>
      </c>
      <c r="B217" s="7" t="s">
        <v>17</v>
      </c>
      <c r="C217" s="8">
        <v>2024</v>
      </c>
      <c r="D217" s="8">
        <v>10</v>
      </c>
      <c r="E217">
        <f ca="1">IFERROR(__xludf.DUMMYFUNCTION("""COMPUTED_VALUE"""),238384.635935352)</f>
        <v>238384.63593535201</v>
      </c>
    </row>
    <row r="218" spans="1:5" ht="15.75" customHeight="1" x14ac:dyDescent="0.25">
      <c r="A218" s="7" t="s">
        <v>36</v>
      </c>
      <c r="B218" s="9" t="s">
        <v>5</v>
      </c>
      <c r="C218" s="8">
        <v>2024</v>
      </c>
      <c r="D218" s="8">
        <v>10</v>
      </c>
      <c r="E218">
        <f ca="1">IFERROR(__xludf.DUMMYFUNCTION("TRANSPOSE(IMPORTRANGE(""https://docs.google.com/spreadsheets/d/1hoq_4P55Wq7WfLD0YKYtZM8RJ1skpb6QSlP5ingN8H4/edit?usp=sharing"",""Perhitungan Stok!$J$6:$J$17""))"),23183.75)</f>
        <v>23183.75</v>
      </c>
    </row>
    <row r="219" spans="1:5" ht="15.75" customHeight="1" x14ac:dyDescent="0.25">
      <c r="A219" s="7" t="s">
        <v>36</v>
      </c>
      <c r="B219" s="7" t="s">
        <v>3</v>
      </c>
      <c r="C219" s="8">
        <v>2024</v>
      </c>
      <c r="D219" s="8">
        <v>10</v>
      </c>
      <c r="E219">
        <f ca="1">IFERROR(__xludf.DUMMYFUNCTION("""COMPUTED_VALUE"""),141176)</f>
        <v>141176</v>
      </c>
    </row>
    <row r="220" spans="1:5" ht="15.75" customHeight="1" x14ac:dyDescent="0.25">
      <c r="A220" s="7" t="s">
        <v>36</v>
      </c>
      <c r="B220" s="7" t="s">
        <v>11</v>
      </c>
      <c r="C220" s="8">
        <v>2024</v>
      </c>
      <c r="D220" s="8">
        <v>10</v>
      </c>
      <c r="E220">
        <f ca="1">IFERROR(__xludf.DUMMYFUNCTION("""COMPUTED_VALUE"""),9533.5294117647)</f>
        <v>9533.5294117647009</v>
      </c>
    </row>
    <row r="221" spans="1:5" ht="15.75" customHeight="1" x14ac:dyDescent="0.25">
      <c r="A221" s="7" t="s">
        <v>36</v>
      </c>
      <c r="B221" s="7" t="s">
        <v>12</v>
      </c>
      <c r="C221" s="8">
        <v>2024</v>
      </c>
      <c r="D221" s="8">
        <v>10</v>
      </c>
      <c r="E221">
        <f ca="1">IFERROR(__xludf.DUMMYFUNCTION("""COMPUTED_VALUE"""),174.399999999999)</f>
        <v>174.39999999999901</v>
      </c>
    </row>
    <row r="222" spans="1:5" ht="15.75" customHeight="1" x14ac:dyDescent="0.25">
      <c r="A222" s="7" t="s">
        <v>36</v>
      </c>
      <c r="B222" s="7" t="s">
        <v>13</v>
      </c>
      <c r="C222" s="8">
        <v>2024</v>
      </c>
      <c r="D222" s="8">
        <v>10</v>
      </c>
      <c r="E222">
        <f ca="1">IFERROR(__xludf.DUMMYFUNCTION("""COMPUTED_VALUE"""),1052.30677290836)</f>
        <v>1052.30677290836</v>
      </c>
    </row>
    <row r="223" spans="1:5" ht="15.75" customHeight="1" x14ac:dyDescent="0.25">
      <c r="A223" s="7" t="s">
        <v>36</v>
      </c>
      <c r="B223" s="7" t="s">
        <v>4</v>
      </c>
      <c r="C223" s="8">
        <v>2024</v>
      </c>
      <c r="D223" s="8">
        <v>10</v>
      </c>
      <c r="E223">
        <f ca="1">IFERROR(__xludf.DUMMYFUNCTION("""COMPUTED_VALUE"""),17975.7467532467)</f>
        <v>17975.746753246702</v>
      </c>
    </row>
    <row r="224" spans="1:5" ht="15.75" customHeight="1" x14ac:dyDescent="0.25">
      <c r="A224" s="7" t="s">
        <v>36</v>
      </c>
      <c r="B224" s="7" t="s">
        <v>1</v>
      </c>
      <c r="C224" s="8">
        <v>2024</v>
      </c>
      <c r="D224" s="8">
        <v>10</v>
      </c>
      <c r="E224">
        <f ca="1">IFERROR(__xludf.DUMMYFUNCTION("""COMPUTED_VALUE"""),225)</f>
        <v>225</v>
      </c>
    </row>
    <row r="225" spans="1:5" ht="15.75" customHeight="1" x14ac:dyDescent="0.25">
      <c r="A225" s="7" t="s">
        <v>36</v>
      </c>
      <c r="B225" s="7" t="s">
        <v>14</v>
      </c>
      <c r="C225" s="8">
        <v>2024</v>
      </c>
      <c r="D225" s="8">
        <v>10</v>
      </c>
      <c r="E225" t="str">
        <f ca="1">IFERROR(__xludf.DUMMYFUNCTION("""COMPUTED_VALUE"""),"NULL")</f>
        <v>NULL</v>
      </c>
    </row>
    <row r="226" spans="1:5" ht="15.75" customHeight="1" x14ac:dyDescent="0.25">
      <c r="A226" s="7" t="s">
        <v>36</v>
      </c>
      <c r="B226" s="7" t="s">
        <v>15</v>
      </c>
      <c r="C226" s="8">
        <v>2024</v>
      </c>
      <c r="D226" s="8">
        <v>10</v>
      </c>
      <c r="E226" t="str">
        <f ca="1">IFERROR(__xludf.DUMMYFUNCTION("""COMPUTED_VALUE"""),"NULL")</f>
        <v>NULL</v>
      </c>
    </row>
    <row r="227" spans="1:5" ht="15.75" customHeight="1" x14ac:dyDescent="0.25">
      <c r="A227" s="7" t="s">
        <v>36</v>
      </c>
      <c r="B227" s="7" t="s">
        <v>2</v>
      </c>
      <c r="C227" s="8">
        <v>2024</v>
      </c>
      <c r="D227" s="8">
        <v>10</v>
      </c>
      <c r="E227">
        <f ca="1">IFERROR(__xludf.DUMMYFUNCTION("""COMPUTED_VALUE"""),6756.5460599334)</f>
        <v>6756.5460599334001</v>
      </c>
    </row>
    <row r="228" spans="1:5" ht="15.75" customHeight="1" x14ac:dyDescent="0.25">
      <c r="A228" s="7" t="s">
        <v>36</v>
      </c>
      <c r="B228" s="7" t="s">
        <v>16</v>
      </c>
      <c r="C228" s="8">
        <v>2024</v>
      </c>
      <c r="D228" s="8">
        <v>10</v>
      </c>
      <c r="E228">
        <f ca="1">IFERROR(__xludf.DUMMYFUNCTION("""COMPUTED_VALUE"""),97.9999999999999)</f>
        <v>97.999999999999901</v>
      </c>
    </row>
    <row r="229" spans="1:5" ht="15.75" customHeight="1" x14ac:dyDescent="0.25">
      <c r="A229" s="7" t="s">
        <v>36</v>
      </c>
      <c r="B229" s="7" t="s">
        <v>17</v>
      </c>
      <c r="C229" s="8">
        <v>2024</v>
      </c>
      <c r="D229" s="8">
        <v>10</v>
      </c>
      <c r="E229">
        <f ca="1">IFERROR(__xludf.DUMMYFUNCTION("""COMPUTED_VALUE"""),277.5)</f>
        <v>277.5</v>
      </c>
    </row>
    <row r="230" spans="1:5" ht="15.75" customHeight="1" x14ac:dyDescent="0.25">
      <c r="A230" s="7" t="s">
        <v>37</v>
      </c>
      <c r="B230" s="9" t="s">
        <v>5</v>
      </c>
      <c r="C230" s="8">
        <v>2024</v>
      </c>
      <c r="D230" s="8">
        <v>10</v>
      </c>
      <c r="E230">
        <f ca="1">IFERROR(__xludf.DUMMYFUNCTION("TRANSPOSE(IMPORTRANGE(""https://docs.google.com/spreadsheets/d/1nhrG8aUhwlu8h9RD8LxjTGiz9Y-B18aQAaUEaBSJOCg/edit?usp=sharing"",""Perhitungan Stok!$J$6:$J$17""))"),546.780494505494)</f>
        <v>546.78049450549395</v>
      </c>
    </row>
    <row r="231" spans="1:5" ht="15.75" customHeight="1" x14ac:dyDescent="0.25">
      <c r="A231" s="7" t="s">
        <v>37</v>
      </c>
      <c r="B231" s="7" t="s">
        <v>3</v>
      </c>
      <c r="C231" s="8">
        <v>2024</v>
      </c>
      <c r="D231" s="8">
        <v>10</v>
      </c>
      <c r="E231">
        <f ca="1">IFERROR(__xludf.DUMMYFUNCTION("""COMPUTED_VALUE"""),0)</f>
        <v>0</v>
      </c>
    </row>
    <row r="232" spans="1:5" ht="15.75" customHeight="1" x14ac:dyDescent="0.25">
      <c r="A232" s="7" t="s">
        <v>37</v>
      </c>
      <c r="B232" s="7" t="s">
        <v>11</v>
      </c>
      <c r="C232" s="8">
        <v>2024</v>
      </c>
      <c r="D232" s="8">
        <v>10</v>
      </c>
      <c r="E232">
        <f ca="1">IFERROR(__xludf.DUMMYFUNCTION("""COMPUTED_VALUE"""),803.023008595988)</f>
        <v>803.02300859598802</v>
      </c>
    </row>
    <row r="233" spans="1:5" ht="15.75" customHeight="1" x14ac:dyDescent="0.25">
      <c r="A233" s="7" t="s">
        <v>37</v>
      </c>
      <c r="B233" s="7" t="s">
        <v>12</v>
      </c>
      <c r="C233" s="8">
        <v>2024</v>
      </c>
      <c r="D233" s="8">
        <v>10</v>
      </c>
      <c r="E233">
        <f ca="1">IFERROR(__xludf.DUMMYFUNCTION("""COMPUTED_VALUE"""),424.5)</f>
        <v>424.5</v>
      </c>
    </row>
    <row r="234" spans="1:5" ht="15.75" customHeight="1" x14ac:dyDescent="0.25">
      <c r="A234" s="7" t="s">
        <v>37</v>
      </c>
      <c r="B234" s="7" t="s">
        <v>13</v>
      </c>
      <c r="C234" s="8">
        <v>2024</v>
      </c>
      <c r="D234" s="8">
        <v>10</v>
      </c>
      <c r="E234">
        <f ca="1">IFERROR(__xludf.DUMMYFUNCTION("""COMPUTED_VALUE"""),501.6)</f>
        <v>501.6</v>
      </c>
    </row>
    <row r="235" spans="1:5" ht="15.75" customHeight="1" x14ac:dyDescent="0.25">
      <c r="A235" s="7" t="s">
        <v>37</v>
      </c>
      <c r="B235" s="7" t="s">
        <v>4</v>
      </c>
      <c r="C235" s="8">
        <v>2024</v>
      </c>
      <c r="D235" s="8">
        <v>10</v>
      </c>
      <c r="E235">
        <f ca="1">IFERROR(__xludf.DUMMYFUNCTION("""COMPUTED_VALUE"""),2253.53571428571)</f>
        <v>2253.5357142857101</v>
      </c>
    </row>
    <row r="236" spans="1:5" ht="15.75" customHeight="1" x14ac:dyDescent="0.25">
      <c r="A236" s="7" t="s">
        <v>37</v>
      </c>
      <c r="B236" s="7" t="s">
        <v>1</v>
      </c>
      <c r="C236" s="8">
        <v>2024</v>
      </c>
      <c r="D236" s="8">
        <v>10</v>
      </c>
      <c r="E236">
        <f ca="1">IFERROR(__xludf.DUMMYFUNCTION("""COMPUTED_VALUE"""),754.288461538461)</f>
        <v>754.28846153846098</v>
      </c>
    </row>
    <row r="237" spans="1:5" ht="15.75" customHeight="1" x14ac:dyDescent="0.25">
      <c r="A237" s="7" t="s">
        <v>37</v>
      </c>
      <c r="B237" s="7" t="s">
        <v>14</v>
      </c>
      <c r="C237" s="8">
        <v>2024</v>
      </c>
      <c r="D237" s="8">
        <v>10</v>
      </c>
      <c r="E237">
        <f ca="1">IFERROR(__xludf.DUMMYFUNCTION("""COMPUTED_VALUE"""),1172.57142857142)</f>
        <v>1172.57142857142</v>
      </c>
    </row>
    <row r="238" spans="1:5" ht="15.75" customHeight="1" x14ac:dyDescent="0.25">
      <c r="A238" s="7" t="s">
        <v>37</v>
      </c>
      <c r="B238" s="7" t="s">
        <v>15</v>
      </c>
      <c r="C238" s="8">
        <v>2024</v>
      </c>
      <c r="D238" s="8">
        <v>10</v>
      </c>
      <c r="E238">
        <f ca="1">IFERROR(__xludf.DUMMYFUNCTION("""COMPUTED_VALUE"""),2305.88235294117)</f>
        <v>2305.8823529411702</v>
      </c>
    </row>
    <row r="239" spans="1:5" ht="15.75" customHeight="1" x14ac:dyDescent="0.25">
      <c r="A239" s="7" t="s">
        <v>37</v>
      </c>
      <c r="B239" s="7" t="s">
        <v>2</v>
      </c>
      <c r="C239" s="8">
        <v>2024</v>
      </c>
      <c r="D239" s="8">
        <v>10</v>
      </c>
      <c r="E239">
        <f ca="1">IFERROR(__xludf.DUMMYFUNCTION("""COMPUTED_VALUE"""),258.227848101265)</f>
        <v>258.22784810126501</v>
      </c>
    </row>
    <row r="240" spans="1:5" ht="15.75" customHeight="1" x14ac:dyDescent="0.25">
      <c r="A240" s="7" t="s">
        <v>37</v>
      </c>
      <c r="B240" s="7" t="s">
        <v>16</v>
      </c>
      <c r="C240" s="8">
        <v>2024</v>
      </c>
      <c r="D240" s="8">
        <v>10</v>
      </c>
      <c r="E240">
        <f ca="1">IFERROR(__xludf.DUMMYFUNCTION("""COMPUTED_VALUE"""),933.24315938575)</f>
        <v>933.24315938575</v>
      </c>
    </row>
    <row r="241" spans="1:5" ht="15.75" customHeight="1" x14ac:dyDescent="0.25">
      <c r="A241" s="7" t="s">
        <v>37</v>
      </c>
      <c r="B241" s="7" t="s">
        <v>17</v>
      </c>
      <c r="C241" s="8">
        <v>2024</v>
      </c>
      <c r="D241" s="8">
        <v>10</v>
      </c>
      <c r="E241">
        <f ca="1">IFERROR(__xludf.DUMMYFUNCTION("""COMPUTED_VALUE"""),496222.45173482)</f>
        <v>496222.45173481997</v>
      </c>
    </row>
    <row r="242" spans="1:5" ht="15.75" customHeight="1" x14ac:dyDescent="0.25">
      <c r="A242" s="7" t="s">
        <v>38</v>
      </c>
      <c r="B242" s="9" t="s">
        <v>5</v>
      </c>
      <c r="C242" s="8">
        <v>2024</v>
      </c>
      <c r="D242" s="8">
        <v>10</v>
      </c>
      <c r="E242">
        <f ca="1">IFERROR(__xludf.DUMMYFUNCTION("TRANSPOSE(IMPORTRANGE(""https://docs.google.com/spreadsheets/d/1cnnoH2DzFv3zqxk0Yl4qfpoTY4Eh1GUn4Dj-GmU6csM/edit?usp=sharing"",""Perhitungan Stok!$J$6:$J$17""))"),87967.7288135593)</f>
        <v>87967.728813559297</v>
      </c>
    </row>
    <row r="243" spans="1:5" ht="15.75" customHeight="1" x14ac:dyDescent="0.25">
      <c r="A243" s="7" t="s">
        <v>38</v>
      </c>
      <c r="B243" s="7" t="s">
        <v>3</v>
      </c>
      <c r="C243" s="8">
        <v>2024</v>
      </c>
      <c r="D243" s="8">
        <v>10</v>
      </c>
      <c r="E243">
        <f ca="1">IFERROR(__xludf.DUMMYFUNCTION("""COMPUTED_VALUE"""),2513.77777777777)</f>
        <v>2513.7777777777701</v>
      </c>
    </row>
    <row r="244" spans="1:5" ht="15.75" customHeight="1" x14ac:dyDescent="0.25">
      <c r="A244" s="7" t="s">
        <v>38</v>
      </c>
      <c r="B244" s="7" t="s">
        <v>11</v>
      </c>
      <c r="C244" s="8">
        <v>2024</v>
      </c>
      <c r="D244" s="8">
        <v>10</v>
      </c>
      <c r="E244">
        <f ca="1">IFERROR(__xludf.DUMMYFUNCTION("""COMPUTED_VALUE"""),30010)</f>
        <v>30010</v>
      </c>
    </row>
    <row r="245" spans="1:5" ht="15.75" customHeight="1" x14ac:dyDescent="0.25">
      <c r="A245" s="7" t="s">
        <v>38</v>
      </c>
      <c r="B245" s="7" t="s">
        <v>12</v>
      </c>
      <c r="C245" s="8">
        <v>2024</v>
      </c>
      <c r="D245" s="8">
        <v>10</v>
      </c>
      <c r="E245">
        <f ca="1">IFERROR(__xludf.DUMMYFUNCTION("""COMPUTED_VALUE"""),1629.89077669902)</f>
        <v>1629.8907766990201</v>
      </c>
    </row>
    <row r="246" spans="1:5" ht="15.75" customHeight="1" x14ac:dyDescent="0.25">
      <c r="A246" s="7" t="s">
        <v>38</v>
      </c>
      <c r="B246" s="7" t="s">
        <v>13</v>
      </c>
      <c r="C246" s="8">
        <v>2024</v>
      </c>
      <c r="D246" s="8">
        <v>10</v>
      </c>
      <c r="E246">
        <f ca="1">IFERROR(__xludf.DUMMYFUNCTION("""COMPUTED_VALUE"""),2975.55555555555)</f>
        <v>2975.5555555555502</v>
      </c>
    </row>
    <row r="247" spans="1:5" ht="15.75" customHeight="1" x14ac:dyDescent="0.25">
      <c r="A247" s="7" t="s">
        <v>38</v>
      </c>
      <c r="B247" s="7" t="s">
        <v>4</v>
      </c>
      <c r="C247" s="8">
        <v>2024</v>
      </c>
      <c r="D247" s="8">
        <v>10</v>
      </c>
      <c r="E247">
        <f ca="1">IFERROR(__xludf.DUMMYFUNCTION("""COMPUTED_VALUE"""),57510)</f>
        <v>57510</v>
      </c>
    </row>
    <row r="248" spans="1:5" ht="15.75" customHeight="1" x14ac:dyDescent="0.25">
      <c r="A248" s="7" t="s">
        <v>38</v>
      </c>
      <c r="B248" s="7" t="s">
        <v>1</v>
      </c>
      <c r="C248" s="8">
        <v>2024</v>
      </c>
      <c r="D248" s="8">
        <v>10</v>
      </c>
      <c r="E248">
        <f ca="1">IFERROR(__xludf.DUMMYFUNCTION("""COMPUTED_VALUE"""),1646.71428571428)</f>
        <v>1646.7142857142801</v>
      </c>
    </row>
    <row r="249" spans="1:5" ht="15.75" customHeight="1" x14ac:dyDescent="0.25">
      <c r="A249" s="7" t="s">
        <v>38</v>
      </c>
      <c r="B249" s="7" t="s">
        <v>14</v>
      </c>
      <c r="C249" s="8">
        <v>2024</v>
      </c>
      <c r="D249" s="8">
        <v>10</v>
      </c>
      <c r="E249">
        <f ca="1">IFERROR(__xludf.DUMMYFUNCTION("""COMPUTED_VALUE"""),0)</f>
        <v>0</v>
      </c>
    </row>
    <row r="250" spans="1:5" ht="15.75" customHeight="1" x14ac:dyDescent="0.25">
      <c r="A250" s="7" t="s">
        <v>38</v>
      </c>
      <c r="B250" s="7" t="s">
        <v>15</v>
      </c>
      <c r="C250" s="8">
        <v>2024</v>
      </c>
      <c r="D250" s="8">
        <v>10</v>
      </c>
      <c r="E250">
        <f ca="1">IFERROR(__xludf.DUMMYFUNCTION("""COMPUTED_VALUE"""),0)</f>
        <v>0</v>
      </c>
    </row>
    <row r="251" spans="1:5" ht="15.75" customHeight="1" x14ac:dyDescent="0.25">
      <c r="A251" s="7" t="s">
        <v>38</v>
      </c>
      <c r="B251" s="7" t="s">
        <v>2</v>
      </c>
      <c r="C251" s="8">
        <v>2024</v>
      </c>
      <c r="D251" s="8">
        <v>10</v>
      </c>
      <c r="E251">
        <f ca="1">IFERROR(__xludf.DUMMYFUNCTION("""COMPUTED_VALUE"""),6161.63736263736)</f>
        <v>6161.6373626373597</v>
      </c>
    </row>
    <row r="252" spans="1:5" ht="15.75" customHeight="1" x14ac:dyDescent="0.25">
      <c r="A252" s="7" t="s">
        <v>38</v>
      </c>
      <c r="B252" s="7" t="s">
        <v>16</v>
      </c>
      <c r="C252" s="8">
        <v>2024</v>
      </c>
      <c r="D252" s="8">
        <v>10</v>
      </c>
      <c r="E252">
        <f ca="1">IFERROR(__xludf.DUMMYFUNCTION("""COMPUTED_VALUE"""),2732.15323383084)</f>
        <v>2732.1532338308398</v>
      </c>
    </row>
    <row r="253" spans="1:5" ht="15.75" customHeight="1" x14ac:dyDescent="0.25">
      <c r="A253" s="7" t="s">
        <v>38</v>
      </c>
      <c r="B253" s="7" t="s">
        <v>17</v>
      </c>
      <c r="C253" s="8">
        <v>2024</v>
      </c>
      <c r="D253" s="8">
        <v>10</v>
      </c>
      <c r="E253">
        <f ca="1">IFERROR(__xludf.DUMMYFUNCTION("""COMPUTED_VALUE"""),28878.7885662431)</f>
        <v>28878.7885662431</v>
      </c>
    </row>
    <row r="254" spans="1:5" ht="15.75" customHeight="1" x14ac:dyDescent="0.25">
      <c r="A254" s="7" t="s">
        <v>39</v>
      </c>
      <c r="B254" s="9" t="s">
        <v>5</v>
      </c>
      <c r="C254" s="8">
        <v>2024</v>
      </c>
      <c r="D254" s="8">
        <v>10</v>
      </c>
      <c r="E254">
        <f ca="1">IFERROR(__xludf.DUMMYFUNCTION("TRANSPOSE(IMPORTRANGE(""https://docs.google.com/spreadsheets/d/1vjoYpAKwt-1uYvHssYaITGNWtHjFb67ZO2O1EfOX948/edit?usp=sharing"",""Perhitungan Stok!$J$6:$J$17""))"),422748.417912162)</f>
        <v>422748.41791216203</v>
      </c>
    </row>
    <row r="255" spans="1:5" ht="15.75" customHeight="1" x14ac:dyDescent="0.25">
      <c r="A255" s="7" t="s">
        <v>39</v>
      </c>
      <c r="B255" s="7" t="s">
        <v>3</v>
      </c>
      <c r="C255" s="8">
        <v>2024</v>
      </c>
      <c r="D255" s="8">
        <v>10</v>
      </c>
      <c r="E255">
        <f ca="1">IFERROR(__xludf.DUMMYFUNCTION("""COMPUTED_VALUE"""),42488.8825396825)</f>
        <v>42488.882539682498</v>
      </c>
    </row>
    <row r="256" spans="1:5" ht="15.75" customHeight="1" x14ac:dyDescent="0.25">
      <c r="A256" s="7" t="s">
        <v>39</v>
      </c>
      <c r="B256" s="7" t="s">
        <v>11</v>
      </c>
      <c r="C256" s="8">
        <v>2024</v>
      </c>
      <c r="D256" s="8">
        <v>10</v>
      </c>
      <c r="E256">
        <f ca="1">IFERROR(__xludf.DUMMYFUNCTION("""COMPUTED_VALUE"""),19865.8571428571)</f>
        <v>19865.857142857101</v>
      </c>
    </row>
    <row r="257" spans="1:5" ht="15.75" customHeight="1" x14ac:dyDescent="0.25">
      <c r="A257" s="7" t="s">
        <v>39</v>
      </c>
      <c r="B257" s="7" t="s">
        <v>12</v>
      </c>
      <c r="C257" s="8">
        <v>2024</v>
      </c>
      <c r="D257" s="8">
        <v>10</v>
      </c>
      <c r="E257">
        <f ca="1">IFERROR(__xludf.DUMMYFUNCTION("""COMPUTED_VALUE"""),539.9209486166)</f>
        <v>539.92094861659996</v>
      </c>
    </row>
    <row r="258" spans="1:5" ht="15.75" customHeight="1" x14ac:dyDescent="0.25">
      <c r="A258" s="7" t="s">
        <v>39</v>
      </c>
      <c r="B258" s="7" t="s">
        <v>13</v>
      </c>
      <c r="C258" s="8">
        <v>2024</v>
      </c>
      <c r="D258" s="8">
        <v>10</v>
      </c>
      <c r="E258">
        <f ca="1">IFERROR(__xludf.DUMMYFUNCTION("""COMPUTED_VALUE"""),1934.84581497797)</f>
        <v>1934.8458149779699</v>
      </c>
    </row>
    <row r="259" spans="1:5" ht="15.75" customHeight="1" x14ac:dyDescent="0.25">
      <c r="A259" s="7" t="s">
        <v>39</v>
      </c>
      <c r="B259" s="7" t="s">
        <v>4</v>
      </c>
      <c r="C259" s="8">
        <v>2024</v>
      </c>
      <c r="D259" s="8">
        <v>10</v>
      </c>
      <c r="E259">
        <f ca="1">IFERROR(__xludf.DUMMYFUNCTION("""COMPUTED_VALUE"""),979.351606805293)</f>
        <v>979.35160680529304</v>
      </c>
    </row>
    <row r="260" spans="1:5" ht="15.75" customHeight="1" x14ac:dyDescent="0.25">
      <c r="A260" s="7" t="s">
        <v>39</v>
      </c>
      <c r="B260" s="7" t="s">
        <v>1</v>
      </c>
      <c r="C260" s="8">
        <v>2024</v>
      </c>
      <c r="D260" s="8">
        <v>10</v>
      </c>
      <c r="E260">
        <f ca="1">IFERROR(__xludf.DUMMYFUNCTION("""COMPUTED_VALUE"""),1104)</f>
        <v>1104</v>
      </c>
    </row>
    <row r="261" spans="1:5" ht="15.75" customHeight="1" x14ac:dyDescent="0.25">
      <c r="A261" s="7" t="s">
        <v>39</v>
      </c>
      <c r="B261" s="7" t="s">
        <v>14</v>
      </c>
      <c r="C261" s="8">
        <v>2024</v>
      </c>
      <c r="D261" s="8">
        <v>10</v>
      </c>
      <c r="E261">
        <f ca="1">IFERROR(__xludf.DUMMYFUNCTION("""COMPUTED_VALUE"""),691.25)</f>
        <v>691.25</v>
      </c>
    </row>
    <row r="262" spans="1:5" ht="15.75" customHeight="1" x14ac:dyDescent="0.25">
      <c r="A262" s="7" t="s">
        <v>39</v>
      </c>
      <c r="B262" s="7" t="s">
        <v>15</v>
      </c>
      <c r="C262" s="8">
        <v>2024</v>
      </c>
      <c r="D262" s="8">
        <v>10</v>
      </c>
      <c r="E262">
        <f ca="1">IFERROR(__xludf.DUMMYFUNCTION("""COMPUTED_VALUE"""),5430.30857142857)</f>
        <v>5430.3085714285698</v>
      </c>
    </row>
    <row r="263" spans="1:5" ht="15.75" customHeight="1" x14ac:dyDescent="0.25">
      <c r="A263" s="7" t="s">
        <v>39</v>
      </c>
      <c r="B263" s="7" t="s">
        <v>2</v>
      </c>
      <c r="C263" s="8">
        <v>2024</v>
      </c>
      <c r="D263" s="8">
        <v>10</v>
      </c>
      <c r="E263">
        <f ca="1">IFERROR(__xludf.DUMMYFUNCTION("""COMPUTED_VALUE"""),1162.45454545454)</f>
        <v>1162.45454545454</v>
      </c>
    </row>
    <row r="264" spans="1:5" ht="15.75" customHeight="1" x14ac:dyDescent="0.25">
      <c r="A264" s="7" t="s">
        <v>39</v>
      </c>
      <c r="B264" s="7" t="s">
        <v>16</v>
      </c>
      <c r="C264" s="8">
        <v>2024</v>
      </c>
      <c r="D264" s="8">
        <v>10</v>
      </c>
      <c r="E264">
        <f ca="1">IFERROR(__xludf.DUMMYFUNCTION("""COMPUTED_VALUE"""),79947.2367999687)</f>
        <v>79947.236799968698</v>
      </c>
    </row>
    <row r="265" spans="1:5" ht="15.75" customHeight="1" x14ac:dyDescent="0.25">
      <c r="A265" s="7" t="s">
        <v>39</v>
      </c>
      <c r="B265" s="7" t="s">
        <v>17</v>
      </c>
      <c r="C265" s="8">
        <v>2024</v>
      </c>
      <c r="D265" s="8">
        <v>10</v>
      </c>
      <c r="E265">
        <f ca="1">IFERROR(__xludf.DUMMYFUNCTION("""COMPUTED_VALUE"""),17392.6564323457)</f>
        <v>17392.656432345699</v>
      </c>
    </row>
    <row r="266" spans="1:5" ht="15.75" customHeight="1" x14ac:dyDescent="0.25">
      <c r="A266" s="7" t="s">
        <v>40</v>
      </c>
      <c r="B266" s="9" t="s">
        <v>5</v>
      </c>
      <c r="C266" s="8">
        <v>2024</v>
      </c>
      <c r="D266" s="8">
        <v>10</v>
      </c>
      <c r="E266">
        <f ca="1">IFERROR(__xludf.DUMMYFUNCTION("TRANSPOSE(IMPORTRANGE(""https://docs.google.com/spreadsheets/d/1a-yinyZMPWvIFnuwmKIvmbn9HnV88O1eISRoq9xl3ow/edit?usp=sharing"",""Perhitungan Stok!$J$6:$J$17""))"),966003.556957042)</f>
        <v>966003.55695704196</v>
      </c>
    </row>
    <row r="267" spans="1:5" ht="15.75" customHeight="1" x14ac:dyDescent="0.25">
      <c r="A267" s="7" t="s">
        <v>40</v>
      </c>
      <c r="B267" s="7" t="s">
        <v>3</v>
      </c>
      <c r="C267" s="8">
        <v>2024</v>
      </c>
      <c r="D267" s="8">
        <v>10</v>
      </c>
      <c r="E267" t="str">
        <f ca="1">IFERROR(__xludf.DUMMYFUNCTION("""COMPUTED_VALUE"""),"NULL")</f>
        <v>NULL</v>
      </c>
    </row>
    <row r="268" spans="1:5" ht="15.75" customHeight="1" x14ac:dyDescent="0.25">
      <c r="A268" s="7" t="s">
        <v>40</v>
      </c>
      <c r="B268" s="7" t="s">
        <v>11</v>
      </c>
      <c r="C268" s="8">
        <v>2024</v>
      </c>
      <c r="D268" s="8">
        <v>10</v>
      </c>
      <c r="E268">
        <f ca="1">IFERROR(__xludf.DUMMYFUNCTION("""COMPUTED_VALUE"""),227375)</f>
        <v>227375</v>
      </c>
    </row>
    <row r="269" spans="1:5" ht="15.75" customHeight="1" x14ac:dyDescent="0.25">
      <c r="A269" s="7" t="s">
        <v>40</v>
      </c>
      <c r="B269" s="7" t="s">
        <v>12</v>
      </c>
      <c r="C269" s="8">
        <v>2024</v>
      </c>
      <c r="D269" s="8">
        <v>10</v>
      </c>
      <c r="E269">
        <f ca="1">IFERROR(__xludf.DUMMYFUNCTION("""COMPUTED_VALUE"""),282.635294117647)</f>
        <v>282.63529411764699</v>
      </c>
    </row>
    <row r="270" spans="1:5" ht="15.75" customHeight="1" x14ac:dyDescent="0.25">
      <c r="A270" s="7" t="s">
        <v>40</v>
      </c>
      <c r="B270" s="7" t="s">
        <v>13</v>
      </c>
      <c r="C270" s="8">
        <v>2024</v>
      </c>
      <c r="D270" s="8">
        <v>10</v>
      </c>
      <c r="E270">
        <f ca="1">IFERROR(__xludf.DUMMYFUNCTION("""COMPUTED_VALUE"""),642.307692307692)</f>
        <v>642.30769230769204</v>
      </c>
    </row>
    <row r="271" spans="1:5" ht="15.75" customHeight="1" x14ac:dyDescent="0.25">
      <c r="A271" s="7" t="s">
        <v>40</v>
      </c>
      <c r="B271" s="7" t="s">
        <v>4</v>
      </c>
      <c r="C271" s="8">
        <v>2024</v>
      </c>
      <c r="D271" s="8">
        <v>10</v>
      </c>
      <c r="E271">
        <f ca="1">IFERROR(__xludf.DUMMYFUNCTION("""COMPUTED_VALUE"""),0)</f>
        <v>0</v>
      </c>
    </row>
    <row r="272" spans="1:5" ht="15.75" customHeight="1" x14ac:dyDescent="0.25">
      <c r="A272" s="7" t="s">
        <v>40</v>
      </c>
      <c r="B272" s="7" t="s">
        <v>1</v>
      </c>
      <c r="C272" s="8">
        <v>2024</v>
      </c>
      <c r="D272" s="8">
        <v>10</v>
      </c>
      <c r="E272">
        <f ca="1">IFERROR(__xludf.DUMMYFUNCTION("""COMPUTED_VALUE"""),0)</f>
        <v>0</v>
      </c>
    </row>
    <row r="273" spans="1:5" ht="15.75" customHeight="1" x14ac:dyDescent="0.25">
      <c r="A273" s="7" t="s">
        <v>40</v>
      </c>
      <c r="B273" s="7" t="s">
        <v>14</v>
      </c>
      <c r="C273" s="8">
        <v>2024</v>
      </c>
      <c r="D273" s="8">
        <v>10</v>
      </c>
      <c r="E273">
        <f ca="1">IFERROR(__xludf.DUMMYFUNCTION("""COMPUTED_VALUE"""),1950)</f>
        <v>1950</v>
      </c>
    </row>
    <row r="274" spans="1:5" ht="15.75" customHeight="1" x14ac:dyDescent="0.25">
      <c r="A274" s="7" t="s">
        <v>40</v>
      </c>
      <c r="B274" s="7" t="s">
        <v>15</v>
      </c>
      <c r="C274" s="8">
        <v>2024</v>
      </c>
      <c r="D274" s="8">
        <v>10</v>
      </c>
      <c r="E274">
        <f ca="1">IFERROR(__xludf.DUMMYFUNCTION("""COMPUTED_VALUE"""),1905.26315789473)</f>
        <v>1905.2631578947301</v>
      </c>
    </row>
    <row r="275" spans="1:5" ht="15.75" customHeight="1" x14ac:dyDescent="0.25">
      <c r="A275" s="7" t="s">
        <v>40</v>
      </c>
      <c r="B275" s="7" t="s">
        <v>2</v>
      </c>
      <c r="C275" s="8">
        <v>2024</v>
      </c>
      <c r="D275" s="8">
        <v>10</v>
      </c>
      <c r="E275">
        <f ca="1">IFERROR(__xludf.DUMMYFUNCTION("""COMPUTED_VALUE"""),1797.60368663594)</f>
        <v>1797.60368663594</v>
      </c>
    </row>
    <row r="276" spans="1:5" ht="15.75" customHeight="1" x14ac:dyDescent="0.25">
      <c r="A276" s="7" t="s">
        <v>40</v>
      </c>
      <c r="B276" s="7" t="s">
        <v>16</v>
      </c>
      <c r="C276" s="8">
        <v>2024</v>
      </c>
      <c r="D276" s="8">
        <v>10</v>
      </c>
      <c r="E276">
        <f ca="1">IFERROR(__xludf.DUMMYFUNCTION("""COMPUTED_VALUE"""),66865.4897598212)</f>
        <v>66865.489759821197</v>
      </c>
    </row>
    <row r="277" spans="1:5" ht="15.75" customHeight="1" x14ac:dyDescent="0.25">
      <c r="A277" s="7" t="s">
        <v>40</v>
      </c>
      <c r="B277" s="7" t="s">
        <v>17</v>
      </c>
      <c r="C277" s="8">
        <v>2024</v>
      </c>
      <c r="D277" s="8">
        <v>10</v>
      </c>
      <c r="E277">
        <f ca="1">IFERROR(__xludf.DUMMYFUNCTION("""COMPUTED_VALUE"""),1142924.9339207)</f>
        <v>1142924.9339207001</v>
      </c>
    </row>
    <row r="278" spans="1:5" ht="15.75" customHeight="1" x14ac:dyDescent="0.25">
      <c r="A278" s="7" t="s">
        <v>41</v>
      </c>
      <c r="B278" s="9" t="s">
        <v>5</v>
      </c>
      <c r="C278" s="8">
        <v>2024</v>
      </c>
      <c r="D278" s="8">
        <v>10</v>
      </c>
      <c r="E278">
        <f ca="1">IFERROR(__xludf.DUMMYFUNCTION("TRANSPOSE(IMPORTRANGE(""https://docs.google.com/spreadsheets/d/1mU4EIcXrwUDeB7vEe4Xgk9GJ4ybq50bGeYst7gDl-KE/edit?usp=sharing"",""Perhitungan Stok!$J$6:$J$17""))"),40437.480620155)</f>
        <v>40437.480620155002</v>
      </c>
    </row>
    <row r="279" spans="1:5" ht="15.75" customHeight="1" x14ac:dyDescent="0.25">
      <c r="A279" s="7" t="s">
        <v>41</v>
      </c>
      <c r="B279" s="7" t="s">
        <v>3</v>
      </c>
      <c r="C279" s="8">
        <v>2024</v>
      </c>
      <c r="D279" s="8">
        <v>10</v>
      </c>
      <c r="E279">
        <f ca="1">IFERROR(__xludf.DUMMYFUNCTION("""COMPUTED_VALUE"""),40057.1428571428)</f>
        <v>40057.142857142797</v>
      </c>
    </row>
    <row r="280" spans="1:5" ht="15.75" customHeight="1" x14ac:dyDescent="0.25">
      <c r="A280" s="7" t="s">
        <v>41</v>
      </c>
      <c r="B280" s="7" t="s">
        <v>11</v>
      </c>
      <c r="C280" s="8">
        <v>2024</v>
      </c>
      <c r="D280" s="8">
        <v>10</v>
      </c>
      <c r="E280">
        <f ca="1">IFERROR(__xludf.DUMMYFUNCTION("""COMPUTED_VALUE"""),71278.8571428571)</f>
        <v>71278.857142857101</v>
      </c>
    </row>
    <row r="281" spans="1:5" ht="15.75" customHeight="1" x14ac:dyDescent="0.25">
      <c r="A281" s="7" t="s">
        <v>41</v>
      </c>
      <c r="B281" s="7" t="s">
        <v>12</v>
      </c>
      <c r="C281" s="8">
        <v>2024</v>
      </c>
      <c r="D281" s="8">
        <v>10</v>
      </c>
      <c r="E281">
        <f ca="1">IFERROR(__xludf.DUMMYFUNCTION("""COMPUTED_VALUE"""),9757)</f>
        <v>9757</v>
      </c>
    </row>
    <row r="282" spans="1:5" ht="15.75" customHeight="1" x14ac:dyDescent="0.25">
      <c r="A282" s="7" t="s">
        <v>41</v>
      </c>
      <c r="B282" s="7" t="s">
        <v>13</v>
      </c>
      <c r="C282" s="8">
        <v>2024</v>
      </c>
      <c r="D282" s="8">
        <v>10</v>
      </c>
      <c r="E282">
        <f ca="1">IFERROR(__xludf.DUMMYFUNCTION("""COMPUTED_VALUE"""),9147.06249999999)</f>
        <v>9147.0624999999909</v>
      </c>
    </row>
    <row r="283" spans="1:5" ht="15.75" customHeight="1" x14ac:dyDescent="0.25">
      <c r="A283" s="7" t="s">
        <v>41</v>
      </c>
      <c r="B283" s="7" t="s">
        <v>4</v>
      </c>
      <c r="C283" s="8">
        <v>2024</v>
      </c>
      <c r="D283" s="8">
        <v>10</v>
      </c>
      <c r="E283">
        <f ca="1">IFERROR(__xludf.DUMMYFUNCTION("""COMPUTED_VALUE"""),4799.19103773584)</f>
        <v>4799.1910377358399</v>
      </c>
    </row>
    <row r="284" spans="1:5" ht="15.75" customHeight="1" x14ac:dyDescent="0.25">
      <c r="A284" s="7" t="s">
        <v>41</v>
      </c>
      <c r="B284" s="7" t="s">
        <v>1</v>
      </c>
      <c r="C284" s="8">
        <v>2024</v>
      </c>
      <c r="D284" s="8">
        <v>10</v>
      </c>
      <c r="E284">
        <f ca="1">IFERROR(__xludf.DUMMYFUNCTION("""COMPUTED_VALUE"""),715.320535714285)</f>
        <v>715.32053571428503</v>
      </c>
    </row>
    <row r="285" spans="1:5" ht="15.75" customHeight="1" x14ac:dyDescent="0.25">
      <c r="A285" s="7" t="s">
        <v>41</v>
      </c>
      <c r="B285" s="7" t="s">
        <v>14</v>
      </c>
      <c r="C285" s="8">
        <v>2024</v>
      </c>
      <c r="D285" s="8">
        <v>10</v>
      </c>
      <c r="E285">
        <f ca="1">IFERROR(__xludf.DUMMYFUNCTION("""COMPUTED_VALUE"""),5615.45454545454)</f>
        <v>5615.4545454545396</v>
      </c>
    </row>
    <row r="286" spans="1:5" ht="15.75" customHeight="1" x14ac:dyDescent="0.25">
      <c r="A286" s="7" t="s">
        <v>41</v>
      </c>
      <c r="B286" s="7" t="s">
        <v>15</v>
      </c>
      <c r="C286" s="8">
        <v>2024</v>
      </c>
      <c r="D286" s="8">
        <v>10</v>
      </c>
      <c r="E286">
        <f ca="1">IFERROR(__xludf.DUMMYFUNCTION("""COMPUTED_VALUE"""),23290.5)</f>
        <v>23290.5</v>
      </c>
    </row>
    <row r="287" spans="1:5" ht="15.75" customHeight="1" x14ac:dyDescent="0.25">
      <c r="A287" s="7" t="s">
        <v>41</v>
      </c>
      <c r="B287" s="7" t="s">
        <v>2</v>
      </c>
      <c r="C287" s="8">
        <v>2024</v>
      </c>
      <c r="D287" s="8">
        <v>10</v>
      </c>
      <c r="E287">
        <f ca="1">IFERROR(__xludf.DUMMYFUNCTION("""COMPUTED_VALUE"""),88830)</f>
        <v>88830</v>
      </c>
    </row>
    <row r="288" spans="1:5" ht="15.75" customHeight="1" x14ac:dyDescent="0.25">
      <c r="A288" s="7" t="s">
        <v>41</v>
      </c>
      <c r="B288" s="7" t="s">
        <v>16</v>
      </c>
      <c r="C288" s="8">
        <v>2024</v>
      </c>
      <c r="D288" s="8">
        <v>10</v>
      </c>
      <c r="E288">
        <f ca="1">IFERROR(__xludf.DUMMYFUNCTION("""COMPUTED_VALUE"""),10837.5)</f>
        <v>10837.5</v>
      </c>
    </row>
    <row r="289" spans="1:5" ht="15.75" customHeight="1" x14ac:dyDescent="0.25">
      <c r="A289" s="7" t="s">
        <v>41</v>
      </c>
      <c r="B289" s="7" t="s">
        <v>17</v>
      </c>
      <c r="C289" s="8">
        <v>2024</v>
      </c>
      <c r="D289" s="8">
        <v>10</v>
      </c>
      <c r="E289">
        <f ca="1">IFERROR(__xludf.DUMMYFUNCTION("""COMPUTED_VALUE"""),9439.96478873239)</f>
        <v>9439.9647887323899</v>
      </c>
    </row>
    <row r="290" spans="1:5" ht="15.75" customHeight="1" x14ac:dyDescent="0.25">
      <c r="A290" s="7" t="s">
        <v>42</v>
      </c>
      <c r="B290" s="9" t="s">
        <v>5</v>
      </c>
      <c r="C290" s="8">
        <v>2024</v>
      </c>
      <c r="D290" s="8">
        <v>10</v>
      </c>
      <c r="E290">
        <f ca="1">IFERROR(__xludf.DUMMYFUNCTION("TRANSPOSE(IMPORTRANGE(""https://docs.google.com/spreadsheets/d/1RtKPQyOO7LmdCKbTIs0prNnx7wEDb46eo2A3rO1IrDQ/edit?usp=sharing"",""Perhitungan Stok!$J$6:$J$17""))"),1172114.81031746)</f>
        <v>1172114.81031746</v>
      </c>
    </row>
    <row r="291" spans="1:5" ht="15.75" customHeight="1" x14ac:dyDescent="0.25">
      <c r="A291" s="7" t="s">
        <v>42</v>
      </c>
      <c r="B291" s="7" t="s">
        <v>3</v>
      </c>
      <c r="C291" s="8">
        <v>2024</v>
      </c>
      <c r="D291" s="8">
        <v>10</v>
      </c>
      <c r="E291">
        <f ca="1">IFERROR(__xludf.DUMMYFUNCTION("""COMPUTED_VALUE"""),1500)</f>
        <v>1500</v>
      </c>
    </row>
    <row r="292" spans="1:5" ht="15.75" customHeight="1" x14ac:dyDescent="0.25">
      <c r="A292" s="7" t="s">
        <v>42</v>
      </c>
      <c r="B292" s="7" t="s">
        <v>11</v>
      </c>
      <c r="C292" s="8">
        <v>2024</v>
      </c>
      <c r="D292" s="8">
        <v>10</v>
      </c>
      <c r="E292">
        <f ca="1">IFERROR(__xludf.DUMMYFUNCTION("""COMPUTED_VALUE"""),14325.294117647)</f>
        <v>14325.294117646999</v>
      </c>
    </row>
    <row r="293" spans="1:5" ht="15.75" customHeight="1" x14ac:dyDescent="0.25">
      <c r="A293" s="7" t="s">
        <v>42</v>
      </c>
      <c r="B293" s="7" t="s">
        <v>12</v>
      </c>
      <c r="C293" s="8">
        <v>2024</v>
      </c>
      <c r="D293" s="8">
        <v>10</v>
      </c>
      <c r="E293">
        <f ca="1">IFERROR(__xludf.DUMMYFUNCTION("""COMPUTED_VALUE"""),117)</f>
        <v>117</v>
      </c>
    </row>
    <row r="294" spans="1:5" ht="15.75" customHeight="1" x14ac:dyDescent="0.25">
      <c r="A294" s="7" t="s">
        <v>42</v>
      </c>
      <c r="B294" s="7" t="s">
        <v>13</v>
      </c>
      <c r="C294" s="8">
        <v>2024</v>
      </c>
      <c r="D294" s="8">
        <v>10</v>
      </c>
      <c r="E294">
        <f ca="1">IFERROR(__xludf.DUMMYFUNCTION("""COMPUTED_VALUE"""),139.766666666666)</f>
        <v>139.766666666666</v>
      </c>
    </row>
    <row r="295" spans="1:5" ht="15.75" customHeight="1" x14ac:dyDescent="0.25">
      <c r="A295" s="7" t="s">
        <v>42</v>
      </c>
      <c r="B295" s="7" t="s">
        <v>4</v>
      </c>
      <c r="C295" s="8">
        <v>2024</v>
      </c>
      <c r="D295" s="8">
        <v>10</v>
      </c>
      <c r="E295">
        <f ca="1">IFERROR(__xludf.DUMMYFUNCTION("""COMPUTED_VALUE"""),282)</f>
        <v>282</v>
      </c>
    </row>
    <row r="296" spans="1:5" ht="15.75" customHeight="1" x14ac:dyDescent="0.25">
      <c r="A296" s="7" t="s">
        <v>42</v>
      </c>
      <c r="B296" s="7" t="s">
        <v>1</v>
      </c>
      <c r="C296" s="8">
        <v>2024</v>
      </c>
      <c r="D296" s="8">
        <v>10</v>
      </c>
      <c r="E296">
        <f ca="1">IFERROR(__xludf.DUMMYFUNCTION("""COMPUTED_VALUE"""),306)</f>
        <v>306</v>
      </c>
    </row>
    <row r="297" spans="1:5" ht="15.75" customHeight="1" x14ac:dyDescent="0.25">
      <c r="A297" s="7" t="s">
        <v>42</v>
      </c>
      <c r="B297" s="7" t="s">
        <v>14</v>
      </c>
      <c r="C297" s="8">
        <v>2024</v>
      </c>
      <c r="D297" s="8">
        <v>10</v>
      </c>
      <c r="E297">
        <f ca="1">IFERROR(__xludf.DUMMYFUNCTION("""COMPUTED_VALUE"""),6796.01910828025)</f>
        <v>6796.0191082802503</v>
      </c>
    </row>
    <row r="298" spans="1:5" ht="15.75" customHeight="1" x14ac:dyDescent="0.25">
      <c r="A298" s="7" t="s">
        <v>42</v>
      </c>
      <c r="B298" s="7" t="s">
        <v>15</v>
      </c>
      <c r="C298" s="8">
        <v>2024</v>
      </c>
      <c r="D298" s="8">
        <v>10</v>
      </c>
      <c r="E298">
        <f ca="1">IFERROR(__xludf.DUMMYFUNCTION("""COMPUTED_VALUE"""),125824.503396958)</f>
        <v>125824.503396958</v>
      </c>
    </row>
    <row r="299" spans="1:5" ht="15.75" customHeight="1" x14ac:dyDescent="0.25">
      <c r="A299" s="7" t="s">
        <v>42</v>
      </c>
      <c r="B299" s="7" t="s">
        <v>2</v>
      </c>
      <c r="C299" s="8">
        <v>2024</v>
      </c>
      <c r="D299" s="8">
        <v>10</v>
      </c>
      <c r="E299">
        <f ca="1">IFERROR(__xludf.DUMMYFUNCTION("""COMPUTED_VALUE"""),1695.87426326129)</f>
        <v>1695.87426326129</v>
      </c>
    </row>
    <row r="300" spans="1:5" ht="15.75" customHeight="1" x14ac:dyDescent="0.25">
      <c r="A300" s="7" t="s">
        <v>42</v>
      </c>
      <c r="B300" s="7" t="s">
        <v>16</v>
      </c>
      <c r="C300" s="8">
        <v>2024</v>
      </c>
      <c r="D300" s="8">
        <v>10</v>
      </c>
      <c r="E300">
        <f ca="1">IFERROR(__xludf.DUMMYFUNCTION("""COMPUTED_VALUE"""),56223.9986301369)</f>
        <v>56223.998630136899</v>
      </c>
    </row>
    <row r="301" spans="1:5" ht="15.75" customHeight="1" x14ac:dyDescent="0.25">
      <c r="A301" s="7" t="s">
        <v>42</v>
      </c>
      <c r="B301" s="7" t="s">
        <v>17</v>
      </c>
      <c r="C301" s="8">
        <v>2024</v>
      </c>
      <c r="D301" s="8">
        <v>10</v>
      </c>
      <c r="E301">
        <f ca="1">IFERROR(__xludf.DUMMYFUNCTION("""COMPUTED_VALUE"""),149165.650957248)</f>
        <v>149165.650957248</v>
      </c>
    </row>
    <row r="302" spans="1:5" ht="15.75" customHeight="1" x14ac:dyDescent="0.25">
      <c r="A302" s="7" t="s">
        <v>43</v>
      </c>
      <c r="B302" s="9" t="s">
        <v>5</v>
      </c>
      <c r="C302" s="8">
        <v>2024</v>
      </c>
      <c r="D302" s="8">
        <v>10</v>
      </c>
      <c r="E302">
        <f ca="1">IFERROR(__xludf.DUMMYFUNCTION("TRANSPOSE(IMPORTRANGE(""https://docs.google.com/spreadsheets/d/1P96zExzZ_FAGTmCPEbN-_JSVdJbkoS61itTZxFOJirQ/edit?usp=sharing"",""Perhitungan Stok!$J$6:$J$17""))"),191821.538461538)</f>
        <v>191821.538461538</v>
      </c>
    </row>
    <row r="303" spans="1:5" ht="15.75" customHeight="1" x14ac:dyDescent="0.25">
      <c r="A303" s="7" t="s">
        <v>43</v>
      </c>
      <c r="B303" s="7" t="s">
        <v>3</v>
      </c>
      <c r="C303" s="8">
        <v>2024</v>
      </c>
      <c r="D303" s="8">
        <v>10</v>
      </c>
      <c r="E303">
        <f ca="1">IFERROR(__xludf.DUMMYFUNCTION("""COMPUTED_VALUE"""),3230)</f>
        <v>3230</v>
      </c>
    </row>
    <row r="304" spans="1:5" ht="15.75" customHeight="1" x14ac:dyDescent="0.25">
      <c r="A304" s="7" t="s">
        <v>43</v>
      </c>
      <c r="B304" s="7" t="s">
        <v>11</v>
      </c>
      <c r="C304" s="8">
        <v>2024</v>
      </c>
      <c r="D304" s="8">
        <v>10</v>
      </c>
      <c r="E304">
        <f ca="1">IFERROR(__xludf.DUMMYFUNCTION("""COMPUTED_VALUE"""),1650)</f>
        <v>1650</v>
      </c>
    </row>
    <row r="305" spans="1:5" ht="15.75" customHeight="1" x14ac:dyDescent="0.25">
      <c r="A305" s="7" t="s">
        <v>43</v>
      </c>
      <c r="B305" s="7" t="s">
        <v>12</v>
      </c>
      <c r="C305" s="8">
        <v>2024</v>
      </c>
      <c r="D305" s="8">
        <v>10</v>
      </c>
      <c r="E305">
        <f ca="1">IFERROR(__xludf.DUMMYFUNCTION("""COMPUTED_VALUE"""),9425.83917118894)</f>
        <v>9425.8391711889399</v>
      </c>
    </row>
    <row r="306" spans="1:5" ht="15.75" customHeight="1" x14ac:dyDescent="0.25">
      <c r="A306" s="7" t="s">
        <v>43</v>
      </c>
      <c r="B306" s="7" t="s">
        <v>13</v>
      </c>
      <c r="C306" s="8">
        <v>2024</v>
      </c>
      <c r="D306" s="8">
        <v>10</v>
      </c>
      <c r="E306">
        <f ca="1">IFERROR(__xludf.DUMMYFUNCTION("""COMPUTED_VALUE"""),11358.3853606027)</f>
        <v>11358.385360602701</v>
      </c>
    </row>
    <row r="307" spans="1:5" ht="15.75" customHeight="1" x14ac:dyDescent="0.25">
      <c r="A307" s="7" t="s">
        <v>43</v>
      </c>
      <c r="B307" s="7" t="s">
        <v>4</v>
      </c>
      <c r="C307" s="8">
        <v>2024</v>
      </c>
      <c r="D307" s="8">
        <v>10</v>
      </c>
      <c r="E307">
        <f ca="1">IFERROR(__xludf.DUMMYFUNCTION("""COMPUTED_VALUE"""),4737.5350140056)</f>
        <v>4737.5350140055998</v>
      </c>
    </row>
    <row r="308" spans="1:5" ht="15.75" customHeight="1" x14ac:dyDescent="0.25">
      <c r="A308" s="7" t="s">
        <v>43</v>
      </c>
      <c r="B308" s="7" t="s">
        <v>1</v>
      </c>
      <c r="C308" s="8">
        <v>2024</v>
      </c>
      <c r="D308" s="8">
        <v>10</v>
      </c>
      <c r="E308">
        <f ca="1">IFERROR(__xludf.DUMMYFUNCTION("""COMPUTED_VALUE"""),2443.66216216216)</f>
        <v>2443.6621621621598</v>
      </c>
    </row>
    <row r="309" spans="1:5" ht="15.75" customHeight="1" x14ac:dyDescent="0.25">
      <c r="A309" s="7" t="s">
        <v>43</v>
      </c>
      <c r="B309" s="7" t="s">
        <v>14</v>
      </c>
      <c r="C309" s="8">
        <v>2024</v>
      </c>
      <c r="D309" s="8">
        <v>10</v>
      </c>
      <c r="E309">
        <f ca="1">IFERROR(__xludf.DUMMYFUNCTION("""COMPUTED_VALUE"""),2237.16216216216)</f>
        <v>2237.1621621621598</v>
      </c>
    </row>
    <row r="310" spans="1:5" ht="15.75" customHeight="1" x14ac:dyDescent="0.25">
      <c r="A310" s="7" t="s">
        <v>43</v>
      </c>
      <c r="B310" s="7" t="s">
        <v>15</v>
      </c>
      <c r="C310" s="8">
        <v>2024</v>
      </c>
      <c r="D310" s="8">
        <v>10</v>
      </c>
      <c r="E310">
        <f ca="1">IFERROR(__xludf.DUMMYFUNCTION("""COMPUTED_VALUE"""),2323.80952380952)</f>
        <v>2323.8095238095202</v>
      </c>
    </row>
    <row r="311" spans="1:5" ht="15.75" customHeight="1" x14ac:dyDescent="0.25">
      <c r="A311" s="7" t="s">
        <v>43</v>
      </c>
      <c r="B311" s="7" t="s">
        <v>2</v>
      </c>
      <c r="C311" s="8">
        <v>2024</v>
      </c>
      <c r="D311" s="8">
        <v>10</v>
      </c>
      <c r="E311">
        <f ca="1">IFERROR(__xludf.DUMMYFUNCTION("""COMPUTED_VALUE"""),2430.85068762279)</f>
        <v>2430.8506876227898</v>
      </c>
    </row>
    <row r="312" spans="1:5" ht="15.75" customHeight="1" x14ac:dyDescent="0.25">
      <c r="A312" s="7" t="s">
        <v>43</v>
      </c>
      <c r="B312" s="7" t="s">
        <v>16</v>
      </c>
      <c r="C312" s="8">
        <v>2024</v>
      </c>
      <c r="D312" s="8">
        <v>10</v>
      </c>
      <c r="E312">
        <f ca="1">IFERROR(__xludf.DUMMYFUNCTION("""COMPUTED_VALUE"""),9196.78571428571)</f>
        <v>9196.7857142857101</v>
      </c>
    </row>
    <row r="313" spans="1:5" ht="15.75" customHeight="1" x14ac:dyDescent="0.25">
      <c r="A313" s="7" t="s">
        <v>43</v>
      </c>
      <c r="B313" s="7" t="s">
        <v>17</v>
      </c>
      <c r="C313" s="8">
        <v>2024</v>
      </c>
      <c r="D313" s="8">
        <v>10</v>
      </c>
      <c r="E313">
        <f ca="1">IFERROR(__xludf.DUMMYFUNCTION("""COMPUTED_VALUE"""),8774.5707906488)</f>
        <v>8774.5707906488005</v>
      </c>
    </row>
    <row r="314" spans="1:5" ht="15.75" customHeight="1" x14ac:dyDescent="0.25">
      <c r="A314" s="7" t="s">
        <v>44</v>
      </c>
      <c r="B314" s="9" t="s">
        <v>5</v>
      </c>
      <c r="C314" s="8">
        <v>2024</v>
      </c>
      <c r="D314" s="8">
        <v>10</v>
      </c>
      <c r="E314">
        <f ca="1">IFERROR(__xludf.DUMMYFUNCTION("TRANSPOSE(IMPORTRANGE(""https://docs.google.com/spreadsheets/d/13sC7GAx5GW9Y4AKkeKOD8XAoz69RjfvFJbdV-Oj6oNo/edit?usp=sharing"",""Perhitungan Stok!$J$6:$J$17""))"),7367714.00388994)</f>
        <v>7367714.0038899397</v>
      </c>
    </row>
    <row r="315" spans="1:5" ht="15.75" customHeight="1" x14ac:dyDescent="0.25">
      <c r="A315" s="7" t="s">
        <v>44</v>
      </c>
      <c r="B315" s="7" t="s">
        <v>3</v>
      </c>
      <c r="C315" s="8">
        <v>2024</v>
      </c>
      <c r="D315" s="8">
        <v>10</v>
      </c>
      <c r="E315">
        <f ca="1">IFERROR(__xludf.DUMMYFUNCTION("""COMPUTED_VALUE"""),162022.344827586)</f>
        <v>162022.344827586</v>
      </c>
    </row>
    <row r="316" spans="1:5" ht="15.75" customHeight="1" x14ac:dyDescent="0.25">
      <c r="A316" s="7" t="s">
        <v>44</v>
      </c>
      <c r="B316" s="7" t="s">
        <v>11</v>
      </c>
      <c r="C316" s="8">
        <v>2024</v>
      </c>
      <c r="D316" s="8">
        <v>10</v>
      </c>
      <c r="E316">
        <f ca="1">IFERROR(__xludf.DUMMYFUNCTION("""COMPUTED_VALUE"""),31307.3995271867)</f>
        <v>31307.399527186699</v>
      </c>
    </row>
    <row r="317" spans="1:5" ht="15.75" customHeight="1" x14ac:dyDescent="0.25">
      <c r="A317" s="7" t="s">
        <v>44</v>
      </c>
      <c r="B317" s="7" t="s">
        <v>12</v>
      </c>
      <c r="C317" s="8">
        <v>2024</v>
      </c>
      <c r="D317" s="8">
        <v>10</v>
      </c>
      <c r="E317">
        <f ca="1">IFERROR(__xludf.DUMMYFUNCTION("""COMPUTED_VALUE"""),2323.83636363636)</f>
        <v>2323.8363636363601</v>
      </c>
    </row>
    <row r="318" spans="1:5" ht="15.75" customHeight="1" x14ac:dyDescent="0.25">
      <c r="A318" s="7" t="s">
        <v>44</v>
      </c>
      <c r="B318" s="7" t="s">
        <v>13</v>
      </c>
      <c r="C318" s="8">
        <v>2024</v>
      </c>
      <c r="D318" s="8">
        <v>10</v>
      </c>
      <c r="E318">
        <f ca="1">IFERROR(__xludf.DUMMYFUNCTION("""COMPUTED_VALUE"""),50952.3053348259)</f>
        <v>50952.305334825898</v>
      </c>
    </row>
    <row r="319" spans="1:5" ht="15.75" customHeight="1" x14ac:dyDescent="0.25">
      <c r="A319" s="7" t="s">
        <v>44</v>
      </c>
      <c r="B319" s="7" t="s">
        <v>4</v>
      </c>
      <c r="C319" s="8">
        <v>2024</v>
      </c>
      <c r="D319" s="8">
        <v>10</v>
      </c>
      <c r="E319">
        <f ca="1">IFERROR(__xludf.DUMMYFUNCTION("""COMPUTED_VALUE"""),196.875)</f>
        <v>196.875</v>
      </c>
    </row>
    <row r="320" spans="1:5" ht="15.75" customHeight="1" x14ac:dyDescent="0.25">
      <c r="A320" s="7" t="s">
        <v>44</v>
      </c>
      <c r="B320" s="7" t="s">
        <v>1</v>
      </c>
      <c r="C320" s="8">
        <v>2024</v>
      </c>
      <c r="D320" s="8">
        <v>10</v>
      </c>
      <c r="E320">
        <f ca="1">IFERROR(__xludf.DUMMYFUNCTION("""COMPUTED_VALUE"""),219.176470588235)</f>
        <v>219.17647058823499</v>
      </c>
    </row>
    <row r="321" spans="1:5" ht="15.75" customHeight="1" x14ac:dyDescent="0.25">
      <c r="A321" s="7" t="s">
        <v>44</v>
      </c>
      <c r="B321" s="7" t="s">
        <v>14</v>
      </c>
      <c r="C321" s="8">
        <v>2024</v>
      </c>
      <c r="D321" s="8">
        <v>10</v>
      </c>
      <c r="E321">
        <f ca="1">IFERROR(__xludf.DUMMYFUNCTION("""COMPUTED_VALUE"""),820)</f>
        <v>820</v>
      </c>
    </row>
    <row r="322" spans="1:5" ht="15.75" customHeight="1" x14ac:dyDescent="0.25">
      <c r="A322" s="7" t="s">
        <v>44</v>
      </c>
      <c r="B322" s="7" t="s">
        <v>15</v>
      </c>
      <c r="C322" s="8">
        <v>2024</v>
      </c>
      <c r="D322" s="8">
        <v>10</v>
      </c>
      <c r="E322">
        <f ca="1">IFERROR(__xludf.DUMMYFUNCTION("""COMPUTED_VALUE"""),287510.714285714)</f>
        <v>287510.71428571403</v>
      </c>
    </row>
    <row r="323" spans="1:5" ht="15.75" customHeight="1" x14ac:dyDescent="0.25">
      <c r="A323" s="7" t="s">
        <v>44</v>
      </c>
      <c r="B323" s="7" t="s">
        <v>2</v>
      </c>
      <c r="C323" s="8">
        <v>2024</v>
      </c>
      <c r="D323" s="8">
        <v>10</v>
      </c>
      <c r="E323">
        <f ca="1">IFERROR(__xludf.DUMMYFUNCTION("""COMPUTED_VALUE"""),8987.25296442687)</f>
        <v>8987.2529644268707</v>
      </c>
    </row>
    <row r="324" spans="1:5" ht="15.75" customHeight="1" x14ac:dyDescent="0.25">
      <c r="A324" s="7" t="s">
        <v>44</v>
      </c>
      <c r="B324" s="7" t="s">
        <v>16</v>
      </c>
      <c r="C324" s="8">
        <v>2024</v>
      </c>
      <c r="D324" s="8">
        <v>10</v>
      </c>
      <c r="E324">
        <f ca="1">IFERROR(__xludf.DUMMYFUNCTION("""COMPUTED_VALUE"""),238750.79540621)</f>
        <v>238750.79540621</v>
      </c>
    </row>
    <row r="325" spans="1:5" ht="15.75" customHeight="1" x14ac:dyDescent="0.25">
      <c r="A325" s="7" t="s">
        <v>44</v>
      </c>
      <c r="B325" s="7" t="s">
        <v>17</v>
      </c>
      <c r="C325" s="8">
        <v>2024</v>
      </c>
      <c r="D325" s="8">
        <v>10</v>
      </c>
      <c r="E325">
        <f ca="1">IFERROR(__xludf.DUMMYFUNCTION("""COMPUTED_VALUE"""),2419540.09609665)</f>
        <v>2419540.0960966502</v>
      </c>
    </row>
    <row r="326" spans="1:5" ht="15.75" customHeight="1" x14ac:dyDescent="0.25">
      <c r="A326" s="7" t="s">
        <v>45</v>
      </c>
      <c r="B326" s="9" t="s">
        <v>5</v>
      </c>
      <c r="C326" s="8">
        <v>2024</v>
      </c>
      <c r="D326" s="8">
        <v>10</v>
      </c>
      <c r="E326">
        <f ca="1">IFERROR(__xludf.DUMMYFUNCTION("TRANSPOSE(IMPORTRANGE(""https://docs.google.com/spreadsheets/d/14A0DNgZ904tq3xNlIBMNddwXRU3VDeUDJbBdf315Yvo/edit?usp=sharing"",""Perhitungan Stok!$J$6:$J$17""))"),62946.09375)</f>
        <v>62946.09375</v>
      </c>
    </row>
    <row r="327" spans="1:5" ht="15.75" customHeight="1" x14ac:dyDescent="0.25">
      <c r="A327" s="7" t="s">
        <v>45</v>
      </c>
      <c r="B327" s="7" t="s">
        <v>3</v>
      </c>
      <c r="C327" s="8">
        <v>2024</v>
      </c>
      <c r="D327" s="8">
        <v>10</v>
      </c>
      <c r="E327">
        <f ca="1">IFERROR(__xludf.DUMMYFUNCTION("""COMPUTED_VALUE"""),100)</f>
        <v>100</v>
      </c>
    </row>
    <row r="328" spans="1:5" ht="15.75" customHeight="1" x14ac:dyDescent="0.25">
      <c r="A328" s="7" t="s">
        <v>45</v>
      </c>
      <c r="B328" s="7" t="s">
        <v>11</v>
      </c>
      <c r="C328" s="8">
        <v>2024</v>
      </c>
      <c r="D328" s="8">
        <v>10</v>
      </c>
      <c r="E328">
        <f ca="1">IFERROR(__xludf.DUMMYFUNCTION("""COMPUTED_VALUE"""),20400)</f>
        <v>20400</v>
      </c>
    </row>
    <row r="329" spans="1:5" ht="15.75" customHeight="1" x14ac:dyDescent="0.25">
      <c r="A329" s="7" t="s">
        <v>45</v>
      </c>
      <c r="B329" s="7" t="s">
        <v>12</v>
      </c>
      <c r="C329" s="8">
        <v>2024</v>
      </c>
      <c r="D329" s="8">
        <v>10</v>
      </c>
      <c r="E329">
        <f ca="1">IFERROR(__xludf.DUMMYFUNCTION("""COMPUTED_VALUE"""),6994.16666666666)</f>
        <v>6994.1666666666597</v>
      </c>
    </row>
    <row r="330" spans="1:5" ht="15.75" customHeight="1" x14ac:dyDescent="0.25">
      <c r="A330" s="7" t="s">
        <v>45</v>
      </c>
      <c r="B330" s="7" t="s">
        <v>13</v>
      </c>
      <c r="C330" s="8">
        <v>2024</v>
      </c>
      <c r="D330" s="8">
        <v>10</v>
      </c>
      <c r="E330">
        <f ca="1">IFERROR(__xludf.DUMMYFUNCTION("""COMPUTED_VALUE"""),12015)</f>
        <v>12015</v>
      </c>
    </row>
    <row r="331" spans="1:5" ht="15.75" customHeight="1" x14ac:dyDescent="0.25">
      <c r="A331" s="7" t="s">
        <v>45</v>
      </c>
      <c r="B331" s="7" t="s">
        <v>4</v>
      </c>
      <c r="C331" s="8">
        <v>2024</v>
      </c>
      <c r="D331" s="8">
        <v>10</v>
      </c>
      <c r="E331">
        <f ca="1">IFERROR(__xludf.DUMMYFUNCTION("""COMPUTED_VALUE"""),100.625)</f>
        <v>100.625</v>
      </c>
    </row>
    <row r="332" spans="1:5" ht="15.75" customHeight="1" x14ac:dyDescent="0.25">
      <c r="A332" s="7" t="s">
        <v>45</v>
      </c>
      <c r="B332" s="7" t="s">
        <v>1</v>
      </c>
      <c r="C332" s="8">
        <v>2024</v>
      </c>
      <c r="D332" s="8">
        <v>10</v>
      </c>
      <c r="E332">
        <f ca="1">IFERROR(__xludf.DUMMYFUNCTION("""COMPUTED_VALUE"""),125.999999999999)</f>
        <v>125.99999999999901</v>
      </c>
    </row>
    <row r="333" spans="1:5" ht="15.75" customHeight="1" x14ac:dyDescent="0.25">
      <c r="A333" s="7" t="s">
        <v>45</v>
      </c>
      <c r="B333" s="7" t="s">
        <v>14</v>
      </c>
      <c r="C333" s="8">
        <v>2024</v>
      </c>
      <c r="D333" s="8">
        <v>10</v>
      </c>
      <c r="E333">
        <f ca="1">IFERROR(__xludf.DUMMYFUNCTION("""COMPUTED_VALUE"""),140)</f>
        <v>140</v>
      </c>
    </row>
    <row r="334" spans="1:5" ht="15.75" customHeight="1" x14ac:dyDescent="0.25">
      <c r="A334" s="7" t="s">
        <v>45</v>
      </c>
      <c r="B334" s="7" t="s">
        <v>15</v>
      </c>
      <c r="C334" s="8">
        <v>2024</v>
      </c>
      <c r="D334" s="8">
        <v>10</v>
      </c>
      <c r="E334">
        <f ca="1">IFERROR(__xludf.DUMMYFUNCTION("""COMPUTED_VALUE"""),185)</f>
        <v>185</v>
      </c>
    </row>
    <row r="335" spans="1:5" ht="15.75" customHeight="1" x14ac:dyDescent="0.25">
      <c r="A335" s="7" t="s">
        <v>45</v>
      </c>
      <c r="B335" s="7" t="s">
        <v>2</v>
      </c>
      <c r="C335" s="8">
        <v>2024</v>
      </c>
      <c r="D335" s="8">
        <v>10</v>
      </c>
      <c r="E335">
        <f ca="1">IFERROR(__xludf.DUMMYFUNCTION("""COMPUTED_VALUE"""),601.25)</f>
        <v>601.25</v>
      </c>
    </row>
    <row r="336" spans="1:5" ht="15.75" customHeight="1" x14ac:dyDescent="0.25">
      <c r="A336" s="7" t="s">
        <v>45</v>
      </c>
      <c r="B336" s="7" t="s">
        <v>16</v>
      </c>
      <c r="C336" s="8">
        <v>2024</v>
      </c>
      <c r="D336" s="8">
        <v>10</v>
      </c>
      <c r="E336">
        <f ca="1">IFERROR(__xludf.DUMMYFUNCTION("""COMPUTED_VALUE"""),73350.0606060606)</f>
        <v>73350.060606060593</v>
      </c>
    </row>
    <row r="337" spans="1:5" ht="15.75" customHeight="1" x14ac:dyDescent="0.25">
      <c r="A337" s="7" t="s">
        <v>45</v>
      </c>
      <c r="B337" s="7" t="s">
        <v>17</v>
      </c>
      <c r="C337" s="8">
        <v>2024</v>
      </c>
      <c r="D337" s="8">
        <v>10</v>
      </c>
      <c r="E337">
        <f ca="1">IFERROR(__xludf.DUMMYFUNCTION("""COMPUTED_VALUE"""),145865.49787234)</f>
        <v>145865.49787234</v>
      </c>
    </row>
    <row r="338" spans="1:5" ht="15.75" customHeight="1" x14ac:dyDescent="0.25">
      <c r="A338" s="7" t="s">
        <v>46</v>
      </c>
      <c r="B338" s="9" t="s">
        <v>5</v>
      </c>
      <c r="C338" s="8">
        <v>2024</v>
      </c>
      <c r="D338" s="8">
        <v>10</v>
      </c>
      <c r="E338">
        <f ca="1">IFERROR(__xludf.DUMMYFUNCTION("TRANSPOSE(IMPORTRANGE(""https://docs.google.com/spreadsheets/d/1IOqPAcRQw0MsUcmTGJungPyv0gJ8RLeotagPVhIIGCc/edit?usp=sharing"",""Perhitungan Stok!$J$6:$J$17""))"),76030.6144796858)</f>
        <v>76030.614479685799</v>
      </c>
    </row>
    <row r="339" spans="1:5" ht="15.75" customHeight="1" x14ac:dyDescent="0.25">
      <c r="A339" s="7" t="s">
        <v>46</v>
      </c>
      <c r="B339" s="7" t="s">
        <v>3</v>
      </c>
      <c r="C339" s="8">
        <v>2024</v>
      </c>
      <c r="D339" s="8">
        <v>10</v>
      </c>
      <c r="E339">
        <f ca="1">IFERROR(__xludf.DUMMYFUNCTION("""COMPUTED_VALUE"""),1050)</f>
        <v>1050</v>
      </c>
    </row>
    <row r="340" spans="1:5" ht="15.75" customHeight="1" x14ac:dyDescent="0.25">
      <c r="A340" s="7" t="s">
        <v>46</v>
      </c>
      <c r="B340" s="7" t="s">
        <v>11</v>
      </c>
      <c r="C340" s="8">
        <v>2024</v>
      </c>
      <c r="D340" s="8">
        <v>10</v>
      </c>
      <c r="E340">
        <f ca="1">IFERROR(__xludf.DUMMYFUNCTION("""COMPUTED_VALUE"""),20000)</f>
        <v>20000</v>
      </c>
    </row>
    <row r="341" spans="1:5" ht="15.75" customHeight="1" x14ac:dyDescent="0.25">
      <c r="A341" s="7" t="s">
        <v>46</v>
      </c>
      <c r="B341" s="7" t="s">
        <v>12</v>
      </c>
      <c r="C341" s="8">
        <v>2024</v>
      </c>
      <c r="D341" s="8">
        <v>10</v>
      </c>
      <c r="E341">
        <f ca="1">IFERROR(__xludf.DUMMYFUNCTION("""COMPUTED_VALUE"""),398.559756097561)</f>
        <v>398.55975609756098</v>
      </c>
    </row>
    <row r="342" spans="1:5" ht="15.75" customHeight="1" x14ac:dyDescent="0.25">
      <c r="A342" s="7" t="s">
        <v>46</v>
      </c>
      <c r="B342" s="7" t="s">
        <v>13</v>
      </c>
      <c r="C342" s="8">
        <v>2024</v>
      </c>
      <c r="D342" s="8">
        <v>10</v>
      </c>
      <c r="E342">
        <f ca="1">IFERROR(__xludf.DUMMYFUNCTION("""COMPUTED_VALUE"""),326.674796747967)</f>
        <v>326.67479674796698</v>
      </c>
    </row>
    <row r="343" spans="1:5" ht="15.75" customHeight="1" x14ac:dyDescent="0.25">
      <c r="A343" s="7" t="s">
        <v>46</v>
      </c>
      <c r="B343" s="7" t="s">
        <v>4</v>
      </c>
      <c r="C343" s="8">
        <v>2024</v>
      </c>
      <c r="D343" s="8">
        <v>10</v>
      </c>
      <c r="E343">
        <f ca="1">IFERROR(__xludf.DUMMYFUNCTION("""COMPUTED_VALUE"""),0)</f>
        <v>0</v>
      </c>
    </row>
    <row r="344" spans="1:5" ht="15.75" customHeight="1" x14ac:dyDescent="0.25">
      <c r="A344" s="7" t="s">
        <v>46</v>
      </c>
      <c r="B344" s="7" t="s">
        <v>1</v>
      </c>
      <c r="C344" s="8">
        <v>2024</v>
      </c>
      <c r="D344" s="8">
        <v>10</v>
      </c>
      <c r="E344">
        <f ca="1">IFERROR(__xludf.DUMMYFUNCTION("""COMPUTED_VALUE"""),3558.33333333333)</f>
        <v>3558.3333333333298</v>
      </c>
    </row>
    <row r="345" spans="1:5" ht="15.75" customHeight="1" x14ac:dyDescent="0.25">
      <c r="A345" s="7" t="s">
        <v>46</v>
      </c>
      <c r="B345" s="7" t="s">
        <v>14</v>
      </c>
      <c r="C345" s="8">
        <v>2024</v>
      </c>
      <c r="D345" s="8">
        <v>10</v>
      </c>
      <c r="E345">
        <f ca="1">IFERROR(__xludf.DUMMYFUNCTION("""COMPUTED_VALUE"""),0)</f>
        <v>0</v>
      </c>
    </row>
    <row r="346" spans="1:5" ht="15.75" customHeight="1" x14ac:dyDescent="0.25">
      <c r="A346" s="7" t="s">
        <v>46</v>
      </c>
      <c r="B346" s="7" t="s">
        <v>15</v>
      </c>
      <c r="C346" s="8">
        <v>2024</v>
      </c>
      <c r="D346" s="8">
        <v>10</v>
      </c>
      <c r="E346">
        <f ca="1">IFERROR(__xludf.DUMMYFUNCTION("""COMPUTED_VALUE"""),3127.27272727272)</f>
        <v>3127.2727272727202</v>
      </c>
    </row>
    <row r="347" spans="1:5" ht="15.75" customHeight="1" x14ac:dyDescent="0.25">
      <c r="A347" s="7" t="s">
        <v>46</v>
      </c>
      <c r="B347" s="7" t="s">
        <v>2</v>
      </c>
      <c r="C347" s="8">
        <v>2024</v>
      </c>
      <c r="D347" s="8">
        <v>10</v>
      </c>
      <c r="E347">
        <f ca="1">IFERROR(__xludf.DUMMYFUNCTION("""COMPUTED_VALUE"""),1088.79385964912)</f>
        <v>1088.7938596491199</v>
      </c>
    </row>
    <row r="348" spans="1:5" ht="15.75" customHeight="1" x14ac:dyDescent="0.25">
      <c r="A348" s="7" t="s">
        <v>46</v>
      </c>
      <c r="B348" s="7" t="s">
        <v>16</v>
      </c>
      <c r="C348" s="8">
        <v>2024</v>
      </c>
      <c r="D348" s="8">
        <v>10</v>
      </c>
      <c r="E348">
        <f ca="1">IFERROR(__xludf.DUMMYFUNCTION("""COMPUTED_VALUE"""),22655.6031528444)</f>
        <v>22655.6031528444</v>
      </c>
    </row>
    <row r="349" spans="1:5" ht="15.75" customHeight="1" x14ac:dyDescent="0.25">
      <c r="A349" s="7" t="s">
        <v>46</v>
      </c>
      <c r="B349" s="7" t="s">
        <v>17</v>
      </c>
      <c r="C349" s="8">
        <v>2024</v>
      </c>
      <c r="D349" s="8">
        <v>10</v>
      </c>
      <c r="E349">
        <f ca="1">IFERROR(__xludf.DUMMYFUNCTION("""COMPUTED_VALUE"""),20311.5)</f>
        <v>20311.5</v>
      </c>
    </row>
    <row r="350" spans="1:5" ht="15.75" customHeight="1" x14ac:dyDescent="0.25">
      <c r="A350" s="7" t="s">
        <v>47</v>
      </c>
      <c r="B350" s="9" t="s">
        <v>5</v>
      </c>
      <c r="C350" s="8">
        <v>2024</v>
      </c>
      <c r="D350" s="8">
        <v>10</v>
      </c>
      <c r="E350">
        <f ca="1">IFERROR(__xludf.DUMMYFUNCTION("TRANSPOSE(IMPORTRANGE(""https://docs.google.com/spreadsheets/d/1UBNDIB22NDBqqUlOVUWEEfB7VNFvljdWNbp2szC8yMI/edit?usp=sharing"",""Perhitungan Stok!$J$6:$J$17""))"),43786.329113924)</f>
        <v>43786.329113924003</v>
      </c>
    </row>
    <row r="351" spans="1:5" ht="15.75" customHeight="1" x14ac:dyDescent="0.25">
      <c r="A351" s="7" t="s">
        <v>47</v>
      </c>
      <c r="B351" s="7" t="s">
        <v>3</v>
      </c>
      <c r="C351" s="8">
        <v>2024</v>
      </c>
      <c r="D351" s="8">
        <v>10</v>
      </c>
      <c r="E351">
        <f ca="1">IFERROR(__xludf.DUMMYFUNCTION("""COMPUTED_VALUE"""),501.25)</f>
        <v>501.25</v>
      </c>
    </row>
    <row r="352" spans="1:5" ht="15.75" customHeight="1" x14ac:dyDescent="0.25">
      <c r="A352" s="7" t="s">
        <v>47</v>
      </c>
      <c r="B352" s="7" t="s">
        <v>11</v>
      </c>
      <c r="C352" s="8">
        <v>2024</v>
      </c>
      <c r="D352" s="8">
        <v>10</v>
      </c>
      <c r="E352">
        <f ca="1">IFERROR(__xludf.DUMMYFUNCTION("""COMPUTED_VALUE"""),9708.73)</f>
        <v>9708.73</v>
      </c>
    </row>
    <row r="353" spans="1:5" ht="15.75" customHeight="1" x14ac:dyDescent="0.25">
      <c r="A353" s="7" t="s">
        <v>47</v>
      </c>
      <c r="B353" s="7" t="s">
        <v>12</v>
      </c>
      <c r="C353" s="8">
        <v>2024</v>
      </c>
      <c r="D353" s="8">
        <v>10</v>
      </c>
      <c r="E353">
        <f ca="1">IFERROR(__xludf.DUMMYFUNCTION("""COMPUTED_VALUE"""),1182)</f>
        <v>1182</v>
      </c>
    </row>
    <row r="354" spans="1:5" ht="15.75" customHeight="1" x14ac:dyDescent="0.25">
      <c r="A354" s="7" t="s">
        <v>47</v>
      </c>
      <c r="B354" s="7" t="s">
        <v>13</v>
      </c>
      <c r="C354" s="8">
        <v>2024</v>
      </c>
      <c r="D354" s="8">
        <v>10</v>
      </c>
      <c r="E354">
        <f ca="1">IFERROR(__xludf.DUMMYFUNCTION("""COMPUTED_VALUE"""),1222)</f>
        <v>1222</v>
      </c>
    </row>
    <row r="355" spans="1:5" ht="15.75" customHeight="1" x14ac:dyDescent="0.25">
      <c r="A355" s="7" t="s">
        <v>47</v>
      </c>
      <c r="B355" s="7" t="s">
        <v>4</v>
      </c>
      <c r="C355" s="8">
        <v>2024</v>
      </c>
      <c r="D355" s="8">
        <v>10</v>
      </c>
      <c r="E355">
        <f ca="1">IFERROR(__xludf.DUMMYFUNCTION("""COMPUTED_VALUE"""),706)</f>
        <v>706</v>
      </c>
    </row>
    <row r="356" spans="1:5" ht="15.75" customHeight="1" x14ac:dyDescent="0.25">
      <c r="A356" s="7" t="s">
        <v>47</v>
      </c>
      <c r="B356" s="7" t="s">
        <v>1</v>
      </c>
      <c r="C356" s="8">
        <v>2024</v>
      </c>
      <c r="D356" s="8">
        <v>10</v>
      </c>
      <c r="E356">
        <f ca="1">IFERROR(__xludf.DUMMYFUNCTION("""COMPUTED_VALUE"""),456)</f>
        <v>456</v>
      </c>
    </row>
    <row r="357" spans="1:5" ht="15.75" customHeight="1" x14ac:dyDescent="0.25">
      <c r="A357" s="7" t="s">
        <v>47</v>
      </c>
      <c r="B357" s="7" t="s">
        <v>14</v>
      </c>
      <c r="C357" s="8">
        <v>2024</v>
      </c>
      <c r="D357" s="8">
        <v>10</v>
      </c>
      <c r="E357">
        <f ca="1">IFERROR(__xludf.DUMMYFUNCTION("""COMPUTED_VALUE"""),193.230769230769)</f>
        <v>193.230769230769</v>
      </c>
    </row>
    <row r="358" spans="1:5" ht="15.75" customHeight="1" x14ac:dyDescent="0.25">
      <c r="A358" s="7" t="s">
        <v>47</v>
      </c>
      <c r="B358" s="7" t="s">
        <v>15</v>
      </c>
      <c r="C358" s="8">
        <v>2024</v>
      </c>
      <c r="D358" s="8">
        <v>10</v>
      </c>
      <c r="E358">
        <f ca="1">IFERROR(__xludf.DUMMYFUNCTION("""COMPUTED_VALUE"""),5139)</f>
        <v>5139</v>
      </c>
    </row>
    <row r="359" spans="1:5" ht="15.75" customHeight="1" x14ac:dyDescent="0.25">
      <c r="A359" s="7" t="s">
        <v>47</v>
      </c>
      <c r="B359" s="7" t="s">
        <v>2</v>
      </c>
      <c r="C359" s="8">
        <v>2024</v>
      </c>
      <c r="D359" s="8">
        <v>10</v>
      </c>
      <c r="E359">
        <f ca="1">IFERROR(__xludf.DUMMYFUNCTION("""COMPUTED_VALUE"""),147.2)</f>
        <v>147.19999999999999</v>
      </c>
    </row>
    <row r="360" spans="1:5" ht="15.75" customHeight="1" x14ac:dyDescent="0.25">
      <c r="A360" s="7" t="s">
        <v>47</v>
      </c>
      <c r="B360" s="7" t="s">
        <v>16</v>
      </c>
      <c r="C360" s="8">
        <v>2024</v>
      </c>
      <c r="D360" s="8">
        <v>10</v>
      </c>
      <c r="E360">
        <f ca="1">IFERROR(__xludf.DUMMYFUNCTION("""COMPUTED_VALUE"""),25039.3740188383)</f>
        <v>25039.374018838302</v>
      </c>
    </row>
    <row r="361" spans="1:5" ht="15.75" customHeight="1" x14ac:dyDescent="0.25">
      <c r="A361" s="7" t="s">
        <v>47</v>
      </c>
      <c r="B361" s="7" t="s">
        <v>17</v>
      </c>
      <c r="C361" s="8">
        <v>2024</v>
      </c>
      <c r="D361" s="8">
        <v>10</v>
      </c>
      <c r="E361">
        <f ca="1">IFERROR(__xludf.DUMMYFUNCTION("""COMPUTED_VALUE"""),9477.98447058823)</f>
        <v>9477.9844705882297</v>
      </c>
    </row>
    <row r="362" spans="1:5" ht="15.75" customHeight="1" x14ac:dyDescent="0.25">
      <c r="A362" s="7" t="s">
        <v>48</v>
      </c>
      <c r="B362" s="9" t="s">
        <v>5</v>
      </c>
      <c r="C362" s="8">
        <v>2024</v>
      </c>
      <c r="D362" s="8">
        <v>10</v>
      </c>
      <c r="E362">
        <f ca="1">IFERROR(__xludf.DUMMYFUNCTION("TRANSPOSE(IMPORTRANGE(""https://docs.google.com/spreadsheets/d/1Neux5hclRUvn-l11oCucFs5U3HxYGAHbfPQXuRnkeiM/edit?usp=sharing"",""Perhitungan Stok!$J$6:$J$17""))"),39701.8763611995)</f>
        <v>39701.876361199502</v>
      </c>
    </row>
    <row r="363" spans="1:5" ht="15.75" customHeight="1" x14ac:dyDescent="0.25">
      <c r="A363" s="7" t="s">
        <v>48</v>
      </c>
      <c r="B363" s="7" t="s">
        <v>3</v>
      </c>
      <c r="C363" s="8">
        <v>2024</v>
      </c>
      <c r="D363" s="8">
        <v>10</v>
      </c>
      <c r="E363" t="s">
        <v>21</v>
      </c>
    </row>
    <row r="364" spans="1:5" ht="15.75" customHeight="1" x14ac:dyDescent="0.25">
      <c r="A364" s="7" t="s">
        <v>48</v>
      </c>
      <c r="B364" s="7" t="s">
        <v>11</v>
      </c>
      <c r="C364" s="8">
        <v>2024</v>
      </c>
      <c r="D364" s="8">
        <v>10</v>
      </c>
      <c r="E364">
        <f ca="1">IFERROR(__xludf.DUMMYFUNCTION("""COMPUTED_VALUE"""),0)</f>
        <v>0</v>
      </c>
    </row>
    <row r="365" spans="1:5" ht="15.75" customHeight="1" x14ac:dyDescent="0.25">
      <c r="A365" s="7" t="s">
        <v>48</v>
      </c>
      <c r="B365" s="7" t="s">
        <v>12</v>
      </c>
      <c r="C365" s="8">
        <v>2024</v>
      </c>
      <c r="D365" s="8">
        <v>10</v>
      </c>
      <c r="E365">
        <f ca="1">IFERROR(__xludf.DUMMYFUNCTION("""COMPUTED_VALUE"""),1320)</f>
        <v>1320</v>
      </c>
    </row>
    <row r="366" spans="1:5" ht="15.75" customHeight="1" x14ac:dyDescent="0.25">
      <c r="A366" s="7" t="s">
        <v>48</v>
      </c>
      <c r="B366" s="7" t="s">
        <v>13</v>
      </c>
      <c r="C366" s="8">
        <v>2024</v>
      </c>
      <c r="D366" s="8">
        <v>10</v>
      </c>
      <c r="E366">
        <f ca="1">IFERROR(__xludf.DUMMYFUNCTION("""COMPUTED_VALUE"""),75)</f>
        <v>75</v>
      </c>
    </row>
    <row r="367" spans="1:5" ht="15.75" customHeight="1" x14ac:dyDescent="0.25">
      <c r="A367" s="7" t="s">
        <v>48</v>
      </c>
      <c r="B367" s="7" t="s">
        <v>4</v>
      </c>
      <c r="C367" s="8">
        <v>2024</v>
      </c>
      <c r="D367" s="8">
        <v>10</v>
      </c>
      <c r="E367">
        <f ca="1">IFERROR(__xludf.DUMMYFUNCTION("""COMPUTED_VALUE"""),60)</f>
        <v>60</v>
      </c>
    </row>
    <row r="368" spans="1:5" ht="15.75" customHeight="1" x14ac:dyDescent="0.25">
      <c r="A368" s="7" t="s">
        <v>48</v>
      </c>
      <c r="B368" s="7" t="s">
        <v>1</v>
      </c>
      <c r="C368" s="8">
        <v>2024</v>
      </c>
      <c r="D368" s="8">
        <v>10</v>
      </c>
      <c r="E368">
        <f ca="1">IFERROR(__xludf.DUMMYFUNCTION("""COMPUTED_VALUE"""),45)</f>
        <v>45</v>
      </c>
    </row>
    <row r="369" spans="1:5" ht="15.75" customHeight="1" x14ac:dyDescent="0.25">
      <c r="A369" s="7" t="s">
        <v>48</v>
      </c>
      <c r="B369" s="7" t="s">
        <v>14</v>
      </c>
      <c r="C369" s="8">
        <v>2024</v>
      </c>
      <c r="D369" s="8">
        <v>10</v>
      </c>
      <c r="E369">
        <f ca="1">IFERROR(__xludf.DUMMYFUNCTION("""COMPUTED_VALUE"""),0)</f>
        <v>0</v>
      </c>
    </row>
    <row r="370" spans="1:5" ht="15.75" customHeight="1" x14ac:dyDescent="0.25">
      <c r="A370" s="7" t="s">
        <v>48</v>
      </c>
      <c r="B370" s="7" t="s">
        <v>15</v>
      </c>
      <c r="C370" s="8">
        <v>2024</v>
      </c>
      <c r="D370" s="8">
        <v>10</v>
      </c>
      <c r="E370">
        <f ca="1">IFERROR(__xludf.DUMMYFUNCTION("""COMPUTED_VALUE"""),0)</f>
        <v>0</v>
      </c>
    </row>
    <row r="371" spans="1:5" ht="15.75" customHeight="1" x14ac:dyDescent="0.25">
      <c r="A371" s="7" t="s">
        <v>48</v>
      </c>
      <c r="B371" s="7" t="s">
        <v>2</v>
      </c>
      <c r="C371" s="8">
        <v>2024</v>
      </c>
      <c r="D371" s="8">
        <v>10</v>
      </c>
      <c r="E371">
        <f ca="1">IFERROR(__xludf.DUMMYFUNCTION("""COMPUTED_VALUE"""),1115.6923076923)</f>
        <v>1115.6923076922999</v>
      </c>
    </row>
    <row r="372" spans="1:5" ht="15.75" customHeight="1" x14ac:dyDescent="0.25">
      <c r="A372" s="7" t="s">
        <v>48</v>
      </c>
      <c r="B372" s="7" t="s">
        <v>16</v>
      </c>
      <c r="C372" s="8">
        <v>2024</v>
      </c>
      <c r="D372" s="8">
        <v>10</v>
      </c>
      <c r="E372">
        <f ca="1">IFERROR(__xludf.DUMMYFUNCTION("""COMPUTED_VALUE"""),43249.7435897435)</f>
        <v>43249.743589743499</v>
      </c>
    </row>
    <row r="373" spans="1:5" ht="15.75" customHeight="1" x14ac:dyDescent="0.25">
      <c r="A373" s="7" t="s">
        <v>48</v>
      </c>
      <c r="B373" s="7" t="s">
        <v>17</v>
      </c>
      <c r="C373" s="8">
        <v>2024</v>
      </c>
      <c r="D373" s="8">
        <v>10</v>
      </c>
      <c r="E373">
        <f ca="1">IFERROR(__xludf.DUMMYFUNCTION("""COMPUTED_VALUE"""),3666.29289840299)</f>
        <v>3666.29289840299</v>
      </c>
    </row>
    <row r="374" spans="1:5" ht="15.75" customHeight="1" x14ac:dyDescent="0.25">
      <c r="A374" s="7" t="s">
        <v>49</v>
      </c>
      <c r="B374" s="9" t="s">
        <v>5</v>
      </c>
      <c r="C374" s="8">
        <v>2024</v>
      </c>
      <c r="D374" s="8">
        <v>10</v>
      </c>
      <c r="E374">
        <f ca="1">IFERROR(__xludf.DUMMYFUNCTION("TRANSPOSE(IMPORTRANGE(""https://docs.google.com/spreadsheets/d/1YP2JnoksgNTGTq3Y_cG0aVYHnh52cpd0EbwD2VhFviE/edit?usp=sharing"",""Perhitungan Stok!$J$6:$J$17""))"),204494.572108843)</f>
        <v>204494.57210884299</v>
      </c>
    </row>
    <row r="375" spans="1:5" ht="15.75" customHeight="1" x14ac:dyDescent="0.25">
      <c r="A375" s="7" t="s">
        <v>49</v>
      </c>
      <c r="B375" s="7" t="s">
        <v>3</v>
      </c>
      <c r="C375" s="8">
        <v>2024</v>
      </c>
      <c r="D375" s="8">
        <v>10</v>
      </c>
      <c r="E375">
        <f ca="1">IFERROR(__xludf.DUMMYFUNCTION("""COMPUTED_VALUE"""),10400)</f>
        <v>10400</v>
      </c>
    </row>
    <row r="376" spans="1:5" ht="15.75" customHeight="1" x14ac:dyDescent="0.25">
      <c r="A376" s="7" t="s">
        <v>49</v>
      </c>
      <c r="B376" s="7" t="s">
        <v>11</v>
      </c>
      <c r="C376" s="8">
        <v>2024</v>
      </c>
      <c r="D376" s="8">
        <v>10</v>
      </c>
      <c r="E376">
        <f ca="1">IFERROR(__xludf.DUMMYFUNCTION("""COMPUTED_VALUE"""),224962.426229508)</f>
        <v>224962.42622950801</v>
      </c>
    </row>
    <row r="377" spans="1:5" ht="15.75" customHeight="1" x14ac:dyDescent="0.25">
      <c r="A377" s="7" t="s">
        <v>49</v>
      </c>
      <c r="B377" s="7" t="s">
        <v>12</v>
      </c>
      <c r="C377" s="8">
        <v>2024</v>
      </c>
      <c r="D377" s="8">
        <v>10</v>
      </c>
      <c r="E377">
        <f ca="1">IFERROR(__xludf.DUMMYFUNCTION("""COMPUTED_VALUE"""),0)</f>
        <v>0</v>
      </c>
    </row>
    <row r="378" spans="1:5" ht="15.75" customHeight="1" x14ac:dyDescent="0.25">
      <c r="A378" s="7" t="s">
        <v>49</v>
      </c>
      <c r="B378" s="7" t="s">
        <v>13</v>
      </c>
      <c r="C378" s="8">
        <v>2024</v>
      </c>
      <c r="D378" s="8">
        <v>10</v>
      </c>
      <c r="E378">
        <f ca="1">IFERROR(__xludf.DUMMYFUNCTION("""COMPUTED_VALUE"""),59876.5761875385)</f>
        <v>59876.5761875385</v>
      </c>
    </row>
    <row r="379" spans="1:5" ht="15.75" customHeight="1" x14ac:dyDescent="0.25">
      <c r="A379" s="7" t="s">
        <v>49</v>
      </c>
      <c r="B379" s="7" t="s">
        <v>4</v>
      </c>
      <c r="C379" s="8">
        <v>2024</v>
      </c>
      <c r="D379" s="8">
        <v>10</v>
      </c>
      <c r="E379">
        <f ca="1">IFERROR(__xludf.DUMMYFUNCTION("""COMPUTED_VALUE"""),18750)</f>
        <v>18750</v>
      </c>
    </row>
    <row r="380" spans="1:5" ht="15.75" customHeight="1" x14ac:dyDescent="0.25">
      <c r="A380" s="7" t="s">
        <v>49</v>
      </c>
      <c r="B380" s="7" t="s">
        <v>1</v>
      </c>
      <c r="C380" s="8">
        <v>2024</v>
      </c>
      <c r="D380" s="8">
        <v>10</v>
      </c>
      <c r="E380">
        <f ca="1">IFERROR(__xludf.DUMMYFUNCTION("""COMPUTED_VALUE"""),18199.9999999999)</f>
        <v>18199.999999999902</v>
      </c>
    </row>
    <row r="381" spans="1:5" ht="15.75" customHeight="1" x14ac:dyDescent="0.25">
      <c r="A381" s="7" t="s">
        <v>49</v>
      </c>
      <c r="B381" s="7" t="s">
        <v>14</v>
      </c>
      <c r="C381" s="8">
        <v>2024</v>
      </c>
      <c r="D381" s="8">
        <v>10</v>
      </c>
      <c r="E381">
        <f ca="1">IFERROR(__xludf.DUMMYFUNCTION("""COMPUTED_VALUE"""),38191.304347826)</f>
        <v>38191.304347826001</v>
      </c>
    </row>
    <row r="382" spans="1:5" ht="15.75" customHeight="1" x14ac:dyDescent="0.25">
      <c r="A382" s="7" t="s">
        <v>49</v>
      </c>
      <c r="B382" s="7" t="s">
        <v>15</v>
      </c>
      <c r="C382" s="8">
        <v>2024</v>
      </c>
      <c r="D382" s="8">
        <v>10</v>
      </c>
      <c r="E382">
        <f ca="1">IFERROR(__xludf.DUMMYFUNCTION("""COMPUTED_VALUE"""),15000)</f>
        <v>15000</v>
      </c>
    </row>
    <row r="383" spans="1:5" ht="15.75" customHeight="1" x14ac:dyDescent="0.25">
      <c r="A383" s="7" t="s">
        <v>49</v>
      </c>
      <c r="B383" s="7" t="s">
        <v>2</v>
      </c>
      <c r="C383" s="8">
        <v>2024</v>
      </c>
      <c r="D383" s="8">
        <v>10</v>
      </c>
      <c r="E383">
        <f ca="1">IFERROR(__xludf.DUMMYFUNCTION("""COMPUTED_VALUE"""),91510.9004739336)</f>
        <v>91510.900473933594</v>
      </c>
    </row>
    <row r="384" spans="1:5" ht="15.75" customHeight="1" x14ac:dyDescent="0.25">
      <c r="A384" s="7" t="s">
        <v>49</v>
      </c>
      <c r="B384" s="7" t="s">
        <v>16</v>
      </c>
      <c r="C384" s="8">
        <v>2024</v>
      </c>
      <c r="D384" s="8">
        <v>10</v>
      </c>
      <c r="E384">
        <f ca="1">IFERROR(__xludf.DUMMYFUNCTION("""COMPUTED_VALUE"""),79994.8717948718)</f>
        <v>79994.871794871797</v>
      </c>
    </row>
    <row r="385" spans="1:5" ht="15.75" customHeight="1" x14ac:dyDescent="0.25">
      <c r="A385" s="7" t="s">
        <v>49</v>
      </c>
      <c r="B385" s="7" t="s">
        <v>17</v>
      </c>
      <c r="C385" s="8">
        <v>2024</v>
      </c>
      <c r="D385" s="8">
        <v>10</v>
      </c>
      <c r="E385">
        <f ca="1">IFERROR(__xludf.DUMMYFUNCTION("""COMPUTED_VALUE"""),130769.978005518)</f>
        <v>130769.978005518</v>
      </c>
    </row>
    <row r="386" spans="1:5" ht="15.75" customHeight="1" x14ac:dyDescent="0.25">
      <c r="A386" s="7" t="s">
        <v>50</v>
      </c>
      <c r="B386" s="9" t="s">
        <v>5</v>
      </c>
      <c r="C386" s="8">
        <v>2024</v>
      </c>
      <c r="D386" s="8">
        <v>10</v>
      </c>
      <c r="E386">
        <f ca="1">IFERROR(__xludf.DUMMYFUNCTION("TRANSPOSE(IMPORTRANGE(""https://docs.google.com/spreadsheets/d/1mT3IjyNoODrU_LG3JEun9khz8b3FeOSoNSOv43fG8HI/edit?usp=sharing"",""Perhitungan Stok!$J$26:$J$37""))"),12816.9262589019)</f>
        <v>12816.9262589019</v>
      </c>
    </row>
    <row r="387" spans="1:5" ht="15.75" customHeight="1" x14ac:dyDescent="0.25">
      <c r="A387" s="7" t="s">
        <v>50</v>
      </c>
      <c r="B387" s="7" t="s">
        <v>3</v>
      </c>
      <c r="C387" s="8">
        <v>2024</v>
      </c>
      <c r="D387" s="8">
        <v>10</v>
      </c>
      <c r="E387">
        <f ca="1">IFERROR(__xludf.DUMMYFUNCTION("""COMPUTED_VALUE"""),9297.80663083519)</f>
        <v>9297.8066308351899</v>
      </c>
    </row>
    <row r="388" spans="1:5" ht="15.75" customHeight="1" x14ac:dyDescent="0.25">
      <c r="A388" s="7" t="s">
        <v>50</v>
      </c>
      <c r="B388" s="7" t="s">
        <v>11</v>
      </c>
      <c r="C388" s="8">
        <v>2024</v>
      </c>
      <c r="D388" s="8">
        <v>10</v>
      </c>
      <c r="E388">
        <f ca="1">IFERROR(__xludf.DUMMYFUNCTION("""COMPUTED_VALUE"""),24378.9519101123)</f>
        <v>24378.951910112301</v>
      </c>
    </row>
    <row r="389" spans="1:5" ht="15.75" customHeight="1" x14ac:dyDescent="0.25">
      <c r="A389" s="7" t="s">
        <v>50</v>
      </c>
      <c r="B389" s="7" t="s">
        <v>12</v>
      </c>
      <c r="C389" s="8">
        <v>2024</v>
      </c>
      <c r="D389" s="8">
        <v>10</v>
      </c>
      <c r="E389">
        <f ca="1">IFERROR(__xludf.DUMMYFUNCTION("""COMPUTED_VALUE"""),1405.70497784727)</f>
        <v>1405.7049778472699</v>
      </c>
    </row>
    <row r="390" spans="1:5" ht="15.75" customHeight="1" x14ac:dyDescent="0.25">
      <c r="A390" s="7" t="s">
        <v>50</v>
      </c>
      <c r="B390" s="7" t="s">
        <v>13</v>
      </c>
      <c r="C390" s="8">
        <v>2024</v>
      </c>
      <c r="D390" s="8">
        <v>10</v>
      </c>
      <c r="E390">
        <f ca="1">IFERROR(__xludf.DUMMYFUNCTION("""COMPUTED_VALUE"""),539.078069222411)</f>
        <v>539.07806922241105</v>
      </c>
    </row>
    <row r="391" spans="1:5" ht="15.75" customHeight="1" x14ac:dyDescent="0.25">
      <c r="A391" s="7" t="s">
        <v>50</v>
      </c>
      <c r="B391" s="7" t="s">
        <v>4</v>
      </c>
      <c r="C391" s="8">
        <v>2024</v>
      </c>
      <c r="D391" s="8">
        <v>10</v>
      </c>
      <c r="E391">
        <f ca="1">IFERROR(__xludf.DUMMYFUNCTION("""COMPUTED_VALUE"""),8642.48281249999)</f>
        <v>8642.4828124999894</v>
      </c>
    </row>
    <row r="392" spans="1:5" ht="15.75" customHeight="1" x14ac:dyDescent="0.25">
      <c r="A392" s="7" t="s">
        <v>50</v>
      </c>
      <c r="B392" s="7" t="s">
        <v>1</v>
      </c>
      <c r="C392" s="8">
        <v>2024</v>
      </c>
      <c r="D392" s="8">
        <v>10</v>
      </c>
      <c r="E392">
        <f ca="1">IFERROR(__xludf.DUMMYFUNCTION("""COMPUTED_VALUE"""),22510.6580886653)</f>
        <v>22510.658088665299</v>
      </c>
    </row>
    <row r="393" spans="1:5" ht="15.75" customHeight="1" x14ac:dyDescent="0.25">
      <c r="A393" s="7" t="s">
        <v>50</v>
      </c>
      <c r="B393" s="7" t="s">
        <v>14</v>
      </c>
      <c r="C393" s="8">
        <v>2024</v>
      </c>
      <c r="D393" s="8">
        <v>10</v>
      </c>
      <c r="E393">
        <f ca="1">IFERROR(__xludf.DUMMYFUNCTION("""COMPUTED_VALUE"""),20160.3818181818)</f>
        <v>20160.381818181799</v>
      </c>
    </row>
    <row r="394" spans="1:5" ht="15.75" customHeight="1" x14ac:dyDescent="0.25">
      <c r="A394" s="7" t="s">
        <v>50</v>
      </c>
      <c r="B394" s="7" t="s">
        <v>15</v>
      </c>
      <c r="C394" s="8">
        <v>2024</v>
      </c>
      <c r="D394" s="8">
        <v>10</v>
      </c>
      <c r="E394">
        <f ca="1">IFERROR(__xludf.DUMMYFUNCTION("""COMPUTED_VALUE"""),31053.6450946359)</f>
        <v>31053.6450946359</v>
      </c>
    </row>
    <row r="395" spans="1:5" ht="15.75" customHeight="1" x14ac:dyDescent="0.25">
      <c r="A395" s="7" t="s">
        <v>50</v>
      </c>
      <c r="B395" s="7" t="s">
        <v>2</v>
      </c>
      <c r="C395" s="8">
        <v>2024</v>
      </c>
      <c r="D395" s="8">
        <v>10</v>
      </c>
      <c r="E395">
        <f ca="1">IFERROR(__xludf.DUMMYFUNCTION("""COMPUTED_VALUE"""),7651.91676340047)</f>
        <v>7651.9167634004698</v>
      </c>
    </row>
    <row r="396" spans="1:5" ht="15.75" customHeight="1" x14ac:dyDescent="0.25">
      <c r="A396" s="7" t="s">
        <v>50</v>
      </c>
      <c r="B396" s="7" t="s">
        <v>16</v>
      </c>
      <c r="C396" s="8">
        <v>2024</v>
      </c>
      <c r="D396" s="8">
        <v>10</v>
      </c>
      <c r="E396">
        <f ca="1">IFERROR(__xludf.DUMMYFUNCTION("""COMPUTED_VALUE"""),31268.0470588235)</f>
        <v>31268.0470588235</v>
      </c>
    </row>
    <row r="397" spans="1:5" ht="15.75" customHeight="1" x14ac:dyDescent="0.25">
      <c r="A397" s="7" t="s">
        <v>50</v>
      </c>
      <c r="B397" s="7" t="s">
        <v>17</v>
      </c>
      <c r="C397" s="8">
        <v>2024</v>
      </c>
      <c r="D397" s="8">
        <v>10</v>
      </c>
      <c r="E397">
        <f ca="1">IFERROR(__xludf.DUMMYFUNCTION("""COMPUTED_VALUE"""),1752.01563517915)</f>
        <v>1752.01563517915</v>
      </c>
    </row>
    <row r="398" spans="1:5" ht="15.75" customHeight="1" x14ac:dyDescent="0.25">
      <c r="A398" s="7" t="s">
        <v>51</v>
      </c>
      <c r="B398" s="9" t="s">
        <v>5</v>
      </c>
      <c r="C398" s="8">
        <v>2024</v>
      </c>
      <c r="D398" s="8">
        <v>10</v>
      </c>
      <c r="E398">
        <f ca="1">IFERROR(__xludf.DUMMYFUNCTION("TRANSPOSE(IMPORTRANGE(""https://docs.google.com/spreadsheets/d/18yT69aQlf6J1sEmVuUDlca7R2wc3eYvTk7Wv4aA2uKk/edit?usp=sharing"",""Perhitungan Stok!$J$26:$J$37""))"),20641.5379026521)</f>
        <v>20641.5379026521</v>
      </c>
    </row>
    <row r="399" spans="1:5" ht="15.75" customHeight="1" x14ac:dyDescent="0.25">
      <c r="A399" s="7" t="s">
        <v>51</v>
      </c>
      <c r="B399" s="7" t="s">
        <v>3</v>
      </c>
      <c r="C399" s="8">
        <v>2024</v>
      </c>
      <c r="D399" s="8">
        <v>10</v>
      </c>
      <c r="E399" t="str">
        <f ca="1">IFERROR(__xludf.DUMMYFUNCTION("""COMPUTED_VALUE"""),"NULL")</f>
        <v>NULL</v>
      </c>
    </row>
    <row r="400" spans="1:5" ht="15.75" customHeight="1" x14ac:dyDescent="0.25">
      <c r="A400" s="7" t="s">
        <v>51</v>
      </c>
      <c r="B400" s="7" t="s">
        <v>11</v>
      </c>
      <c r="C400" s="8">
        <v>2024</v>
      </c>
      <c r="D400" s="8">
        <v>10</v>
      </c>
      <c r="E400">
        <f ca="1">IFERROR(__xludf.DUMMYFUNCTION("""COMPUTED_VALUE"""),0)</f>
        <v>0</v>
      </c>
    </row>
    <row r="401" spans="1:5" ht="15.75" customHeight="1" x14ac:dyDescent="0.25">
      <c r="A401" s="7" t="s">
        <v>51</v>
      </c>
      <c r="B401" s="7" t="s">
        <v>12</v>
      </c>
      <c r="C401" s="8">
        <v>2024</v>
      </c>
      <c r="D401" s="8">
        <v>10</v>
      </c>
      <c r="E401">
        <f ca="1">IFERROR(__xludf.DUMMYFUNCTION("""COMPUTED_VALUE"""),0)</f>
        <v>0</v>
      </c>
    </row>
    <row r="402" spans="1:5" ht="15.75" customHeight="1" x14ac:dyDescent="0.25">
      <c r="A402" s="7" t="s">
        <v>51</v>
      </c>
      <c r="B402" s="7" t="s">
        <v>13</v>
      </c>
      <c r="C402" s="8">
        <v>2024</v>
      </c>
      <c r="D402" s="8">
        <v>10</v>
      </c>
      <c r="E402">
        <f ca="1">IFERROR(__xludf.DUMMYFUNCTION("""COMPUTED_VALUE"""),0)</f>
        <v>0</v>
      </c>
    </row>
    <row r="403" spans="1:5" ht="15.75" customHeight="1" x14ac:dyDescent="0.25">
      <c r="A403" s="7" t="s">
        <v>51</v>
      </c>
      <c r="B403" s="7" t="s">
        <v>4</v>
      </c>
      <c r="C403" s="8">
        <v>2024</v>
      </c>
      <c r="D403" s="8">
        <v>10</v>
      </c>
      <c r="E403">
        <f ca="1">IFERROR(__xludf.DUMMYFUNCTION("""COMPUTED_VALUE"""),0)</f>
        <v>0</v>
      </c>
    </row>
    <row r="404" spans="1:5" ht="15.75" customHeight="1" x14ac:dyDescent="0.25">
      <c r="A404" s="7" t="s">
        <v>51</v>
      </c>
      <c r="B404" s="7" t="s">
        <v>1</v>
      </c>
      <c r="C404" s="8">
        <v>2024</v>
      </c>
      <c r="D404" s="8">
        <v>10</v>
      </c>
      <c r="E404">
        <f ca="1">IFERROR(__xludf.DUMMYFUNCTION("""COMPUTED_VALUE"""),0)</f>
        <v>0</v>
      </c>
    </row>
    <row r="405" spans="1:5" ht="15.75" customHeight="1" x14ac:dyDescent="0.25">
      <c r="A405" s="7" t="s">
        <v>51</v>
      </c>
      <c r="B405" s="7" t="s">
        <v>14</v>
      </c>
      <c r="C405" s="8">
        <v>2024</v>
      </c>
      <c r="D405" s="8">
        <v>10</v>
      </c>
      <c r="E405">
        <f ca="1">IFERROR(__xludf.DUMMYFUNCTION("""COMPUTED_VALUE"""),0)</f>
        <v>0</v>
      </c>
    </row>
    <row r="406" spans="1:5" ht="15.75" customHeight="1" x14ac:dyDescent="0.25">
      <c r="A406" s="7" t="s">
        <v>51</v>
      </c>
      <c r="B406" s="7" t="s">
        <v>15</v>
      </c>
      <c r="C406" s="8">
        <v>2024</v>
      </c>
      <c r="D406" s="8">
        <v>10</v>
      </c>
      <c r="E406">
        <f ca="1">IFERROR(__xludf.DUMMYFUNCTION("""COMPUTED_VALUE"""),0)</f>
        <v>0</v>
      </c>
    </row>
    <row r="407" spans="1:5" ht="15.75" customHeight="1" x14ac:dyDescent="0.25">
      <c r="A407" s="7" t="s">
        <v>51</v>
      </c>
      <c r="B407" s="7" t="s">
        <v>2</v>
      </c>
      <c r="C407" s="8">
        <v>2024</v>
      </c>
      <c r="D407" s="8">
        <v>10</v>
      </c>
      <c r="E407">
        <f ca="1">IFERROR(__xludf.DUMMYFUNCTION("""COMPUTED_VALUE"""),2383.57300884955)</f>
        <v>2383.5730088495502</v>
      </c>
    </row>
    <row r="408" spans="1:5" ht="15.75" customHeight="1" x14ac:dyDescent="0.25">
      <c r="A408" s="7" t="s">
        <v>51</v>
      </c>
      <c r="B408" s="7" t="s">
        <v>16</v>
      </c>
      <c r="C408" s="8">
        <v>2024</v>
      </c>
      <c r="D408" s="8">
        <v>10</v>
      </c>
      <c r="E408">
        <f ca="1">IFERROR(__xludf.DUMMYFUNCTION("""COMPUTED_VALUE"""),4712.35934664246)</f>
        <v>4712.35934664246</v>
      </c>
    </row>
    <row r="409" spans="1:5" ht="15.75" customHeight="1" x14ac:dyDescent="0.25">
      <c r="A409" s="7" t="s">
        <v>51</v>
      </c>
      <c r="B409" s="7" t="s">
        <v>17</v>
      </c>
      <c r="C409" s="8">
        <v>2024</v>
      </c>
      <c r="D409" s="8">
        <v>10</v>
      </c>
      <c r="E409">
        <f ca="1">IFERROR(__xludf.DUMMYFUNCTION("""COMPUTED_VALUE"""),8949.63391136801)</f>
        <v>8949.6339113680096</v>
      </c>
    </row>
    <row r="410" spans="1:5" ht="15.75" customHeight="1" x14ac:dyDescent="0.25">
      <c r="A410" s="7" t="s">
        <v>52</v>
      </c>
      <c r="B410" s="9" t="s">
        <v>5</v>
      </c>
      <c r="C410" s="8">
        <v>2024</v>
      </c>
      <c r="D410" s="8">
        <v>10</v>
      </c>
      <c r="E410">
        <f ca="1">IFERROR(__xludf.DUMMYFUNCTION("TRANSPOSE(IMPORTRANGE(""https://docs.google.com/spreadsheets/d/1uZDbd7QqVDyXIy3J32lMUgNi0cYm-p80FJc-hWxxacs/edit?usp=sharing"",""Perhitungan Stok!$J$26:$J$37""))"),678061.885272111)</f>
        <v>678061.88527211105</v>
      </c>
    </row>
    <row r="411" spans="1:5" ht="15.75" customHeight="1" x14ac:dyDescent="0.25">
      <c r="A411" s="7" t="s">
        <v>52</v>
      </c>
      <c r="B411" s="7" t="s">
        <v>3</v>
      </c>
      <c r="C411" s="8">
        <v>2024</v>
      </c>
      <c r="D411" s="8">
        <v>10</v>
      </c>
      <c r="E411">
        <f ca="1">IFERROR(__xludf.DUMMYFUNCTION("""COMPUTED_VALUE"""),306)</f>
        <v>306</v>
      </c>
    </row>
    <row r="412" spans="1:5" ht="15.75" customHeight="1" x14ac:dyDescent="0.25">
      <c r="A412" s="7" t="s">
        <v>52</v>
      </c>
      <c r="B412" s="7" t="s">
        <v>11</v>
      </c>
      <c r="C412" s="8">
        <v>2024</v>
      </c>
      <c r="D412" s="8">
        <v>10</v>
      </c>
      <c r="E412">
        <f ca="1">IFERROR(__xludf.DUMMYFUNCTION("""COMPUTED_VALUE"""),19502.4375)</f>
        <v>19502.4375</v>
      </c>
    </row>
    <row r="413" spans="1:5" ht="15.75" customHeight="1" x14ac:dyDescent="0.25">
      <c r="A413" s="7" t="s">
        <v>52</v>
      </c>
      <c r="B413" s="7" t="s">
        <v>12</v>
      </c>
      <c r="C413" s="8">
        <v>2024</v>
      </c>
      <c r="D413" s="8">
        <v>10</v>
      </c>
      <c r="E413">
        <f ca="1">IFERROR(__xludf.DUMMYFUNCTION("""COMPUTED_VALUE"""),43)</f>
        <v>43</v>
      </c>
    </row>
    <row r="414" spans="1:5" ht="15.75" customHeight="1" x14ac:dyDescent="0.25">
      <c r="A414" s="7" t="s">
        <v>52</v>
      </c>
      <c r="B414" s="7" t="s">
        <v>13</v>
      </c>
      <c r="C414" s="8">
        <v>2024</v>
      </c>
      <c r="D414" s="8">
        <v>10</v>
      </c>
      <c r="E414">
        <f ca="1">IFERROR(__xludf.DUMMYFUNCTION("""COMPUTED_VALUE"""),6242.52069536423)</f>
        <v>6242.5206953642301</v>
      </c>
    </row>
    <row r="415" spans="1:5" ht="15.75" customHeight="1" x14ac:dyDescent="0.25">
      <c r="A415" s="7" t="s">
        <v>52</v>
      </c>
      <c r="B415" s="7" t="s">
        <v>4</v>
      </c>
      <c r="C415" s="8">
        <v>2024</v>
      </c>
      <c r="D415" s="8">
        <v>10</v>
      </c>
      <c r="E415">
        <f ca="1">IFERROR(__xludf.DUMMYFUNCTION("""COMPUTED_VALUE"""),97.5)</f>
        <v>97.5</v>
      </c>
    </row>
    <row r="416" spans="1:5" ht="15.75" customHeight="1" x14ac:dyDescent="0.25">
      <c r="A416" s="7" t="s">
        <v>52</v>
      </c>
      <c r="B416" s="7" t="s">
        <v>1</v>
      </c>
      <c r="C416" s="8">
        <v>2024</v>
      </c>
      <c r="D416" s="8">
        <v>10</v>
      </c>
      <c r="E416">
        <f ca="1">IFERROR(__xludf.DUMMYFUNCTION("""COMPUTED_VALUE"""),48.3333333333333)</f>
        <v>48.3333333333333</v>
      </c>
    </row>
    <row r="417" spans="1:6" ht="15.75" customHeight="1" x14ac:dyDescent="0.25">
      <c r="A417" s="7" t="s">
        <v>52</v>
      </c>
      <c r="B417" s="7" t="s">
        <v>14</v>
      </c>
      <c r="C417" s="8">
        <v>2024</v>
      </c>
      <c r="D417" s="8">
        <v>10</v>
      </c>
      <c r="E417">
        <f ca="1">IFERROR(__xludf.DUMMYFUNCTION("""COMPUTED_VALUE"""),19.375)</f>
        <v>19.375</v>
      </c>
    </row>
    <row r="418" spans="1:6" ht="15.75" customHeight="1" x14ac:dyDescent="0.25">
      <c r="A418" s="7" t="s">
        <v>52</v>
      </c>
      <c r="B418" s="7" t="s">
        <v>15</v>
      </c>
      <c r="C418" s="8">
        <v>2024</v>
      </c>
      <c r="D418" s="8">
        <v>10</v>
      </c>
      <c r="E418">
        <f ca="1">IFERROR(__xludf.DUMMYFUNCTION("""COMPUTED_VALUE"""),2.63492063492063)</f>
        <v>2.63492063492063</v>
      </c>
    </row>
    <row r="419" spans="1:6" ht="15.75" customHeight="1" x14ac:dyDescent="0.25">
      <c r="A419" s="7" t="s">
        <v>52</v>
      </c>
      <c r="B419" s="7" t="s">
        <v>2</v>
      </c>
      <c r="C419" s="8">
        <v>2024</v>
      </c>
      <c r="D419" s="8">
        <v>10</v>
      </c>
      <c r="E419">
        <f ca="1">IFERROR(__xludf.DUMMYFUNCTION("""COMPUTED_VALUE"""),1314.43298969072)</f>
        <v>1314.43298969072</v>
      </c>
    </row>
    <row r="420" spans="1:6" ht="15.75" customHeight="1" x14ac:dyDescent="0.25">
      <c r="A420" s="7" t="s">
        <v>52</v>
      </c>
      <c r="B420" s="7" t="s">
        <v>16</v>
      </c>
      <c r="C420" s="8">
        <v>2024</v>
      </c>
      <c r="D420" s="8">
        <v>10</v>
      </c>
      <c r="E420">
        <f ca="1">IFERROR(__xludf.DUMMYFUNCTION("""COMPUTED_VALUE"""),123492.775678461)</f>
        <v>123492.775678461</v>
      </c>
    </row>
    <row r="421" spans="1:6" ht="15.75" customHeight="1" x14ac:dyDescent="0.25">
      <c r="A421" s="7" t="s">
        <v>52</v>
      </c>
      <c r="B421" s="7" t="s">
        <v>17</v>
      </c>
      <c r="C421" s="8">
        <v>2024</v>
      </c>
      <c r="D421" s="8">
        <v>10</v>
      </c>
      <c r="E421">
        <f ca="1">IFERROR(__xludf.DUMMYFUNCTION("""COMPUTED_VALUE"""),18424.4181602001)</f>
        <v>18424.418160200101</v>
      </c>
    </row>
    <row r="422" spans="1:6" ht="15.75" customHeight="1" x14ac:dyDescent="0.25">
      <c r="A422" s="7" t="s">
        <v>10</v>
      </c>
      <c r="B422" s="7" t="s">
        <v>5</v>
      </c>
      <c r="C422" s="6">
        <v>2024</v>
      </c>
      <c r="D422" s="10">
        <v>11</v>
      </c>
      <c r="E422" s="8">
        <f ca="1">IFERROR(__xludf.DUMMYFUNCTION("TRANSPOSE(IMPORTRANGE(""https://docs.google.com/spreadsheets/d/1AtdMzuToiWUhtlxnY1Dz2wS_LuWlSr9V3xqy8xdgs8Y/edit?usp=sharing"",""Perhitungan Stok!$J$26:$J$37""))"),42500)</f>
        <v>42500</v>
      </c>
    </row>
    <row r="423" spans="1:6" ht="15.75" customHeight="1" x14ac:dyDescent="0.25">
      <c r="A423" s="7" t="s">
        <v>10</v>
      </c>
      <c r="B423" s="7" t="s">
        <v>3</v>
      </c>
      <c r="C423" s="6">
        <v>2024</v>
      </c>
      <c r="D423" s="10">
        <v>11</v>
      </c>
      <c r="E423" s="8">
        <f ca="1">IFERROR(__xludf.DUMMYFUNCTION("""COMPUTED_VALUE"""),1515)</f>
        <v>1515</v>
      </c>
      <c r="F423"/>
    </row>
    <row r="424" spans="1:6" ht="15.75" customHeight="1" x14ac:dyDescent="0.25">
      <c r="A424" s="7" t="s">
        <v>10</v>
      </c>
      <c r="B424" s="7" t="s">
        <v>11</v>
      </c>
      <c r="C424" s="6">
        <v>2024</v>
      </c>
      <c r="D424" s="10">
        <v>11</v>
      </c>
      <c r="E424" s="8">
        <f ca="1">IFERROR(__xludf.DUMMYFUNCTION("""COMPUTED_VALUE"""),21000)</f>
        <v>21000</v>
      </c>
      <c r="F424"/>
    </row>
    <row r="425" spans="1:6" ht="15.75" customHeight="1" x14ac:dyDescent="0.25">
      <c r="A425" s="7" t="s">
        <v>10</v>
      </c>
      <c r="B425" s="7" t="s">
        <v>12</v>
      </c>
      <c r="C425" s="6">
        <v>2024</v>
      </c>
      <c r="D425" s="10">
        <v>11</v>
      </c>
      <c r="E425" s="8">
        <f ca="1">IFERROR(__xludf.DUMMYFUNCTION("""COMPUTED_VALUE"""),500)</f>
        <v>500</v>
      </c>
      <c r="F425"/>
    </row>
    <row r="426" spans="1:6" ht="15.75" customHeight="1" x14ac:dyDescent="0.25">
      <c r="A426" s="7" t="s">
        <v>10</v>
      </c>
      <c r="B426" s="7" t="s">
        <v>13</v>
      </c>
      <c r="C426" s="6">
        <v>2024</v>
      </c>
      <c r="D426" s="10">
        <v>11</v>
      </c>
      <c r="E426" s="8">
        <f ca="1">IFERROR(__xludf.DUMMYFUNCTION("""COMPUTED_VALUE"""),200)</f>
        <v>200</v>
      </c>
      <c r="F426"/>
    </row>
    <row r="427" spans="1:6" ht="15.75" customHeight="1" x14ac:dyDescent="0.25">
      <c r="A427" s="7" t="s">
        <v>10</v>
      </c>
      <c r="B427" s="7" t="s">
        <v>4</v>
      </c>
      <c r="C427" s="6">
        <v>2024</v>
      </c>
      <c r="D427" s="10">
        <v>11</v>
      </c>
      <c r="E427" s="8" t="s">
        <v>21</v>
      </c>
      <c r="F427"/>
    </row>
    <row r="428" spans="1:6" ht="15.75" customHeight="1" x14ac:dyDescent="0.25">
      <c r="A428" s="7" t="s">
        <v>10</v>
      </c>
      <c r="B428" s="7" t="s">
        <v>1</v>
      </c>
      <c r="C428" s="6">
        <v>2024</v>
      </c>
      <c r="D428" s="10">
        <v>11</v>
      </c>
      <c r="E428" s="8" t="s">
        <v>21</v>
      </c>
      <c r="F428"/>
    </row>
    <row r="429" spans="1:6" ht="15.75" customHeight="1" x14ac:dyDescent="0.25">
      <c r="A429" s="7" t="s">
        <v>10</v>
      </c>
      <c r="B429" s="7" t="s">
        <v>14</v>
      </c>
      <c r="C429" s="6">
        <v>2024</v>
      </c>
      <c r="D429" s="10">
        <v>11</v>
      </c>
      <c r="E429" s="8">
        <f ca="1">IFERROR(__xludf.DUMMYFUNCTION("""COMPUTED_VALUE"""),3329.99999999999)</f>
        <v>3329.99999999999</v>
      </c>
      <c r="F429"/>
    </row>
    <row r="430" spans="1:6" ht="15.75" customHeight="1" x14ac:dyDescent="0.25">
      <c r="A430" s="7" t="s">
        <v>10</v>
      </c>
      <c r="B430" s="7" t="s">
        <v>15</v>
      </c>
      <c r="C430" s="6">
        <v>2024</v>
      </c>
      <c r="D430" s="10">
        <v>11</v>
      </c>
      <c r="E430" s="8">
        <f ca="1">IFERROR(__xludf.DUMMYFUNCTION("""COMPUTED_VALUE"""),2140)</f>
        <v>2140</v>
      </c>
      <c r="F430"/>
    </row>
    <row r="431" spans="1:6" ht="15.75" customHeight="1" x14ac:dyDescent="0.25">
      <c r="A431" s="7" t="s">
        <v>10</v>
      </c>
      <c r="B431" s="7" t="s">
        <v>2</v>
      </c>
      <c r="C431" s="6">
        <v>2024</v>
      </c>
      <c r="D431" s="10">
        <v>11</v>
      </c>
      <c r="E431" s="8">
        <f ca="1">IFERROR(__xludf.DUMMYFUNCTION("""COMPUTED_VALUE"""),704.912280701754)</f>
        <v>704.91228070175396</v>
      </c>
      <c r="F431"/>
    </row>
    <row r="432" spans="1:6" ht="15.75" customHeight="1" x14ac:dyDescent="0.25">
      <c r="A432" s="7" t="s">
        <v>10</v>
      </c>
      <c r="B432" s="7" t="s">
        <v>16</v>
      </c>
      <c r="C432" s="6">
        <v>2024</v>
      </c>
      <c r="D432" s="10">
        <v>11</v>
      </c>
      <c r="E432" s="8">
        <f ca="1">IFERROR(__xludf.DUMMYFUNCTION("""COMPUTED_VALUE"""),3000)</f>
        <v>3000</v>
      </c>
      <c r="F432"/>
    </row>
    <row r="433" spans="1:6" ht="15.75" customHeight="1" x14ac:dyDescent="0.25">
      <c r="A433" s="7" t="s">
        <v>10</v>
      </c>
      <c r="B433" s="7" t="s">
        <v>17</v>
      </c>
      <c r="C433" s="6">
        <v>2024</v>
      </c>
      <c r="D433" s="10">
        <v>11</v>
      </c>
      <c r="E433" s="8">
        <f ca="1">IFERROR(__xludf.DUMMYFUNCTION("""COMPUTED_VALUE"""),2622)</f>
        <v>2622</v>
      </c>
      <c r="F433"/>
    </row>
    <row r="434" spans="1:6" ht="15.75" customHeight="1" x14ac:dyDescent="0.25">
      <c r="A434" s="7" t="s">
        <v>18</v>
      </c>
      <c r="B434" s="7" t="s">
        <v>5</v>
      </c>
      <c r="C434" s="6">
        <v>2024</v>
      </c>
      <c r="D434" s="10">
        <v>11</v>
      </c>
      <c r="E434" s="8">
        <v>41351.487523992299</v>
      </c>
      <c r="F434"/>
    </row>
    <row r="435" spans="1:6" ht="15.75" customHeight="1" x14ac:dyDescent="0.25">
      <c r="A435" s="7" t="s">
        <v>18</v>
      </c>
      <c r="B435" s="7" t="s">
        <v>3</v>
      </c>
      <c r="C435" s="6">
        <v>2024</v>
      </c>
      <c r="D435" s="10">
        <v>11</v>
      </c>
      <c r="E435" s="8">
        <v>3000</v>
      </c>
      <c r="F435"/>
    </row>
    <row r="436" spans="1:6" ht="15.75" customHeight="1" x14ac:dyDescent="0.25">
      <c r="A436" s="7" t="s">
        <v>18</v>
      </c>
      <c r="B436" s="7" t="s">
        <v>11</v>
      </c>
      <c r="C436" s="6">
        <v>2024</v>
      </c>
      <c r="D436" s="10">
        <v>11</v>
      </c>
      <c r="E436" s="8">
        <v>1250</v>
      </c>
      <c r="F436"/>
    </row>
    <row r="437" spans="1:6" ht="15.75" customHeight="1" x14ac:dyDescent="0.25">
      <c r="A437" s="7" t="s">
        <v>18</v>
      </c>
      <c r="B437" s="7" t="s">
        <v>12</v>
      </c>
      <c r="C437" s="6">
        <v>2024</v>
      </c>
      <c r="D437" s="10">
        <v>11</v>
      </c>
      <c r="E437" s="8">
        <v>2078.76923076923</v>
      </c>
      <c r="F437"/>
    </row>
    <row r="438" spans="1:6" ht="15.75" customHeight="1" x14ac:dyDescent="0.25">
      <c r="A438" s="7" t="s">
        <v>18</v>
      </c>
      <c r="B438" s="7" t="s">
        <v>13</v>
      </c>
      <c r="C438" s="6">
        <v>2024</v>
      </c>
      <c r="D438" s="10">
        <v>11</v>
      </c>
      <c r="E438" s="8">
        <v>5830.9275074478601</v>
      </c>
      <c r="F438"/>
    </row>
    <row r="439" spans="1:6" ht="15.75" customHeight="1" x14ac:dyDescent="0.25">
      <c r="A439" s="7" t="s">
        <v>18</v>
      </c>
      <c r="B439" s="7" t="s">
        <v>4</v>
      </c>
      <c r="C439" s="6">
        <v>2024</v>
      </c>
      <c r="D439" s="10">
        <v>11</v>
      </c>
      <c r="E439" s="8">
        <v>1352.4</v>
      </c>
      <c r="F439"/>
    </row>
    <row r="440" spans="1:6" ht="15.75" customHeight="1" x14ac:dyDescent="0.25">
      <c r="A440" s="7" t="s">
        <v>18</v>
      </c>
      <c r="B440" s="7" t="s">
        <v>1</v>
      </c>
      <c r="C440" s="6">
        <v>2024</v>
      </c>
      <c r="D440" s="10">
        <v>11</v>
      </c>
      <c r="E440" s="8">
        <v>1835.625</v>
      </c>
      <c r="F440"/>
    </row>
    <row r="441" spans="1:6" ht="15.75" customHeight="1" x14ac:dyDescent="0.25">
      <c r="A441" s="7" t="s">
        <v>18</v>
      </c>
      <c r="B441" s="7" t="s">
        <v>14</v>
      </c>
      <c r="C441" s="6">
        <v>2024</v>
      </c>
      <c r="D441" s="10">
        <v>11</v>
      </c>
      <c r="E441" s="8">
        <v>141.71428571428501</v>
      </c>
      <c r="F441"/>
    </row>
    <row r="442" spans="1:6" ht="15.75" customHeight="1" x14ac:dyDescent="0.25">
      <c r="A442" s="7" t="s">
        <v>18</v>
      </c>
      <c r="B442" s="7" t="s">
        <v>15</v>
      </c>
      <c r="C442" s="6">
        <v>2024</v>
      </c>
      <c r="D442" s="10">
        <v>11</v>
      </c>
      <c r="E442" s="8">
        <v>49703.162939297101</v>
      </c>
      <c r="F442"/>
    </row>
    <row r="443" spans="1:6" ht="15.75" customHeight="1" x14ac:dyDescent="0.25">
      <c r="A443" s="7" t="s">
        <v>18</v>
      </c>
      <c r="B443" s="7" t="s">
        <v>2</v>
      </c>
      <c r="C443" s="6">
        <v>2024</v>
      </c>
      <c r="D443" s="10">
        <v>11</v>
      </c>
      <c r="E443" s="8">
        <v>14989.722921914299</v>
      </c>
      <c r="F443"/>
    </row>
    <row r="444" spans="1:6" ht="15.75" customHeight="1" x14ac:dyDescent="0.25">
      <c r="A444" s="7" t="s">
        <v>18</v>
      </c>
      <c r="B444" s="7" t="s">
        <v>16</v>
      </c>
      <c r="C444" s="6">
        <v>2024</v>
      </c>
      <c r="D444" s="10">
        <v>11</v>
      </c>
      <c r="E444" s="8">
        <v>18224.003425635099</v>
      </c>
      <c r="F444"/>
    </row>
    <row r="445" spans="1:6" ht="15.75" customHeight="1" x14ac:dyDescent="0.25">
      <c r="A445" s="7" t="s">
        <v>18</v>
      </c>
      <c r="B445" s="7" t="s">
        <v>17</v>
      </c>
      <c r="C445" s="6">
        <v>2024</v>
      </c>
      <c r="D445" s="10">
        <v>11</v>
      </c>
      <c r="E445" s="8">
        <v>1595.5149116607699</v>
      </c>
      <c r="F445"/>
    </row>
    <row r="446" spans="1:6" ht="15.75" customHeight="1" x14ac:dyDescent="0.25">
      <c r="A446" s="7" t="s">
        <v>19</v>
      </c>
      <c r="B446" s="7" t="s">
        <v>5</v>
      </c>
      <c r="C446" s="6">
        <v>2024</v>
      </c>
      <c r="D446" s="10">
        <v>11</v>
      </c>
      <c r="E446" s="8">
        <v>18619.0476190476</v>
      </c>
      <c r="F446"/>
    </row>
    <row r="447" spans="1:6" ht="15.75" customHeight="1" x14ac:dyDescent="0.25">
      <c r="A447" s="7" t="s">
        <v>19</v>
      </c>
      <c r="B447" s="7" t="s">
        <v>3</v>
      </c>
      <c r="C447" s="6">
        <v>2024</v>
      </c>
      <c r="D447" s="10">
        <v>11</v>
      </c>
      <c r="E447" s="8">
        <v>5294.7443181818098</v>
      </c>
      <c r="F447"/>
    </row>
    <row r="448" spans="1:6" ht="15.75" customHeight="1" x14ac:dyDescent="0.25">
      <c r="A448" s="7" t="s">
        <v>19</v>
      </c>
      <c r="B448" s="7" t="s">
        <v>11</v>
      </c>
      <c r="C448" s="6">
        <v>2024</v>
      </c>
      <c r="D448" s="10">
        <v>11</v>
      </c>
      <c r="E448" s="8">
        <v>57520.404411764699</v>
      </c>
      <c r="F448"/>
    </row>
    <row r="449" spans="1:6" ht="15.75" customHeight="1" x14ac:dyDescent="0.25">
      <c r="A449" s="7" t="s">
        <v>19</v>
      </c>
      <c r="B449" s="7" t="s">
        <v>12</v>
      </c>
      <c r="C449" s="6">
        <v>2024</v>
      </c>
      <c r="D449" s="10">
        <v>11</v>
      </c>
      <c r="E449" s="8">
        <v>231.42857142857099</v>
      </c>
      <c r="F449"/>
    </row>
    <row r="450" spans="1:6" ht="15.75" customHeight="1" x14ac:dyDescent="0.25">
      <c r="A450" s="7" t="s">
        <v>19</v>
      </c>
      <c r="B450" s="7" t="s">
        <v>13</v>
      </c>
      <c r="C450" s="6">
        <v>2024</v>
      </c>
      <c r="D450" s="10">
        <v>11</v>
      </c>
      <c r="E450" s="8">
        <v>303.83999999999997</v>
      </c>
      <c r="F450"/>
    </row>
    <row r="451" spans="1:6" ht="15.75" customHeight="1" x14ac:dyDescent="0.25">
      <c r="A451" s="7" t="s">
        <v>19</v>
      </c>
      <c r="B451" s="7" t="s">
        <v>4</v>
      </c>
      <c r="C451" s="6">
        <v>2024</v>
      </c>
      <c r="D451" s="10">
        <v>11</v>
      </c>
      <c r="E451" s="8">
        <v>31.6666666666666</v>
      </c>
      <c r="F451"/>
    </row>
    <row r="452" spans="1:6" ht="15.75" customHeight="1" x14ac:dyDescent="0.25">
      <c r="A452" s="7" t="s">
        <v>19</v>
      </c>
      <c r="B452" s="7" t="s">
        <v>1</v>
      </c>
      <c r="C452" s="6">
        <v>2024</v>
      </c>
      <c r="D452" s="10">
        <v>11</v>
      </c>
      <c r="E452" s="8">
        <v>45</v>
      </c>
      <c r="F452"/>
    </row>
    <row r="453" spans="1:6" ht="15.75" customHeight="1" x14ac:dyDescent="0.25">
      <c r="A453" s="7" t="s">
        <v>19</v>
      </c>
      <c r="B453" s="7" t="s">
        <v>14</v>
      </c>
      <c r="C453" s="6">
        <v>2024</v>
      </c>
      <c r="D453" s="10">
        <v>11</v>
      </c>
      <c r="E453" s="8">
        <v>276.87898089171898</v>
      </c>
      <c r="F453"/>
    </row>
    <row r="454" spans="1:6" ht="15.75" customHeight="1" x14ac:dyDescent="0.25">
      <c r="A454" s="7" t="s">
        <v>19</v>
      </c>
      <c r="B454" s="7" t="s">
        <v>15</v>
      </c>
      <c r="C454" s="6">
        <v>2024</v>
      </c>
      <c r="D454" s="10">
        <v>11</v>
      </c>
      <c r="E454" s="8">
        <v>248.82352941176401</v>
      </c>
      <c r="F454"/>
    </row>
    <row r="455" spans="1:6" ht="15.75" customHeight="1" x14ac:dyDescent="0.25">
      <c r="A455" s="7" t="s">
        <v>19</v>
      </c>
      <c r="B455" s="7" t="s">
        <v>2</v>
      </c>
      <c r="C455" s="6">
        <v>2024</v>
      </c>
      <c r="D455" s="10">
        <v>11</v>
      </c>
      <c r="E455" s="8">
        <v>1529.9740259740199</v>
      </c>
      <c r="F455"/>
    </row>
    <row r="456" spans="1:6" ht="15.75" customHeight="1" x14ac:dyDescent="0.25">
      <c r="A456" s="7" t="s">
        <v>19</v>
      </c>
      <c r="B456" s="7" t="s">
        <v>16</v>
      </c>
      <c r="C456" s="6">
        <v>2024</v>
      </c>
      <c r="D456" s="10">
        <v>11</v>
      </c>
      <c r="E456" s="8">
        <v>2710.5882352941098</v>
      </c>
      <c r="F456"/>
    </row>
    <row r="457" spans="1:6" ht="15.75" customHeight="1" x14ac:dyDescent="0.25">
      <c r="A457" s="7" t="s">
        <v>19</v>
      </c>
      <c r="B457" s="7" t="s">
        <v>17</v>
      </c>
      <c r="C457" s="6">
        <v>2024</v>
      </c>
      <c r="D457" s="10">
        <v>11</v>
      </c>
      <c r="E457" s="8">
        <v>7058.9192139737997</v>
      </c>
      <c r="F457"/>
    </row>
    <row r="458" spans="1:6" ht="15.75" customHeight="1" x14ac:dyDescent="0.25">
      <c r="A458" s="7" t="s">
        <v>20</v>
      </c>
      <c r="B458" s="7" t="s">
        <v>5</v>
      </c>
      <c r="C458" s="6">
        <v>2024</v>
      </c>
      <c r="D458" s="10">
        <v>11</v>
      </c>
      <c r="E458" s="8">
        <v>917971.04453785904</v>
      </c>
      <c r="F458"/>
    </row>
    <row r="459" spans="1:6" ht="15.75" customHeight="1" x14ac:dyDescent="0.25">
      <c r="A459" s="7" t="s">
        <v>20</v>
      </c>
      <c r="B459" s="7" t="s">
        <v>3</v>
      </c>
      <c r="C459" s="6">
        <v>2024</v>
      </c>
      <c r="D459" s="10">
        <v>11</v>
      </c>
      <c r="E459" s="8">
        <v>2833112.66021781</v>
      </c>
      <c r="F459"/>
    </row>
    <row r="460" spans="1:6" ht="15.75" customHeight="1" x14ac:dyDescent="0.25">
      <c r="A460" s="7" t="s">
        <v>20</v>
      </c>
      <c r="B460" s="7" t="s">
        <v>11</v>
      </c>
      <c r="C460" s="6">
        <v>2024</v>
      </c>
      <c r="D460" s="10">
        <v>11</v>
      </c>
      <c r="E460" s="8">
        <v>7916.6583718450001</v>
      </c>
      <c r="F460"/>
    </row>
    <row r="461" spans="1:6" ht="15.75" customHeight="1" x14ac:dyDescent="0.25">
      <c r="A461" s="7" t="s">
        <v>20</v>
      </c>
      <c r="B461" s="7" t="s">
        <v>12</v>
      </c>
      <c r="C461" s="6">
        <v>2024</v>
      </c>
      <c r="D461" s="10">
        <v>11</v>
      </c>
      <c r="E461" s="8">
        <v>12.048</v>
      </c>
      <c r="F461"/>
    </row>
    <row r="462" spans="1:6" ht="15.75" customHeight="1" x14ac:dyDescent="0.25">
      <c r="A462" s="7" t="s">
        <v>20</v>
      </c>
      <c r="B462" s="7" t="s">
        <v>13</v>
      </c>
      <c r="C462" s="6">
        <v>2024</v>
      </c>
      <c r="D462" s="10">
        <v>11</v>
      </c>
      <c r="E462" s="8">
        <v>15</v>
      </c>
      <c r="F462"/>
    </row>
    <row r="463" spans="1:6" ht="15.75" customHeight="1" x14ac:dyDescent="0.25">
      <c r="A463" s="7" t="s">
        <v>20</v>
      </c>
      <c r="B463" s="7" t="s">
        <v>4</v>
      </c>
      <c r="C463" s="6">
        <v>2024</v>
      </c>
      <c r="D463" s="10">
        <v>11</v>
      </c>
      <c r="E463" s="8">
        <v>0</v>
      </c>
      <c r="F463"/>
    </row>
    <row r="464" spans="1:6" ht="15.75" customHeight="1" x14ac:dyDescent="0.25">
      <c r="A464" s="7" t="s">
        <v>20</v>
      </c>
      <c r="B464" s="7" t="s">
        <v>1</v>
      </c>
      <c r="C464" s="6">
        <v>2024</v>
      </c>
      <c r="D464" s="10">
        <v>11</v>
      </c>
      <c r="E464" s="8">
        <v>34.5</v>
      </c>
      <c r="F464"/>
    </row>
    <row r="465" spans="1:6" ht="15.75" customHeight="1" x14ac:dyDescent="0.25">
      <c r="A465" s="7" t="s">
        <v>20</v>
      </c>
      <c r="B465" s="7" t="s">
        <v>14</v>
      </c>
      <c r="C465" s="6">
        <v>2024</v>
      </c>
      <c r="D465" s="10">
        <v>11</v>
      </c>
      <c r="E465" s="8">
        <v>1973.1160084189601</v>
      </c>
      <c r="F465"/>
    </row>
    <row r="466" spans="1:6" ht="15.75" customHeight="1" x14ac:dyDescent="0.25">
      <c r="A466" s="7" t="s">
        <v>20</v>
      </c>
      <c r="B466" s="7" t="s">
        <v>15</v>
      </c>
      <c r="C466" s="6">
        <v>2024</v>
      </c>
      <c r="D466" s="10">
        <v>11</v>
      </c>
      <c r="E466" s="8">
        <v>24.0296296296296</v>
      </c>
      <c r="F466"/>
    </row>
    <row r="467" spans="1:6" ht="15.75" customHeight="1" x14ac:dyDescent="0.25">
      <c r="A467" s="7" t="s">
        <v>20</v>
      </c>
      <c r="B467" s="7" t="s">
        <v>2</v>
      </c>
      <c r="C467" s="6">
        <v>2024</v>
      </c>
      <c r="D467" s="10">
        <v>11</v>
      </c>
      <c r="E467" s="8">
        <v>676.28655689358504</v>
      </c>
      <c r="F467"/>
    </row>
    <row r="468" spans="1:6" ht="15.75" customHeight="1" x14ac:dyDescent="0.25">
      <c r="A468" s="7" t="s">
        <v>20</v>
      </c>
      <c r="B468" s="7" t="s">
        <v>16</v>
      </c>
      <c r="C468" s="6">
        <v>2024</v>
      </c>
      <c r="D468" s="10">
        <v>11</v>
      </c>
      <c r="E468" s="8">
        <v>53898.524231566997</v>
      </c>
      <c r="F468"/>
    </row>
    <row r="469" spans="1:6" ht="15.75" customHeight="1" x14ac:dyDescent="0.25">
      <c r="A469" s="7" t="s">
        <v>20</v>
      </c>
      <c r="B469" s="7" t="s">
        <v>17</v>
      </c>
      <c r="C469" s="6">
        <v>2024</v>
      </c>
      <c r="D469" s="10">
        <v>11</v>
      </c>
      <c r="E469" s="8">
        <v>40513.0164402472</v>
      </c>
      <c r="F469"/>
    </row>
    <row r="470" spans="1:6" ht="15.75" customHeight="1" x14ac:dyDescent="0.25">
      <c r="A470" s="7" t="s">
        <v>22</v>
      </c>
      <c r="B470" s="7" t="s">
        <v>5</v>
      </c>
      <c r="C470" s="6">
        <v>2024</v>
      </c>
      <c r="D470" s="10">
        <v>11</v>
      </c>
      <c r="E470" s="8">
        <v>50697.777777777701</v>
      </c>
      <c r="F470"/>
    </row>
    <row r="471" spans="1:6" ht="15.75" customHeight="1" x14ac:dyDescent="0.25">
      <c r="A471" s="7" t="s">
        <v>22</v>
      </c>
      <c r="B471" s="7" t="s">
        <v>3</v>
      </c>
      <c r="C471" s="6">
        <v>2024</v>
      </c>
      <c r="D471" s="10">
        <v>11</v>
      </c>
      <c r="E471" s="8">
        <v>15000</v>
      </c>
      <c r="F471"/>
    </row>
    <row r="472" spans="1:6" ht="15.75" customHeight="1" x14ac:dyDescent="0.25">
      <c r="A472" s="7" t="s">
        <v>22</v>
      </c>
      <c r="B472" s="7" t="s">
        <v>11</v>
      </c>
      <c r="C472" s="6">
        <v>2024</v>
      </c>
      <c r="D472" s="10">
        <v>11</v>
      </c>
      <c r="E472" s="8">
        <v>11961.506622516499</v>
      </c>
      <c r="F472"/>
    </row>
    <row r="473" spans="1:6" ht="15.75" customHeight="1" x14ac:dyDescent="0.25">
      <c r="A473" s="7" t="s">
        <v>22</v>
      </c>
      <c r="B473" s="7" t="s">
        <v>12</v>
      </c>
      <c r="C473" s="6">
        <v>2024</v>
      </c>
      <c r="D473" s="10">
        <v>11</v>
      </c>
      <c r="E473" s="8">
        <v>692.99479166666595</v>
      </c>
      <c r="F473"/>
    </row>
    <row r="474" spans="1:6" ht="15.75" customHeight="1" x14ac:dyDescent="0.25">
      <c r="A474" s="7" t="s">
        <v>22</v>
      </c>
      <c r="B474" s="7" t="s">
        <v>13</v>
      </c>
      <c r="C474" s="6">
        <v>2024</v>
      </c>
      <c r="D474" s="10">
        <v>11</v>
      </c>
      <c r="E474" s="8">
        <v>363.99999999999898</v>
      </c>
      <c r="F474"/>
    </row>
    <row r="475" spans="1:6" ht="15.75" customHeight="1" x14ac:dyDescent="0.25">
      <c r="A475" s="7" t="s">
        <v>22</v>
      </c>
      <c r="B475" s="7" t="s">
        <v>4</v>
      </c>
      <c r="C475" s="6">
        <v>2024</v>
      </c>
      <c r="D475" s="10">
        <v>11</v>
      </c>
      <c r="E475" s="8">
        <v>592.19277108433698</v>
      </c>
      <c r="F475"/>
    </row>
    <row r="476" spans="1:6" ht="15.75" customHeight="1" x14ac:dyDescent="0.25">
      <c r="A476" s="7" t="s">
        <v>22</v>
      </c>
      <c r="B476" s="7" t="s">
        <v>1</v>
      </c>
      <c r="C476" s="6">
        <v>2024</v>
      </c>
      <c r="D476" s="10">
        <v>11</v>
      </c>
      <c r="E476" s="8">
        <v>3152.0818965517201</v>
      </c>
      <c r="F476"/>
    </row>
    <row r="477" spans="1:6" ht="15.75" customHeight="1" x14ac:dyDescent="0.25">
      <c r="A477" s="7" t="s">
        <v>22</v>
      </c>
      <c r="B477" s="7" t="s">
        <v>14</v>
      </c>
      <c r="C477" s="6">
        <v>2024</v>
      </c>
      <c r="D477" s="10">
        <v>11</v>
      </c>
      <c r="E477" s="8">
        <v>2933.4375</v>
      </c>
      <c r="F477"/>
    </row>
    <row r="478" spans="1:6" ht="15.75" customHeight="1" x14ac:dyDescent="0.25">
      <c r="A478" s="7" t="s">
        <v>22</v>
      </c>
      <c r="B478" s="7" t="s">
        <v>15</v>
      </c>
      <c r="C478" s="6">
        <v>2024</v>
      </c>
      <c r="D478" s="10">
        <v>11</v>
      </c>
      <c r="E478" s="8">
        <v>675324.84359608195</v>
      </c>
      <c r="F478"/>
    </row>
    <row r="479" spans="1:6" ht="15.75" customHeight="1" x14ac:dyDescent="0.25">
      <c r="A479" s="7" t="s">
        <v>22</v>
      </c>
      <c r="B479" s="7" t="s">
        <v>2</v>
      </c>
      <c r="C479" s="6">
        <v>2024</v>
      </c>
      <c r="D479" s="10">
        <v>11</v>
      </c>
      <c r="E479" s="8">
        <v>5900.6511627906903</v>
      </c>
      <c r="F479"/>
    </row>
    <row r="480" spans="1:6" ht="15.75" customHeight="1" x14ac:dyDescent="0.25">
      <c r="A480" s="7" t="s">
        <v>22</v>
      </c>
      <c r="B480" s="7" t="s">
        <v>16</v>
      </c>
      <c r="C480" s="6">
        <v>2024</v>
      </c>
      <c r="D480" s="10">
        <v>11</v>
      </c>
      <c r="E480" s="8">
        <v>2035.3909465020499</v>
      </c>
      <c r="F480"/>
    </row>
    <row r="481" spans="1:6" ht="15.75" customHeight="1" x14ac:dyDescent="0.25">
      <c r="A481" s="7" t="s">
        <v>22</v>
      </c>
      <c r="B481" s="7" t="s">
        <v>17</v>
      </c>
      <c r="C481" s="6">
        <v>2024</v>
      </c>
      <c r="D481" s="10">
        <v>11</v>
      </c>
      <c r="E481" s="8">
        <v>7587.9499817983196</v>
      </c>
      <c r="F481"/>
    </row>
    <row r="482" spans="1:6" ht="15.75" customHeight="1" x14ac:dyDescent="0.25">
      <c r="A482" s="7" t="s">
        <v>23</v>
      </c>
      <c r="B482" s="7" t="s">
        <v>5</v>
      </c>
      <c r="C482" s="6">
        <v>2024</v>
      </c>
      <c r="D482" s="10">
        <v>11</v>
      </c>
      <c r="E482" s="8">
        <v>68166.692307692298</v>
      </c>
      <c r="F482"/>
    </row>
    <row r="483" spans="1:6" ht="15.75" customHeight="1" x14ac:dyDescent="0.25">
      <c r="A483" s="7" t="s">
        <v>23</v>
      </c>
      <c r="B483" s="7" t="s">
        <v>3</v>
      </c>
      <c r="C483" s="6">
        <v>2024</v>
      </c>
      <c r="D483" s="10">
        <v>11</v>
      </c>
      <c r="E483" s="8">
        <v>96010.748299319705</v>
      </c>
      <c r="F483"/>
    </row>
    <row r="484" spans="1:6" ht="15.75" customHeight="1" x14ac:dyDescent="0.25">
      <c r="A484" s="7" t="s">
        <v>23</v>
      </c>
      <c r="B484" s="7" t="s">
        <v>11</v>
      </c>
      <c r="C484" s="6">
        <v>2024</v>
      </c>
      <c r="D484" s="10">
        <v>11</v>
      </c>
      <c r="E484" s="8">
        <v>9200</v>
      </c>
      <c r="F484"/>
    </row>
    <row r="485" spans="1:6" ht="15.75" customHeight="1" x14ac:dyDescent="0.25">
      <c r="A485" s="7" t="s">
        <v>23</v>
      </c>
      <c r="B485" s="7" t="s">
        <v>12</v>
      </c>
      <c r="C485" s="6">
        <v>2024</v>
      </c>
      <c r="D485" s="10">
        <v>11</v>
      </c>
      <c r="E485" s="8">
        <v>52056.386724960197</v>
      </c>
      <c r="F485"/>
    </row>
    <row r="486" spans="1:6" ht="15.75" customHeight="1" x14ac:dyDescent="0.25">
      <c r="A486" s="7" t="s">
        <v>23</v>
      </c>
      <c r="B486" s="7" t="s">
        <v>13</v>
      </c>
      <c r="C486" s="6">
        <v>2024</v>
      </c>
      <c r="D486" s="10">
        <v>11</v>
      </c>
      <c r="E486" s="8">
        <v>2158.5</v>
      </c>
      <c r="F486"/>
    </row>
    <row r="487" spans="1:6" ht="15.75" customHeight="1" x14ac:dyDescent="0.25">
      <c r="A487" s="7" t="s">
        <v>23</v>
      </c>
      <c r="B487" s="7" t="s">
        <v>4</v>
      </c>
      <c r="C487" s="6">
        <v>2024</v>
      </c>
      <c r="D487" s="10">
        <v>11</v>
      </c>
      <c r="E487" s="8">
        <v>1005.09999999999</v>
      </c>
      <c r="F487"/>
    </row>
    <row r="488" spans="1:6" ht="15.75" customHeight="1" x14ac:dyDescent="0.25">
      <c r="A488" s="7" t="s">
        <v>23</v>
      </c>
      <c r="B488" s="7" t="s">
        <v>1</v>
      </c>
      <c r="C488" s="6">
        <v>2024</v>
      </c>
      <c r="D488" s="10">
        <v>11</v>
      </c>
      <c r="E488" s="8">
        <v>644.11111111111097</v>
      </c>
      <c r="F488"/>
    </row>
    <row r="489" spans="1:6" ht="15.75" customHeight="1" x14ac:dyDescent="0.25">
      <c r="A489" s="7" t="s">
        <v>23</v>
      </c>
      <c r="B489" s="7" t="s">
        <v>14</v>
      </c>
      <c r="C489" s="6">
        <v>2024</v>
      </c>
      <c r="D489" s="10">
        <v>11</v>
      </c>
      <c r="E489" s="8">
        <v>693.243243243243</v>
      </c>
      <c r="F489"/>
    </row>
    <row r="490" spans="1:6" ht="15.75" customHeight="1" x14ac:dyDescent="0.25">
      <c r="A490" s="7" t="s">
        <v>23</v>
      </c>
      <c r="B490" s="7" t="s">
        <v>15</v>
      </c>
      <c r="C490" s="6">
        <v>2024</v>
      </c>
      <c r="D490" s="10">
        <v>11</v>
      </c>
      <c r="E490" s="8">
        <v>2659.2727272727202</v>
      </c>
      <c r="F490"/>
    </row>
    <row r="491" spans="1:6" ht="15.75" customHeight="1" x14ac:dyDescent="0.25">
      <c r="A491" s="7" t="s">
        <v>23</v>
      </c>
      <c r="B491" s="7" t="s">
        <v>2</v>
      </c>
      <c r="C491" s="6">
        <v>2024</v>
      </c>
      <c r="D491" s="10">
        <v>11</v>
      </c>
      <c r="E491" s="8">
        <v>5064.4444444444398</v>
      </c>
      <c r="F491"/>
    </row>
    <row r="492" spans="1:6" ht="15.75" customHeight="1" x14ac:dyDescent="0.25">
      <c r="A492" s="7" t="s">
        <v>23</v>
      </c>
      <c r="B492" s="7" t="s">
        <v>16</v>
      </c>
      <c r="C492" s="6">
        <v>2024</v>
      </c>
      <c r="D492" s="10">
        <v>11</v>
      </c>
      <c r="E492" s="8">
        <v>998.75</v>
      </c>
      <c r="F492"/>
    </row>
    <row r="493" spans="1:6" ht="15.75" customHeight="1" x14ac:dyDescent="0.25">
      <c r="A493" s="7" t="s">
        <v>23</v>
      </c>
      <c r="B493" s="7" t="s">
        <v>17</v>
      </c>
      <c r="C493" s="6">
        <v>2024</v>
      </c>
      <c r="D493" s="10">
        <v>11</v>
      </c>
      <c r="E493" s="8">
        <v>2071.62</v>
      </c>
      <c r="F493"/>
    </row>
    <row r="494" spans="1:6" ht="15.75" customHeight="1" x14ac:dyDescent="0.25">
      <c r="A494" s="7" t="s">
        <v>24</v>
      </c>
      <c r="B494" s="7" t="s">
        <v>5</v>
      </c>
      <c r="C494" s="6">
        <v>2024</v>
      </c>
      <c r="D494" s="10">
        <v>11</v>
      </c>
      <c r="E494" s="8">
        <v>351100.83226632501</v>
      </c>
      <c r="F494"/>
    </row>
    <row r="495" spans="1:6" ht="15.75" customHeight="1" x14ac:dyDescent="0.25">
      <c r="A495" s="7" t="s">
        <v>24</v>
      </c>
      <c r="B495" s="7" t="s">
        <v>3</v>
      </c>
      <c r="C495" s="6">
        <v>2024</v>
      </c>
      <c r="D495" s="10">
        <v>11</v>
      </c>
      <c r="E495" s="8">
        <v>0</v>
      </c>
      <c r="F495"/>
    </row>
    <row r="496" spans="1:6" ht="15.75" customHeight="1" x14ac:dyDescent="0.25">
      <c r="A496" s="7" t="s">
        <v>24</v>
      </c>
      <c r="B496" s="7" t="s">
        <v>11</v>
      </c>
      <c r="C496" s="6">
        <v>2024</v>
      </c>
      <c r="D496" s="10">
        <v>11</v>
      </c>
      <c r="E496" s="8">
        <v>5120.3260869565202</v>
      </c>
      <c r="F496"/>
    </row>
    <row r="497" spans="1:6" ht="15.75" customHeight="1" x14ac:dyDescent="0.25">
      <c r="A497" s="7" t="s">
        <v>24</v>
      </c>
      <c r="B497" s="7" t="s">
        <v>12</v>
      </c>
      <c r="C497" s="6">
        <v>2024</v>
      </c>
      <c r="D497" s="10">
        <v>11</v>
      </c>
      <c r="E497" s="8">
        <v>985.15764705882304</v>
      </c>
      <c r="F497"/>
    </row>
    <row r="498" spans="1:6" ht="15.75" customHeight="1" x14ac:dyDescent="0.25">
      <c r="A498" s="7" t="s">
        <v>24</v>
      </c>
      <c r="B498" s="7" t="s">
        <v>13</v>
      </c>
      <c r="C498" s="6">
        <v>2024</v>
      </c>
      <c r="D498" s="10">
        <v>11</v>
      </c>
      <c r="E498" s="8">
        <v>8807.7759590792793</v>
      </c>
      <c r="F498"/>
    </row>
    <row r="499" spans="1:6" ht="15.75" customHeight="1" x14ac:dyDescent="0.25">
      <c r="A499" s="7" t="s">
        <v>24</v>
      </c>
      <c r="B499" s="7" t="s">
        <v>4</v>
      </c>
      <c r="C499" s="6">
        <v>2024</v>
      </c>
      <c r="D499" s="10">
        <v>11</v>
      </c>
      <c r="E499" s="8">
        <v>565.50576923076903</v>
      </c>
      <c r="F499"/>
    </row>
    <row r="500" spans="1:6" ht="15.75" customHeight="1" x14ac:dyDescent="0.25">
      <c r="A500" s="7" t="s">
        <v>24</v>
      </c>
      <c r="B500" s="7" t="s">
        <v>1</v>
      </c>
      <c r="C500" s="6">
        <v>2024</v>
      </c>
      <c r="D500" s="10">
        <v>11</v>
      </c>
      <c r="E500" s="8">
        <v>428.02105263157802</v>
      </c>
      <c r="F500"/>
    </row>
    <row r="501" spans="1:6" ht="15.75" customHeight="1" x14ac:dyDescent="0.25">
      <c r="A501" s="7" t="s">
        <v>24</v>
      </c>
      <c r="B501" s="7" t="s">
        <v>14</v>
      </c>
      <c r="C501" s="6">
        <v>2024</v>
      </c>
      <c r="D501" s="10">
        <v>11</v>
      </c>
      <c r="E501" s="8">
        <v>535</v>
      </c>
      <c r="F501"/>
    </row>
    <row r="502" spans="1:6" ht="15.75" customHeight="1" x14ac:dyDescent="0.25">
      <c r="A502" s="7" t="s">
        <v>24</v>
      </c>
      <c r="B502" s="7" t="s">
        <v>15</v>
      </c>
      <c r="C502" s="6">
        <v>2024</v>
      </c>
      <c r="D502" s="10">
        <v>11</v>
      </c>
      <c r="E502" s="8">
        <v>970</v>
      </c>
      <c r="F502"/>
    </row>
    <row r="503" spans="1:6" ht="15.75" customHeight="1" x14ac:dyDescent="0.25">
      <c r="A503" s="7" t="s">
        <v>24</v>
      </c>
      <c r="B503" s="7" t="s">
        <v>2</v>
      </c>
      <c r="C503" s="6">
        <v>2024</v>
      </c>
      <c r="D503" s="10">
        <v>11</v>
      </c>
      <c r="E503" s="8">
        <v>658</v>
      </c>
      <c r="F503"/>
    </row>
    <row r="504" spans="1:6" ht="15.75" customHeight="1" x14ac:dyDescent="0.25">
      <c r="A504" s="7" t="s">
        <v>24</v>
      </c>
      <c r="B504" s="7" t="s">
        <v>16</v>
      </c>
      <c r="C504" s="6">
        <v>2024</v>
      </c>
      <c r="D504" s="10">
        <v>11</v>
      </c>
      <c r="E504" s="8">
        <v>4615.2826086956502</v>
      </c>
      <c r="F504"/>
    </row>
    <row r="505" spans="1:6" ht="15.75" customHeight="1" x14ac:dyDescent="0.25">
      <c r="A505" s="7" t="s">
        <v>24</v>
      </c>
      <c r="B505" s="7" t="s">
        <v>17</v>
      </c>
      <c r="C505" s="6">
        <v>2024</v>
      </c>
      <c r="D505" s="10">
        <v>11</v>
      </c>
      <c r="E505" s="8">
        <v>46959.503117063003</v>
      </c>
      <c r="F505"/>
    </row>
    <row r="506" spans="1:6" ht="15.75" customHeight="1" x14ac:dyDescent="0.25">
      <c r="A506" s="7" t="s">
        <v>25</v>
      </c>
      <c r="B506" s="9" t="s">
        <v>5</v>
      </c>
      <c r="C506" s="6">
        <v>2024</v>
      </c>
      <c r="D506" s="10">
        <v>11</v>
      </c>
      <c r="E506" s="8">
        <v>1044003.60174244</v>
      </c>
      <c r="F506"/>
    </row>
    <row r="507" spans="1:6" ht="15.75" customHeight="1" x14ac:dyDescent="0.25">
      <c r="A507" s="7" t="s">
        <v>25</v>
      </c>
      <c r="B507" s="7" t="s">
        <v>3</v>
      </c>
      <c r="C507" s="6">
        <v>2024</v>
      </c>
      <c r="D507" s="10">
        <v>11</v>
      </c>
      <c r="E507" s="8">
        <v>109107.21311475401</v>
      </c>
      <c r="F507"/>
    </row>
    <row r="508" spans="1:6" ht="15.75" customHeight="1" x14ac:dyDescent="0.25">
      <c r="A508" s="7" t="s">
        <v>25</v>
      </c>
      <c r="B508" s="7" t="s">
        <v>11</v>
      </c>
      <c r="C508" s="6">
        <v>2024</v>
      </c>
      <c r="D508" s="10">
        <v>11</v>
      </c>
      <c r="E508" s="8">
        <v>0</v>
      </c>
      <c r="F508"/>
    </row>
    <row r="509" spans="1:6" ht="15.75" customHeight="1" x14ac:dyDescent="0.25">
      <c r="A509" s="7" t="s">
        <v>25</v>
      </c>
      <c r="B509" s="7" t="s">
        <v>12</v>
      </c>
      <c r="C509" s="6">
        <v>2024</v>
      </c>
      <c r="D509" s="10">
        <v>11</v>
      </c>
      <c r="E509" s="8">
        <v>9690.625</v>
      </c>
      <c r="F509"/>
    </row>
    <row r="510" spans="1:6" ht="15.75" customHeight="1" x14ac:dyDescent="0.25">
      <c r="A510" s="7" t="s">
        <v>25</v>
      </c>
      <c r="B510" s="7" t="s">
        <v>13</v>
      </c>
      <c r="C510" s="6">
        <v>2024</v>
      </c>
      <c r="D510" s="10">
        <v>11</v>
      </c>
      <c r="E510" s="8">
        <v>2095</v>
      </c>
      <c r="F510"/>
    </row>
    <row r="511" spans="1:6" ht="15.75" customHeight="1" x14ac:dyDescent="0.25">
      <c r="A511" s="7" t="s">
        <v>25</v>
      </c>
      <c r="B511" s="7" t="s">
        <v>4</v>
      </c>
      <c r="C511" s="6">
        <v>2024</v>
      </c>
      <c r="D511" s="10">
        <v>11</v>
      </c>
      <c r="E511" s="8">
        <v>14851.285714285699</v>
      </c>
      <c r="F511"/>
    </row>
    <row r="512" spans="1:6" ht="15.75" customHeight="1" x14ac:dyDescent="0.25">
      <c r="A512" s="7" t="s">
        <v>25</v>
      </c>
      <c r="B512" s="7" t="s">
        <v>1</v>
      </c>
      <c r="C512" s="6">
        <v>2024</v>
      </c>
      <c r="D512" s="10">
        <v>11</v>
      </c>
      <c r="E512" s="8" t="s">
        <v>21</v>
      </c>
      <c r="F512"/>
    </row>
    <row r="513" spans="1:6" ht="15.75" customHeight="1" x14ac:dyDescent="0.25">
      <c r="A513" s="7" t="s">
        <v>25</v>
      </c>
      <c r="B513" s="7" t="s">
        <v>14</v>
      </c>
      <c r="C513" s="6">
        <v>2024</v>
      </c>
      <c r="D513" s="10">
        <v>11</v>
      </c>
      <c r="E513" s="8">
        <v>0</v>
      </c>
      <c r="F513"/>
    </row>
    <row r="514" spans="1:6" ht="15.75" customHeight="1" x14ac:dyDescent="0.25">
      <c r="A514" s="7" t="s">
        <v>25</v>
      </c>
      <c r="B514" s="7" t="s">
        <v>15</v>
      </c>
      <c r="C514" s="6">
        <v>2024</v>
      </c>
      <c r="D514" s="10">
        <v>11</v>
      </c>
      <c r="E514" s="8">
        <v>909920</v>
      </c>
      <c r="F514"/>
    </row>
    <row r="515" spans="1:6" ht="15.75" customHeight="1" x14ac:dyDescent="0.25">
      <c r="A515" s="7" t="s">
        <v>25</v>
      </c>
      <c r="B515" s="7" t="s">
        <v>2</v>
      </c>
      <c r="C515" s="6">
        <v>2024</v>
      </c>
      <c r="D515" s="10">
        <v>11</v>
      </c>
      <c r="E515" s="8">
        <v>9765.4320987654301</v>
      </c>
      <c r="F515"/>
    </row>
    <row r="516" spans="1:6" ht="15.75" customHeight="1" x14ac:dyDescent="0.25">
      <c r="A516" s="7" t="s">
        <v>25</v>
      </c>
      <c r="B516" s="7" t="s">
        <v>16</v>
      </c>
      <c r="C516" s="6">
        <v>2024</v>
      </c>
      <c r="D516" s="10">
        <v>11</v>
      </c>
      <c r="E516" s="8">
        <v>9040.5031446540797</v>
      </c>
      <c r="F516"/>
    </row>
    <row r="517" spans="1:6" ht="15.75" customHeight="1" x14ac:dyDescent="0.25">
      <c r="A517" s="7" t="s">
        <v>25</v>
      </c>
      <c r="B517" s="7" t="s">
        <v>17</v>
      </c>
      <c r="C517" s="6">
        <v>2024</v>
      </c>
      <c r="D517" s="10">
        <v>11</v>
      </c>
      <c r="E517" s="8">
        <v>31418.343195266199</v>
      </c>
      <c r="F517"/>
    </row>
    <row r="518" spans="1:6" ht="15.75" customHeight="1" x14ac:dyDescent="0.25">
      <c r="A518" s="7" t="s">
        <v>26</v>
      </c>
      <c r="B518" s="9" t="s">
        <v>5</v>
      </c>
      <c r="C518" s="6">
        <v>2024</v>
      </c>
      <c r="D518" s="10">
        <v>11</v>
      </c>
      <c r="E518" s="8">
        <f ca="1">IFERROR(__xludf.DUMMYFUNCTION("TRANSPOSE(IMPORTRANGE(""https://docs.google.com/spreadsheets/d/1F9VkpCGgiSm7cP70MReDW5TTFwAoKnNBcFE7o4tY-E4/edit?usp=sharing"",""Perhitungan Stok!$J$26:$J$37""))"),93890.6424550113)</f>
        <v>93890.642455011301</v>
      </c>
      <c r="F518"/>
    </row>
    <row r="519" spans="1:6" ht="15.75" customHeight="1" x14ac:dyDescent="0.25">
      <c r="A519" s="7" t="s">
        <v>26</v>
      </c>
      <c r="B519" s="7" t="s">
        <v>3</v>
      </c>
      <c r="C519" s="6">
        <v>2024</v>
      </c>
      <c r="D519" s="10">
        <v>11</v>
      </c>
      <c r="E519" s="8">
        <f ca="1">IFERROR(__xludf.DUMMYFUNCTION("""COMPUTED_VALUE"""),79275)</f>
        <v>79275</v>
      </c>
      <c r="F519"/>
    </row>
    <row r="520" spans="1:6" ht="15.75" customHeight="1" x14ac:dyDescent="0.25">
      <c r="A520" s="7" t="s">
        <v>26</v>
      </c>
      <c r="B520" s="7" t="s">
        <v>11</v>
      </c>
      <c r="C520" s="6">
        <v>2024</v>
      </c>
      <c r="D520" s="10">
        <v>11</v>
      </c>
      <c r="E520" s="8">
        <f ca="1">IFERROR(__xludf.DUMMYFUNCTION("""COMPUTED_VALUE"""),11590.4048614039)</f>
        <v>11590.4048614039</v>
      </c>
      <c r="F520"/>
    </row>
    <row r="521" spans="1:6" ht="15.75" customHeight="1" x14ac:dyDescent="0.25">
      <c r="A521" s="7" t="s">
        <v>26</v>
      </c>
      <c r="B521" s="7" t="s">
        <v>12</v>
      </c>
      <c r="C521" s="6">
        <v>2024</v>
      </c>
      <c r="D521" s="10">
        <v>11</v>
      </c>
      <c r="E521" s="8">
        <f ca="1">IFERROR(__xludf.DUMMYFUNCTION("""COMPUTED_VALUE"""),8569.81414634146)</f>
        <v>8569.8141463414595</v>
      </c>
      <c r="F521"/>
    </row>
    <row r="522" spans="1:6" ht="15.75" customHeight="1" x14ac:dyDescent="0.25">
      <c r="A522" s="7" t="s">
        <v>26</v>
      </c>
      <c r="B522" s="7" t="s">
        <v>13</v>
      </c>
      <c r="C522" s="6">
        <v>2024</v>
      </c>
      <c r="D522" s="10">
        <v>11</v>
      </c>
      <c r="E522" s="8">
        <f ca="1">IFERROR(__xludf.DUMMYFUNCTION("""COMPUTED_VALUE"""),2327.74358974358)</f>
        <v>2327.7435897435798</v>
      </c>
      <c r="F522"/>
    </row>
    <row r="523" spans="1:6" ht="15.75" customHeight="1" x14ac:dyDescent="0.25">
      <c r="A523" s="7" t="s">
        <v>26</v>
      </c>
      <c r="B523" s="7" t="s">
        <v>4</v>
      </c>
      <c r="C523" s="6">
        <v>2024</v>
      </c>
      <c r="D523" s="10">
        <v>11</v>
      </c>
      <c r="E523" s="8">
        <f ca="1">IFERROR(__xludf.DUMMYFUNCTION("""COMPUTED_VALUE"""),1833.21071428571)</f>
        <v>1833.2107142857101</v>
      </c>
      <c r="F523"/>
    </row>
    <row r="524" spans="1:6" ht="15.75" customHeight="1" x14ac:dyDescent="0.25">
      <c r="A524" s="7" t="s">
        <v>26</v>
      </c>
      <c r="B524" s="7" t="s">
        <v>1</v>
      </c>
      <c r="C524" s="6">
        <v>2024</v>
      </c>
      <c r="D524" s="10">
        <v>11</v>
      </c>
      <c r="E524" s="8">
        <f ca="1">IFERROR(__xludf.DUMMYFUNCTION("""COMPUTED_VALUE"""),650.447244094488)</f>
        <v>650.44724409448804</v>
      </c>
      <c r="F524"/>
    </row>
    <row r="525" spans="1:6" ht="15.75" customHeight="1" x14ac:dyDescent="0.25">
      <c r="A525" s="7" t="s">
        <v>26</v>
      </c>
      <c r="B525" s="7" t="s">
        <v>14</v>
      </c>
      <c r="C525" s="6">
        <v>2024</v>
      </c>
      <c r="D525" s="10">
        <v>11</v>
      </c>
      <c r="E525" s="8" t="s">
        <v>21</v>
      </c>
      <c r="F525"/>
    </row>
    <row r="526" spans="1:6" ht="15.75" customHeight="1" x14ac:dyDescent="0.25">
      <c r="A526" s="7" t="s">
        <v>26</v>
      </c>
      <c r="B526" s="7" t="s">
        <v>15</v>
      </c>
      <c r="C526" s="6">
        <v>2024</v>
      </c>
      <c r="D526" s="10">
        <v>11</v>
      </c>
      <c r="E526" s="8">
        <f ca="1">IFERROR(__xludf.DUMMYFUNCTION("""COMPUTED_VALUE"""),787.8)</f>
        <v>787.8</v>
      </c>
      <c r="F526"/>
    </row>
    <row r="527" spans="1:6" ht="15.75" customHeight="1" x14ac:dyDescent="0.25">
      <c r="A527" s="7" t="s">
        <v>26</v>
      </c>
      <c r="B527" s="7" t="s">
        <v>2</v>
      </c>
      <c r="C527" s="6">
        <v>2024</v>
      </c>
      <c r="D527" s="10">
        <v>11</v>
      </c>
      <c r="E527" s="8">
        <f ca="1">IFERROR(__xludf.DUMMYFUNCTION("""COMPUTED_VALUE"""),869.14696485623)</f>
        <v>869.14696485623006</v>
      </c>
      <c r="F527"/>
    </row>
    <row r="528" spans="1:6" ht="15.75" customHeight="1" x14ac:dyDescent="0.25">
      <c r="A528" s="7" t="s">
        <v>26</v>
      </c>
      <c r="B528" s="7" t="s">
        <v>16</v>
      </c>
      <c r="C528" s="6">
        <v>2024</v>
      </c>
      <c r="D528" s="10">
        <v>11</v>
      </c>
      <c r="E528" s="8">
        <f ca="1">IFERROR(__xludf.DUMMYFUNCTION("""COMPUTED_VALUE"""),49002.2667489421)</f>
        <v>49002.2667489421</v>
      </c>
      <c r="F528"/>
    </row>
    <row r="529" spans="1:6" ht="15.75" customHeight="1" x14ac:dyDescent="0.25">
      <c r="A529" s="7" t="s">
        <v>26</v>
      </c>
      <c r="B529" s="7" t="s">
        <v>17</v>
      </c>
      <c r="C529" s="6">
        <v>2024</v>
      </c>
      <c r="D529" s="10">
        <v>11</v>
      </c>
      <c r="E529" s="8">
        <f ca="1">IFERROR(__xludf.DUMMYFUNCTION("""COMPUTED_VALUE"""),53799.7515055427)</f>
        <v>53799.751505542699</v>
      </c>
      <c r="F529"/>
    </row>
    <row r="530" spans="1:6" ht="15.75" customHeight="1" x14ac:dyDescent="0.25">
      <c r="A530" s="7" t="s">
        <v>27</v>
      </c>
      <c r="B530" s="9" t="s">
        <v>5</v>
      </c>
      <c r="C530" s="6">
        <v>2024</v>
      </c>
      <c r="D530" s="10">
        <v>11</v>
      </c>
      <c r="E530" s="8">
        <f ca="1">IFERROR(__xludf.DUMMYFUNCTION("TRANSPOSE(IMPORTRANGE(""https://docs.google.com/spreadsheets/d/1aShJkEUKQn2xgZT8xSfUykbY1AAronZNMhmmKjxM5vY/edit?usp=sharing"",""Perhitungan Stok!$J$26:$J$37""))"),151844.406539509)</f>
        <v>151844.40653950899</v>
      </c>
      <c r="F530"/>
    </row>
    <row r="531" spans="1:6" ht="15.75" customHeight="1" x14ac:dyDescent="0.25">
      <c r="A531" s="7" t="s">
        <v>27</v>
      </c>
      <c r="B531" s="7" t="s">
        <v>3</v>
      </c>
      <c r="C531" s="6">
        <v>2024</v>
      </c>
      <c r="D531" s="10">
        <v>11</v>
      </c>
      <c r="E531" s="8">
        <f ca="1">IFERROR(__xludf.DUMMYFUNCTION("""COMPUTED_VALUE"""),25057.9838509316)</f>
        <v>25057.9838509316</v>
      </c>
      <c r="F531"/>
    </row>
    <row r="532" spans="1:6" ht="15.75" customHeight="1" x14ac:dyDescent="0.25">
      <c r="A532" s="7" t="s">
        <v>27</v>
      </c>
      <c r="B532" s="7" t="s">
        <v>11</v>
      </c>
      <c r="C532" s="6">
        <v>2024</v>
      </c>
      <c r="D532" s="10">
        <v>11</v>
      </c>
      <c r="E532" s="8">
        <f ca="1">IFERROR(__xludf.DUMMYFUNCTION("""COMPUTED_VALUE"""),27619.7095435684)</f>
        <v>27619.709543568399</v>
      </c>
      <c r="F532"/>
    </row>
    <row r="533" spans="1:6" ht="15.75" customHeight="1" x14ac:dyDescent="0.25">
      <c r="A533" s="7" t="s">
        <v>27</v>
      </c>
      <c r="B533" s="7" t="s">
        <v>12</v>
      </c>
      <c r="C533" s="6">
        <v>2024</v>
      </c>
      <c r="D533" s="10">
        <v>11</v>
      </c>
      <c r="E533" s="8">
        <f ca="1">IFERROR(__xludf.DUMMYFUNCTION("""COMPUTED_VALUE"""),12.3880597014925)</f>
        <v>12.3880597014925</v>
      </c>
      <c r="F533"/>
    </row>
    <row r="534" spans="1:6" ht="15.75" customHeight="1" x14ac:dyDescent="0.25">
      <c r="A534" s="7" t="s">
        <v>27</v>
      </c>
      <c r="B534" s="7" t="s">
        <v>13</v>
      </c>
      <c r="C534" s="6">
        <v>2024</v>
      </c>
      <c r="D534" s="10">
        <v>11</v>
      </c>
      <c r="E534" s="8">
        <f ca="1">IFERROR(__xludf.DUMMYFUNCTION("""COMPUTED_VALUE"""),12.2033898305084)</f>
        <v>12.203389830508399</v>
      </c>
      <c r="F534"/>
    </row>
    <row r="535" spans="1:6" ht="15.75" customHeight="1" x14ac:dyDescent="0.25">
      <c r="A535" s="7" t="s">
        <v>27</v>
      </c>
      <c r="B535" s="7" t="s">
        <v>4</v>
      </c>
      <c r="C535" s="6">
        <v>2024</v>
      </c>
      <c r="D535" s="10">
        <v>11</v>
      </c>
      <c r="E535" s="8">
        <f ca="1">IFERROR(__xludf.DUMMYFUNCTION("""COMPUTED_VALUE"""),5.77777777777777)</f>
        <v>5.7777777777777697</v>
      </c>
      <c r="F535"/>
    </row>
    <row r="536" spans="1:6" ht="15.75" customHeight="1" x14ac:dyDescent="0.25">
      <c r="A536" s="7" t="s">
        <v>27</v>
      </c>
      <c r="B536" s="7" t="s">
        <v>1</v>
      </c>
      <c r="C536" s="6">
        <v>2024</v>
      </c>
      <c r="D536" s="10">
        <v>11</v>
      </c>
      <c r="E536" s="8">
        <f ca="1">IFERROR(__xludf.DUMMYFUNCTION("""COMPUTED_VALUE"""),6.6)</f>
        <v>6.6</v>
      </c>
      <c r="F536"/>
    </row>
    <row r="537" spans="1:6" ht="15.75" customHeight="1" x14ac:dyDescent="0.25">
      <c r="A537" s="7" t="s">
        <v>27</v>
      </c>
      <c r="B537" s="7" t="s">
        <v>14</v>
      </c>
      <c r="C537" s="6">
        <v>2024</v>
      </c>
      <c r="D537" s="10">
        <v>11</v>
      </c>
      <c r="E537" s="8">
        <f ca="1">IFERROR(__xludf.DUMMYFUNCTION("""COMPUTED_VALUE"""),352.058823529411)</f>
        <v>352.05882352941097</v>
      </c>
      <c r="F537"/>
    </row>
    <row r="538" spans="1:6" ht="15.75" customHeight="1" x14ac:dyDescent="0.25">
      <c r="A538" s="7" t="s">
        <v>27</v>
      </c>
      <c r="B538" s="7" t="s">
        <v>15</v>
      </c>
      <c r="C538" s="6">
        <v>2024</v>
      </c>
      <c r="D538" s="10">
        <v>11</v>
      </c>
      <c r="E538" s="8">
        <f ca="1">IFERROR(__xludf.DUMMYFUNCTION("""COMPUTED_VALUE"""),574.75)</f>
        <v>574.75</v>
      </c>
      <c r="F538"/>
    </row>
    <row r="539" spans="1:6" ht="15.75" customHeight="1" x14ac:dyDescent="0.25">
      <c r="A539" s="7" t="s">
        <v>27</v>
      </c>
      <c r="B539" s="7" t="s">
        <v>2</v>
      </c>
      <c r="C539" s="6">
        <v>2024</v>
      </c>
      <c r="D539" s="10">
        <v>11</v>
      </c>
      <c r="E539" s="8">
        <f ca="1">IFERROR(__xludf.DUMMYFUNCTION("""COMPUTED_VALUE"""),7739.88764044943)</f>
        <v>7739.8876404494304</v>
      </c>
      <c r="F539"/>
    </row>
    <row r="540" spans="1:6" ht="15.75" customHeight="1" x14ac:dyDescent="0.25">
      <c r="A540" s="7" t="s">
        <v>27</v>
      </c>
      <c r="B540" s="7" t="s">
        <v>16</v>
      </c>
      <c r="C540" s="6">
        <v>2024</v>
      </c>
      <c r="D540" s="10">
        <v>11</v>
      </c>
      <c r="E540" s="8">
        <f ca="1">IFERROR(__xludf.DUMMYFUNCTION("""COMPUTED_VALUE"""),6098.23204419889)</f>
        <v>6098.2320441988904</v>
      </c>
      <c r="F540"/>
    </row>
    <row r="541" spans="1:6" ht="15.75" customHeight="1" x14ac:dyDescent="0.25">
      <c r="A541" s="7" t="s">
        <v>27</v>
      </c>
      <c r="B541" s="7" t="s">
        <v>17</v>
      </c>
      <c r="C541" s="6">
        <v>2024</v>
      </c>
      <c r="D541" s="10">
        <v>11</v>
      </c>
      <c r="E541" s="8">
        <f ca="1">IFERROR(__xludf.DUMMYFUNCTION("""COMPUTED_VALUE"""),8113.17692307692)</f>
        <v>8113.1769230769196</v>
      </c>
      <c r="F541"/>
    </row>
    <row r="542" spans="1:6" ht="15.75" customHeight="1" x14ac:dyDescent="0.25">
      <c r="A542" s="7" t="s">
        <v>28</v>
      </c>
      <c r="B542" s="9" t="s">
        <v>5</v>
      </c>
      <c r="C542" s="6">
        <v>2024</v>
      </c>
      <c r="D542" s="10">
        <v>11</v>
      </c>
      <c r="E542" s="8">
        <f ca="1">IFERROR(__xludf.DUMMYFUNCTION("TRANSPOSE(IMPORTRANGE(""https://docs.google.com/spreadsheets/d/1fhnWJ22CL1CLnM8yDaqFFy0IpnLfRpNb0YPe0U15EHM/edit?usp=sharing"",""Perhitungan Stok!$J$26:$J$37""))"),34369.1919191919)</f>
        <v>34369.191919191901</v>
      </c>
      <c r="F542"/>
    </row>
    <row r="543" spans="1:6" ht="15.75" customHeight="1" x14ac:dyDescent="0.25">
      <c r="A543" s="7" t="s">
        <v>28</v>
      </c>
      <c r="B543" s="7" t="s">
        <v>3</v>
      </c>
      <c r="C543" s="6">
        <v>2024</v>
      </c>
      <c r="D543" s="10">
        <v>11</v>
      </c>
      <c r="E543" s="8">
        <f ca="1">IFERROR(__xludf.DUMMYFUNCTION("""COMPUTED_VALUE"""),60009.9999999999)</f>
        <v>60009.999999999898</v>
      </c>
      <c r="F543"/>
    </row>
    <row r="544" spans="1:6" ht="15.75" customHeight="1" x14ac:dyDescent="0.25">
      <c r="A544" s="7" t="s">
        <v>28</v>
      </c>
      <c r="B544" s="7" t="s">
        <v>11</v>
      </c>
      <c r="C544" s="6">
        <v>2024</v>
      </c>
      <c r="D544" s="10">
        <v>11</v>
      </c>
      <c r="E544" s="8">
        <f ca="1">IFERROR(__xludf.DUMMYFUNCTION("""COMPUTED_VALUE"""),225030)</f>
        <v>225030</v>
      </c>
      <c r="F544"/>
    </row>
    <row r="545" spans="1:6" ht="15.75" customHeight="1" x14ac:dyDescent="0.25">
      <c r="A545" s="7" t="s">
        <v>28</v>
      </c>
      <c r="B545" s="7" t="s">
        <v>12</v>
      </c>
      <c r="C545" s="6">
        <v>2024</v>
      </c>
      <c r="D545" s="10">
        <v>11</v>
      </c>
      <c r="E545" s="8">
        <f ca="1">IFERROR(__xludf.DUMMYFUNCTION("""COMPUTED_VALUE"""),375.100671140939)</f>
        <v>375.10067114093903</v>
      </c>
      <c r="F545"/>
    </row>
    <row r="546" spans="1:6" ht="15.75" customHeight="1" x14ac:dyDescent="0.25">
      <c r="A546" s="7" t="s">
        <v>28</v>
      </c>
      <c r="B546" s="7" t="s">
        <v>13</v>
      </c>
      <c r="C546" s="6">
        <v>2024</v>
      </c>
      <c r="D546" s="10">
        <v>11</v>
      </c>
      <c r="E546" s="8">
        <f ca="1">IFERROR(__xludf.DUMMYFUNCTION("""COMPUTED_VALUE"""),787.5)</f>
        <v>787.5</v>
      </c>
      <c r="F546"/>
    </row>
    <row r="547" spans="1:6" ht="15.75" customHeight="1" x14ac:dyDescent="0.25">
      <c r="A547" s="7" t="s">
        <v>28</v>
      </c>
      <c r="B547" s="7" t="s">
        <v>4</v>
      </c>
      <c r="C547" s="6">
        <v>2024</v>
      </c>
      <c r="D547" s="10">
        <v>11</v>
      </c>
      <c r="E547" s="8">
        <f ca="1">IFERROR(__xludf.DUMMYFUNCTION("""COMPUTED_VALUE"""),90)</f>
        <v>90</v>
      </c>
      <c r="F547"/>
    </row>
    <row r="548" spans="1:6" ht="15.75" customHeight="1" x14ac:dyDescent="0.25">
      <c r="A548" s="7" t="s">
        <v>28</v>
      </c>
      <c r="B548" s="7" t="s">
        <v>1</v>
      </c>
      <c r="C548" s="6">
        <v>2024</v>
      </c>
      <c r="D548" s="10">
        <v>11</v>
      </c>
      <c r="E548" s="8">
        <f ca="1">IFERROR(__xludf.DUMMYFUNCTION("""COMPUTED_VALUE"""),100)</f>
        <v>100</v>
      </c>
      <c r="F548"/>
    </row>
    <row r="549" spans="1:6" ht="15.75" customHeight="1" x14ac:dyDescent="0.25">
      <c r="A549" s="7" t="s">
        <v>28</v>
      </c>
      <c r="B549" s="7" t="s">
        <v>14</v>
      </c>
      <c r="C549" s="6">
        <v>2024</v>
      </c>
      <c r="D549" s="10">
        <v>11</v>
      </c>
      <c r="E549" s="8">
        <f ca="1">IFERROR(__xludf.DUMMYFUNCTION("""COMPUTED_VALUE"""),50)</f>
        <v>50</v>
      </c>
      <c r="F549"/>
    </row>
    <row r="550" spans="1:6" ht="15.75" customHeight="1" x14ac:dyDescent="0.25">
      <c r="A550" s="7" t="s">
        <v>28</v>
      </c>
      <c r="B550" s="7" t="s">
        <v>15</v>
      </c>
      <c r="C550" s="6">
        <v>2024</v>
      </c>
      <c r="D550" s="10">
        <v>11</v>
      </c>
      <c r="E550" s="8">
        <f ca="1">IFERROR(__xludf.DUMMYFUNCTION("""COMPUTED_VALUE"""),500)</f>
        <v>500</v>
      </c>
      <c r="F550"/>
    </row>
    <row r="551" spans="1:6" ht="15.75" customHeight="1" x14ac:dyDescent="0.25">
      <c r="A551" s="7" t="s">
        <v>28</v>
      </c>
      <c r="B551" s="7" t="s">
        <v>2</v>
      </c>
      <c r="C551" s="6">
        <v>2024</v>
      </c>
      <c r="D551" s="10">
        <v>11</v>
      </c>
      <c r="E551" s="8">
        <f ca="1">IFERROR(__xludf.DUMMYFUNCTION("""COMPUTED_VALUE"""),27677.4251497005)</f>
        <v>27677.425149700499</v>
      </c>
      <c r="F551"/>
    </row>
    <row r="552" spans="1:6" ht="15.75" customHeight="1" x14ac:dyDescent="0.25">
      <c r="A552" s="7" t="s">
        <v>28</v>
      </c>
      <c r="B552" s="7" t="s">
        <v>16</v>
      </c>
      <c r="C552" s="6">
        <v>2024</v>
      </c>
      <c r="D552" s="10">
        <v>11</v>
      </c>
      <c r="E552" s="8">
        <f ca="1">IFERROR(__xludf.DUMMYFUNCTION("""COMPUTED_VALUE"""),1815.40229885057)</f>
        <v>1815.4022988505701</v>
      </c>
      <c r="F552"/>
    </row>
    <row r="553" spans="1:6" ht="15.75" customHeight="1" x14ac:dyDescent="0.25">
      <c r="A553" s="7" t="s">
        <v>28</v>
      </c>
      <c r="B553" s="7" t="s">
        <v>17</v>
      </c>
      <c r="C553" s="6">
        <v>2024</v>
      </c>
      <c r="D553" s="10">
        <v>11</v>
      </c>
      <c r="E553" s="8">
        <f ca="1">IFERROR(__xludf.DUMMYFUNCTION("""COMPUTED_VALUE"""),617.777777777777)</f>
        <v>617.77777777777703</v>
      </c>
      <c r="F553"/>
    </row>
    <row r="554" spans="1:6" ht="15.75" customHeight="1" x14ac:dyDescent="0.25">
      <c r="A554" s="7" t="s">
        <v>29</v>
      </c>
      <c r="B554" s="9" t="s">
        <v>5</v>
      </c>
      <c r="C554" s="6">
        <v>2024</v>
      </c>
      <c r="D554" s="10">
        <v>11</v>
      </c>
      <c r="E554" s="8">
        <f ca="1">IFERROR(__xludf.DUMMYFUNCTION("TRANSPOSE(IMPORTRANGE(""https://docs.google.com/spreadsheets/d/1FZs6yi73px1UeIq12X4pJWRpMY-i9pr7NJo7QazmvpY/edit?usp=sharing"",""Perhitungan Stok!$J$26:$J$37""))"),157583.904286718)</f>
        <v>157583.904286718</v>
      </c>
      <c r="F554"/>
    </row>
    <row r="555" spans="1:6" ht="15.75" customHeight="1" x14ac:dyDescent="0.25">
      <c r="A555" s="7" t="s">
        <v>29</v>
      </c>
      <c r="B555" s="7" t="s">
        <v>3</v>
      </c>
      <c r="C555" s="6">
        <v>2024</v>
      </c>
      <c r="D555" s="10">
        <v>11</v>
      </c>
      <c r="E555" s="8">
        <f ca="1">IFERROR(__xludf.DUMMYFUNCTION("""COMPUTED_VALUE"""),25851.497005988)</f>
        <v>25851.497005988</v>
      </c>
      <c r="F555"/>
    </row>
    <row r="556" spans="1:6" ht="15.75" customHeight="1" x14ac:dyDescent="0.25">
      <c r="A556" s="7" t="s">
        <v>29</v>
      </c>
      <c r="B556" s="7" t="s">
        <v>11</v>
      </c>
      <c r="C556" s="6">
        <v>2024</v>
      </c>
      <c r="D556" s="10">
        <v>11</v>
      </c>
      <c r="E556" s="8">
        <f ca="1">IFERROR(__xludf.DUMMYFUNCTION("""COMPUTED_VALUE"""),35909.8011363636)</f>
        <v>35909.801136363603</v>
      </c>
      <c r="F556"/>
    </row>
    <row r="557" spans="1:6" ht="15.75" customHeight="1" x14ac:dyDescent="0.25">
      <c r="A557" s="7" t="s">
        <v>29</v>
      </c>
      <c r="B557" s="7" t="s">
        <v>12</v>
      </c>
      <c r="C557" s="6">
        <v>2024</v>
      </c>
      <c r="D557" s="10">
        <v>11</v>
      </c>
      <c r="E557" s="8">
        <f ca="1">IFERROR(__xludf.DUMMYFUNCTION("""COMPUTED_VALUE"""),2166.88888888888)</f>
        <v>2166.88888888888</v>
      </c>
      <c r="F557"/>
    </row>
    <row r="558" spans="1:6" ht="15.75" customHeight="1" x14ac:dyDescent="0.25">
      <c r="A558" s="7" t="s">
        <v>29</v>
      </c>
      <c r="B558" s="7" t="s">
        <v>13</v>
      </c>
      <c r="C558" s="6">
        <v>2024</v>
      </c>
      <c r="D558" s="10">
        <v>11</v>
      </c>
      <c r="E558" s="8">
        <f ca="1">IFERROR(__xludf.DUMMYFUNCTION("""COMPUTED_VALUE"""),2214.12765957446)</f>
        <v>2214.1276595744598</v>
      </c>
      <c r="F558"/>
    </row>
    <row r="559" spans="1:6" ht="15.75" customHeight="1" x14ac:dyDescent="0.25">
      <c r="A559" s="7" t="s">
        <v>29</v>
      </c>
      <c r="B559" s="7" t="s">
        <v>4</v>
      </c>
      <c r="C559" s="6">
        <v>2024</v>
      </c>
      <c r="D559" s="10">
        <v>11</v>
      </c>
      <c r="E559" s="8">
        <f ca="1">IFERROR(__xludf.DUMMYFUNCTION("""COMPUTED_VALUE"""),203.65625)</f>
        <v>203.65625</v>
      </c>
      <c r="F559"/>
    </row>
    <row r="560" spans="1:6" ht="15.75" customHeight="1" x14ac:dyDescent="0.25">
      <c r="A560" s="7" t="s">
        <v>29</v>
      </c>
      <c r="B560" s="7" t="s">
        <v>1</v>
      </c>
      <c r="C560" s="6">
        <v>2024</v>
      </c>
      <c r="D560" s="10">
        <v>11</v>
      </c>
      <c r="E560" s="8">
        <f ca="1">IFERROR(__xludf.DUMMYFUNCTION("""COMPUTED_VALUE"""),466.631578947368)</f>
        <v>466.63157894736798</v>
      </c>
      <c r="F560"/>
    </row>
    <row r="561" spans="1:6" ht="15.75" customHeight="1" x14ac:dyDescent="0.25">
      <c r="A561" s="7" t="s">
        <v>29</v>
      </c>
      <c r="B561" s="7" t="s">
        <v>14</v>
      </c>
      <c r="C561" s="6">
        <v>2024</v>
      </c>
      <c r="D561" s="10">
        <v>11</v>
      </c>
      <c r="E561" s="8">
        <f ca="1">IFERROR(__xludf.DUMMYFUNCTION("""COMPUTED_VALUE"""),93.6)</f>
        <v>93.6</v>
      </c>
      <c r="F561"/>
    </row>
    <row r="562" spans="1:6" ht="15.75" customHeight="1" x14ac:dyDescent="0.25">
      <c r="A562" s="7" t="s">
        <v>29</v>
      </c>
      <c r="B562" s="7" t="s">
        <v>15</v>
      </c>
      <c r="C562" s="6">
        <v>2024</v>
      </c>
      <c r="D562" s="10">
        <v>11</v>
      </c>
      <c r="E562" s="8">
        <f ca="1">IFERROR(__xludf.DUMMYFUNCTION("""COMPUTED_VALUE"""),1530)</f>
        <v>1530</v>
      </c>
      <c r="F562"/>
    </row>
    <row r="563" spans="1:6" ht="15.75" customHeight="1" x14ac:dyDescent="0.25">
      <c r="A563" s="7" t="s">
        <v>29</v>
      </c>
      <c r="B563" s="7" t="s">
        <v>2</v>
      </c>
      <c r="C563" s="6">
        <v>2024</v>
      </c>
      <c r="D563" s="10">
        <v>11</v>
      </c>
      <c r="E563" s="8">
        <f ca="1">IFERROR(__xludf.DUMMYFUNCTION("""COMPUTED_VALUE"""),14332.0378378378)</f>
        <v>14332.037837837801</v>
      </c>
      <c r="F563"/>
    </row>
    <row r="564" spans="1:6" ht="15.75" customHeight="1" x14ac:dyDescent="0.25">
      <c r="A564" s="7" t="s">
        <v>29</v>
      </c>
      <c r="B564" s="7" t="s">
        <v>16</v>
      </c>
      <c r="C564" s="6">
        <v>2024</v>
      </c>
      <c r="D564" s="10">
        <v>11</v>
      </c>
      <c r="E564" s="8">
        <f ca="1">IFERROR(__xludf.DUMMYFUNCTION("""COMPUTED_VALUE"""),41793.0568720379)</f>
        <v>41793.056872037901</v>
      </c>
      <c r="F564"/>
    </row>
    <row r="565" spans="1:6" ht="15.75" customHeight="1" x14ac:dyDescent="0.25">
      <c r="A565" s="7" t="s">
        <v>29</v>
      </c>
      <c r="B565" s="7" t="s">
        <v>17</v>
      </c>
      <c r="C565" s="6">
        <v>2024</v>
      </c>
      <c r="D565" s="10">
        <v>11</v>
      </c>
      <c r="E565" s="8">
        <f ca="1">IFERROR(__xludf.DUMMYFUNCTION("""COMPUTED_VALUE"""),128153.608695158)</f>
        <v>128153.60869515799</v>
      </c>
      <c r="F565"/>
    </row>
    <row r="566" spans="1:6" ht="15.75" customHeight="1" x14ac:dyDescent="0.25">
      <c r="A566" s="7" t="s">
        <v>30</v>
      </c>
      <c r="B566" s="9" t="s">
        <v>5</v>
      </c>
      <c r="C566" s="6">
        <v>2024</v>
      </c>
      <c r="D566" s="10">
        <v>11</v>
      </c>
      <c r="E566" s="8">
        <f ca="1">IFERROR(__xludf.DUMMYFUNCTION("TRANSPOSE(IMPORTRANGE(""https://docs.google.com/spreadsheets/d/1xBM7mOEG38prtetY9HT35-b5NhNoQALxyERnMGh_kRA/edit?usp=sharing"",""Perhitungan Stok!$J$26:$J$37""))"),56250)</f>
        <v>56250</v>
      </c>
      <c r="F566"/>
    </row>
    <row r="567" spans="1:6" ht="15.75" customHeight="1" x14ac:dyDescent="0.25">
      <c r="A567" s="7" t="s">
        <v>30</v>
      </c>
      <c r="B567" s="7" t="s">
        <v>3</v>
      </c>
      <c r="C567" s="6">
        <v>2024</v>
      </c>
      <c r="D567" s="10">
        <v>11</v>
      </c>
      <c r="E567" s="8">
        <f ca="1">IFERROR(__xludf.DUMMYFUNCTION("""COMPUTED_VALUE"""),40225.4347826086)</f>
        <v>40225.434782608601</v>
      </c>
      <c r="F567"/>
    </row>
    <row r="568" spans="1:6" ht="15.75" customHeight="1" x14ac:dyDescent="0.25">
      <c r="A568" s="7" t="s">
        <v>30</v>
      </c>
      <c r="B568" s="7" t="s">
        <v>11</v>
      </c>
      <c r="C568" s="6">
        <v>2024</v>
      </c>
      <c r="D568" s="10">
        <v>11</v>
      </c>
      <c r="E568" s="8">
        <f ca="1">IFERROR(__xludf.DUMMYFUNCTION("""COMPUTED_VALUE"""),5350)</f>
        <v>5350</v>
      </c>
      <c r="F568"/>
    </row>
    <row r="569" spans="1:6" ht="15.75" customHeight="1" x14ac:dyDescent="0.25">
      <c r="A569" s="7" t="s">
        <v>30</v>
      </c>
      <c r="B569" s="7" t="s">
        <v>12</v>
      </c>
      <c r="C569" s="6">
        <v>2024</v>
      </c>
      <c r="D569" s="10">
        <v>11</v>
      </c>
      <c r="E569" s="8">
        <f ca="1">IFERROR(__xludf.DUMMYFUNCTION("""COMPUTED_VALUE"""),11049.6657633243)</f>
        <v>11049.665763324299</v>
      </c>
      <c r="F569"/>
    </row>
    <row r="570" spans="1:6" ht="15.75" customHeight="1" x14ac:dyDescent="0.25">
      <c r="A570" s="7" t="s">
        <v>30</v>
      </c>
      <c r="B570" s="7" t="s">
        <v>13</v>
      </c>
      <c r="C570" s="6">
        <v>2024</v>
      </c>
      <c r="D570" s="10">
        <v>11</v>
      </c>
      <c r="E570" s="8">
        <f ca="1">IFERROR(__xludf.DUMMYFUNCTION("""COMPUTED_VALUE"""),13894.6153846153)</f>
        <v>13894.615384615299</v>
      </c>
      <c r="F570"/>
    </row>
    <row r="571" spans="1:6" ht="15.75" customHeight="1" x14ac:dyDescent="0.25">
      <c r="A571" s="7" t="s">
        <v>30</v>
      </c>
      <c r="B571" s="7" t="s">
        <v>4</v>
      </c>
      <c r="C571" s="6">
        <v>2024</v>
      </c>
      <c r="D571" s="10">
        <v>11</v>
      </c>
      <c r="E571" s="8">
        <f ca="1">IFERROR(__xludf.DUMMYFUNCTION("""COMPUTED_VALUE"""),545)</f>
        <v>545</v>
      </c>
      <c r="F571"/>
    </row>
    <row r="572" spans="1:6" ht="15.75" customHeight="1" x14ac:dyDescent="0.25">
      <c r="A572" s="7" t="s">
        <v>30</v>
      </c>
      <c r="B572" s="7" t="s">
        <v>1</v>
      </c>
      <c r="C572" s="6">
        <v>2024</v>
      </c>
      <c r="D572" s="10">
        <v>11</v>
      </c>
      <c r="E572" s="8">
        <f ca="1">IFERROR(__xludf.DUMMYFUNCTION("""COMPUTED_VALUE"""),687.692307692307)</f>
        <v>687.69230769230705</v>
      </c>
      <c r="F572"/>
    </row>
    <row r="573" spans="1:6" ht="15.75" customHeight="1" x14ac:dyDescent="0.25">
      <c r="A573" s="7" t="s">
        <v>30</v>
      </c>
      <c r="B573" s="7" t="s">
        <v>14</v>
      </c>
      <c r="C573" s="6">
        <v>2024</v>
      </c>
      <c r="D573" s="10">
        <v>11</v>
      </c>
      <c r="E573" s="8">
        <f ca="1">IFERROR(__xludf.DUMMYFUNCTION("""COMPUTED_VALUE"""),0)</f>
        <v>0</v>
      </c>
      <c r="F573"/>
    </row>
    <row r="574" spans="1:6" ht="15.75" customHeight="1" x14ac:dyDescent="0.25">
      <c r="A574" s="7" t="s">
        <v>30</v>
      </c>
      <c r="B574" s="7" t="s">
        <v>15</v>
      </c>
      <c r="C574" s="6">
        <v>2024</v>
      </c>
      <c r="D574" s="10">
        <v>11</v>
      </c>
      <c r="E574" s="8">
        <f ca="1">IFERROR(__xludf.DUMMYFUNCTION("""COMPUTED_VALUE"""),0)</f>
        <v>0</v>
      </c>
      <c r="F574"/>
    </row>
    <row r="575" spans="1:6" ht="15.75" customHeight="1" x14ac:dyDescent="0.25">
      <c r="A575" s="7" t="s">
        <v>30</v>
      </c>
      <c r="B575" s="7" t="s">
        <v>2</v>
      </c>
      <c r="C575" s="6">
        <v>2024</v>
      </c>
      <c r="D575" s="10">
        <v>11</v>
      </c>
      <c r="E575" s="8">
        <f ca="1">IFERROR(__xludf.DUMMYFUNCTION("""COMPUTED_VALUE"""),11621.3461538461)</f>
        <v>11621.3461538461</v>
      </c>
      <c r="F575"/>
    </row>
    <row r="576" spans="1:6" ht="15.75" customHeight="1" x14ac:dyDescent="0.25">
      <c r="A576" s="7" t="s">
        <v>30</v>
      </c>
      <c r="B576" s="7" t="s">
        <v>16</v>
      </c>
      <c r="C576" s="6">
        <v>2024</v>
      </c>
      <c r="D576" s="10">
        <v>11</v>
      </c>
      <c r="E576" s="8">
        <f ca="1">IFERROR(__xludf.DUMMYFUNCTION("""COMPUTED_VALUE"""),1989.5652173913)</f>
        <v>1989.5652173912999</v>
      </c>
      <c r="F576"/>
    </row>
    <row r="577" spans="1:6" ht="15.75" customHeight="1" x14ac:dyDescent="0.25">
      <c r="A577" s="7" t="s">
        <v>30</v>
      </c>
      <c r="B577" s="7" t="s">
        <v>17</v>
      </c>
      <c r="C577" s="6">
        <v>2024</v>
      </c>
      <c r="D577" s="10">
        <v>11</v>
      </c>
      <c r="E577" s="8">
        <f ca="1">IFERROR(__xludf.DUMMYFUNCTION("""COMPUTED_VALUE"""),7512.81323087203)</f>
        <v>7512.8132308720296</v>
      </c>
      <c r="F577"/>
    </row>
    <row r="578" spans="1:6" ht="15.75" customHeight="1" x14ac:dyDescent="0.25">
      <c r="A578" s="7" t="s">
        <v>31</v>
      </c>
      <c r="B578" s="9" t="s">
        <v>5</v>
      </c>
      <c r="C578" s="6">
        <v>2024</v>
      </c>
      <c r="D578" s="10">
        <v>11</v>
      </c>
      <c r="E578" s="8">
        <f ca="1">IFERROR(__xludf.DUMMYFUNCTION("TRANSPOSE(IMPORTRANGE(""https://docs.google.com/spreadsheets/d/1cv8w4RgreF55A1mw5YfUmgV2e6j-PXym1SXozOAxbDQ/edit?usp=sharing"",""Perhitungan Stok!$J$26:$J$37""))"),862301.565535443)</f>
        <v>862301.56553544302</v>
      </c>
      <c r="F578"/>
    </row>
    <row r="579" spans="1:6" ht="15.75" customHeight="1" x14ac:dyDescent="0.25">
      <c r="A579" s="7" t="s">
        <v>31</v>
      </c>
      <c r="B579" s="7" t="s">
        <v>3</v>
      </c>
      <c r="C579" s="6">
        <v>2024</v>
      </c>
      <c r="D579" s="10">
        <v>11</v>
      </c>
      <c r="E579" s="8">
        <f ca="1">IFERROR(__xludf.DUMMYFUNCTION("""COMPUTED_VALUE"""),1350)</f>
        <v>1350</v>
      </c>
      <c r="F579"/>
    </row>
    <row r="580" spans="1:6" ht="15.75" customHeight="1" x14ac:dyDescent="0.25">
      <c r="A580" s="7" t="s">
        <v>31</v>
      </c>
      <c r="B580" s="7" t="s">
        <v>11</v>
      </c>
      <c r="C580" s="6">
        <v>2024</v>
      </c>
      <c r="D580" s="10">
        <v>11</v>
      </c>
      <c r="E580" s="8">
        <f ca="1">IFERROR(__xludf.DUMMYFUNCTION("""COMPUTED_VALUE"""),4063.2)</f>
        <v>4063.2</v>
      </c>
      <c r="F580"/>
    </row>
    <row r="581" spans="1:6" ht="15.75" customHeight="1" x14ac:dyDescent="0.25">
      <c r="A581" s="7" t="s">
        <v>31</v>
      </c>
      <c r="B581" s="7" t="s">
        <v>12</v>
      </c>
      <c r="C581" s="6">
        <v>2024</v>
      </c>
      <c r="D581" s="10">
        <v>11</v>
      </c>
      <c r="E581" s="8">
        <f ca="1">IFERROR(__xludf.DUMMYFUNCTION("""COMPUTED_VALUE"""),1140)</f>
        <v>1140</v>
      </c>
      <c r="F581"/>
    </row>
    <row r="582" spans="1:6" ht="15.75" customHeight="1" x14ac:dyDescent="0.25">
      <c r="A582" s="7" t="s">
        <v>31</v>
      </c>
      <c r="B582" s="7" t="s">
        <v>13</v>
      </c>
      <c r="C582" s="6">
        <v>2024</v>
      </c>
      <c r="D582" s="10">
        <v>11</v>
      </c>
      <c r="E582" s="8">
        <f ca="1">IFERROR(__xludf.DUMMYFUNCTION("""COMPUTED_VALUE"""),593)</f>
        <v>593</v>
      </c>
      <c r="F582"/>
    </row>
    <row r="583" spans="1:6" ht="15.75" customHeight="1" x14ac:dyDescent="0.25">
      <c r="A583" s="7" t="s">
        <v>31</v>
      </c>
      <c r="B583" s="7" t="s">
        <v>4</v>
      </c>
      <c r="C583" s="6">
        <v>2024</v>
      </c>
      <c r="D583" s="10">
        <v>11</v>
      </c>
      <c r="E583" s="8">
        <f ca="1">IFERROR(__xludf.DUMMYFUNCTION("""COMPUTED_VALUE"""),159.25)</f>
        <v>159.25</v>
      </c>
      <c r="F583"/>
    </row>
    <row r="584" spans="1:6" ht="15.75" customHeight="1" x14ac:dyDescent="0.25">
      <c r="A584" s="7" t="s">
        <v>31</v>
      </c>
      <c r="B584" s="7" t="s">
        <v>1</v>
      </c>
      <c r="C584" s="6">
        <v>2024</v>
      </c>
      <c r="D584" s="10">
        <v>11</v>
      </c>
      <c r="E584" s="8">
        <f ca="1">IFERROR(__xludf.DUMMYFUNCTION("""COMPUTED_VALUE"""),608.052631578947)</f>
        <v>608.05263157894694</v>
      </c>
      <c r="F584"/>
    </row>
    <row r="585" spans="1:6" ht="15.75" customHeight="1" x14ac:dyDescent="0.25">
      <c r="A585" s="7" t="s">
        <v>31</v>
      </c>
      <c r="B585" s="7" t="s">
        <v>14</v>
      </c>
      <c r="C585" s="6">
        <v>2024</v>
      </c>
      <c r="D585" s="10">
        <v>11</v>
      </c>
      <c r="E585" s="8">
        <f ca="1">IFERROR(__xludf.DUMMYFUNCTION("""COMPUTED_VALUE"""),246.045918367346)</f>
        <v>246.04591836734599</v>
      </c>
      <c r="F585"/>
    </row>
    <row r="586" spans="1:6" ht="15.75" customHeight="1" x14ac:dyDescent="0.25">
      <c r="A586" s="7" t="s">
        <v>31</v>
      </c>
      <c r="B586" s="7" t="s">
        <v>15</v>
      </c>
      <c r="C586" s="6">
        <v>2024</v>
      </c>
      <c r="D586" s="10">
        <v>11</v>
      </c>
      <c r="E586" s="8">
        <f ca="1">IFERROR(__xludf.DUMMYFUNCTION("""COMPUTED_VALUE"""),121)</f>
        <v>121</v>
      </c>
      <c r="F586"/>
    </row>
    <row r="587" spans="1:6" ht="15.75" customHeight="1" x14ac:dyDescent="0.25">
      <c r="A587" s="7" t="s">
        <v>31</v>
      </c>
      <c r="B587" s="7" t="s">
        <v>2</v>
      </c>
      <c r="C587" s="6">
        <v>2024</v>
      </c>
      <c r="D587" s="10">
        <v>11</v>
      </c>
      <c r="E587" s="8">
        <f ca="1">IFERROR(__xludf.DUMMYFUNCTION("""COMPUTED_VALUE"""),9677.26358148893)</f>
        <v>9677.2635814889309</v>
      </c>
      <c r="F587"/>
    </row>
    <row r="588" spans="1:6" ht="15.75" customHeight="1" x14ac:dyDescent="0.25">
      <c r="A588" s="7" t="s">
        <v>31</v>
      </c>
      <c r="B588" s="7" t="s">
        <v>16</v>
      </c>
      <c r="C588" s="6">
        <v>2024</v>
      </c>
      <c r="D588" s="10">
        <v>11</v>
      </c>
      <c r="E588" s="8">
        <f ca="1">IFERROR(__xludf.DUMMYFUNCTION("""COMPUTED_VALUE"""),617.5)</f>
        <v>617.5</v>
      </c>
      <c r="F588"/>
    </row>
    <row r="589" spans="1:6" ht="15.75" customHeight="1" x14ac:dyDescent="0.25">
      <c r="A589" s="7" t="s">
        <v>31</v>
      </c>
      <c r="B589" s="7" t="s">
        <v>17</v>
      </c>
      <c r="C589" s="6">
        <v>2024</v>
      </c>
      <c r="D589" s="10">
        <v>11</v>
      </c>
      <c r="E589" s="8">
        <f ca="1">IFERROR(__xludf.DUMMYFUNCTION("""COMPUTED_VALUE"""),1546.11111111111)</f>
        <v>1546.1111111111099</v>
      </c>
      <c r="F589"/>
    </row>
    <row r="590" spans="1:6" ht="15.75" customHeight="1" x14ac:dyDescent="0.25">
      <c r="A590" s="7" t="s">
        <v>32</v>
      </c>
      <c r="B590" s="9" t="s">
        <v>5</v>
      </c>
      <c r="C590" s="6">
        <v>2024</v>
      </c>
      <c r="D590" s="10">
        <v>11</v>
      </c>
      <c r="E590" s="8">
        <f ca="1">IFERROR(__xludf.DUMMYFUNCTION("TRANSPOSE(IMPORTRANGE(""https://docs.google.com/spreadsheets/d/18D7pHiWpJ4gLst8rmYyUj14WiVjxp1qK_8RCugx8bpg/edit?usp=sharing"",""Perhitungan Stok!$J$26:$J$37""))"),574006.044905008)</f>
        <v>574006.04490500805</v>
      </c>
      <c r="F590"/>
    </row>
    <row r="591" spans="1:6" ht="15.75" customHeight="1" x14ac:dyDescent="0.25">
      <c r="A591" s="7" t="s">
        <v>32</v>
      </c>
      <c r="B591" s="7" t="s">
        <v>3</v>
      </c>
      <c r="C591" s="6">
        <v>2024</v>
      </c>
      <c r="D591" s="10">
        <v>11</v>
      </c>
      <c r="E591" s="8">
        <f ca="1">IFERROR(__xludf.DUMMYFUNCTION("""COMPUTED_VALUE"""),218454.545454545)</f>
        <v>218454.545454545</v>
      </c>
      <c r="F591"/>
    </row>
    <row r="592" spans="1:6" ht="15.75" customHeight="1" x14ac:dyDescent="0.25">
      <c r="A592" s="7" t="s">
        <v>32</v>
      </c>
      <c r="B592" s="7" t="s">
        <v>11</v>
      </c>
      <c r="C592" s="6">
        <v>2024</v>
      </c>
      <c r="D592" s="10">
        <v>11</v>
      </c>
      <c r="E592" s="8">
        <f ca="1">IFERROR(__xludf.DUMMYFUNCTION("""COMPUTED_VALUE"""),258000)</f>
        <v>258000</v>
      </c>
      <c r="F592"/>
    </row>
    <row r="593" spans="1:6" ht="15.75" customHeight="1" x14ac:dyDescent="0.25">
      <c r="A593" s="7" t="s">
        <v>32</v>
      </c>
      <c r="B593" s="7" t="s">
        <v>12</v>
      </c>
      <c r="C593" s="6">
        <v>2024</v>
      </c>
      <c r="D593" s="10">
        <v>11</v>
      </c>
      <c r="E593" s="8">
        <f ca="1">IFERROR(__xludf.DUMMYFUNCTION("""COMPUTED_VALUE"""),29600)</f>
        <v>29600</v>
      </c>
      <c r="F593"/>
    </row>
    <row r="594" spans="1:6" ht="15.75" customHeight="1" x14ac:dyDescent="0.25">
      <c r="A594" s="7" t="s">
        <v>32</v>
      </c>
      <c r="B594" s="7" t="s">
        <v>13</v>
      </c>
      <c r="C594" s="6">
        <v>2024</v>
      </c>
      <c r="D594" s="10">
        <v>11</v>
      </c>
      <c r="E594" s="8">
        <f ca="1">IFERROR(__xludf.DUMMYFUNCTION("""COMPUTED_VALUE"""),25000)</f>
        <v>25000</v>
      </c>
      <c r="F594"/>
    </row>
    <row r="595" spans="1:6" ht="15.75" customHeight="1" x14ac:dyDescent="0.25">
      <c r="A595" s="7" t="s">
        <v>32</v>
      </c>
      <c r="B595" s="7" t="s">
        <v>4</v>
      </c>
      <c r="C595" s="6">
        <v>2024</v>
      </c>
      <c r="D595" s="10">
        <v>11</v>
      </c>
      <c r="E595" s="8">
        <f ca="1">IFERROR(__xludf.DUMMYFUNCTION("""COMPUTED_VALUE"""),100)</f>
        <v>100</v>
      </c>
      <c r="F595"/>
    </row>
    <row r="596" spans="1:6" ht="15.75" customHeight="1" x14ac:dyDescent="0.25">
      <c r="A596" s="7" t="s">
        <v>32</v>
      </c>
      <c r="B596" s="7" t="s">
        <v>1</v>
      </c>
      <c r="C596" s="6">
        <v>2024</v>
      </c>
      <c r="D596" s="10">
        <v>11</v>
      </c>
      <c r="E596" s="8">
        <f ca="1">IFERROR(__xludf.DUMMYFUNCTION("""COMPUTED_VALUE"""),1316)</f>
        <v>1316</v>
      </c>
      <c r="F596"/>
    </row>
    <row r="597" spans="1:6" ht="15.75" customHeight="1" x14ac:dyDescent="0.25">
      <c r="A597" s="7" t="s">
        <v>32</v>
      </c>
      <c r="B597" s="7" t="s">
        <v>14</v>
      </c>
      <c r="C597" s="6">
        <v>2024</v>
      </c>
      <c r="D597" s="10">
        <v>11</v>
      </c>
      <c r="E597" s="8">
        <f ca="1">IFERROR(__xludf.DUMMYFUNCTION("""COMPUTED_VALUE"""),9224.35294117647)</f>
        <v>9224.3529411764703</v>
      </c>
      <c r="F597"/>
    </row>
    <row r="598" spans="1:6" ht="15.75" customHeight="1" x14ac:dyDescent="0.25">
      <c r="A598" s="7" t="s">
        <v>32</v>
      </c>
      <c r="B598" s="7" t="s">
        <v>15</v>
      </c>
      <c r="C598" s="6">
        <v>2024</v>
      </c>
      <c r="D598" s="10">
        <v>11</v>
      </c>
      <c r="E598" s="8">
        <f ca="1">IFERROR(__xludf.DUMMYFUNCTION("""COMPUTED_VALUE"""),998.461538461538)</f>
        <v>998.461538461538</v>
      </c>
      <c r="F598"/>
    </row>
    <row r="599" spans="1:6" ht="15.75" customHeight="1" x14ac:dyDescent="0.25">
      <c r="A599" s="7" t="s">
        <v>32</v>
      </c>
      <c r="B599" s="7" t="s">
        <v>2</v>
      </c>
      <c r="C599" s="6">
        <v>2024</v>
      </c>
      <c r="D599" s="10">
        <v>11</v>
      </c>
      <c r="E599" s="8">
        <f ca="1">IFERROR(__xludf.DUMMYFUNCTION("""COMPUTED_VALUE"""),1053.56132075471)</f>
        <v>1053.5613207547101</v>
      </c>
      <c r="F599"/>
    </row>
    <row r="600" spans="1:6" ht="15.75" customHeight="1" x14ac:dyDescent="0.25">
      <c r="A600" s="7" t="s">
        <v>32</v>
      </c>
      <c r="B600" s="7" t="s">
        <v>16</v>
      </c>
      <c r="C600" s="6">
        <v>2024</v>
      </c>
      <c r="D600" s="10">
        <v>11</v>
      </c>
      <c r="E600" s="8">
        <f ca="1">IFERROR(__xludf.DUMMYFUNCTION("""COMPUTED_VALUE"""),201635.135135135)</f>
        <v>201635.135135135</v>
      </c>
      <c r="F600"/>
    </row>
    <row r="601" spans="1:6" ht="15.75" customHeight="1" x14ac:dyDescent="0.25">
      <c r="A601" s="7" t="s">
        <v>32</v>
      </c>
      <c r="B601" s="7" t="s">
        <v>17</v>
      </c>
      <c r="C601" s="6">
        <v>2024</v>
      </c>
      <c r="D601" s="10">
        <v>11</v>
      </c>
      <c r="E601" s="8">
        <f ca="1">IFERROR(__xludf.DUMMYFUNCTION("""COMPUTED_VALUE"""),257161.132738917)</f>
        <v>257161.13273891699</v>
      </c>
      <c r="F601"/>
    </row>
    <row r="602" spans="1:6" ht="15.75" customHeight="1" x14ac:dyDescent="0.25">
      <c r="A602" s="7" t="s">
        <v>33</v>
      </c>
      <c r="B602" s="9" t="s">
        <v>5</v>
      </c>
      <c r="C602" s="6">
        <v>2024</v>
      </c>
      <c r="D602" s="10">
        <v>11</v>
      </c>
      <c r="E602" s="8">
        <f ca="1">IFERROR(__xludf.DUMMYFUNCTION("TRANSPOSE(IMPORTRANGE(""https://docs.google.com/spreadsheets/d/1ArHx5-8u4ELpz2uUlOuKHoaCijkEJNBjpAucWEyfJG8/edit?usp=sharing"",""Perhitungan Stok!$J$26:$J$37""))"),60700.5032467532)</f>
        <v>60700.5032467532</v>
      </c>
      <c r="F602"/>
    </row>
    <row r="603" spans="1:6" ht="15.75" customHeight="1" x14ac:dyDescent="0.25">
      <c r="A603" s="7" t="s">
        <v>33</v>
      </c>
      <c r="B603" s="7" t="s">
        <v>3</v>
      </c>
      <c r="C603" s="6">
        <v>2024</v>
      </c>
      <c r="D603" s="10">
        <v>11</v>
      </c>
      <c r="E603" s="8">
        <f ca="1">IFERROR(__xludf.DUMMYFUNCTION("""COMPUTED_VALUE"""),6000)</f>
        <v>6000</v>
      </c>
      <c r="F603"/>
    </row>
    <row r="604" spans="1:6" ht="15.75" customHeight="1" x14ac:dyDescent="0.25">
      <c r="A604" s="7" t="s">
        <v>33</v>
      </c>
      <c r="B604" s="7" t="s">
        <v>11</v>
      </c>
      <c r="C604" s="6">
        <v>2024</v>
      </c>
      <c r="D604" s="10">
        <v>11</v>
      </c>
      <c r="E604" s="8">
        <f ca="1">IFERROR(__xludf.DUMMYFUNCTION("""COMPUTED_VALUE"""),9015)</f>
        <v>9015</v>
      </c>
      <c r="F604"/>
    </row>
    <row r="605" spans="1:6" ht="15.75" customHeight="1" x14ac:dyDescent="0.25">
      <c r="A605" s="7" t="s">
        <v>33</v>
      </c>
      <c r="B605" s="7" t="s">
        <v>12</v>
      </c>
      <c r="C605" s="6">
        <v>2024</v>
      </c>
      <c r="D605" s="10">
        <v>11</v>
      </c>
      <c r="E605" s="8">
        <f ca="1">IFERROR(__xludf.DUMMYFUNCTION("""COMPUTED_VALUE"""),3672)</f>
        <v>3672</v>
      </c>
      <c r="F605"/>
    </row>
    <row r="606" spans="1:6" ht="15.75" customHeight="1" x14ac:dyDescent="0.25">
      <c r="A606" s="7" t="s">
        <v>33</v>
      </c>
      <c r="B606" s="7" t="s">
        <v>13</v>
      </c>
      <c r="C606" s="6">
        <v>2024</v>
      </c>
      <c r="D606" s="10">
        <v>11</v>
      </c>
      <c r="E606" s="8">
        <f ca="1">IFERROR(__xludf.DUMMYFUNCTION("""COMPUTED_VALUE"""),2206.15384615384)</f>
        <v>2206.1538461538398</v>
      </c>
      <c r="F606"/>
    </row>
    <row r="607" spans="1:6" ht="15.75" customHeight="1" x14ac:dyDescent="0.25">
      <c r="A607" s="7" t="s">
        <v>33</v>
      </c>
      <c r="B607" s="7" t="s">
        <v>4</v>
      </c>
      <c r="C607" s="6">
        <v>2024</v>
      </c>
      <c r="D607" s="10">
        <v>11</v>
      </c>
      <c r="E607" s="8">
        <f ca="1">IFERROR(__xludf.DUMMYFUNCTION("""COMPUTED_VALUE"""),10599.5)</f>
        <v>10599.5</v>
      </c>
      <c r="F607"/>
    </row>
    <row r="608" spans="1:6" ht="15.75" customHeight="1" x14ac:dyDescent="0.25">
      <c r="A608" s="7" t="s">
        <v>33</v>
      </c>
      <c r="B608" s="7" t="s">
        <v>1</v>
      </c>
      <c r="C608" s="6">
        <v>2024</v>
      </c>
      <c r="D608" s="10">
        <v>11</v>
      </c>
      <c r="E608" s="8">
        <f ca="1">IFERROR(__xludf.DUMMYFUNCTION("""COMPUTED_VALUE"""),6404.45347786811)</f>
        <v>6404.45347786811</v>
      </c>
      <c r="F608"/>
    </row>
    <row r="609" spans="1:6" ht="15.75" customHeight="1" x14ac:dyDescent="0.25">
      <c r="A609" s="7" t="s">
        <v>33</v>
      </c>
      <c r="B609" s="7" t="s">
        <v>14</v>
      </c>
      <c r="C609" s="6">
        <v>2024</v>
      </c>
      <c r="D609" s="10">
        <v>11</v>
      </c>
      <c r="E609" s="8">
        <f ca="1">IFERROR(__xludf.DUMMYFUNCTION("""COMPUTED_VALUE"""),0)</f>
        <v>0</v>
      </c>
      <c r="F609"/>
    </row>
    <row r="610" spans="1:6" ht="15.75" customHeight="1" x14ac:dyDescent="0.25">
      <c r="A610" s="7" t="s">
        <v>33</v>
      </c>
      <c r="B610" s="7" t="s">
        <v>15</v>
      </c>
      <c r="C610" s="6">
        <v>2024</v>
      </c>
      <c r="D610" s="10">
        <v>11</v>
      </c>
      <c r="E610" s="8">
        <f ca="1">IFERROR(__xludf.DUMMYFUNCTION("""COMPUTED_VALUE"""),1554.66666666666)</f>
        <v>1554.6666666666599</v>
      </c>
      <c r="F610"/>
    </row>
    <row r="611" spans="1:6" ht="15.75" customHeight="1" x14ac:dyDescent="0.25">
      <c r="A611" s="7" t="s">
        <v>33</v>
      </c>
      <c r="B611" s="7" t="s">
        <v>2</v>
      </c>
      <c r="C611" s="6">
        <v>2024</v>
      </c>
      <c r="D611" s="10">
        <v>11</v>
      </c>
      <c r="E611" s="8">
        <f ca="1">IFERROR(__xludf.DUMMYFUNCTION("""COMPUTED_VALUE"""),1968.21428571428)</f>
        <v>1968.2142857142801</v>
      </c>
      <c r="F611"/>
    </row>
    <row r="612" spans="1:6" ht="15.75" customHeight="1" x14ac:dyDescent="0.25">
      <c r="A612" s="7" t="s">
        <v>33</v>
      </c>
      <c r="B612" s="7" t="s">
        <v>16</v>
      </c>
      <c r="C612" s="6">
        <v>2024</v>
      </c>
      <c r="D612" s="10">
        <v>11</v>
      </c>
      <c r="E612" s="8">
        <f ca="1">IFERROR(__xludf.DUMMYFUNCTION("""COMPUTED_VALUE"""),72000)</f>
        <v>72000</v>
      </c>
      <c r="F612"/>
    </row>
    <row r="613" spans="1:6" ht="15.75" customHeight="1" x14ac:dyDescent="0.25">
      <c r="A613" s="7" t="s">
        <v>33</v>
      </c>
      <c r="B613" s="7" t="s">
        <v>17</v>
      </c>
      <c r="C613" s="6">
        <v>2024</v>
      </c>
      <c r="D613" s="10">
        <v>11</v>
      </c>
      <c r="E613" s="8">
        <f ca="1">IFERROR(__xludf.DUMMYFUNCTION("""COMPUTED_VALUE"""),25906.3492063492)</f>
        <v>25906.349206349201</v>
      </c>
      <c r="F613"/>
    </row>
    <row r="614" spans="1:6" ht="15.75" customHeight="1" x14ac:dyDescent="0.25">
      <c r="A614" s="7" t="s">
        <v>34</v>
      </c>
      <c r="B614" s="9" t="s">
        <v>5</v>
      </c>
      <c r="C614" s="6">
        <v>2024</v>
      </c>
      <c r="D614" s="10">
        <v>11</v>
      </c>
      <c r="E614" s="8">
        <f ca="1">IFERROR(__xludf.DUMMYFUNCTION("TRANSPOSE(IMPORTRANGE(""https://docs.google.com/spreadsheets/d/1kLe3nWHd3by4MLnEx5u1gOw0zTx4XY5f-DO5W5CXE3k/edit?usp=sharing"",""Perhitungan Stok!$J$26:$J$37""))"),26926.892556737)</f>
        <v>26926.892556736999</v>
      </c>
      <c r="F614"/>
    </row>
    <row r="615" spans="1:6" ht="15.75" customHeight="1" x14ac:dyDescent="0.25">
      <c r="A615" s="7" t="s">
        <v>34</v>
      </c>
      <c r="B615" s="7" t="s">
        <v>3</v>
      </c>
      <c r="C615" s="6">
        <v>2024</v>
      </c>
      <c r="D615" s="10">
        <v>11</v>
      </c>
      <c r="E615" s="8">
        <f ca="1">IFERROR(__xludf.DUMMYFUNCTION("""COMPUTED_VALUE"""),1569.14142899147)</f>
        <v>1569.1414289914701</v>
      </c>
      <c r="F615"/>
    </row>
    <row r="616" spans="1:6" ht="15.75" customHeight="1" x14ac:dyDescent="0.25">
      <c r="A616" s="7" t="s">
        <v>34</v>
      </c>
      <c r="B616" s="7" t="s">
        <v>11</v>
      </c>
      <c r="C616" s="6">
        <v>2024</v>
      </c>
      <c r="D616" s="10">
        <v>11</v>
      </c>
      <c r="E616" s="8">
        <f ca="1">IFERROR(__xludf.DUMMYFUNCTION("""COMPUTED_VALUE"""),29601.7617732264)</f>
        <v>29601.761773226401</v>
      </c>
      <c r="F616"/>
    </row>
    <row r="617" spans="1:6" ht="15.75" customHeight="1" x14ac:dyDescent="0.25">
      <c r="A617" s="7" t="s">
        <v>34</v>
      </c>
      <c r="B617" s="7" t="s">
        <v>12</v>
      </c>
      <c r="C617" s="6">
        <v>2024</v>
      </c>
      <c r="D617" s="10">
        <v>11</v>
      </c>
      <c r="E617" s="8">
        <f ca="1">IFERROR(__xludf.DUMMYFUNCTION("""COMPUTED_VALUE"""),38460.6275681733)</f>
        <v>38460.627568173302</v>
      </c>
      <c r="F617"/>
    </row>
    <row r="618" spans="1:6" ht="15.75" customHeight="1" x14ac:dyDescent="0.25">
      <c r="A618" s="7" t="s">
        <v>34</v>
      </c>
      <c r="B618" s="7" t="s">
        <v>13</v>
      </c>
      <c r="C618" s="6">
        <v>2024</v>
      </c>
      <c r="D618" s="10">
        <v>11</v>
      </c>
      <c r="E618" s="8">
        <f ca="1">IFERROR(__xludf.DUMMYFUNCTION("""COMPUTED_VALUE"""),36250.6316279069)</f>
        <v>36250.6316279069</v>
      </c>
      <c r="F618"/>
    </row>
    <row r="619" spans="1:6" ht="15.75" customHeight="1" x14ac:dyDescent="0.25">
      <c r="A619" s="7" t="s">
        <v>34</v>
      </c>
      <c r="B619" s="7" t="s">
        <v>4</v>
      </c>
      <c r="C619" s="6">
        <v>2024</v>
      </c>
      <c r="D619" s="10">
        <v>11</v>
      </c>
      <c r="E619" s="8">
        <f ca="1">IFERROR(__xludf.DUMMYFUNCTION("""COMPUTED_VALUE"""),430465.014975041)</f>
        <v>430465.01497504098</v>
      </c>
      <c r="F619"/>
    </row>
    <row r="620" spans="1:6" ht="15.75" customHeight="1" x14ac:dyDescent="0.25">
      <c r="A620" s="7" t="s">
        <v>34</v>
      </c>
      <c r="B620" s="7" t="s">
        <v>1</v>
      </c>
      <c r="C620" s="6">
        <v>2024</v>
      </c>
      <c r="D620" s="10">
        <v>11</v>
      </c>
      <c r="E620" s="8">
        <f ca="1">IFERROR(__xludf.DUMMYFUNCTION("""COMPUTED_VALUE"""),59612.0066666666)</f>
        <v>59612.006666666603</v>
      </c>
      <c r="F620"/>
    </row>
    <row r="621" spans="1:6" ht="15.75" customHeight="1" x14ac:dyDescent="0.25">
      <c r="A621" s="7" t="s">
        <v>34</v>
      </c>
      <c r="B621" s="7" t="s">
        <v>14</v>
      </c>
      <c r="C621" s="6">
        <v>2024</v>
      </c>
      <c r="D621" s="10">
        <v>11</v>
      </c>
      <c r="E621" s="8">
        <f ca="1">IFERROR(__xludf.DUMMYFUNCTION("""COMPUTED_VALUE"""),51993.75)</f>
        <v>51993.75</v>
      </c>
      <c r="F621"/>
    </row>
    <row r="622" spans="1:6" ht="15.75" customHeight="1" x14ac:dyDescent="0.25">
      <c r="A622" s="7" t="s">
        <v>34</v>
      </c>
      <c r="B622" s="7" t="s">
        <v>15</v>
      </c>
      <c r="C622" s="6">
        <v>2024</v>
      </c>
      <c r="D622" s="10">
        <v>11</v>
      </c>
      <c r="E622" s="8">
        <f ca="1">IFERROR(__xludf.DUMMYFUNCTION("""COMPUTED_VALUE"""),2008.125)</f>
        <v>2008.125</v>
      </c>
      <c r="F622"/>
    </row>
    <row r="623" spans="1:6" ht="15.75" customHeight="1" x14ac:dyDescent="0.25">
      <c r="A623" s="7" t="s">
        <v>34</v>
      </c>
      <c r="B623" s="7" t="s">
        <v>2</v>
      </c>
      <c r="C623" s="6">
        <v>2024</v>
      </c>
      <c r="D623" s="10">
        <v>11</v>
      </c>
      <c r="E623" s="8">
        <f ca="1">IFERROR(__xludf.DUMMYFUNCTION("""COMPUTED_VALUE"""),37783.5913978494)</f>
        <v>37783.591397849399</v>
      </c>
      <c r="F623"/>
    </row>
    <row r="624" spans="1:6" ht="15.75" customHeight="1" x14ac:dyDescent="0.25">
      <c r="A624" s="7" t="s">
        <v>34</v>
      </c>
      <c r="B624" s="7" t="s">
        <v>16</v>
      </c>
      <c r="C624" s="6">
        <v>2024</v>
      </c>
      <c r="D624" s="10">
        <v>11</v>
      </c>
      <c r="E624" s="8">
        <f ca="1">IFERROR(__xludf.DUMMYFUNCTION("""COMPUTED_VALUE"""),2857.29710584901)</f>
        <v>2857.2971058490102</v>
      </c>
      <c r="F624"/>
    </row>
    <row r="625" spans="1:6" ht="15.75" customHeight="1" x14ac:dyDescent="0.25">
      <c r="A625" s="7" t="s">
        <v>34</v>
      </c>
      <c r="B625" s="7" t="s">
        <v>17</v>
      </c>
      <c r="C625" s="6">
        <v>2024</v>
      </c>
      <c r="D625" s="10">
        <v>11</v>
      </c>
      <c r="E625" s="8">
        <f ca="1">IFERROR(__xludf.DUMMYFUNCTION("""COMPUTED_VALUE"""),117042.133076443)</f>
        <v>117042.133076443</v>
      </c>
      <c r="F625"/>
    </row>
    <row r="626" spans="1:6" ht="15.75" customHeight="1" x14ac:dyDescent="0.25">
      <c r="A626" s="7" t="s">
        <v>35</v>
      </c>
      <c r="B626" s="9" t="s">
        <v>5</v>
      </c>
      <c r="C626" s="6">
        <v>2024</v>
      </c>
      <c r="D626" s="10">
        <v>11</v>
      </c>
      <c r="E626" s="8">
        <f ca="1">IFERROR(__xludf.DUMMYFUNCTION("TRANSPOSE(IMPORTRANGE(""https://docs.google.com/spreadsheets/d/1gJzSp5cbYFocOtgYIyG1Wg-CFWI1-6TNNGjKqY22Ue0/edit?usp=sharing"",""Perhitungan Stok!$J$26:$J$37""))"),79829.3313069908)</f>
        <v>79829.331306990804</v>
      </c>
      <c r="F626"/>
    </row>
    <row r="627" spans="1:6" ht="15.75" customHeight="1" x14ac:dyDescent="0.25">
      <c r="A627" s="7" t="s">
        <v>35</v>
      </c>
      <c r="B627" s="7" t="s">
        <v>3</v>
      </c>
      <c r="C627" s="6">
        <v>2024</v>
      </c>
      <c r="D627" s="10">
        <v>11</v>
      </c>
      <c r="E627" s="8">
        <f ca="1">IFERROR(__xludf.DUMMYFUNCTION("""COMPUTED_VALUE"""),1100)</f>
        <v>1100</v>
      </c>
      <c r="F627"/>
    </row>
    <row r="628" spans="1:6" ht="15.75" customHeight="1" x14ac:dyDescent="0.25">
      <c r="A628" s="7" t="s">
        <v>35</v>
      </c>
      <c r="B628" s="7" t="s">
        <v>11</v>
      </c>
      <c r="C628" s="6">
        <v>2024</v>
      </c>
      <c r="D628" s="10">
        <v>11</v>
      </c>
      <c r="E628" s="8">
        <f ca="1">IFERROR(__xludf.DUMMYFUNCTION("""COMPUTED_VALUE"""),103844.285714285)</f>
        <v>103844.285714285</v>
      </c>
      <c r="F628"/>
    </row>
    <row r="629" spans="1:6" ht="15.75" customHeight="1" x14ac:dyDescent="0.25">
      <c r="A629" s="7" t="s">
        <v>35</v>
      </c>
      <c r="B629" s="7" t="s">
        <v>12</v>
      </c>
      <c r="C629" s="6">
        <v>2024</v>
      </c>
      <c r="D629" s="10">
        <v>11</v>
      </c>
      <c r="E629" s="8">
        <f ca="1">IFERROR(__xludf.DUMMYFUNCTION("""COMPUTED_VALUE"""),2104.88198757763)</f>
        <v>2104.8819875776298</v>
      </c>
      <c r="F629"/>
    </row>
    <row r="630" spans="1:6" ht="15.75" customHeight="1" x14ac:dyDescent="0.25">
      <c r="A630" s="7" t="s">
        <v>35</v>
      </c>
      <c r="B630" s="7" t="s">
        <v>13</v>
      </c>
      <c r="C630" s="6">
        <v>2024</v>
      </c>
      <c r="D630" s="10">
        <v>11</v>
      </c>
      <c r="E630" s="8">
        <f ca="1">IFERROR(__xludf.DUMMYFUNCTION("""COMPUTED_VALUE"""),9176.976)</f>
        <v>9176.9760000000006</v>
      </c>
      <c r="F630"/>
    </row>
    <row r="631" spans="1:6" ht="15.75" customHeight="1" x14ac:dyDescent="0.25">
      <c r="A631" s="7" t="s">
        <v>35</v>
      </c>
      <c r="B631" s="7" t="s">
        <v>4</v>
      </c>
      <c r="C631" s="6">
        <v>2024</v>
      </c>
      <c r="D631" s="10">
        <v>11</v>
      </c>
      <c r="E631" s="8">
        <f ca="1">IFERROR(__xludf.DUMMYFUNCTION("""COMPUTED_VALUE"""),555.1)</f>
        <v>555.1</v>
      </c>
      <c r="F631"/>
    </row>
    <row r="632" spans="1:6" ht="15.75" customHeight="1" x14ac:dyDescent="0.25">
      <c r="A632" s="7" t="s">
        <v>35</v>
      </c>
      <c r="B632" s="7" t="s">
        <v>1</v>
      </c>
      <c r="C632" s="6">
        <v>2024</v>
      </c>
      <c r="D632" s="10">
        <v>11</v>
      </c>
      <c r="E632" s="8">
        <f ca="1">IFERROR(__xludf.DUMMYFUNCTION("""COMPUTED_VALUE"""),598.199999999999)</f>
        <v>598.19999999999902</v>
      </c>
      <c r="F632"/>
    </row>
    <row r="633" spans="1:6" ht="15.75" customHeight="1" x14ac:dyDescent="0.25">
      <c r="A633" s="7" t="s">
        <v>35</v>
      </c>
      <c r="B633" s="7" t="s">
        <v>14</v>
      </c>
      <c r="C633" s="6">
        <v>2024</v>
      </c>
      <c r="D633" s="10">
        <v>11</v>
      </c>
      <c r="E633" s="8">
        <f ca="1">IFERROR(__xludf.DUMMYFUNCTION("""COMPUTED_VALUE"""),2566.61538461538)</f>
        <v>2566.6153846153802</v>
      </c>
      <c r="F633"/>
    </row>
    <row r="634" spans="1:6" ht="15.75" customHeight="1" x14ac:dyDescent="0.25">
      <c r="A634" s="7" t="s">
        <v>35</v>
      </c>
      <c r="B634" s="7" t="s">
        <v>15</v>
      </c>
      <c r="C634" s="6">
        <v>2024</v>
      </c>
      <c r="D634" s="10">
        <v>11</v>
      </c>
      <c r="E634" s="8">
        <f ca="1">IFERROR(__xludf.DUMMYFUNCTION("""COMPUTED_VALUE"""),2909.35319148936)</f>
        <v>2909.3531914893601</v>
      </c>
      <c r="F634"/>
    </row>
    <row r="635" spans="1:6" ht="15.75" customHeight="1" x14ac:dyDescent="0.25">
      <c r="A635" s="7" t="s">
        <v>35</v>
      </c>
      <c r="B635" s="7" t="s">
        <v>2</v>
      </c>
      <c r="C635" s="6">
        <v>2024</v>
      </c>
      <c r="D635" s="10">
        <v>11</v>
      </c>
      <c r="E635" s="8">
        <f ca="1">IFERROR(__xludf.DUMMYFUNCTION("""COMPUTED_VALUE"""),3856.56686626746)</f>
        <v>3856.5668662674598</v>
      </c>
      <c r="F635"/>
    </row>
    <row r="636" spans="1:6" ht="15.75" customHeight="1" x14ac:dyDescent="0.25">
      <c r="A636" s="7" t="s">
        <v>35</v>
      </c>
      <c r="B636" s="7" t="s">
        <v>16</v>
      </c>
      <c r="C636" s="6">
        <v>2024</v>
      </c>
      <c r="D636" s="10">
        <v>11</v>
      </c>
      <c r="E636" s="8">
        <f ca="1">IFERROR(__xludf.DUMMYFUNCTION("""COMPUTED_VALUE"""),60114.0119760479)</f>
        <v>60114.011976047899</v>
      </c>
      <c r="F636"/>
    </row>
    <row r="637" spans="1:6" ht="15.75" customHeight="1" x14ac:dyDescent="0.25">
      <c r="A637" s="7" t="s">
        <v>35</v>
      </c>
      <c r="B637" s="7" t="s">
        <v>17</v>
      </c>
      <c r="C637" s="6">
        <v>2024</v>
      </c>
      <c r="D637" s="10">
        <v>11</v>
      </c>
      <c r="E637" s="8">
        <f ca="1">IFERROR(__xludf.DUMMYFUNCTION("""COMPUTED_VALUE"""),204651.112586581)</f>
        <v>204651.112586581</v>
      </c>
      <c r="F637"/>
    </row>
    <row r="638" spans="1:6" ht="15.75" customHeight="1" x14ac:dyDescent="0.25">
      <c r="A638" s="7" t="s">
        <v>36</v>
      </c>
      <c r="B638" s="9" t="s">
        <v>5</v>
      </c>
      <c r="C638" s="6">
        <v>2024</v>
      </c>
      <c r="D638" s="10">
        <v>11</v>
      </c>
      <c r="E638" s="8">
        <f ca="1">IFERROR(__xludf.DUMMYFUNCTION("TRANSPOSE(IMPORTRANGE(""https://docs.google.com/spreadsheets/d/1hoq_4P55Wq7WfLD0YKYtZM8RJ1skpb6QSlP5ingN8H4/edit?usp=sharing"",""Perhitungan Stok!$J$26:$J$37""))"),27275)</f>
        <v>27275</v>
      </c>
      <c r="F638"/>
    </row>
    <row r="639" spans="1:6" ht="15.75" customHeight="1" x14ac:dyDescent="0.25">
      <c r="A639" s="7" t="s">
        <v>36</v>
      </c>
      <c r="B639" s="7" t="s">
        <v>3</v>
      </c>
      <c r="C639" s="6">
        <v>2024</v>
      </c>
      <c r="D639" s="10">
        <v>11</v>
      </c>
      <c r="E639" s="8">
        <f ca="1">IFERROR(__xludf.DUMMYFUNCTION("""COMPUTED_VALUE"""),146722.199999999)</f>
        <v>146722.19999999899</v>
      </c>
      <c r="F639"/>
    </row>
    <row r="640" spans="1:6" ht="15.75" customHeight="1" x14ac:dyDescent="0.25">
      <c r="A640" s="7" t="s">
        <v>36</v>
      </c>
      <c r="B640" s="7" t="s">
        <v>11</v>
      </c>
      <c r="C640" s="6">
        <v>2024</v>
      </c>
      <c r="D640" s="10">
        <v>11</v>
      </c>
      <c r="E640" s="8">
        <f ca="1">IFERROR(__xludf.DUMMYFUNCTION("""COMPUTED_VALUE"""),9433.17647058823)</f>
        <v>9433.1764705882306</v>
      </c>
      <c r="F640"/>
    </row>
    <row r="641" spans="1:6" ht="15.75" customHeight="1" x14ac:dyDescent="0.25">
      <c r="A641" s="7" t="s">
        <v>36</v>
      </c>
      <c r="B641" s="7" t="s">
        <v>12</v>
      </c>
      <c r="C641" s="6">
        <v>2024</v>
      </c>
      <c r="D641" s="10">
        <v>11</v>
      </c>
      <c r="E641" s="8">
        <f ca="1">IFERROR(__xludf.DUMMYFUNCTION("""COMPUTED_VALUE"""),130.799999999999)</f>
        <v>130.79999999999899</v>
      </c>
      <c r="F641"/>
    </row>
    <row r="642" spans="1:6" ht="15.75" customHeight="1" x14ac:dyDescent="0.25">
      <c r="A642" s="7" t="s">
        <v>36</v>
      </c>
      <c r="B642" s="7" t="s">
        <v>13</v>
      </c>
      <c r="C642" s="6">
        <v>2024</v>
      </c>
      <c r="D642" s="10">
        <v>11</v>
      </c>
      <c r="E642" s="8">
        <f ca="1">IFERROR(__xludf.DUMMYFUNCTION("""COMPUTED_VALUE"""),1573.30179282868)</f>
        <v>1573.3017928286799</v>
      </c>
      <c r="F642"/>
    </row>
    <row r="643" spans="1:6" ht="15.75" customHeight="1" x14ac:dyDescent="0.25">
      <c r="A643" s="7" t="s">
        <v>36</v>
      </c>
      <c r="B643" s="7" t="s">
        <v>4</v>
      </c>
      <c r="C643" s="6">
        <v>2024</v>
      </c>
      <c r="D643" s="10">
        <v>11</v>
      </c>
      <c r="E643" s="8">
        <f ca="1">IFERROR(__xludf.DUMMYFUNCTION("""COMPUTED_VALUE"""),21254.1428571428)</f>
        <v>21254.1428571428</v>
      </c>
      <c r="F643"/>
    </row>
    <row r="644" spans="1:6" ht="15.75" customHeight="1" x14ac:dyDescent="0.25">
      <c r="A644" s="7" t="s">
        <v>36</v>
      </c>
      <c r="B644" s="7" t="s">
        <v>1</v>
      </c>
      <c r="C644" s="6">
        <v>2024</v>
      </c>
      <c r="D644" s="10">
        <v>11</v>
      </c>
      <c r="E644" s="8">
        <f ca="1">IFERROR(__xludf.DUMMYFUNCTION("""COMPUTED_VALUE"""),300)</f>
        <v>300</v>
      </c>
      <c r="F644"/>
    </row>
    <row r="645" spans="1:6" ht="15.75" customHeight="1" x14ac:dyDescent="0.25">
      <c r="A645" s="7" t="s">
        <v>36</v>
      </c>
      <c r="B645" s="7" t="s">
        <v>14</v>
      </c>
      <c r="C645" s="6">
        <v>2024</v>
      </c>
      <c r="D645" s="10">
        <v>11</v>
      </c>
      <c r="E645" s="8" t="s">
        <v>21</v>
      </c>
      <c r="F645"/>
    </row>
    <row r="646" spans="1:6" ht="15.75" customHeight="1" x14ac:dyDescent="0.25">
      <c r="A646" s="7" t="s">
        <v>36</v>
      </c>
      <c r="B646" s="7" t="s">
        <v>15</v>
      </c>
      <c r="C646" s="6">
        <v>2024</v>
      </c>
      <c r="D646" s="10">
        <v>11</v>
      </c>
      <c r="E646" s="8" t="s">
        <v>21</v>
      </c>
      <c r="F646"/>
    </row>
    <row r="647" spans="1:6" ht="15.75" customHeight="1" x14ac:dyDescent="0.25">
      <c r="A647" s="7" t="s">
        <v>36</v>
      </c>
      <c r="B647" s="7" t="s">
        <v>2</v>
      </c>
      <c r="C647" s="6">
        <v>2024</v>
      </c>
      <c r="D647" s="10">
        <v>11</v>
      </c>
      <c r="E647" s="8">
        <f ca="1">IFERROR(__xludf.DUMMYFUNCTION("""COMPUTED_VALUE"""),5947.16814650388)</f>
        <v>5947.1681465038801</v>
      </c>
      <c r="F647"/>
    </row>
    <row r="648" spans="1:6" ht="15.75" customHeight="1" x14ac:dyDescent="0.25">
      <c r="A648" s="7" t="s">
        <v>36</v>
      </c>
      <c r="B648" s="7" t="s">
        <v>16</v>
      </c>
      <c r="C648" s="6">
        <v>2024</v>
      </c>
      <c r="D648" s="10">
        <v>11</v>
      </c>
      <c r="E648" s="8">
        <f ca="1">IFERROR(__xludf.DUMMYFUNCTION("""COMPUTED_VALUE"""),73.4999999999999)</f>
        <v>73.499999999999901</v>
      </c>
      <c r="F648"/>
    </row>
    <row r="649" spans="1:6" ht="15.75" customHeight="1" x14ac:dyDescent="0.25">
      <c r="A649" s="7" t="s">
        <v>36</v>
      </c>
      <c r="B649" s="7" t="s">
        <v>17</v>
      </c>
      <c r="C649" s="6">
        <v>2024</v>
      </c>
      <c r="D649" s="10">
        <v>11</v>
      </c>
      <c r="E649" s="8">
        <f ca="1">IFERROR(__xludf.DUMMYFUNCTION("""COMPUTED_VALUE"""),370)</f>
        <v>370</v>
      </c>
      <c r="F649"/>
    </row>
    <row r="650" spans="1:6" ht="15.75" customHeight="1" x14ac:dyDescent="0.25">
      <c r="A650" s="7" t="s">
        <v>37</v>
      </c>
      <c r="B650" s="9" t="s">
        <v>5</v>
      </c>
      <c r="C650" s="6">
        <v>2024</v>
      </c>
      <c r="D650" s="10">
        <v>11</v>
      </c>
      <c r="E650" s="8">
        <f ca="1">IFERROR(__xludf.DUMMYFUNCTION("TRANSPOSE(IMPORTRANGE(""https://docs.google.com/spreadsheets/d/1nhrG8aUhwlu8h9RD8LxjTGiz9Y-B18aQAaUEaBSJOCg/edit?usp=sharing"",""Perhitungan Stok!$J$26:$J$37""))"),14426.456043956)</f>
        <v>14426.456043955999</v>
      </c>
      <c r="F650"/>
    </row>
    <row r="651" spans="1:6" ht="15.75" customHeight="1" x14ac:dyDescent="0.25">
      <c r="A651" s="7" t="s">
        <v>37</v>
      </c>
      <c r="B651" s="7" t="s">
        <v>3</v>
      </c>
      <c r="C651" s="6">
        <v>2024</v>
      </c>
      <c r="D651" s="10">
        <v>11</v>
      </c>
      <c r="E651" s="8">
        <f ca="1">IFERROR(__xludf.DUMMYFUNCTION("""COMPUTED_VALUE"""),4012.33766233766)</f>
        <v>4012.3376623376598</v>
      </c>
      <c r="F651"/>
    </row>
    <row r="652" spans="1:6" ht="15.75" customHeight="1" x14ac:dyDescent="0.25">
      <c r="A652" s="7" t="s">
        <v>37</v>
      </c>
      <c r="B652" s="7" t="s">
        <v>11</v>
      </c>
      <c r="C652" s="6">
        <v>2024</v>
      </c>
      <c r="D652" s="10">
        <v>11</v>
      </c>
      <c r="E652" s="8">
        <f ca="1">IFERROR(__xludf.DUMMYFUNCTION("""COMPUTED_VALUE"""),911.026103151862)</f>
        <v>911.026103151862</v>
      </c>
      <c r="F652"/>
    </row>
    <row r="653" spans="1:6" ht="15.75" customHeight="1" x14ac:dyDescent="0.25">
      <c r="A653" s="7" t="s">
        <v>37</v>
      </c>
      <c r="B653" s="7" t="s">
        <v>12</v>
      </c>
      <c r="C653" s="6">
        <v>2024</v>
      </c>
      <c r="D653" s="10">
        <v>11</v>
      </c>
      <c r="E653" s="8">
        <f ca="1">IFERROR(__xludf.DUMMYFUNCTION("""COMPUTED_VALUE"""),566)</f>
        <v>566</v>
      </c>
      <c r="F653"/>
    </row>
    <row r="654" spans="1:6" ht="15.75" customHeight="1" x14ac:dyDescent="0.25">
      <c r="A654" s="7" t="s">
        <v>37</v>
      </c>
      <c r="B654" s="7" t="s">
        <v>13</v>
      </c>
      <c r="C654" s="6">
        <v>2024</v>
      </c>
      <c r="D654" s="10">
        <v>11</v>
      </c>
      <c r="E654" s="8">
        <f ca="1">IFERROR(__xludf.DUMMYFUNCTION("""COMPUTED_VALUE"""),897.6)</f>
        <v>897.6</v>
      </c>
      <c r="F654"/>
    </row>
    <row r="655" spans="1:6" ht="15.75" customHeight="1" x14ac:dyDescent="0.25">
      <c r="A655" s="7" t="s">
        <v>37</v>
      </c>
      <c r="B655" s="7" t="s">
        <v>4</v>
      </c>
      <c r="C655" s="6">
        <v>2024</v>
      </c>
      <c r="D655" s="10">
        <v>11</v>
      </c>
      <c r="E655" s="8">
        <f ca="1">IFERROR(__xludf.DUMMYFUNCTION("""COMPUTED_VALUE"""),4452.10714285714)</f>
        <v>4452.1071428571404</v>
      </c>
      <c r="F655"/>
    </row>
    <row r="656" spans="1:6" ht="15.75" customHeight="1" x14ac:dyDescent="0.25">
      <c r="A656" s="7" t="s">
        <v>37</v>
      </c>
      <c r="B656" s="7" t="s">
        <v>1</v>
      </c>
      <c r="C656" s="6">
        <v>2024</v>
      </c>
      <c r="D656" s="10">
        <v>11</v>
      </c>
      <c r="E656" s="8">
        <f ca="1">IFERROR(__xludf.DUMMYFUNCTION("""COMPUTED_VALUE"""),1867.17307692307)</f>
        <v>1867.1730769230701</v>
      </c>
      <c r="F656"/>
    </row>
    <row r="657" spans="1:6" ht="15.75" customHeight="1" x14ac:dyDescent="0.25">
      <c r="A657" s="7" t="s">
        <v>37</v>
      </c>
      <c r="B657" s="7" t="s">
        <v>14</v>
      </c>
      <c r="C657" s="6">
        <v>2024</v>
      </c>
      <c r="D657" s="10">
        <v>11</v>
      </c>
      <c r="E657" s="8">
        <f ca="1">IFERROR(__xludf.DUMMYFUNCTION("""COMPUTED_VALUE"""),2584)</f>
        <v>2584</v>
      </c>
      <c r="F657"/>
    </row>
    <row r="658" spans="1:6" ht="15.75" customHeight="1" x14ac:dyDescent="0.25">
      <c r="A658" s="7" t="s">
        <v>37</v>
      </c>
      <c r="B658" s="7" t="s">
        <v>15</v>
      </c>
      <c r="C658" s="6">
        <v>2024</v>
      </c>
      <c r="D658" s="10">
        <v>11</v>
      </c>
      <c r="E658" s="8">
        <f ca="1">IFERROR(__xludf.DUMMYFUNCTION("""COMPUTED_VALUE"""),3623.5294117647)</f>
        <v>3623.5294117646999</v>
      </c>
      <c r="F658"/>
    </row>
    <row r="659" spans="1:6" ht="15.75" customHeight="1" x14ac:dyDescent="0.25">
      <c r="A659" s="7" t="s">
        <v>37</v>
      </c>
      <c r="B659" s="7" t="s">
        <v>2</v>
      </c>
      <c r="C659" s="6">
        <v>2024</v>
      </c>
      <c r="D659" s="10">
        <v>11</v>
      </c>
      <c r="E659" s="8">
        <f ca="1">IFERROR(__xludf.DUMMYFUNCTION("""COMPUTED_VALUE"""),11465.3164556962)</f>
        <v>11465.3164556962</v>
      </c>
      <c r="F659"/>
    </row>
    <row r="660" spans="1:6" ht="15.75" customHeight="1" x14ac:dyDescent="0.25">
      <c r="A660" s="7" t="s">
        <v>37</v>
      </c>
      <c r="B660" s="7" t="s">
        <v>16</v>
      </c>
      <c r="C660" s="6">
        <v>2024</v>
      </c>
      <c r="D660" s="10">
        <v>11</v>
      </c>
      <c r="E660" s="8">
        <f ca="1">IFERROR(__xludf.DUMMYFUNCTION("""COMPUTED_VALUE"""),1013.28740697439)</f>
        <v>1013.28740697439</v>
      </c>
      <c r="F660"/>
    </row>
    <row r="661" spans="1:6" ht="15.75" customHeight="1" x14ac:dyDescent="0.25">
      <c r="A661" s="7" t="s">
        <v>37</v>
      </c>
      <c r="B661" s="7" t="s">
        <v>17</v>
      </c>
      <c r="C661" s="6">
        <v>2024</v>
      </c>
      <c r="D661" s="10">
        <v>11</v>
      </c>
      <c r="E661" s="8">
        <f ca="1">IFERROR(__xludf.DUMMYFUNCTION("""COMPUTED_VALUE"""),497122.405400248)</f>
        <v>497122.40540024801</v>
      </c>
      <c r="F661"/>
    </row>
    <row r="662" spans="1:6" ht="15.75" customHeight="1" x14ac:dyDescent="0.25">
      <c r="A662" s="7" t="s">
        <v>38</v>
      </c>
      <c r="B662" s="9" t="s">
        <v>5</v>
      </c>
      <c r="C662" s="6">
        <v>2024</v>
      </c>
      <c r="D662" s="10">
        <v>11</v>
      </c>
      <c r="E662" s="8">
        <f ca="1">IFERROR(__xludf.DUMMYFUNCTION("TRANSPOSE(IMPORTRANGE(""https://docs.google.com/spreadsheets/d/1cnnoH2DzFv3zqxk0Yl4qfpoTY4Eh1GUn4Dj-GmU6csM/edit?usp=sharing"",""Perhitungan Stok!$J$26:$J$37""))"),357368.898305084)</f>
        <v>357368.89830508397</v>
      </c>
      <c r="F662"/>
    </row>
    <row r="663" spans="1:6" ht="15.75" customHeight="1" x14ac:dyDescent="0.25">
      <c r="A663" s="7" t="s">
        <v>38</v>
      </c>
      <c r="B663" s="7" t="s">
        <v>3</v>
      </c>
      <c r="C663" s="6">
        <v>2024</v>
      </c>
      <c r="D663" s="10">
        <v>11</v>
      </c>
      <c r="E663" s="8">
        <f ca="1">IFERROR(__xludf.DUMMYFUNCTION("""COMPUTED_VALUE"""),5386.66666666666)</f>
        <v>5386.6666666666597</v>
      </c>
      <c r="F663"/>
    </row>
    <row r="664" spans="1:6" ht="15.75" customHeight="1" x14ac:dyDescent="0.25">
      <c r="A664" s="7" t="s">
        <v>38</v>
      </c>
      <c r="B664" s="7" t="s">
        <v>11</v>
      </c>
      <c r="C664" s="6">
        <v>2024</v>
      </c>
      <c r="D664" s="10">
        <v>11</v>
      </c>
      <c r="E664" s="8">
        <f ca="1">IFERROR(__xludf.DUMMYFUNCTION("""COMPUTED_VALUE"""),38012.6666666666)</f>
        <v>38012.666666666599</v>
      </c>
      <c r="F664"/>
    </row>
    <row r="665" spans="1:6" ht="15.75" customHeight="1" x14ac:dyDescent="0.25">
      <c r="A665" s="7" t="s">
        <v>38</v>
      </c>
      <c r="B665" s="7" t="s">
        <v>12</v>
      </c>
      <c r="C665" s="6">
        <v>2024</v>
      </c>
      <c r="D665" s="10">
        <v>11</v>
      </c>
      <c r="E665" s="8">
        <f ca="1">IFERROR(__xludf.DUMMYFUNCTION("""COMPUTED_VALUE"""),2344.53519417475)</f>
        <v>2344.5351941747499</v>
      </c>
      <c r="F665"/>
    </row>
    <row r="666" spans="1:6" ht="15.75" customHeight="1" x14ac:dyDescent="0.25">
      <c r="A666" s="7" t="s">
        <v>38</v>
      </c>
      <c r="B666" s="7" t="s">
        <v>13</v>
      </c>
      <c r="C666" s="6">
        <v>2024</v>
      </c>
      <c r="D666" s="10">
        <v>11</v>
      </c>
      <c r="E666" s="8">
        <f ca="1">IFERROR(__xludf.DUMMYFUNCTION("""COMPUTED_VALUE"""),4128.58333333333)</f>
        <v>4128.5833333333303</v>
      </c>
      <c r="F666"/>
    </row>
    <row r="667" spans="1:6" ht="15.75" customHeight="1" x14ac:dyDescent="0.25">
      <c r="A667" s="7" t="s">
        <v>38</v>
      </c>
      <c r="B667" s="7" t="s">
        <v>4</v>
      </c>
      <c r="C667" s="6">
        <v>2024</v>
      </c>
      <c r="D667" s="10">
        <v>11</v>
      </c>
      <c r="E667" s="8">
        <f ca="1">IFERROR(__xludf.DUMMYFUNCTION("""COMPUTED_VALUE"""),92016)</f>
        <v>92016</v>
      </c>
      <c r="F667"/>
    </row>
    <row r="668" spans="1:6" ht="15.75" customHeight="1" x14ac:dyDescent="0.25">
      <c r="A668" s="7" t="s">
        <v>38</v>
      </c>
      <c r="B668" s="7" t="s">
        <v>1</v>
      </c>
      <c r="C668" s="6">
        <v>2024</v>
      </c>
      <c r="D668" s="10">
        <v>11</v>
      </c>
      <c r="E668" s="8">
        <f ca="1">IFERROR(__xludf.DUMMYFUNCTION("""COMPUTED_VALUE"""),2332.84523809523)</f>
        <v>2332.8452380952299</v>
      </c>
      <c r="F668"/>
    </row>
    <row r="669" spans="1:6" ht="15.75" customHeight="1" x14ac:dyDescent="0.25">
      <c r="A669" s="7" t="s">
        <v>38</v>
      </c>
      <c r="B669" s="7" t="s">
        <v>14</v>
      </c>
      <c r="C669" s="6">
        <v>2024</v>
      </c>
      <c r="D669" s="10">
        <v>11</v>
      </c>
      <c r="E669" s="8">
        <f ca="1">IFERROR(__xludf.DUMMYFUNCTION("""COMPUTED_VALUE"""),237.5)</f>
        <v>237.5</v>
      </c>
      <c r="F669"/>
    </row>
    <row r="670" spans="1:6" ht="15.75" customHeight="1" x14ac:dyDescent="0.25">
      <c r="A670" s="7" t="s">
        <v>38</v>
      </c>
      <c r="B670" s="7" t="s">
        <v>15</v>
      </c>
      <c r="C670" s="6">
        <v>2024</v>
      </c>
      <c r="D670" s="10">
        <v>11</v>
      </c>
      <c r="E670" s="8">
        <f ca="1">IFERROR(__xludf.DUMMYFUNCTION("""COMPUTED_VALUE"""),3229.99999999999)</f>
        <v>3229.99999999999</v>
      </c>
      <c r="F670"/>
    </row>
    <row r="671" spans="1:6" ht="15.75" customHeight="1" x14ac:dyDescent="0.25">
      <c r="A671" s="7" t="s">
        <v>38</v>
      </c>
      <c r="B671" s="7" t="s">
        <v>2</v>
      </c>
      <c r="C671" s="6">
        <v>2024</v>
      </c>
      <c r="D671" s="10">
        <v>11</v>
      </c>
      <c r="E671" s="8">
        <f ca="1">IFERROR(__xludf.DUMMYFUNCTION("""COMPUTED_VALUE"""),6221.6923076923)</f>
        <v>6221.6923076923003</v>
      </c>
      <c r="F671"/>
    </row>
    <row r="672" spans="1:6" ht="15.75" customHeight="1" x14ac:dyDescent="0.25">
      <c r="A672" s="7" t="s">
        <v>38</v>
      </c>
      <c r="B672" s="7" t="s">
        <v>16</v>
      </c>
      <c r="C672" s="6">
        <v>2024</v>
      </c>
      <c r="D672" s="10">
        <v>11</v>
      </c>
      <c r="E672" s="8">
        <f ca="1">IFERROR(__xludf.DUMMYFUNCTION("""COMPUTED_VALUE"""),2977.55621890547)</f>
        <v>2977.5562189054699</v>
      </c>
      <c r="F672"/>
    </row>
    <row r="673" spans="1:6" ht="15.75" customHeight="1" x14ac:dyDescent="0.25">
      <c r="A673" s="7" t="s">
        <v>38</v>
      </c>
      <c r="B673" s="7" t="s">
        <v>17</v>
      </c>
      <c r="C673" s="6">
        <v>2024</v>
      </c>
      <c r="D673" s="10">
        <v>11</v>
      </c>
      <c r="E673" s="8">
        <f ca="1">IFERROR(__xludf.DUMMYFUNCTION("""COMPUTED_VALUE"""),36168.5798548094)</f>
        <v>36168.579854809403</v>
      </c>
      <c r="F673"/>
    </row>
    <row r="674" spans="1:6" ht="15.75" customHeight="1" x14ac:dyDescent="0.25">
      <c r="A674" s="7" t="s">
        <v>39</v>
      </c>
      <c r="B674" s="9" t="s">
        <v>5</v>
      </c>
      <c r="C674" s="6">
        <v>2024</v>
      </c>
      <c r="D674" s="10">
        <v>11</v>
      </c>
      <c r="E674" s="8">
        <f ca="1">IFERROR(__xludf.DUMMYFUNCTION("TRANSPOSE(IMPORTRANGE(""https://docs.google.com/spreadsheets/d/1vjoYpAKwt-1uYvHssYaITGNWtHjFb67ZO2O1EfOX948/edit?usp=sharing"",""Perhitungan Stok!$J$26:$J$37""))"),380179.121260262)</f>
        <v>380179.12126026198</v>
      </c>
      <c r="F674"/>
    </row>
    <row r="675" spans="1:6" ht="15.75" customHeight="1" x14ac:dyDescent="0.25">
      <c r="A675" s="7" t="s">
        <v>39</v>
      </c>
      <c r="B675" s="7" t="s">
        <v>3</v>
      </c>
      <c r="C675" s="6">
        <v>2024</v>
      </c>
      <c r="D675" s="10">
        <v>11</v>
      </c>
      <c r="E675" s="8">
        <f ca="1">IFERROR(__xludf.DUMMYFUNCTION("""COMPUTED_VALUE"""),46770.9126984127)</f>
        <v>46770.9126984127</v>
      </c>
      <c r="F675"/>
    </row>
    <row r="676" spans="1:6" ht="15.75" customHeight="1" x14ac:dyDescent="0.25">
      <c r="A676" s="7" t="s">
        <v>39</v>
      </c>
      <c r="B676" s="7" t="s">
        <v>11</v>
      </c>
      <c r="C676" s="6">
        <v>2024</v>
      </c>
      <c r="D676" s="10">
        <v>11</v>
      </c>
      <c r="E676" s="8">
        <f ca="1">IFERROR(__xludf.DUMMYFUNCTION("""COMPUTED_VALUE"""),17762.918095238)</f>
        <v>17762.918095238001</v>
      </c>
      <c r="F676"/>
    </row>
    <row r="677" spans="1:6" ht="15.75" customHeight="1" x14ac:dyDescent="0.25">
      <c r="A677" s="7" t="s">
        <v>39</v>
      </c>
      <c r="B677" s="7" t="s">
        <v>12</v>
      </c>
      <c r="C677" s="6">
        <v>2024</v>
      </c>
      <c r="D677" s="10">
        <v>11</v>
      </c>
      <c r="E677" s="8">
        <f ca="1">IFERROR(__xludf.DUMMYFUNCTION("""COMPUTED_VALUE"""),887.630039525691)</f>
        <v>887.63003952569102</v>
      </c>
      <c r="F677"/>
    </row>
    <row r="678" spans="1:6" ht="15.75" customHeight="1" x14ac:dyDescent="0.25">
      <c r="A678" s="7" t="s">
        <v>39</v>
      </c>
      <c r="B678" s="7" t="s">
        <v>13</v>
      </c>
      <c r="C678" s="6">
        <v>2024</v>
      </c>
      <c r="D678" s="10">
        <v>11</v>
      </c>
      <c r="E678" s="8">
        <f ca="1">IFERROR(__xludf.DUMMYFUNCTION("""COMPUTED_VALUE"""),3527.90748898678)</f>
        <v>3527.9074889867802</v>
      </c>
      <c r="F678"/>
    </row>
    <row r="679" spans="1:6" ht="15.75" customHeight="1" x14ac:dyDescent="0.25">
      <c r="A679" s="7" t="s">
        <v>39</v>
      </c>
      <c r="B679" s="7" t="s">
        <v>4</v>
      </c>
      <c r="C679" s="6">
        <v>2024</v>
      </c>
      <c r="D679" s="10">
        <v>11</v>
      </c>
      <c r="E679" s="8">
        <f ca="1">IFERROR(__xludf.DUMMYFUNCTION("""COMPUTED_VALUE"""),1016.57466918714)</f>
        <v>1016.57466918714</v>
      </c>
      <c r="F679"/>
    </row>
    <row r="680" spans="1:6" ht="15.75" customHeight="1" x14ac:dyDescent="0.25">
      <c r="A680" s="7" t="s">
        <v>39</v>
      </c>
      <c r="B680" s="7" t="s">
        <v>1</v>
      </c>
      <c r="C680" s="6">
        <v>2024</v>
      </c>
      <c r="D680" s="10">
        <v>11</v>
      </c>
      <c r="E680" s="8">
        <f ca="1">IFERROR(__xludf.DUMMYFUNCTION("""COMPUTED_VALUE"""),1174.11891891891)</f>
        <v>1174.1189189189099</v>
      </c>
      <c r="F680"/>
    </row>
    <row r="681" spans="1:6" ht="15.75" customHeight="1" x14ac:dyDescent="0.25">
      <c r="A681" s="7" t="s">
        <v>39</v>
      </c>
      <c r="B681" s="7" t="s">
        <v>14</v>
      </c>
      <c r="C681" s="6">
        <v>2024</v>
      </c>
      <c r="D681" s="10">
        <v>11</v>
      </c>
      <c r="E681" s="8">
        <f ca="1">IFERROR(__xludf.DUMMYFUNCTION("""COMPUTED_VALUE"""),691.25)</f>
        <v>691.25</v>
      </c>
      <c r="F681"/>
    </row>
    <row r="682" spans="1:6" ht="15.75" customHeight="1" x14ac:dyDescent="0.25">
      <c r="A682" s="7" t="s">
        <v>39</v>
      </c>
      <c r="B682" s="7" t="s">
        <v>15</v>
      </c>
      <c r="C682" s="6">
        <v>2024</v>
      </c>
      <c r="D682" s="10">
        <v>11</v>
      </c>
      <c r="E682" s="8">
        <f ca="1">IFERROR(__xludf.DUMMYFUNCTION("""COMPUTED_VALUE"""),5589.08952380952)</f>
        <v>5589.08952380952</v>
      </c>
      <c r="F682"/>
    </row>
    <row r="683" spans="1:6" ht="15.75" customHeight="1" x14ac:dyDescent="0.25">
      <c r="A683" s="7" t="s">
        <v>39</v>
      </c>
      <c r="B683" s="7" t="s">
        <v>2</v>
      </c>
      <c r="C683" s="6">
        <v>2024</v>
      </c>
      <c r="D683" s="10">
        <v>11</v>
      </c>
      <c r="E683" s="8">
        <f ca="1">IFERROR(__xludf.DUMMYFUNCTION("""COMPUTED_VALUE"""),1407.18181818181)</f>
        <v>1407.1818181818101</v>
      </c>
      <c r="F683"/>
    </row>
    <row r="684" spans="1:6" ht="15.75" customHeight="1" x14ac:dyDescent="0.25">
      <c r="A684" s="7" t="s">
        <v>39</v>
      </c>
      <c r="B684" s="7" t="s">
        <v>16</v>
      </c>
      <c r="C684" s="6">
        <v>2024</v>
      </c>
      <c r="D684" s="10">
        <v>11</v>
      </c>
      <c r="E684" s="8">
        <f ca="1">IFERROR(__xludf.DUMMYFUNCTION("""COMPUTED_VALUE"""),179263.711024759)</f>
        <v>179263.71102475899</v>
      </c>
      <c r="F684"/>
    </row>
    <row r="685" spans="1:6" ht="15.75" customHeight="1" x14ac:dyDescent="0.25">
      <c r="A685" s="7" t="s">
        <v>39</v>
      </c>
      <c r="B685" s="7" t="s">
        <v>17</v>
      </c>
      <c r="C685" s="6">
        <v>2024</v>
      </c>
      <c r="D685" s="10">
        <v>11</v>
      </c>
      <c r="E685" s="8">
        <f ca="1">IFERROR(__xludf.DUMMYFUNCTION("""COMPUTED_VALUE"""),20811.4774235556)</f>
        <v>20811.4774235556</v>
      </c>
      <c r="F685"/>
    </row>
    <row r="686" spans="1:6" ht="15.75" customHeight="1" x14ac:dyDescent="0.25">
      <c r="A686" s="7" t="s">
        <v>40</v>
      </c>
      <c r="B686" s="9" t="s">
        <v>5</v>
      </c>
      <c r="C686" s="6">
        <v>2024</v>
      </c>
      <c r="D686" s="10">
        <v>11</v>
      </c>
      <c r="E686" s="8">
        <f ca="1">IFERROR(__xludf.DUMMYFUNCTION("TRANSPOSE(IMPORTRANGE(""https://docs.google.com/spreadsheets/d/1a-yinyZMPWvIFnuwmKIvmbn9HnV88O1eISRoq9xl3ow/edit?usp=sharing"",""Perhitungan Stok!$J$26:$J$37""))"),1356307.17701253)</f>
        <v>1356307.1770125299</v>
      </c>
      <c r="F686"/>
    </row>
    <row r="687" spans="1:6" ht="15.75" customHeight="1" x14ac:dyDescent="0.25">
      <c r="A687" s="7" t="s">
        <v>40</v>
      </c>
      <c r="B687" s="7" t="s">
        <v>3</v>
      </c>
      <c r="C687" s="6">
        <v>2024</v>
      </c>
      <c r="D687" s="10">
        <v>11</v>
      </c>
      <c r="E687" s="8" t="s">
        <v>21</v>
      </c>
      <c r="F687"/>
    </row>
    <row r="688" spans="1:6" ht="15.75" customHeight="1" x14ac:dyDescent="0.25">
      <c r="A688" s="7" t="s">
        <v>40</v>
      </c>
      <c r="B688" s="7" t="s">
        <v>11</v>
      </c>
      <c r="C688" s="6">
        <v>2024</v>
      </c>
      <c r="D688" s="10">
        <v>11</v>
      </c>
      <c r="E688" s="8">
        <f ca="1">IFERROR(__xludf.DUMMYFUNCTION("""COMPUTED_VALUE"""),227375)</f>
        <v>227375</v>
      </c>
      <c r="F688"/>
    </row>
    <row r="689" spans="1:6" ht="15.75" customHeight="1" x14ac:dyDescent="0.25">
      <c r="A689" s="7" t="s">
        <v>40</v>
      </c>
      <c r="B689" s="7" t="s">
        <v>12</v>
      </c>
      <c r="C689" s="6">
        <v>2024</v>
      </c>
      <c r="D689" s="10">
        <v>11</v>
      </c>
      <c r="E689" s="8">
        <f ca="1">IFERROR(__xludf.DUMMYFUNCTION("""COMPUTED_VALUE"""),293.647058823529)</f>
        <v>293.64705882352899</v>
      </c>
      <c r="F689"/>
    </row>
    <row r="690" spans="1:6" ht="15.75" customHeight="1" x14ac:dyDescent="0.25">
      <c r="A690" s="7" t="s">
        <v>40</v>
      </c>
      <c r="B690" s="7" t="s">
        <v>13</v>
      </c>
      <c r="C690" s="6">
        <v>2024</v>
      </c>
      <c r="D690" s="10">
        <v>11</v>
      </c>
      <c r="E690" s="8">
        <f ca="1">IFERROR(__xludf.DUMMYFUNCTION("""COMPUTED_VALUE"""),642.307692307692)</f>
        <v>642.30769230769204</v>
      </c>
      <c r="F690"/>
    </row>
    <row r="691" spans="1:6" ht="15.75" customHeight="1" x14ac:dyDescent="0.25">
      <c r="A691" s="7" t="s">
        <v>40</v>
      </c>
      <c r="B691" s="7" t="s">
        <v>4</v>
      </c>
      <c r="C691" s="6">
        <v>2024</v>
      </c>
      <c r="D691" s="10">
        <v>11</v>
      </c>
      <c r="E691" s="8">
        <f ca="1">IFERROR(__xludf.DUMMYFUNCTION("""COMPUTED_VALUE"""),6708)</f>
        <v>6708</v>
      </c>
      <c r="F691"/>
    </row>
    <row r="692" spans="1:6" ht="15.75" customHeight="1" x14ac:dyDescent="0.25">
      <c r="A692" s="7" t="s">
        <v>40</v>
      </c>
      <c r="B692" s="7" t="s">
        <v>1</v>
      </c>
      <c r="C692" s="6">
        <v>2024</v>
      </c>
      <c r="D692" s="10">
        <v>11</v>
      </c>
      <c r="E692" s="8">
        <f ca="1">IFERROR(__xludf.DUMMYFUNCTION("""COMPUTED_VALUE"""),119891.2)</f>
        <v>119891.2</v>
      </c>
      <c r="F692"/>
    </row>
    <row r="693" spans="1:6" ht="15.75" customHeight="1" x14ac:dyDescent="0.25">
      <c r="A693" s="7" t="s">
        <v>40</v>
      </c>
      <c r="B693" s="7" t="s">
        <v>14</v>
      </c>
      <c r="C693" s="6">
        <v>2024</v>
      </c>
      <c r="D693" s="10">
        <v>11</v>
      </c>
      <c r="E693" s="8">
        <f ca="1">IFERROR(__xludf.DUMMYFUNCTION("""COMPUTED_VALUE"""),1950)</f>
        <v>1950</v>
      </c>
      <c r="F693"/>
    </row>
    <row r="694" spans="1:6" ht="15.75" customHeight="1" x14ac:dyDescent="0.25">
      <c r="A694" s="7" t="s">
        <v>40</v>
      </c>
      <c r="B694" s="7" t="s">
        <v>15</v>
      </c>
      <c r="C694" s="6">
        <v>2024</v>
      </c>
      <c r="D694" s="10">
        <v>11</v>
      </c>
      <c r="E694" s="8">
        <f ca="1">IFERROR(__xludf.DUMMYFUNCTION("""COMPUTED_VALUE"""),1905.26315789473)</f>
        <v>1905.2631578947301</v>
      </c>
      <c r="F694"/>
    </row>
    <row r="695" spans="1:6" ht="15.75" customHeight="1" x14ac:dyDescent="0.25">
      <c r="A695" s="7" t="s">
        <v>40</v>
      </c>
      <c r="B695" s="7" t="s">
        <v>2</v>
      </c>
      <c r="C695" s="6">
        <v>2024</v>
      </c>
      <c r="D695" s="10">
        <v>11</v>
      </c>
      <c r="E695" s="8">
        <f ca="1">IFERROR(__xludf.DUMMYFUNCTION("""COMPUTED_VALUE"""),1797.60368663594)</f>
        <v>1797.60368663594</v>
      </c>
      <c r="F695"/>
    </row>
    <row r="696" spans="1:6" ht="15.75" customHeight="1" x14ac:dyDescent="0.25">
      <c r="A696" s="7" t="s">
        <v>40</v>
      </c>
      <c r="B696" s="7" t="s">
        <v>16</v>
      </c>
      <c r="C696" s="6">
        <v>2024</v>
      </c>
      <c r="D696" s="10">
        <v>11</v>
      </c>
      <c r="E696" s="8">
        <f ca="1">IFERROR(__xludf.DUMMYFUNCTION("""COMPUTED_VALUE"""),66865.4897598212)</f>
        <v>66865.489759821197</v>
      </c>
      <c r="F696"/>
    </row>
    <row r="697" spans="1:6" ht="15.75" customHeight="1" x14ac:dyDescent="0.25">
      <c r="A697" s="7" t="s">
        <v>40</v>
      </c>
      <c r="B697" s="7" t="s">
        <v>17</v>
      </c>
      <c r="C697" s="6">
        <v>2024</v>
      </c>
      <c r="D697" s="10">
        <v>11</v>
      </c>
      <c r="E697" s="8">
        <f ca="1">IFERROR(__xludf.DUMMYFUNCTION("""COMPUTED_VALUE"""),1143108.06796727)</f>
        <v>1143108.06796727</v>
      </c>
      <c r="F697"/>
    </row>
    <row r="698" spans="1:6" ht="15.75" customHeight="1" x14ac:dyDescent="0.25">
      <c r="A698" s="7" t="s">
        <v>41</v>
      </c>
      <c r="B698" s="9" t="s">
        <v>5</v>
      </c>
      <c r="C698" s="6">
        <v>2024</v>
      </c>
      <c r="D698" s="10">
        <v>11</v>
      </c>
      <c r="E698" s="8">
        <f ca="1">IFERROR(__xludf.DUMMYFUNCTION("TRANSPOSE(IMPORTRANGE(""https://docs.google.com/spreadsheets/d/1mU4EIcXrwUDeB7vEe4Xgk9GJ4ybq50bGeYst7gDl-KE/edit?usp=sharing"",""Perhitungan Stok!$J$26:$J$37""))"),46849.7096899224)</f>
        <v>46849.709689922398</v>
      </c>
      <c r="F698"/>
    </row>
    <row r="699" spans="1:6" ht="15.75" customHeight="1" x14ac:dyDescent="0.25">
      <c r="A699" s="7" t="s">
        <v>41</v>
      </c>
      <c r="B699" s="7" t="s">
        <v>3</v>
      </c>
      <c r="C699" s="6">
        <v>2024</v>
      </c>
      <c r="D699" s="10">
        <v>11</v>
      </c>
      <c r="E699" s="8">
        <f ca="1">IFERROR(__xludf.DUMMYFUNCTION("""COMPUTED_VALUE"""),24284.6428571428)</f>
        <v>24284.6428571428</v>
      </c>
      <c r="F699"/>
    </row>
    <row r="700" spans="1:6" ht="15.75" customHeight="1" x14ac:dyDescent="0.25">
      <c r="A700" s="7" t="s">
        <v>41</v>
      </c>
      <c r="B700" s="7" t="s">
        <v>11</v>
      </c>
      <c r="C700" s="6">
        <v>2024</v>
      </c>
      <c r="D700" s="10">
        <v>11</v>
      </c>
      <c r="E700" s="8">
        <f ca="1">IFERROR(__xludf.DUMMYFUNCTION("""COMPUTED_VALUE"""),59651.8095238095)</f>
        <v>59651.809523809497</v>
      </c>
      <c r="F700"/>
    </row>
    <row r="701" spans="1:6" ht="15.75" customHeight="1" x14ac:dyDescent="0.25">
      <c r="A701" s="7" t="s">
        <v>41</v>
      </c>
      <c r="B701" s="7" t="s">
        <v>12</v>
      </c>
      <c r="C701" s="6">
        <v>2024</v>
      </c>
      <c r="D701" s="10">
        <v>11</v>
      </c>
      <c r="E701" s="8">
        <f ca="1">IFERROR(__xludf.DUMMYFUNCTION("""COMPUTED_VALUE"""),11383.1666666666)</f>
        <v>11383.166666666601</v>
      </c>
      <c r="F701"/>
    </row>
    <row r="702" spans="1:6" ht="15.75" customHeight="1" x14ac:dyDescent="0.25">
      <c r="A702" s="7" t="s">
        <v>41</v>
      </c>
      <c r="B702" s="7" t="s">
        <v>13</v>
      </c>
      <c r="C702" s="6">
        <v>2024</v>
      </c>
      <c r="D702" s="10">
        <v>11</v>
      </c>
      <c r="E702" s="8">
        <f ca="1">IFERROR(__xludf.DUMMYFUNCTION("""COMPUTED_VALUE"""),11299.3124999999)</f>
        <v>11299.3124999999</v>
      </c>
      <c r="F702"/>
    </row>
    <row r="703" spans="1:6" ht="15.75" customHeight="1" x14ac:dyDescent="0.25">
      <c r="A703" s="7" t="s">
        <v>41</v>
      </c>
      <c r="B703" s="7" t="s">
        <v>4</v>
      </c>
      <c r="C703" s="6">
        <v>2024</v>
      </c>
      <c r="D703" s="10">
        <v>11</v>
      </c>
      <c r="E703" s="8">
        <f ca="1">IFERROR(__xludf.DUMMYFUNCTION("""COMPUTED_VALUE"""),2650.29952830188)</f>
        <v>2650.2995283018799</v>
      </c>
      <c r="F703"/>
    </row>
    <row r="704" spans="1:6" ht="15.75" customHeight="1" x14ac:dyDescent="0.25">
      <c r="A704" s="7" t="s">
        <v>41</v>
      </c>
      <c r="B704" s="7" t="s">
        <v>1</v>
      </c>
      <c r="C704" s="6">
        <v>2024</v>
      </c>
      <c r="D704" s="10">
        <v>11</v>
      </c>
      <c r="E704" s="8">
        <f ca="1">IFERROR(__xludf.DUMMYFUNCTION("""COMPUTED_VALUE"""),575.061607142857)</f>
        <v>575.06160714285704</v>
      </c>
      <c r="F704"/>
    </row>
    <row r="705" spans="1:6" ht="15.75" customHeight="1" x14ac:dyDescent="0.25">
      <c r="A705" s="7" t="s">
        <v>41</v>
      </c>
      <c r="B705" s="7" t="s">
        <v>14</v>
      </c>
      <c r="C705" s="6">
        <v>2024</v>
      </c>
      <c r="D705" s="10">
        <v>11</v>
      </c>
      <c r="E705" s="8">
        <f ca="1">IFERROR(__xludf.DUMMYFUNCTION("""COMPUTED_VALUE"""),5615.45454545454)</f>
        <v>5615.4545454545396</v>
      </c>
      <c r="F705"/>
    </row>
    <row r="706" spans="1:6" ht="15.75" customHeight="1" x14ac:dyDescent="0.25">
      <c r="A706" s="7" t="s">
        <v>41</v>
      </c>
      <c r="B706" s="7" t="s">
        <v>15</v>
      </c>
      <c r="C706" s="6">
        <v>2024</v>
      </c>
      <c r="D706" s="10">
        <v>11</v>
      </c>
      <c r="E706" s="8">
        <f ca="1">IFERROR(__xludf.DUMMYFUNCTION("""COMPUTED_VALUE"""),19408.75)</f>
        <v>19408.75</v>
      </c>
      <c r="F706"/>
    </row>
    <row r="707" spans="1:6" ht="15.75" customHeight="1" x14ac:dyDescent="0.25">
      <c r="A707" s="7" t="s">
        <v>41</v>
      </c>
      <c r="B707" s="7" t="s">
        <v>2</v>
      </c>
      <c r="C707" s="6">
        <v>2024</v>
      </c>
      <c r="D707" s="10">
        <v>11</v>
      </c>
      <c r="E707" s="8">
        <f ca="1">IFERROR(__xludf.DUMMYFUNCTION("""COMPUTED_VALUE"""),65800)</f>
        <v>65800</v>
      </c>
      <c r="F707"/>
    </row>
    <row r="708" spans="1:6" ht="15.75" customHeight="1" x14ac:dyDescent="0.25">
      <c r="A708" s="7" t="s">
        <v>41</v>
      </c>
      <c r="B708" s="7" t="s">
        <v>16</v>
      </c>
      <c r="C708" s="6">
        <v>2024</v>
      </c>
      <c r="D708" s="10">
        <v>11</v>
      </c>
      <c r="E708" s="8">
        <f ca="1">IFERROR(__xludf.DUMMYFUNCTION("""COMPUTED_VALUE"""),13005)</f>
        <v>13005</v>
      </c>
      <c r="F708"/>
    </row>
    <row r="709" spans="1:6" ht="15.75" customHeight="1" x14ac:dyDescent="0.25">
      <c r="A709" s="7" t="s">
        <v>41</v>
      </c>
      <c r="B709" s="7" t="s">
        <v>17</v>
      </c>
      <c r="C709" s="6">
        <v>2024</v>
      </c>
      <c r="D709" s="10">
        <v>11</v>
      </c>
      <c r="E709" s="8">
        <f ca="1">IFERROR(__xludf.DUMMYFUNCTION("""COMPUTED_VALUE"""),7048.50704225352)</f>
        <v>7048.50704225352</v>
      </c>
      <c r="F709"/>
    </row>
    <row r="710" spans="1:6" ht="15.75" customHeight="1" x14ac:dyDescent="0.25">
      <c r="A710" s="7" t="s">
        <v>42</v>
      </c>
      <c r="B710" s="9" t="s">
        <v>5</v>
      </c>
      <c r="C710" s="6">
        <v>2024</v>
      </c>
      <c r="D710" s="10">
        <v>11</v>
      </c>
      <c r="E710" s="8">
        <f ca="1">IFERROR(__xludf.DUMMYFUNCTION("TRANSPOSE(IMPORTRANGE(""https://docs.google.com/spreadsheets/d/1RtKPQyOO7LmdCKbTIs0prNnx7wEDb46eo2A3rO1IrDQ/edit?usp=sharing"",""Perhitungan Stok!$J$26:$J$37""))"),1179904.61825396)</f>
        <v>1179904.61825396</v>
      </c>
      <c r="F710"/>
    </row>
    <row r="711" spans="1:6" ht="15.75" customHeight="1" x14ac:dyDescent="0.25">
      <c r="A711" s="7" t="s">
        <v>42</v>
      </c>
      <c r="B711" s="7" t="s">
        <v>3</v>
      </c>
      <c r="C711" s="6">
        <v>2024</v>
      </c>
      <c r="D711" s="10">
        <v>11</v>
      </c>
      <c r="E711" s="8">
        <f ca="1">IFERROR(__xludf.DUMMYFUNCTION("""COMPUTED_VALUE"""),1500)</f>
        <v>1500</v>
      </c>
      <c r="F711"/>
    </row>
    <row r="712" spans="1:6" ht="15.75" customHeight="1" x14ac:dyDescent="0.25">
      <c r="A712" s="7" t="s">
        <v>42</v>
      </c>
      <c r="B712" s="7" t="s">
        <v>11</v>
      </c>
      <c r="C712" s="6">
        <v>2024</v>
      </c>
      <c r="D712" s="10">
        <v>11</v>
      </c>
      <c r="E712" s="8">
        <f ca="1">IFERROR(__xludf.DUMMYFUNCTION("""COMPUTED_VALUE"""),14426.1764705882)</f>
        <v>14426.1764705882</v>
      </c>
      <c r="F712"/>
    </row>
    <row r="713" spans="1:6" ht="15.75" customHeight="1" x14ac:dyDescent="0.25">
      <c r="A713" s="7" t="s">
        <v>42</v>
      </c>
      <c r="B713" s="7" t="s">
        <v>12</v>
      </c>
      <c r="C713" s="6">
        <v>2024</v>
      </c>
      <c r="D713" s="10">
        <v>11</v>
      </c>
      <c r="E713" s="8">
        <f ca="1">IFERROR(__xludf.DUMMYFUNCTION("""COMPUTED_VALUE"""),175.5)</f>
        <v>175.5</v>
      </c>
      <c r="F713"/>
    </row>
    <row r="714" spans="1:6" ht="15.75" customHeight="1" x14ac:dyDescent="0.25">
      <c r="A714" s="7" t="s">
        <v>42</v>
      </c>
      <c r="B714" s="7" t="s">
        <v>13</v>
      </c>
      <c r="C714" s="6">
        <v>2024</v>
      </c>
      <c r="D714" s="10">
        <v>11</v>
      </c>
      <c r="E714" s="8">
        <f ca="1">IFERROR(__xludf.DUMMYFUNCTION("""COMPUTED_VALUE"""),199.666666666666)</f>
        <v>199.666666666666</v>
      </c>
      <c r="F714"/>
    </row>
    <row r="715" spans="1:6" ht="15.75" customHeight="1" x14ac:dyDescent="0.25">
      <c r="A715" s="7" t="s">
        <v>42</v>
      </c>
      <c r="B715" s="7" t="s">
        <v>4</v>
      </c>
      <c r="C715" s="6">
        <v>2024</v>
      </c>
      <c r="D715" s="10">
        <v>11</v>
      </c>
      <c r="E715" s="8">
        <f ca="1">IFERROR(__xludf.DUMMYFUNCTION("""COMPUTED_VALUE"""),423)</f>
        <v>423</v>
      </c>
      <c r="F715"/>
    </row>
    <row r="716" spans="1:6" ht="15.75" customHeight="1" x14ac:dyDescent="0.25">
      <c r="A716" s="7" t="s">
        <v>42</v>
      </c>
      <c r="B716" s="7" t="s">
        <v>1</v>
      </c>
      <c r="C716" s="6">
        <v>2024</v>
      </c>
      <c r="D716" s="10">
        <v>11</v>
      </c>
      <c r="E716" s="8">
        <f ca="1">IFERROR(__xludf.DUMMYFUNCTION("""COMPUTED_VALUE"""),458.999999999999)</f>
        <v>458.99999999999898</v>
      </c>
      <c r="F716"/>
    </row>
    <row r="717" spans="1:6" ht="15.75" customHeight="1" x14ac:dyDescent="0.25">
      <c r="A717" s="7" t="s">
        <v>42</v>
      </c>
      <c r="B717" s="7" t="s">
        <v>14</v>
      </c>
      <c r="C717" s="6">
        <v>2024</v>
      </c>
      <c r="D717" s="10">
        <v>11</v>
      </c>
      <c r="E717" s="8">
        <f ca="1">IFERROR(__xludf.DUMMYFUNCTION("""COMPUTED_VALUE"""),6924.04458598726)</f>
        <v>6924.0445859872598</v>
      </c>
      <c r="F717"/>
    </row>
    <row r="718" spans="1:6" ht="15.75" customHeight="1" x14ac:dyDescent="0.25">
      <c r="A718" s="7" t="s">
        <v>42</v>
      </c>
      <c r="B718" s="7" t="s">
        <v>15</v>
      </c>
      <c r="C718" s="6">
        <v>2024</v>
      </c>
      <c r="D718" s="10">
        <v>11</v>
      </c>
      <c r="E718" s="8" t="s">
        <v>21</v>
      </c>
      <c r="F718"/>
    </row>
    <row r="719" spans="1:6" ht="15.75" customHeight="1" x14ac:dyDescent="0.25">
      <c r="A719" s="7" t="s">
        <v>42</v>
      </c>
      <c r="B719" s="7" t="s">
        <v>2</v>
      </c>
      <c r="C719" s="6">
        <v>2024</v>
      </c>
      <c r="D719" s="10">
        <v>11</v>
      </c>
      <c r="E719" s="8">
        <f ca="1">IFERROR(__xludf.DUMMYFUNCTION("""COMPUTED_VALUE"""),2183.43811394891)</f>
        <v>2183.4381139489101</v>
      </c>
      <c r="F719"/>
    </row>
    <row r="720" spans="1:6" ht="15.75" customHeight="1" x14ac:dyDescent="0.25">
      <c r="A720" s="7" t="s">
        <v>42</v>
      </c>
      <c r="B720" s="7" t="s">
        <v>16</v>
      </c>
      <c r="C720" s="6">
        <v>2024</v>
      </c>
      <c r="D720" s="10">
        <v>11</v>
      </c>
      <c r="E720" s="8">
        <f ca="1">IFERROR(__xludf.DUMMYFUNCTION("""COMPUTED_VALUE"""),57047.1904109589)</f>
        <v>57047.190410958901</v>
      </c>
      <c r="F720"/>
    </row>
    <row r="721" spans="1:6" ht="15.75" customHeight="1" x14ac:dyDescent="0.25">
      <c r="A721" s="7" t="s">
        <v>42</v>
      </c>
      <c r="B721" s="7" t="s">
        <v>17</v>
      </c>
      <c r="C721" s="6">
        <v>2024</v>
      </c>
      <c r="D721" s="10">
        <v>11</v>
      </c>
      <c r="E721" s="8">
        <f ca="1">IFERROR(__xludf.DUMMYFUNCTION("""COMPUTED_VALUE"""),150836.228356017)</f>
        <v>150836.228356017</v>
      </c>
      <c r="F721"/>
    </row>
    <row r="722" spans="1:6" ht="15.75" customHeight="1" x14ac:dyDescent="0.25">
      <c r="A722" s="7" t="s">
        <v>43</v>
      </c>
      <c r="B722" s="9" t="s">
        <v>5</v>
      </c>
      <c r="C722" s="6">
        <v>2024</v>
      </c>
      <c r="D722" s="10">
        <v>11</v>
      </c>
      <c r="E722" s="8">
        <f ca="1">IFERROR(__xludf.DUMMYFUNCTION("TRANSPOSE(IMPORTRANGE(""https://docs.google.com/spreadsheets/d/1P96zExzZ_FAGTmCPEbN-_JSVdJbkoS61itTZxFOJirQ/edit?usp=sharing"",""Perhitungan Stok!$J$26:$J$37""))"),194267.35042735)</f>
        <v>194267.35042735</v>
      </c>
      <c r="F722"/>
    </row>
    <row r="723" spans="1:6" ht="15.75" customHeight="1" x14ac:dyDescent="0.25">
      <c r="A723" s="7" t="s">
        <v>43</v>
      </c>
      <c r="B723" s="7" t="s">
        <v>3</v>
      </c>
      <c r="C723" s="6">
        <v>2024</v>
      </c>
      <c r="D723" s="10">
        <v>11</v>
      </c>
      <c r="E723" s="8">
        <f ca="1">IFERROR(__xludf.DUMMYFUNCTION("""COMPUTED_VALUE"""),3250)</f>
        <v>3250</v>
      </c>
      <c r="F723"/>
    </row>
    <row r="724" spans="1:6" ht="15.75" customHeight="1" x14ac:dyDescent="0.25">
      <c r="A724" s="7" t="s">
        <v>43</v>
      </c>
      <c r="B724" s="7" t="s">
        <v>11</v>
      </c>
      <c r="C724" s="6">
        <v>2024</v>
      </c>
      <c r="D724" s="10">
        <v>11</v>
      </c>
      <c r="E724" s="8">
        <f ca="1">IFERROR(__xludf.DUMMYFUNCTION("""COMPUTED_VALUE"""),61600)</f>
        <v>61600</v>
      </c>
      <c r="F724"/>
    </row>
    <row r="725" spans="1:6" ht="15.75" customHeight="1" x14ac:dyDescent="0.25">
      <c r="A725" s="7" t="s">
        <v>43</v>
      </c>
      <c r="B725" s="7" t="s">
        <v>12</v>
      </c>
      <c r="C725" s="6">
        <v>2024</v>
      </c>
      <c r="D725" s="10">
        <v>11</v>
      </c>
      <c r="E725" s="8">
        <f ca="1">IFERROR(__xludf.DUMMYFUNCTION("""COMPUTED_VALUE"""),9150.59694129255)</f>
        <v>9150.5969412925497</v>
      </c>
      <c r="F725"/>
    </row>
    <row r="726" spans="1:6" ht="15.75" customHeight="1" x14ac:dyDescent="0.25">
      <c r="A726" s="7" t="s">
        <v>43</v>
      </c>
      <c r="B726" s="7" t="s">
        <v>13</v>
      </c>
      <c r="C726" s="6">
        <v>2024</v>
      </c>
      <c r="D726" s="10">
        <v>11</v>
      </c>
      <c r="E726" s="8">
        <f ca="1">IFERROR(__xludf.DUMMYFUNCTION("""COMPUTED_VALUE"""),11318.1786867599)</f>
        <v>11318.1786867599</v>
      </c>
      <c r="F726"/>
    </row>
    <row r="727" spans="1:6" ht="15.75" customHeight="1" x14ac:dyDescent="0.25">
      <c r="A727" s="7" t="s">
        <v>43</v>
      </c>
      <c r="B727" s="7" t="s">
        <v>4</v>
      </c>
      <c r="C727" s="6">
        <v>2024</v>
      </c>
      <c r="D727" s="10">
        <v>11</v>
      </c>
      <c r="E727" s="8">
        <f ca="1">IFERROR(__xludf.DUMMYFUNCTION("""COMPUTED_VALUE"""),4956.19047619047)</f>
        <v>4956.1904761904698</v>
      </c>
      <c r="F727"/>
    </row>
    <row r="728" spans="1:6" ht="15.75" customHeight="1" x14ac:dyDescent="0.25">
      <c r="A728" s="7" t="s">
        <v>43</v>
      </c>
      <c r="B728" s="7" t="s">
        <v>1</v>
      </c>
      <c r="C728" s="6">
        <v>2024</v>
      </c>
      <c r="D728" s="10">
        <v>11</v>
      </c>
      <c r="E728" s="8">
        <f ca="1">IFERROR(__xludf.DUMMYFUNCTION("""COMPUTED_VALUE"""),2164.38648648648)</f>
        <v>2164.38648648648</v>
      </c>
      <c r="F728"/>
    </row>
    <row r="729" spans="1:6" ht="15.75" customHeight="1" x14ac:dyDescent="0.25">
      <c r="A729" s="7" t="s">
        <v>43</v>
      </c>
      <c r="B729" s="7" t="s">
        <v>14</v>
      </c>
      <c r="C729" s="6">
        <v>2024</v>
      </c>
      <c r="D729" s="10">
        <v>11</v>
      </c>
      <c r="E729" s="8">
        <f ca="1">IFERROR(__xludf.DUMMYFUNCTION("""COMPUTED_VALUE"""),2351.62162162162)</f>
        <v>2351.6216216216199</v>
      </c>
      <c r="F729"/>
    </row>
    <row r="730" spans="1:6" ht="15.75" customHeight="1" x14ac:dyDescent="0.25">
      <c r="A730" s="7" t="s">
        <v>43</v>
      </c>
      <c r="B730" s="7" t="s">
        <v>15</v>
      </c>
      <c r="C730" s="6">
        <v>2024</v>
      </c>
      <c r="D730" s="10">
        <v>11</v>
      </c>
      <c r="E730" s="8">
        <f ca="1">IFERROR(__xludf.DUMMYFUNCTION("""COMPUTED_VALUE"""),2207.61904761904)</f>
        <v>2207.61904761904</v>
      </c>
      <c r="F730"/>
    </row>
    <row r="731" spans="1:6" ht="15.75" customHeight="1" x14ac:dyDescent="0.25">
      <c r="A731" s="7" t="s">
        <v>43</v>
      </c>
      <c r="B731" s="7" t="s">
        <v>2</v>
      </c>
      <c r="C731" s="6">
        <v>2024</v>
      </c>
      <c r="D731" s="10">
        <v>11</v>
      </c>
      <c r="E731" s="8">
        <f ca="1">IFERROR(__xludf.DUMMYFUNCTION("""COMPUTED_VALUE"""),2481.70530451866)</f>
        <v>2481.7053045186599</v>
      </c>
      <c r="F731"/>
    </row>
    <row r="732" spans="1:6" ht="15.75" customHeight="1" x14ac:dyDescent="0.25">
      <c r="A732" s="7" t="s">
        <v>43</v>
      </c>
      <c r="B732" s="7" t="s">
        <v>16</v>
      </c>
      <c r="C732" s="6">
        <v>2024</v>
      </c>
      <c r="D732" s="10">
        <v>11</v>
      </c>
      <c r="E732" s="8">
        <f ca="1">IFERROR(__xludf.DUMMYFUNCTION("""COMPUTED_VALUE"""),8778.75)</f>
        <v>8778.75</v>
      </c>
      <c r="F732"/>
    </row>
    <row r="733" spans="1:6" ht="15.75" customHeight="1" x14ac:dyDescent="0.25">
      <c r="A733" s="7" t="s">
        <v>43</v>
      </c>
      <c r="B733" s="7" t="s">
        <v>17</v>
      </c>
      <c r="C733" s="6">
        <v>2024</v>
      </c>
      <c r="D733" s="10">
        <v>11</v>
      </c>
      <c r="E733" s="8">
        <f ca="1">IFERROR(__xludf.DUMMYFUNCTION("""COMPUTED_VALUE"""),8921.42553191489)</f>
        <v>8921.4255319148906</v>
      </c>
      <c r="F733"/>
    </row>
    <row r="734" spans="1:6" ht="15.75" customHeight="1" x14ac:dyDescent="0.25">
      <c r="A734" s="7" t="s">
        <v>44</v>
      </c>
      <c r="B734" s="9" t="s">
        <v>5</v>
      </c>
      <c r="C734" s="6">
        <v>2024</v>
      </c>
      <c r="D734" s="10">
        <v>11</v>
      </c>
      <c r="E734" s="8">
        <f ca="1">IFERROR(__xludf.DUMMYFUNCTION("TRANSPOSE(IMPORTRANGE(""https://docs.google.com/spreadsheets/d/13sC7GAx5GW9Y4AKkeKOD8XAoz69RjfvFJbdV-Oj6oNo/edit?usp=sharing"",""Perhitungan Stok!$J$26:$J$37""))"),5228299.5482846)</f>
        <v>5228299.5482845996</v>
      </c>
      <c r="F734"/>
    </row>
    <row r="735" spans="1:6" ht="15.75" customHeight="1" x14ac:dyDescent="0.25">
      <c r="A735" s="7" t="s">
        <v>44</v>
      </c>
      <c r="B735" s="7" t="s">
        <v>3</v>
      </c>
      <c r="C735" s="6">
        <v>2024</v>
      </c>
      <c r="D735" s="10">
        <v>11</v>
      </c>
      <c r="E735" s="8">
        <f ca="1">IFERROR(__xludf.DUMMYFUNCTION("""COMPUTED_VALUE"""),100013.793103448)</f>
        <v>100013.793103448</v>
      </c>
      <c r="F735"/>
    </row>
    <row r="736" spans="1:6" ht="15.75" customHeight="1" x14ac:dyDescent="0.25">
      <c r="A736" s="7" t="s">
        <v>44</v>
      </c>
      <c r="B736" s="7" t="s">
        <v>11</v>
      </c>
      <c r="C736" s="6">
        <v>2024</v>
      </c>
      <c r="D736" s="10">
        <v>11</v>
      </c>
      <c r="E736" s="8">
        <f ca="1">IFERROR(__xludf.DUMMYFUNCTION("""COMPUTED_VALUE"""),30957.3167848699)</f>
        <v>30957.316784869901</v>
      </c>
      <c r="F736"/>
    </row>
    <row r="737" spans="1:6" ht="15.75" customHeight="1" x14ac:dyDescent="0.25">
      <c r="A737" s="7" t="s">
        <v>44</v>
      </c>
      <c r="B737" s="7" t="s">
        <v>12</v>
      </c>
      <c r="C737" s="6">
        <v>2024</v>
      </c>
      <c r="D737" s="10">
        <v>11</v>
      </c>
      <c r="E737" s="8">
        <f ca="1">IFERROR(__xludf.DUMMYFUNCTION("""COMPUTED_VALUE"""),2525.90909090909)</f>
        <v>2525.9090909090901</v>
      </c>
      <c r="F737"/>
    </row>
    <row r="738" spans="1:6" ht="15.75" customHeight="1" x14ac:dyDescent="0.25">
      <c r="A738" s="7" t="s">
        <v>44</v>
      </c>
      <c r="B738" s="7" t="s">
        <v>13</v>
      </c>
      <c r="C738" s="6">
        <v>2024</v>
      </c>
      <c r="D738" s="10">
        <v>11</v>
      </c>
      <c r="E738" s="8">
        <f ca="1">IFERROR(__xludf.DUMMYFUNCTION("""COMPUTED_VALUE"""),43924.5048173092)</f>
        <v>43924.5048173092</v>
      </c>
      <c r="F738"/>
    </row>
    <row r="739" spans="1:6" ht="15.75" customHeight="1" x14ac:dyDescent="0.25">
      <c r="A739" s="7" t="s">
        <v>44</v>
      </c>
      <c r="B739" s="7" t="s">
        <v>4</v>
      </c>
      <c r="C739" s="6">
        <v>2024</v>
      </c>
      <c r="D739" s="10">
        <v>11</v>
      </c>
      <c r="E739" s="8">
        <f ca="1">IFERROR(__xludf.DUMMYFUNCTION("""COMPUTED_VALUE"""),117)</f>
        <v>117</v>
      </c>
      <c r="F739"/>
    </row>
    <row r="740" spans="1:6" ht="15.75" customHeight="1" x14ac:dyDescent="0.25">
      <c r="A740" s="7" t="s">
        <v>44</v>
      </c>
      <c r="B740" s="7" t="s">
        <v>1</v>
      </c>
      <c r="C740" s="6">
        <v>2024</v>
      </c>
      <c r="D740" s="10">
        <v>11</v>
      </c>
      <c r="E740" s="8">
        <f ca="1">IFERROR(__xludf.DUMMYFUNCTION("""COMPUTED_VALUE"""),213.088235294117)</f>
        <v>213.088235294117</v>
      </c>
      <c r="F740"/>
    </row>
    <row r="741" spans="1:6" ht="15.75" customHeight="1" x14ac:dyDescent="0.25">
      <c r="A741" s="7" t="s">
        <v>44</v>
      </c>
      <c r="B741" s="7" t="s">
        <v>14</v>
      </c>
      <c r="C741" s="6">
        <v>2024</v>
      </c>
      <c r="D741" s="10">
        <v>11</v>
      </c>
      <c r="E741" s="8">
        <f ca="1">IFERROR(__xludf.DUMMYFUNCTION("""COMPUTED_VALUE"""),717.5)</f>
        <v>717.5</v>
      </c>
      <c r="F741"/>
    </row>
    <row r="742" spans="1:6" ht="15.75" customHeight="1" x14ac:dyDescent="0.25">
      <c r="A742" s="7" t="s">
        <v>44</v>
      </c>
      <c r="B742" s="7" t="s">
        <v>15</v>
      </c>
      <c r="C742" s="6">
        <v>2024</v>
      </c>
      <c r="D742" s="10">
        <v>11</v>
      </c>
      <c r="E742" s="8">
        <f ca="1">IFERROR(__xludf.DUMMYFUNCTION("""COMPUTED_VALUE"""),42370)</f>
        <v>42370</v>
      </c>
      <c r="F742"/>
    </row>
    <row r="743" spans="1:6" ht="15.75" customHeight="1" x14ac:dyDescent="0.25">
      <c r="A743" s="7" t="s">
        <v>44</v>
      </c>
      <c r="B743" s="7" t="s">
        <v>2</v>
      </c>
      <c r="C743" s="6">
        <v>2024</v>
      </c>
      <c r="D743" s="10">
        <v>11</v>
      </c>
      <c r="E743" s="8">
        <f ca="1">IFERROR(__xludf.DUMMYFUNCTION("""COMPUTED_VALUE"""),19199.8102766798)</f>
        <v>19199.8102766798</v>
      </c>
      <c r="F743"/>
    </row>
    <row r="744" spans="1:6" ht="15.75" customHeight="1" x14ac:dyDescent="0.25">
      <c r="A744" s="7" t="s">
        <v>44</v>
      </c>
      <c r="B744" s="7" t="s">
        <v>16</v>
      </c>
      <c r="C744" s="6">
        <v>2024</v>
      </c>
      <c r="D744" s="10">
        <v>11</v>
      </c>
      <c r="E744" s="8">
        <f ca="1">IFERROR(__xludf.DUMMYFUNCTION("""COMPUTED_VALUE"""),278559.327945555)</f>
        <v>278559.32794555498</v>
      </c>
      <c r="F744"/>
    </row>
    <row r="745" spans="1:6" ht="15.75" customHeight="1" x14ac:dyDescent="0.25">
      <c r="A745" s="7" t="s">
        <v>44</v>
      </c>
      <c r="B745" s="7" t="s">
        <v>17</v>
      </c>
      <c r="C745" s="6">
        <v>2024</v>
      </c>
      <c r="D745" s="10">
        <v>11</v>
      </c>
      <c r="E745" s="8">
        <f ca="1">IFERROR(__xludf.DUMMYFUNCTION("""COMPUTED_VALUE"""),1960840.7915249)</f>
        <v>1960840.7915248999</v>
      </c>
      <c r="F745"/>
    </row>
    <row r="746" spans="1:6" ht="15.75" customHeight="1" x14ac:dyDescent="0.25">
      <c r="A746" s="7" t="s">
        <v>45</v>
      </c>
      <c r="B746" s="9" t="s">
        <v>5</v>
      </c>
      <c r="C746" s="6">
        <v>2024</v>
      </c>
      <c r="D746" s="10">
        <v>11</v>
      </c>
      <c r="E746" s="8">
        <f ca="1">IFERROR(__xludf.DUMMYFUNCTION("TRANSPOSE(IMPORTRANGE(""https://docs.google.com/spreadsheets/d/14A0DNgZ904tq3xNlIBMNddwXRU3VDeUDJbBdf315Yvo/edit?usp=sharing"",""Perhitungan Stok!$J$26:$J$37""))"),70789.84375)</f>
        <v>70789.84375</v>
      </c>
      <c r="F746"/>
    </row>
    <row r="747" spans="1:6" ht="15.75" customHeight="1" x14ac:dyDescent="0.25">
      <c r="A747" s="7" t="s">
        <v>45</v>
      </c>
      <c r="B747" s="7" t="s">
        <v>3</v>
      </c>
      <c r="C747" s="6">
        <v>2024</v>
      </c>
      <c r="D747" s="10">
        <v>11</v>
      </c>
      <c r="E747" s="8">
        <f ca="1">IFERROR(__xludf.DUMMYFUNCTION("""COMPUTED_VALUE"""),125)</f>
        <v>125</v>
      </c>
      <c r="F747"/>
    </row>
    <row r="748" spans="1:6" ht="15.75" customHeight="1" x14ac:dyDescent="0.25">
      <c r="A748" s="7" t="s">
        <v>45</v>
      </c>
      <c r="B748" s="7" t="s">
        <v>11</v>
      </c>
      <c r="C748" s="6">
        <v>2024</v>
      </c>
      <c r="D748" s="10">
        <v>11</v>
      </c>
      <c r="E748" s="8">
        <f ca="1">IFERROR(__xludf.DUMMYFUNCTION("""COMPUTED_VALUE"""),24600)</f>
        <v>24600</v>
      </c>
      <c r="F748"/>
    </row>
    <row r="749" spans="1:6" ht="15.75" customHeight="1" x14ac:dyDescent="0.25">
      <c r="A749" s="7" t="s">
        <v>45</v>
      </c>
      <c r="B749" s="7" t="s">
        <v>12</v>
      </c>
      <c r="C749" s="6">
        <v>2024</v>
      </c>
      <c r="D749" s="10">
        <v>11</v>
      </c>
      <c r="E749" s="8">
        <f ca="1">IFERROR(__xludf.DUMMYFUNCTION("""COMPUTED_VALUE"""),9790.76388888888)</f>
        <v>9790.7638888888796</v>
      </c>
      <c r="F749"/>
    </row>
    <row r="750" spans="1:6" ht="15.75" customHeight="1" x14ac:dyDescent="0.25">
      <c r="A750" s="7" t="s">
        <v>45</v>
      </c>
      <c r="B750" s="7" t="s">
        <v>13</v>
      </c>
      <c r="C750" s="6">
        <v>2024</v>
      </c>
      <c r="D750" s="10">
        <v>11</v>
      </c>
      <c r="E750" s="8">
        <f ca="1">IFERROR(__xludf.DUMMYFUNCTION("""COMPUTED_VALUE"""),22321.2)</f>
        <v>22321.200000000001</v>
      </c>
      <c r="F750"/>
    </row>
    <row r="751" spans="1:6" ht="15.75" customHeight="1" x14ac:dyDescent="0.25">
      <c r="A751" s="7" t="s">
        <v>45</v>
      </c>
      <c r="B751" s="7" t="s">
        <v>4</v>
      </c>
      <c r="C751" s="6">
        <v>2024</v>
      </c>
      <c r="D751" s="10">
        <v>11</v>
      </c>
      <c r="E751" s="8">
        <f ca="1">IFERROR(__xludf.DUMMYFUNCTION("""COMPUTED_VALUE"""),172.5)</f>
        <v>172.5</v>
      </c>
      <c r="F751"/>
    </row>
    <row r="752" spans="1:6" ht="15.75" customHeight="1" x14ac:dyDescent="0.25">
      <c r="A752" s="7" t="s">
        <v>45</v>
      </c>
      <c r="B752" s="7" t="s">
        <v>1</v>
      </c>
      <c r="C752" s="6">
        <v>2024</v>
      </c>
      <c r="D752" s="10">
        <v>11</v>
      </c>
      <c r="E752" s="8">
        <f ca="1">IFERROR(__xludf.DUMMYFUNCTION("""COMPUTED_VALUE"""),125.999999999999)</f>
        <v>125.99999999999901</v>
      </c>
      <c r="F752"/>
    </row>
    <row r="753" spans="1:6" ht="15.75" customHeight="1" x14ac:dyDescent="0.25">
      <c r="A753" s="7" t="s">
        <v>45</v>
      </c>
      <c r="B753" s="7" t="s">
        <v>14</v>
      </c>
      <c r="C753" s="6">
        <v>2024</v>
      </c>
      <c r="D753" s="10">
        <v>11</v>
      </c>
      <c r="E753" s="8">
        <f ca="1">IFERROR(__xludf.DUMMYFUNCTION("""COMPUTED_VALUE"""),140)</f>
        <v>140</v>
      </c>
      <c r="F753"/>
    </row>
    <row r="754" spans="1:6" ht="15.75" customHeight="1" x14ac:dyDescent="0.25">
      <c r="A754" s="7" t="s">
        <v>45</v>
      </c>
      <c r="B754" s="7" t="s">
        <v>15</v>
      </c>
      <c r="C754" s="6">
        <v>2024</v>
      </c>
      <c r="D754" s="10">
        <v>11</v>
      </c>
      <c r="E754" s="8">
        <f ca="1">IFERROR(__xludf.DUMMYFUNCTION("""COMPUTED_VALUE"""),185)</f>
        <v>185</v>
      </c>
      <c r="F754"/>
    </row>
    <row r="755" spans="1:6" ht="15.75" customHeight="1" x14ac:dyDescent="0.25">
      <c r="A755" s="7" t="s">
        <v>45</v>
      </c>
      <c r="B755" s="7" t="s">
        <v>2</v>
      </c>
      <c r="C755" s="6">
        <v>2024</v>
      </c>
      <c r="D755" s="10">
        <v>11</v>
      </c>
      <c r="E755" s="8">
        <f ca="1">IFERROR(__xludf.DUMMYFUNCTION("""COMPUTED_VALUE"""),601.25)</f>
        <v>601.25</v>
      </c>
      <c r="F755"/>
    </row>
    <row r="756" spans="1:6" ht="15.75" customHeight="1" x14ac:dyDescent="0.25">
      <c r="A756" s="7" t="s">
        <v>45</v>
      </c>
      <c r="B756" s="7" t="s">
        <v>16</v>
      </c>
      <c r="C756" s="6">
        <v>2024</v>
      </c>
      <c r="D756" s="10">
        <v>11</v>
      </c>
      <c r="E756" s="8">
        <f ca="1">IFERROR(__xludf.DUMMYFUNCTION("""COMPUTED_VALUE"""),145970.553030303)</f>
        <v>145970.55303030301</v>
      </c>
      <c r="F756"/>
    </row>
    <row r="757" spans="1:6" ht="15.75" customHeight="1" x14ac:dyDescent="0.25">
      <c r="A757" s="7" t="s">
        <v>45</v>
      </c>
      <c r="B757" s="7" t="s">
        <v>17</v>
      </c>
      <c r="C757" s="6">
        <v>2024</v>
      </c>
      <c r="D757" s="10">
        <v>11</v>
      </c>
      <c r="E757" s="8">
        <f ca="1">IFERROR(__xludf.DUMMYFUNCTION("""COMPUTED_VALUE"""),200158.774468085)</f>
        <v>200158.774468085</v>
      </c>
      <c r="F757"/>
    </row>
    <row r="758" spans="1:6" ht="15.75" customHeight="1" x14ac:dyDescent="0.25">
      <c r="A758" s="7" t="s">
        <v>46</v>
      </c>
      <c r="B758" s="9" t="s">
        <v>5</v>
      </c>
      <c r="C758" s="6">
        <v>2024</v>
      </c>
      <c r="D758" s="10">
        <v>11</v>
      </c>
      <c r="E758" s="8">
        <f ca="1">IFERROR(__xludf.DUMMYFUNCTION("TRANSPOSE(IMPORTRANGE(""https://docs.google.com/spreadsheets/d/1IOqPAcRQw0MsUcmTGJungPyv0gJ8RLeotagPVhIIGCc/edit?usp=sharing"",""Perhitungan Stok!$J$26:$J$37""))"),75214.0932497402)</f>
        <v>75214.093249740195</v>
      </c>
      <c r="F758"/>
    </row>
    <row r="759" spans="1:6" ht="15.75" customHeight="1" x14ac:dyDescent="0.25">
      <c r="A759" s="7" t="s">
        <v>46</v>
      </c>
      <c r="B759" s="7" t="s">
        <v>3</v>
      </c>
      <c r="C759" s="6">
        <v>2024</v>
      </c>
      <c r="D759" s="10">
        <v>11</v>
      </c>
      <c r="E759" s="8">
        <f ca="1">IFERROR(__xludf.DUMMYFUNCTION("""COMPUTED_VALUE"""),1050)</f>
        <v>1050</v>
      </c>
      <c r="F759"/>
    </row>
    <row r="760" spans="1:6" ht="15.75" customHeight="1" x14ac:dyDescent="0.25">
      <c r="A760" s="7" t="s">
        <v>46</v>
      </c>
      <c r="B760" s="7" t="s">
        <v>11</v>
      </c>
      <c r="C760" s="6">
        <v>2024</v>
      </c>
      <c r="D760" s="10">
        <v>11</v>
      </c>
      <c r="E760" s="8">
        <f ca="1">IFERROR(__xludf.DUMMYFUNCTION("""COMPUTED_VALUE"""),20000)</f>
        <v>20000</v>
      </c>
      <c r="F760"/>
    </row>
    <row r="761" spans="1:6" ht="15.75" customHeight="1" x14ac:dyDescent="0.25">
      <c r="A761" s="7" t="s">
        <v>46</v>
      </c>
      <c r="B761" s="7" t="s">
        <v>12</v>
      </c>
      <c r="C761" s="6">
        <v>2024</v>
      </c>
      <c r="D761" s="10">
        <v>11</v>
      </c>
      <c r="E761" s="8">
        <f ca="1">IFERROR(__xludf.DUMMYFUNCTION("""COMPUTED_VALUE"""),410.492682926829)</f>
        <v>410.49268292682899</v>
      </c>
      <c r="F761"/>
    </row>
    <row r="762" spans="1:6" ht="15.75" customHeight="1" x14ac:dyDescent="0.25">
      <c r="A762" s="7" t="s">
        <v>46</v>
      </c>
      <c r="B762" s="7" t="s">
        <v>13</v>
      </c>
      <c r="C762" s="6">
        <v>2024</v>
      </c>
      <c r="D762" s="10">
        <v>11</v>
      </c>
      <c r="E762" s="8">
        <f ca="1">IFERROR(__xludf.DUMMYFUNCTION("""COMPUTED_VALUE"""),340.878048780487)</f>
        <v>340.87804878048701</v>
      </c>
      <c r="F762"/>
    </row>
    <row r="763" spans="1:6" ht="15.75" customHeight="1" x14ac:dyDescent="0.25">
      <c r="A763" s="7" t="s">
        <v>46</v>
      </c>
      <c r="B763" s="7" t="s">
        <v>4</v>
      </c>
      <c r="C763" s="6">
        <v>2024</v>
      </c>
      <c r="D763" s="10">
        <v>11</v>
      </c>
      <c r="E763" s="8">
        <f ca="1">IFERROR(__xludf.DUMMYFUNCTION("""COMPUTED_VALUE"""),0)</f>
        <v>0</v>
      </c>
      <c r="F763"/>
    </row>
    <row r="764" spans="1:6" ht="15.75" customHeight="1" x14ac:dyDescent="0.25">
      <c r="A764" s="7" t="s">
        <v>46</v>
      </c>
      <c r="B764" s="7" t="s">
        <v>1</v>
      </c>
      <c r="C764" s="6">
        <v>2024</v>
      </c>
      <c r="D764" s="10">
        <v>11</v>
      </c>
      <c r="E764" s="8">
        <f ca="1">IFERROR(__xludf.DUMMYFUNCTION("""COMPUTED_VALUE"""),3558.33333333333)</f>
        <v>3558.3333333333298</v>
      </c>
      <c r="F764"/>
    </row>
    <row r="765" spans="1:6" ht="15.75" customHeight="1" x14ac:dyDescent="0.25">
      <c r="A765" s="7" t="s">
        <v>46</v>
      </c>
      <c r="B765" s="7" t="s">
        <v>14</v>
      </c>
      <c r="C765" s="6">
        <v>2024</v>
      </c>
      <c r="D765" s="10">
        <v>11</v>
      </c>
      <c r="E765" s="8">
        <f ca="1">IFERROR(__xludf.DUMMYFUNCTION("""COMPUTED_VALUE"""),0)</f>
        <v>0</v>
      </c>
      <c r="F765"/>
    </row>
    <row r="766" spans="1:6" ht="15.75" customHeight="1" x14ac:dyDescent="0.25">
      <c r="A766" s="7" t="s">
        <v>46</v>
      </c>
      <c r="B766" s="7" t="s">
        <v>15</v>
      </c>
      <c r="C766" s="6">
        <v>2024</v>
      </c>
      <c r="D766" s="10">
        <v>11</v>
      </c>
      <c r="E766" s="8">
        <f ca="1">IFERROR(__xludf.DUMMYFUNCTION("""COMPUTED_VALUE"""),3127.27272727272)</f>
        <v>3127.2727272727202</v>
      </c>
      <c r="F766"/>
    </row>
    <row r="767" spans="1:6" ht="15.75" customHeight="1" x14ac:dyDescent="0.25">
      <c r="A767" s="7" t="s">
        <v>46</v>
      </c>
      <c r="B767" s="7" t="s">
        <v>2</v>
      </c>
      <c r="C767" s="6">
        <v>2024</v>
      </c>
      <c r="D767" s="10">
        <v>11</v>
      </c>
      <c r="E767" s="8">
        <f ca="1">IFERROR(__xludf.DUMMYFUNCTION("""COMPUTED_VALUE"""),822.828947368421)</f>
        <v>822.82894736842104</v>
      </c>
      <c r="F767"/>
    </row>
    <row r="768" spans="1:6" ht="15.75" customHeight="1" x14ac:dyDescent="0.25">
      <c r="A768" s="7" t="s">
        <v>46</v>
      </c>
      <c r="B768" s="7" t="s">
        <v>16</v>
      </c>
      <c r="C768" s="6">
        <v>2024</v>
      </c>
      <c r="D768" s="10">
        <v>11</v>
      </c>
      <c r="E768" s="8">
        <f ca="1">IFERROR(__xludf.DUMMYFUNCTION("""COMPUTED_VALUE"""),21785.5723098012)</f>
        <v>21785.572309801199</v>
      </c>
      <c r="F768"/>
    </row>
    <row r="769" spans="1:6" ht="15.75" customHeight="1" x14ac:dyDescent="0.25">
      <c r="A769" s="7" t="s">
        <v>46</v>
      </c>
      <c r="B769" s="7" t="s">
        <v>17</v>
      </c>
      <c r="C769" s="6">
        <v>2024</v>
      </c>
      <c r="D769" s="10">
        <v>11</v>
      </c>
      <c r="E769" s="8">
        <f ca="1">IFERROR(__xludf.DUMMYFUNCTION("""COMPUTED_VALUE"""),20311.5)</f>
        <v>20311.5</v>
      </c>
      <c r="F769"/>
    </row>
    <row r="770" spans="1:6" ht="15.75" customHeight="1" x14ac:dyDescent="0.25">
      <c r="A770" s="7" t="s">
        <v>47</v>
      </c>
      <c r="B770" s="9" t="s">
        <v>5</v>
      </c>
      <c r="C770" s="6">
        <v>2024</v>
      </c>
      <c r="D770" s="10">
        <v>11</v>
      </c>
      <c r="E770" s="8">
        <f ca="1">IFERROR(__xludf.DUMMYFUNCTION("TRANSPOSE(IMPORTRANGE(""https://docs.google.com/spreadsheets/d/1UBNDIB22NDBqqUlOVUWEEfB7VNFvljdWNbp2szC8yMI/edit?usp=sharing"",""Perhitungan Stok!$J$26:$J$37""))"),43786.329113924)</f>
        <v>43786.329113924003</v>
      </c>
      <c r="F770"/>
    </row>
    <row r="771" spans="1:6" ht="15.75" customHeight="1" x14ac:dyDescent="0.25">
      <c r="A771" s="7" t="s">
        <v>47</v>
      </c>
      <c r="B771" s="7" t="s">
        <v>3</v>
      </c>
      <c r="C771" s="6">
        <v>2024</v>
      </c>
      <c r="D771" s="10">
        <v>11</v>
      </c>
      <c r="E771" s="8">
        <f ca="1">IFERROR(__xludf.DUMMYFUNCTION("""COMPUTED_VALUE"""),501.25)</f>
        <v>501.25</v>
      </c>
      <c r="F771"/>
    </row>
    <row r="772" spans="1:6" ht="15.75" customHeight="1" x14ac:dyDescent="0.25">
      <c r="A772" s="7" t="s">
        <v>47</v>
      </c>
      <c r="B772" s="7" t="s">
        <v>11</v>
      </c>
      <c r="C772" s="6">
        <v>2024</v>
      </c>
      <c r="D772" s="10">
        <v>11</v>
      </c>
      <c r="E772" s="8">
        <f ca="1">IFERROR(__xludf.DUMMYFUNCTION("""COMPUTED_VALUE"""),9708.73)</f>
        <v>9708.73</v>
      </c>
      <c r="F772"/>
    </row>
    <row r="773" spans="1:6" ht="15.75" customHeight="1" x14ac:dyDescent="0.25">
      <c r="A773" s="7" t="s">
        <v>47</v>
      </c>
      <c r="B773" s="7" t="s">
        <v>12</v>
      </c>
      <c r="C773" s="6">
        <v>2024</v>
      </c>
      <c r="D773" s="10">
        <v>11</v>
      </c>
      <c r="E773" s="8">
        <f ca="1">IFERROR(__xludf.DUMMYFUNCTION("""COMPUTED_VALUE"""),1182)</f>
        <v>1182</v>
      </c>
      <c r="F773"/>
    </row>
    <row r="774" spans="1:6" ht="15.75" customHeight="1" x14ac:dyDescent="0.25">
      <c r="A774" s="7" t="s">
        <v>47</v>
      </c>
      <c r="B774" s="7" t="s">
        <v>13</v>
      </c>
      <c r="C774" s="6">
        <v>2024</v>
      </c>
      <c r="D774" s="10">
        <v>11</v>
      </c>
      <c r="E774" s="8">
        <f ca="1">IFERROR(__xludf.DUMMYFUNCTION("""COMPUTED_VALUE"""),1222)</f>
        <v>1222</v>
      </c>
      <c r="F774"/>
    </row>
    <row r="775" spans="1:6" ht="15.75" customHeight="1" x14ac:dyDescent="0.25">
      <c r="A775" s="7" t="s">
        <v>47</v>
      </c>
      <c r="B775" s="7" t="s">
        <v>4</v>
      </c>
      <c r="C775" s="6">
        <v>2024</v>
      </c>
      <c r="D775" s="10">
        <v>11</v>
      </c>
      <c r="E775" s="8">
        <f ca="1">IFERROR(__xludf.DUMMYFUNCTION("""COMPUTED_VALUE"""),706)</f>
        <v>706</v>
      </c>
      <c r="F775"/>
    </row>
    <row r="776" spans="1:6" ht="15.75" customHeight="1" x14ac:dyDescent="0.25">
      <c r="A776" s="7" t="s">
        <v>47</v>
      </c>
      <c r="B776" s="7" t="s">
        <v>1</v>
      </c>
      <c r="C776" s="6">
        <v>2024</v>
      </c>
      <c r="D776" s="10">
        <v>11</v>
      </c>
      <c r="E776" s="8">
        <f ca="1">IFERROR(__xludf.DUMMYFUNCTION("""COMPUTED_VALUE"""),456)</f>
        <v>456</v>
      </c>
      <c r="F776"/>
    </row>
    <row r="777" spans="1:6" ht="15.75" customHeight="1" x14ac:dyDescent="0.25">
      <c r="A777" s="7" t="s">
        <v>47</v>
      </c>
      <c r="B777" s="7" t="s">
        <v>14</v>
      </c>
      <c r="C777" s="6">
        <v>2024</v>
      </c>
      <c r="D777" s="10">
        <v>11</v>
      </c>
      <c r="E777" s="8">
        <f ca="1">IFERROR(__xludf.DUMMYFUNCTION("""COMPUTED_VALUE"""),193.230769230769)</f>
        <v>193.230769230769</v>
      </c>
      <c r="F777"/>
    </row>
    <row r="778" spans="1:6" ht="15.75" customHeight="1" x14ac:dyDescent="0.25">
      <c r="A778" s="7" t="s">
        <v>47</v>
      </c>
      <c r="B778" s="7" t="s">
        <v>15</v>
      </c>
      <c r="C778" s="6">
        <v>2024</v>
      </c>
      <c r="D778" s="10">
        <v>11</v>
      </c>
      <c r="E778" s="8">
        <f ca="1">IFERROR(__xludf.DUMMYFUNCTION("""COMPUTED_VALUE"""),5139)</f>
        <v>5139</v>
      </c>
      <c r="F778"/>
    </row>
    <row r="779" spans="1:6" ht="15.75" customHeight="1" x14ac:dyDescent="0.25">
      <c r="A779" s="7" t="s">
        <v>47</v>
      </c>
      <c r="B779" s="7" t="s">
        <v>2</v>
      </c>
      <c r="C779" s="6">
        <v>2024</v>
      </c>
      <c r="D779" s="10">
        <v>11</v>
      </c>
      <c r="E779" s="8">
        <f ca="1">IFERROR(__xludf.DUMMYFUNCTION("""COMPUTED_VALUE"""),147.2)</f>
        <v>147.19999999999999</v>
      </c>
      <c r="F779"/>
    </row>
    <row r="780" spans="1:6" ht="15.75" customHeight="1" x14ac:dyDescent="0.25">
      <c r="A780" s="7" t="s">
        <v>47</v>
      </c>
      <c r="B780" s="7" t="s">
        <v>16</v>
      </c>
      <c r="C780" s="6">
        <v>2024</v>
      </c>
      <c r="D780" s="10">
        <v>11</v>
      </c>
      <c r="E780" s="8">
        <f ca="1">IFERROR(__xludf.DUMMYFUNCTION("""COMPUTED_VALUE"""),25039.3740188383)</f>
        <v>25039.374018838302</v>
      </c>
      <c r="F780"/>
    </row>
    <row r="781" spans="1:6" ht="15.75" customHeight="1" x14ac:dyDescent="0.25">
      <c r="A781" s="7" t="s">
        <v>47</v>
      </c>
      <c r="B781" s="7" t="s">
        <v>17</v>
      </c>
      <c r="C781" s="6">
        <v>2024</v>
      </c>
      <c r="D781" s="10">
        <v>11</v>
      </c>
      <c r="E781" s="8">
        <f ca="1">IFERROR(__xludf.DUMMYFUNCTION("""COMPUTED_VALUE"""),9477.98447058823)</f>
        <v>9477.9844705882297</v>
      </c>
      <c r="F781"/>
    </row>
    <row r="782" spans="1:6" ht="15.75" customHeight="1" x14ac:dyDescent="0.25">
      <c r="A782" s="7" t="s">
        <v>48</v>
      </c>
      <c r="B782" s="9" t="s">
        <v>5</v>
      </c>
      <c r="C782" s="6">
        <v>2024</v>
      </c>
      <c r="D782" s="10">
        <v>11</v>
      </c>
      <c r="E782" s="8">
        <f ca="1">IFERROR(__xludf.DUMMYFUNCTION("TRANSPOSE(IMPORTRANGE(""https://docs.google.com/spreadsheets/d/1Neux5hclRUvn-l11oCucFs5U3HxYGAHbfPQXuRnkeiM/edit?usp=sharing"",""Perhitungan Stok!$J$26:$J$37""))"),42693.9018261015)</f>
        <v>42693.901826101501</v>
      </c>
      <c r="F782"/>
    </row>
    <row r="783" spans="1:6" ht="15.75" customHeight="1" x14ac:dyDescent="0.25">
      <c r="A783" s="7" t="s">
        <v>48</v>
      </c>
      <c r="B783" s="7" t="s">
        <v>3</v>
      </c>
      <c r="C783" s="6">
        <v>2024</v>
      </c>
      <c r="D783" s="10">
        <v>11</v>
      </c>
      <c r="E783" s="8" t="s">
        <v>21</v>
      </c>
      <c r="F783"/>
    </row>
    <row r="784" spans="1:6" ht="15.75" customHeight="1" x14ac:dyDescent="0.25">
      <c r="A784" s="7" t="s">
        <v>48</v>
      </c>
      <c r="B784" s="7" t="s">
        <v>11</v>
      </c>
      <c r="C784" s="6">
        <v>2024</v>
      </c>
      <c r="D784" s="10">
        <v>11</v>
      </c>
      <c r="E784" s="8">
        <f ca="1">IFERROR(__xludf.DUMMYFUNCTION("""COMPUTED_VALUE"""),-10200)</f>
        <v>-10200</v>
      </c>
      <c r="F784"/>
    </row>
    <row r="785" spans="1:6" ht="15.75" customHeight="1" x14ac:dyDescent="0.25">
      <c r="A785" s="7" t="s">
        <v>48</v>
      </c>
      <c r="B785" s="7" t="s">
        <v>12</v>
      </c>
      <c r="C785" s="6">
        <v>2024</v>
      </c>
      <c r="D785" s="10">
        <v>11</v>
      </c>
      <c r="E785" s="8">
        <f ca="1">IFERROR(__xludf.DUMMYFUNCTION("""COMPUTED_VALUE"""),4240)</f>
        <v>4240</v>
      </c>
      <c r="F785"/>
    </row>
    <row r="786" spans="1:6" ht="15.75" customHeight="1" x14ac:dyDescent="0.25">
      <c r="A786" s="7" t="s">
        <v>48</v>
      </c>
      <c r="B786" s="7" t="s">
        <v>13</v>
      </c>
      <c r="C786" s="6">
        <v>2024</v>
      </c>
      <c r="D786" s="10">
        <v>11</v>
      </c>
      <c r="E786" s="8">
        <f ca="1">IFERROR(__xludf.DUMMYFUNCTION("""COMPUTED_VALUE"""),75)</f>
        <v>75</v>
      </c>
      <c r="F786"/>
    </row>
    <row r="787" spans="1:6" ht="15.75" customHeight="1" x14ac:dyDescent="0.25">
      <c r="A787" s="7" t="s">
        <v>48</v>
      </c>
      <c r="B787" s="7" t="s">
        <v>4</v>
      </c>
      <c r="C787" s="6">
        <v>2024</v>
      </c>
      <c r="D787" s="10">
        <v>11</v>
      </c>
      <c r="E787" s="8">
        <f ca="1">IFERROR(__xludf.DUMMYFUNCTION("""COMPUTED_VALUE"""),60)</f>
        <v>60</v>
      </c>
      <c r="F787"/>
    </row>
    <row r="788" spans="1:6" ht="15.75" customHeight="1" x14ac:dyDescent="0.25">
      <c r="A788" s="7" t="s">
        <v>48</v>
      </c>
      <c r="B788" s="7" t="s">
        <v>1</v>
      </c>
      <c r="C788" s="6">
        <v>2024</v>
      </c>
      <c r="D788" s="10">
        <v>11</v>
      </c>
      <c r="E788" s="8">
        <f ca="1">IFERROR(__xludf.DUMMYFUNCTION("""COMPUTED_VALUE"""),335)</f>
        <v>335</v>
      </c>
      <c r="F788"/>
    </row>
    <row r="789" spans="1:6" ht="15.75" customHeight="1" x14ac:dyDescent="0.25">
      <c r="A789" s="7" t="s">
        <v>48</v>
      </c>
      <c r="B789" s="7" t="s">
        <v>14</v>
      </c>
      <c r="C789" s="6">
        <v>2024</v>
      </c>
      <c r="D789" s="10">
        <v>11</v>
      </c>
      <c r="E789" s="8">
        <f ca="1">IFERROR(__xludf.DUMMYFUNCTION("""COMPUTED_VALUE"""),0)</f>
        <v>0</v>
      </c>
      <c r="F789"/>
    </row>
    <row r="790" spans="1:6" ht="15.75" customHeight="1" x14ac:dyDescent="0.25">
      <c r="A790" s="7" t="s">
        <v>48</v>
      </c>
      <c r="B790" s="7" t="s">
        <v>15</v>
      </c>
      <c r="C790" s="6">
        <v>2024</v>
      </c>
      <c r="D790" s="10">
        <v>11</v>
      </c>
      <c r="E790" s="8">
        <f ca="1">IFERROR(__xludf.DUMMYFUNCTION("""COMPUTED_VALUE"""),0)</f>
        <v>0</v>
      </c>
      <c r="F790"/>
    </row>
    <row r="791" spans="1:6" ht="15.75" customHeight="1" x14ac:dyDescent="0.25">
      <c r="A791" s="7" t="s">
        <v>48</v>
      </c>
      <c r="B791" s="7" t="s">
        <v>2</v>
      </c>
      <c r="C791" s="6">
        <v>2024</v>
      </c>
      <c r="D791" s="10">
        <v>11</v>
      </c>
      <c r="E791" s="8">
        <f ca="1">IFERROR(__xludf.DUMMYFUNCTION("""COMPUTED_VALUE"""),1406)</f>
        <v>1406</v>
      </c>
      <c r="F791"/>
    </row>
    <row r="792" spans="1:6" ht="15.75" customHeight="1" x14ac:dyDescent="0.25">
      <c r="A792" s="7" t="s">
        <v>48</v>
      </c>
      <c r="B792" s="7" t="s">
        <v>16</v>
      </c>
      <c r="C792" s="6">
        <v>2024</v>
      </c>
      <c r="D792" s="10">
        <v>11</v>
      </c>
      <c r="E792" s="8">
        <f ca="1">IFERROR(__xludf.DUMMYFUNCTION("""COMPUTED_VALUE"""),37975.3846153846)</f>
        <v>37975.384615384603</v>
      </c>
      <c r="F792"/>
    </row>
    <row r="793" spans="1:6" ht="15.75" customHeight="1" x14ac:dyDescent="0.25">
      <c r="A793" s="7" t="s">
        <v>48</v>
      </c>
      <c r="B793" s="7" t="s">
        <v>17</v>
      </c>
      <c r="C793" s="6">
        <v>2024</v>
      </c>
      <c r="D793" s="10">
        <v>11</v>
      </c>
      <c r="E793" s="8">
        <f ca="1">IFERROR(__xludf.DUMMYFUNCTION("""COMPUTED_VALUE"""),9232.58817533129)</f>
        <v>9232.5881753312897</v>
      </c>
      <c r="F793"/>
    </row>
    <row r="794" spans="1:6" ht="15.75" customHeight="1" x14ac:dyDescent="0.25">
      <c r="A794" s="7" t="s">
        <v>49</v>
      </c>
      <c r="B794" s="9" t="s">
        <v>5</v>
      </c>
      <c r="C794" s="6">
        <v>2024</v>
      </c>
      <c r="D794" s="10">
        <v>11</v>
      </c>
      <c r="E794" s="8">
        <f ca="1">IFERROR(__xludf.DUMMYFUNCTION("TRANSPOSE(IMPORTRANGE(""https://docs.google.com/spreadsheets/d/1YP2JnoksgNTGTq3Y_cG0aVYHnh52cpd0EbwD2VhFviE/edit?usp=sharing"",""Perhitungan Stok!$J$26:$J$37""))"),246137.103156462)</f>
        <v>246137.10315646199</v>
      </c>
      <c r="F794"/>
    </row>
    <row r="795" spans="1:6" ht="15.75" customHeight="1" x14ac:dyDescent="0.25">
      <c r="A795" s="7" t="s">
        <v>49</v>
      </c>
      <c r="B795" s="7" t="s">
        <v>3</v>
      </c>
      <c r="C795" s="6">
        <v>2024</v>
      </c>
      <c r="D795" s="10">
        <v>11</v>
      </c>
      <c r="E795" s="8">
        <f ca="1">IFERROR(__xludf.DUMMYFUNCTION("""COMPUTED_VALUE"""),11440)</f>
        <v>11440</v>
      </c>
      <c r="F795"/>
    </row>
    <row r="796" spans="1:6" ht="15.75" customHeight="1" x14ac:dyDescent="0.25">
      <c r="A796" s="7" t="s">
        <v>49</v>
      </c>
      <c r="B796" s="7" t="s">
        <v>11</v>
      </c>
      <c r="C796" s="6">
        <v>2024</v>
      </c>
      <c r="D796" s="10">
        <v>11</v>
      </c>
      <c r="E796" s="8">
        <f ca="1">IFERROR(__xludf.DUMMYFUNCTION("""COMPUTED_VALUE"""),250600.036065573)</f>
        <v>250600.03606557299</v>
      </c>
      <c r="F796"/>
    </row>
    <row r="797" spans="1:6" ht="15.75" customHeight="1" x14ac:dyDescent="0.25">
      <c r="A797" s="7" t="s">
        <v>49</v>
      </c>
      <c r="B797" s="7" t="s">
        <v>12</v>
      </c>
      <c r="C797" s="6">
        <v>2024</v>
      </c>
      <c r="D797" s="10">
        <v>11</v>
      </c>
      <c r="E797" s="8">
        <f ca="1">IFERROR(__xludf.DUMMYFUNCTION("""COMPUTED_VALUE"""),0)</f>
        <v>0</v>
      </c>
      <c r="F797"/>
    </row>
    <row r="798" spans="1:6" ht="15.75" customHeight="1" x14ac:dyDescent="0.25">
      <c r="A798" s="7" t="s">
        <v>49</v>
      </c>
      <c r="B798" s="7" t="s">
        <v>13</v>
      </c>
      <c r="C798" s="6">
        <v>2024</v>
      </c>
      <c r="D798" s="10">
        <v>11</v>
      </c>
      <c r="E798" s="8">
        <f ca="1">IFERROR(__xludf.DUMMYFUNCTION("""COMPUTED_VALUE"""),70109.2905613818)</f>
        <v>70109.2905613818</v>
      </c>
      <c r="F798"/>
    </row>
    <row r="799" spans="1:6" ht="15.75" customHeight="1" x14ac:dyDescent="0.25">
      <c r="A799" s="7" t="s">
        <v>49</v>
      </c>
      <c r="B799" s="7" t="s">
        <v>4</v>
      </c>
      <c r="C799" s="6">
        <v>2024</v>
      </c>
      <c r="D799" s="10">
        <v>11</v>
      </c>
      <c r="E799" s="8">
        <f ca="1">IFERROR(__xludf.DUMMYFUNCTION("""COMPUTED_VALUE"""),21875)</f>
        <v>21875</v>
      </c>
      <c r="F799"/>
    </row>
    <row r="800" spans="1:6" ht="15.75" customHeight="1" x14ac:dyDescent="0.25">
      <c r="A800" s="7" t="s">
        <v>49</v>
      </c>
      <c r="B800" s="7" t="s">
        <v>1</v>
      </c>
      <c r="C800" s="6">
        <v>2024</v>
      </c>
      <c r="D800" s="10">
        <v>11</v>
      </c>
      <c r="E800" s="8">
        <f ca="1">IFERROR(__xludf.DUMMYFUNCTION("""COMPUTED_VALUE"""),21319.9999999999)</f>
        <v>21319.999999999902</v>
      </c>
      <c r="F800"/>
    </row>
    <row r="801" spans="1:6" ht="15.75" customHeight="1" x14ac:dyDescent="0.25">
      <c r="A801" s="7" t="s">
        <v>49</v>
      </c>
      <c r="B801" s="7" t="s">
        <v>14</v>
      </c>
      <c r="C801" s="6">
        <v>2024</v>
      </c>
      <c r="D801" s="10">
        <v>11</v>
      </c>
      <c r="E801" s="8">
        <f ca="1">IFERROR(__xludf.DUMMYFUNCTION("""COMPUTED_VALUE"""),45829.5652173913)</f>
        <v>45829.565217391297</v>
      </c>
      <c r="F801"/>
    </row>
    <row r="802" spans="1:6" ht="15.75" customHeight="1" x14ac:dyDescent="0.25">
      <c r="A802" s="7" t="s">
        <v>49</v>
      </c>
      <c r="B802" s="7" t="s">
        <v>15</v>
      </c>
      <c r="C802" s="6">
        <v>2024</v>
      </c>
      <c r="D802" s="10">
        <v>11</v>
      </c>
      <c r="E802" s="8">
        <f ca="1">IFERROR(__xludf.DUMMYFUNCTION("""COMPUTED_VALUE"""),20340)</f>
        <v>20340</v>
      </c>
      <c r="F802"/>
    </row>
    <row r="803" spans="1:6" ht="15.75" customHeight="1" x14ac:dyDescent="0.25">
      <c r="A803" s="7" t="s">
        <v>49</v>
      </c>
      <c r="B803" s="7" t="s">
        <v>2</v>
      </c>
      <c r="C803" s="6">
        <v>2024</v>
      </c>
      <c r="D803" s="10">
        <v>11</v>
      </c>
      <c r="E803" s="8">
        <f ca="1">IFERROR(__xludf.DUMMYFUNCTION("""COMPUTED_VALUE"""),107770.426540284)</f>
        <v>107770.426540284</v>
      </c>
      <c r="F803"/>
    </row>
    <row r="804" spans="1:6" ht="15.75" customHeight="1" x14ac:dyDescent="0.25">
      <c r="A804" s="7" t="s">
        <v>49</v>
      </c>
      <c r="B804" s="7" t="s">
        <v>16</v>
      </c>
      <c r="C804" s="6">
        <v>2024</v>
      </c>
      <c r="D804" s="10">
        <v>11</v>
      </c>
      <c r="E804" s="8">
        <f ca="1">IFERROR(__xludf.DUMMYFUNCTION("""COMPUTED_VALUE"""),93165.9572649572)</f>
        <v>93165.957264957193</v>
      </c>
      <c r="F804"/>
    </row>
    <row r="805" spans="1:6" ht="15.75" customHeight="1" x14ac:dyDescent="0.25">
      <c r="A805" s="7" t="s">
        <v>49</v>
      </c>
      <c r="B805" s="7" t="s">
        <v>17</v>
      </c>
      <c r="C805" s="6">
        <v>2024</v>
      </c>
      <c r="D805" s="10">
        <v>11</v>
      </c>
      <c r="E805" s="8">
        <f ca="1">IFERROR(__xludf.DUMMYFUNCTION("""COMPUTED_VALUE"""),171269.624173989)</f>
        <v>171269.624173989</v>
      </c>
      <c r="F805"/>
    </row>
    <row r="806" spans="1:6" ht="15.75" customHeight="1" x14ac:dyDescent="0.25">
      <c r="A806" s="7" t="s">
        <v>50</v>
      </c>
      <c r="B806" s="9" t="s">
        <v>5</v>
      </c>
      <c r="C806" s="6">
        <v>2024</v>
      </c>
      <c r="D806" s="10">
        <v>11</v>
      </c>
      <c r="E806" s="8">
        <f ca="1">IFERROR(__xludf.DUMMYFUNCTION("TRANSPOSE(IMPORTRANGE(""https://docs.google.com/spreadsheets/d/1mT3IjyNoODrU_LG3JEun9khz8b3FeOSoNSOv43fG8HI/edit?usp=sharing"",""Perhitungan Stok!$J$26:$J$37""))"),12816.9262589019)</f>
        <v>12816.9262589019</v>
      </c>
      <c r="F806"/>
    </row>
    <row r="807" spans="1:6" ht="15.75" customHeight="1" x14ac:dyDescent="0.25">
      <c r="A807" s="7" t="s">
        <v>50</v>
      </c>
      <c r="B807" s="7" t="s">
        <v>3</v>
      </c>
      <c r="C807" s="6">
        <v>2024</v>
      </c>
      <c r="D807" s="10">
        <v>11</v>
      </c>
      <c r="E807" s="8">
        <f ca="1">IFERROR(__xludf.DUMMYFUNCTION("""COMPUTED_VALUE"""),9297.80663083519)</f>
        <v>9297.8066308351899</v>
      </c>
      <c r="F807"/>
    </row>
    <row r="808" spans="1:6" ht="15.75" customHeight="1" x14ac:dyDescent="0.25">
      <c r="A808" s="7" t="s">
        <v>50</v>
      </c>
      <c r="B808" s="7" t="s">
        <v>11</v>
      </c>
      <c r="C808" s="6">
        <v>2024</v>
      </c>
      <c r="D808" s="10">
        <v>11</v>
      </c>
      <c r="E808" s="8">
        <f ca="1">IFERROR(__xludf.DUMMYFUNCTION("""COMPUTED_VALUE"""),24378.9519101123)</f>
        <v>24378.951910112301</v>
      </c>
      <c r="F808"/>
    </row>
    <row r="809" spans="1:6" ht="15.75" customHeight="1" x14ac:dyDescent="0.25">
      <c r="A809" s="7" t="s">
        <v>50</v>
      </c>
      <c r="B809" s="7" t="s">
        <v>12</v>
      </c>
      <c r="C809" s="6">
        <v>2024</v>
      </c>
      <c r="D809" s="10">
        <v>11</v>
      </c>
      <c r="E809" s="8">
        <f ca="1">IFERROR(__xludf.DUMMYFUNCTION("""COMPUTED_VALUE"""),1405.70497784727)</f>
        <v>1405.7049778472699</v>
      </c>
      <c r="F809"/>
    </row>
    <row r="810" spans="1:6" ht="15.75" customHeight="1" x14ac:dyDescent="0.25">
      <c r="A810" s="7" t="s">
        <v>50</v>
      </c>
      <c r="B810" s="7" t="s">
        <v>13</v>
      </c>
      <c r="C810" s="6">
        <v>2024</v>
      </c>
      <c r="D810" s="10">
        <v>11</v>
      </c>
      <c r="E810" s="8">
        <f ca="1">IFERROR(__xludf.DUMMYFUNCTION("""COMPUTED_VALUE"""),539.078069222411)</f>
        <v>539.07806922241105</v>
      </c>
      <c r="F810"/>
    </row>
    <row r="811" spans="1:6" ht="15.75" customHeight="1" x14ac:dyDescent="0.25">
      <c r="A811" s="7" t="s">
        <v>50</v>
      </c>
      <c r="B811" s="7" t="s">
        <v>4</v>
      </c>
      <c r="C811" s="6">
        <v>2024</v>
      </c>
      <c r="D811" s="10">
        <v>11</v>
      </c>
      <c r="E811" s="8">
        <f ca="1">IFERROR(__xludf.DUMMYFUNCTION("""COMPUTED_VALUE"""),8642.48281249999)</f>
        <v>8642.4828124999894</v>
      </c>
      <c r="F811"/>
    </row>
    <row r="812" spans="1:6" ht="15.75" customHeight="1" x14ac:dyDescent="0.25">
      <c r="A812" s="7" t="s">
        <v>50</v>
      </c>
      <c r="B812" s="7" t="s">
        <v>1</v>
      </c>
      <c r="C812" s="6">
        <v>2024</v>
      </c>
      <c r="D812" s="10">
        <v>11</v>
      </c>
      <c r="E812" s="8">
        <f ca="1">IFERROR(__xludf.DUMMYFUNCTION("""COMPUTED_VALUE"""),22510.6580886653)</f>
        <v>22510.658088665299</v>
      </c>
      <c r="F812"/>
    </row>
    <row r="813" spans="1:6" ht="15.75" customHeight="1" x14ac:dyDescent="0.25">
      <c r="A813" s="7" t="s">
        <v>50</v>
      </c>
      <c r="B813" s="7" t="s">
        <v>14</v>
      </c>
      <c r="C813" s="6">
        <v>2024</v>
      </c>
      <c r="D813" s="10">
        <v>11</v>
      </c>
      <c r="E813" s="8">
        <f ca="1">IFERROR(__xludf.DUMMYFUNCTION("""COMPUTED_VALUE"""),20160.3818181818)</f>
        <v>20160.381818181799</v>
      </c>
      <c r="F813"/>
    </row>
    <row r="814" spans="1:6" ht="15.75" customHeight="1" x14ac:dyDescent="0.25">
      <c r="A814" s="7" t="s">
        <v>50</v>
      </c>
      <c r="B814" s="7" t="s">
        <v>15</v>
      </c>
      <c r="C814" s="6">
        <v>2024</v>
      </c>
      <c r="D814" s="10">
        <v>11</v>
      </c>
      <c r="E814" s="8">
        <f ca="1">IFERROR(__xludf.DUMMYFUNCTION("""COMPUTED_VALUE"""),31053.6450946359)</f>
        <v>31053.6450946359</v>
      </c>
      <c r="F814"/>
    </row>
    <row r="815" spans="1:6" ht="15.75" customHeight="1" x14ac:dyDescent="0.25">
      <c r="A815" s="7" t="s">
        <v>50</v>
      </c>
      <c r="B815" s="7" t="s">
        <v>2</v>
      </c>
      <c r="C815" s="6">
        <v>2024</v>
      </c>
      <c r="D815" s="10">
        <v>11</v>
      </c>
      <c r="E815" s="8">
        <f ca="1">IFERROR(__xludf.DUMMYFUNCTION("""COMPUTED_VALUE"""),7651.91676340047)</f>
        <v>7651.9167634004698</v>
      </c>
      <c r="F815"/>
    </row>
    <row r="816" spans="1:6" ht="15.75" customHeight="1" x14ac:dyDescent="0.25">
      <c r="A816" s="7" t="s">
        <v>50</v>
      </c>
      <c r="B816" s="7" t="s">
        <v>16</v>
      </c>
      <c r="C816" s="6">
        <v>2024</v>
      </c>
      <c r="D816" s="10">
        <v>11</v>
      </c>
      <c r="E816" s="8">
        <f ca="1">IFERROR(__xludf.DUMMYFUNCTION("""COMPUTED_VALUE"""),31268.0470588235)</f>
        <v>31268.0470588235</v>
      </c>
      <c r="F816"/>
    </row>
    <row r="817" spans="1:6" ht="15.75" customHeight="1" x14ac:dyDescent="0.25">
      <c r="A817" s="7" t="s">
        <v>50</v>
      </c>
      <c r="B817" s="7" t="s">
        <v>17</v>
      </c>
      <c r="C817" s="6">
        <v>2024</v>
      </c>
      <c r="D817" s="10">
        <v>11</v>
      </c>
      <c r="E817" s="8">
        <f ca="1">IFERROR(__xludf.DUMMYFUNCTION("""COMPUTED_VALUE"""),1752.01563517915)</f>
        <v>1752.01563517915</v>
      </c>
      <c r="F817"/>
    </row>
    <row r="818" spans="1:6" ht="15.75" customHeight="1" x14ac:dyDescent="0.25">
      <c r="A818" s="7" t="s">
        <v>51</v>
      </c>
      <c r="B818" s="9" t="s">
        <v>5</v>
      </c>
      <c r="C818" s="6">
        <v>2024</v>
      </c>
      <c r="D818" s="10">
        <v>11</v>
      </c>
      <c r="E818" s="8">
        <f ca="1">IFERROR(__xludf.DUMMYFUNCTION("TRANSPOSE(IMPORTRANGE(""https://docs.google.com/spreadsheets/d/18yT69aQlf6J1sEmVuUDlca7R2wc3eYvTk7Wv4aA2uKk/edit?usp=sharing"",""Perhitungan Stok!$J$26:$J$37""))"),20641.5379026521)</f>
        <v>20641.5379026521</v>
      </c>
      <c r="F818"/>
    </row>
    <row r="819" spans="1:6" ht="15.75" customHeight="1" x14ac:dyDescent="0.25">
      <c r="A819" s="7" t="s">
        <v>51</v>
      </c>
      <c r="B819" s="7" t="s">
        <v>3</v>
      </c>
      <c r="C819" s="6">
        <v>2024</v>
      </c>
      <c r="D819" s="10">
        <v>11</v>
      </c>
      <c r="E819" s="8" t="s">
        <v>21</v>
      </c>
      <c r="F819"/>
    </row>
    <row r="820" spans="1:6" ht="15.75" customHeight="1" x14ac:dyDescent="0.25">
      <c r="A820" s="7" t="s">
        <v>51</v>
      </c>
      <c r="B820" s="7" t="s">
        <v>11</v>
      </c>
      <c r="C820" s="6">
        <v>2024</v>
      </c>
      <c r="D820" s="10">
        <v>11</v>
      </c>
      <c r="E820" s="8">
        <f ca="1">IFERROR(__xludf.DUMMYFUNCTION("""COMPUTED_VALUE"""),0)</f>
        <v>0</v>
      </c>
      <c r="F820"/>
    </row>
    <row r="821" spans="1:6" ht="15.75" customHeight="1" x14ac:dyDescent="0.25">
      <c r="A821" s="7" t="s">
        <v>51</v>
      </c>
      <c r="B821" s="7" t="s">
        <v>12</v>
      </c>
      <c r="C821" s="6">
        <v>2024</v>
      </c>
      <c r="D821" s="10">
        <v>11</v>
      </c>
      <c r="E821" s="8">
        <f ca="1">IFERROR(__xludf.DUMMYFUNCTION("""COMPUTED_VALUE"""),0)</f>
        <v>0</v>
      </c>
      <c r="F821"/>
    </row>
    <row r="822" spans="1:6" ht="15.75" customHeight="1" x14ac:dyDescent="0.25">
      <c r="A822" s="7" t="s">
        <v>51</v>
      </c>
      <c r="B822" s="7" t="s">
        <v>13</v>
      </c>
      <c r="C822" s="6">
        <v>2024</v>
      </c>
      <c r="D822" s="10">
        <v>11</v>
      </c>
      <c r="E822" s="8">
        <f ca="1">IFERROR(__xludf.DUMMYFUNCTION("""COMPUTED_VALUE"""),0)</f>
        <v>0</v>
      </c>
      <c r="F822"/>
    </row>
    <row r="823" spans="1:6" ht="15.75" customHeight="1" x14ac:dyDescent="0.25">
      <c r="A823" s="7" t="s">
        <v>51</v>
      </c>
      <c r="B823" s="7" t="s">
        <v>4</v>
      </c>
      <c r="C823" s="6">
        <v>2024</v>
      </c>
      <c r="D823" s="10">
        <v>11</v>
      </c>
      <c r="E823" s="8">
        <f ca="1">IFERROR(__xludf.DUMMYFUNCTION("""COMPUTED_VALUE"""),0)</f>
        <v>0</v>
      </c>
      <c r="F823"/>
    </row>
    <row r="824" spans="1:6" ht="15.75" customHeight="1" x14ac:dyDescent="0.25">
      <c r="A824" s="7" t="s">
        <v>51</v>
      </c>
      <c r="B824" s="7" t="s">
        <v>1</v>
      </c>
      <c r="C824" s="6">
        <v>2024</v>
      </c>
      <c r="D824" s="10">
        <v>11</v>
      </c>
      <c r="E824" s="8">
        <f ca="1">IFERROR(__xludf.DUMMYFUNCTION("""COMPUTED_VALUE"""),0)</f>
        <v>0</v>
      </c>
      <c r="F824"/>
    </row>
    <row r="825" spans="1:6" ht="15.75" customHeight="1" x14ac:dyDescent="0.25">
      <c r="A825" s="7" t="s">
        <v>51</v>
      </c>
      <c r="B825" s="7" t="s">
        <v>14</v>
      </c>
      <c r="C825" s="6">
        <v>2024</v>
      </c>
      <c r="D825" s="10">
        <v>11</v>
      </c>
      <c r="E825" s="8">
        <f ca="1">IFERROR(__xludf.DUMMYFUNCTION("""COMPUTED_VALUE"""),0)</f>
        <v>0</v>
      </c>
      <c r="F825"/>
    </row>
    <row r="826" spans="1:6" ht="15.75" customHeight="1" x14ac:dyDescent="0.25">
      <c r="A826" s="7" t="s">
        <v>51</v>
      </c>
      <c r="B826" s="7" t="s">
        <v>15</v>
      </c>
      <c r="C826" s="6">
        <v>2024</v>
      </c>
      <c r="D826" s="10">
        <v>11</v>
      </c>
      <c r="E826" s="8">
        <f ca="1">IFERROR(__xludf.DUMMYFUNCTION("""COMPUTED_VALUE"""),0)</f>
        <v>0</v>
      </c>
      <c r="F826"/>
    </row>
    <row r="827" spans="1:6" ht="15.75" customHeight="1" x14ac:dyDescent="0.25">
      <c r="A827" s="7" t="s">
        <v>51</v>
      </c>
      <c r="B827" s="7" t="s">
        <v>2</v>
      </c>
      <c r="C827" s="6">
        <v>2024</v>
      </c>
      <c r="D827" s="10">
        <v>11</v>
      </c>
      <c r="E827" s="8">
        <f ca="1">IFERROR(__xludf.DUMMYFUNCTION("""COMPUTED_VALUE"""),2383.57300884955)</f>
        <v>2383.5730088495502</v>
      </c>
      <c r="F827"/>
    </row>
    <row r="828" spans="1:6" ht="15.75" customHeight="1" x14ac:dyDescent="0.25">
      <c r="A828" s="7" t="s">
        <v>51</v>
      </c>
      <c r="B828" s="7" t="s">
        <v>16</v>
      </c>
      <c r="C828" s="6">
        <v>2024</v>
      </c>
      <c r="D828" s="10">
        <v>11</v>
      </c>
      <c r="E828" s="8">
        <f ca="1">IFERROR(__xludf.DUMMYFUNCTION("""COMPUTED_VALUE"""),4712.35934664246)</f>
        <v>4712.35934664246</v>
      </c>
      <c r="F828"/>
    </row>
    <row r="829" spans="1:6" ht="15.75" customHeight="1" x14ac:dyDescent="0.25">
      <c r="A829" s="7" t="s">
        <v>51</v>
      </c>
      <c r="B829" s="7" t="s">
        <v>17</v>
      </c>
      <c r="C829" s="6">
        <v>2024</v>
      </c>
      <c r="D829" s="10">
        <v>11</v>
      </c>
      <c r="E829" s="8">
        <f ca="1">IFERROR(__xludf.DUMMYFUNCTION("""COMPUTED_VALUE"""),8949.63391136801)</f>
        <v>8949.6339113680096</v>
      </c>
      <c r="F829"/>
    </row>
    <row r="830" spans="1:6" ht="15.75" customHeight="1" x14ac:dyDescent="0.25">
      <c r="A830" s="7" t="s">
        <v>52</v>
      </c>
      <c r="B830" s="9" t="s">
        <v>5</v>
      </c>
      <c r="C830" s="6">
        <v>2024</v>
      </c>
      <c r="D830" s="10">
        <v>11</v>
      </c>
      <c r="E830" s="8">
        <f ca="1">IFERROR(__xludf.DUMMYFUNCTION("TRANSPOSE(IMPORTRANGE(""https://docs.google.com/spreadsheets/d/1uZDbd7QqVDyXIy3J32lMUgNi0cYm-p80FJc-hWxxacs/edit?usp=sharing"",""Perhitungan Stok!$J$26:$J$37""))"),678061.885272111)</f>
        <v>678061.88527211105</v>
      </c>
      <c r="F830"/>
    </row>
    <row r="831" spans="1:6" ht="15.75" customHeight="1" x14ac:dyDescent="0.25">
      <c r="A831" s="7" t="s">
        <v>52</v>
      </c>
      <c r="B831" s="7" t="s">
        <v>3</v>
      </c>
      <c r="C831" s="6">
        <v>2024</v>
      </c>
      <c r="D831" s="10">
        <v>11</v>
      </c>
      <c r="E831" s="8">
        <f ca="1">IFERROR(__xludf.DUMMYFUNCTION("""COMPUTED_VALUE"""),306)</f>
        <v>306</v>
      </c>
      <c r="F831"/>
    </row>
    <row r="832" spans="1:6" ht="15.75" customHeight="1" x14ac:dyDescent="0.25">
      <c r="A832" s="7" t="s">
        <v>52</v>
      </c>
      <c r="B832" s="7" t="s">
        <v>11</v>
      </c>
      <c r="C832" s="6">
        <v>2024</v>
      </c>
      <c r="D832" s="10">
        <v>11</v>
      </c>
      <c r="E832" s="8">
        <f ca="1">IFERROR(__xludf.DUMMYFUNCTION("""COMPUTED_VALUE"""),19502.4375)</f>
        <v>19502.4375</v>
      </c>
      <c r="F832"/>
    </row>
    <row r="833" spans="1:6" ht="15.75" customHeight="1" x14ac:dyDescent="0.25">
      <c r="A833" s="7" t="s">
        <v>52</v>
      </c>
      <c r="B833" s="7" t="s">
        <v>12</v>
      </c>
      <c r="C833" s="6">
        <v>2024</v>
      </c>
      <c r="D833" s="10">
        <v>11</v>
      </c>
      <c r="E833" s="8">
        <f ca="1">IFERROR(__xludf.DUMMYFUNCTION("""COMPUTED_VALUE"""),43)</f>
        <v>43</v>
      </c>
      <c r="F833"/>
    </row>
    <row r="834" spans="1:6" ht="15.75" customHeight="1" x14ac:dyDescent="0.25">
      <c r="A834" s="7" t="s">
        <v>52</v>
      </c>
      <c r="B834" s="7" t="s">
        <v>13</v>
      </c>
      <c r="C834" s="6">
        <v>2024</v>
      </c>
      <c r="D834" s="10">
        <v>11</v>
      </c>
      <c r="E834" s="8">
        <f ca="1">IFERROR(__xludf.DUMMYFUNCTION("""COMPUTED_VALUE"""),6242.52069536423)</f>
        <v>6242.5206953642301</v>
      </c>
      <c r="F834"/>
    </row>
    <row r="835" spans="1:6" ht="15.75" customHeight="1" x14ac:dyDescent="0.25">
      <c r="A835" s="7" t="s">
        <v>52</v>
      </c>
      <c r="B835" s="7" t="s">
        <v>4</v>
      </c>
      <c r="C835" s="6">
        <v>2024</v>
      </c>
      <c r="D835" s="10">
        <v>11</v>
      </c>
      <c r="E835" s="8">
        <f ca="1">IFERROR(__xludf.DUMMYFUNCTION("""COMPUTED_VALUE"""),97.5)</f>
        <v>97.5</v>
      </c>
      <c r="F835"/>
    </row>
    <row r="836" spans="1:6" ht="15.75" customHeight="1" x14ac:dyDescent="0.25">
      <c r="A836" s="7" t="s">
        <v>52</v>
      </c>
      <c r="B836" s="7" t="s">
        <v>1</v>
      </c>
      <c r="C836" s="6">
        <v>2024</v>
      </c>
      <c r="D836" s="10">
        <v>11</v>
      </c>
      <c r="E836" s="8">
        <f ca="1">IFERROR(__xludf.DUMMYFUNCTION("""COMPUTED_VALUE"""),48.3333333333333)</f>
        <v>48.3333333333333</v>
      </c>
      <c r="F836"/>
    </row>
    <row r="837" spans="1:6" ht="15.75" customHeight="1" x14ac:dyDescent="0.25">
      <c r="A837" s="7" t="s">
        <v>52</v>
      </c>
      <c r="B837" s="7" t="s">
        <v>14</v>
      </c>
      <c r="C837" s="6">
        <v>2024</v>
      </c>
      <c r="D837" s="10">
        <v>11</v>
      </c>
      <c r="E837" s="8">
        <f ca="1">IFERROR(__xludf.DUMMYFUNCTION("""COMPUTED_VALUE"""),19.375)</f>
        <v>19.375</v>
      </c>
      <c r="F837"/>
    </row>
    <row r="838" spans="1:6" ht="15.75" customHeight="1" x14ac:dyDescent="0.25">
      <c r="A838" s="7" t="s">
        <v>52</v>
      </c>
      <c r="B838" s="7" t="s">
        <v>15</v>
      </c>
      <c r="C838" s="6">
        <v>2024</v>
      </c>
      <c r="D838" s="10">
        <v>11</v>
      </c>
      <c r="E838" s="8">
        <f ca="1">IFERROR(__xludf.DUMMYFUNCTION("""COMPUTED_VALUE"""),2.63492063492063)</f>
        <v>2.63492063492063</v>
      </c>
      <c r="F838"/>
    </row>
    <row r="839" spans="1:6" ht="15.75" customHeight="1" x14ac:dyDescent="0.25">
      <c r="A839" s="7" t="s">
        <v>52</v>
      </c>
      <c r="B839" s="7" t="s">
        <v>2</v>
      </c>
      <c r="C839" s="6">
        <v>2024</v>
      </c>
      <c r="D839" s="10">
        <v>11</v>
      </c>
      <c r="E839" s="8">
        <f ca="1">IFERROR(__xludf.DUMMYFUNCTION("""COMPUTED_VALUE"""),1314.43298969072)</f>
        <v>1314.43298969072</v>
      </c>
      <c r="F839"/>
    </row>
    <row r="840" spans="1:6" ht="15.75" customHeight="1" x14ac:dyDescent="0.25">
      <c r="A840" s="7" t="s">
        <v>52</v>
      </c>
      <c r="B840" s="7" t="s">
        <v>16</v>
      </c>
      <c r="C840" s="6">
        <v>2024</v>
      </c>
      <c r="D840" s="10">
        <v>11</v>
      </c>
      <c r="E840" s="8">
        <f ca="1">IFERROR(__xludf.DUMMYFUNCTION("""COMPUTED_VALUE"""),123492.775678461)</f>
        <v>123492.775678461</v>
      </c>
      <c r="F840"/>
    </row>
    <row r="841" spans="1:6" ht="15.75" customHeight="1" x14ac:dyDescent="0.25">
      <c r="A841" s="7" t="s">
        <v>52</v>
      </c>
      <c r="B841" s="7" t="s">
        <v>17</v>
      </c>
      <c r="C841" s="6">
        <v>2024</v>
      </c>
      <c r="D841" s="10">
        <v>11</v>
      </c>
      <c r="E841" s="8">
        <f ca="1">IFERROR(__xludf.DUMMYFUNCTION("""COMPUTED_VALUE"""),18424.4181602001)</f>
        <v>18424.418160200101</v>
      </c>
      <c r="F841"/>
    </row>
    <row r="842" spans="1:6" ht="15.75" customHeight="1" x14ac:dyDescent="0.25">
      <c r="A842" s="7" t="s">
        <v>10</v>
      </c>
      <c r="B842" s="7" t="s">
        <v>5</v>
      </c>
      <c r="C842" s="6">
        <v>2024</v>
      </c>
      <c r="D842" s="8">
        <v>12</v>
      </c>
      <c r="E842" s="8">
        <f ca="1">IFERROR(__xludf.DUMMYFUNCTION("TRANSPOSE(IMPORTRANGE(""https://docs.google.com/spreadsheets/d/1AtdMzuToiWUhtlxnY1Dz2wS_LuWlSr9V3xqy8xdgs8Y/edit?usp=sharing"",""Perhitungan Stok!$J$46:$J$57""))"),34000)</f>
        <v>34000</v>
      </c>
    </row>
    <row r="843" spans="1:6" ht="15.75" customHeight="1" x14ac:dyDescent="0.25">
      <c r="A843" s="7" t="s">
        <v>10</v>
      </c>
      <c r="B843" s="7" t="s">
        <v>3</v>
      </c>
      <c r="C843" s="6">
        <v>2024</v>
      </c>
      <c r="D843" s="8">
        <v>12</v>
      </c>
      <c r="E843" s="8">
        <f ca="1">IFERROR(__xludf.DUMMYFUNCTION("""COMPUTED_VALUE"""),2020)</f>
        <v>2020</v>
      </c>
    </row>
    <row r="844" spans="1:6" ht="15.75" customHeight="1" x14ac:dyDescent="0.25">
      <c r="A844" s="7" t="s">
        <v>10</v>
      </c>
      <c r="B844" s="7" t="s">
        <v>11</v>
      </c>
      <c r="C844" s="6">
        <v>2024</v>
      </c>
      <c r="D844" s="8">
        <v>12</v>
      </c>
      <c r="E844" s="8">
        <f ca="1">IFERROR(__xludf.DUMMYFUNCTION("""COMPUTED_VALUE"""),12000)</f>
        <v>12000</v>
      </c>
    </row>
    <row r="845" spans="1:6" ht="15.75" customHeight="1" x14ac:dyDescent="0.25">
      <c r="A845" s="7" t="s">
        <v>10</v>
      </c>
      <c r="B845" s="7" t="s">
        <v>12</v>
      </c>
      <c r="C845" s="6">
        <v>2024</v>
      </c>
      <c r="D845" s="8">
        <v>12</v>
      </c>
      <c r="E845" s="8">
        <f ca="1">IFERROR(__xludf.DUMMYFUNCTION("""COMPUTED_VALUE"""),700)</f>
        <v>700</v>
      </c>
    </row>
    <row r="846" spans="1:6" ht="15.75" customHeight="1" x14ac:dyDescent="0.25">
      <c r="A846" s="7" t="s">
        <v>10</v>
      </c>
      <c r="B846" s="7" t="s">
        <v>13</v>
      </c>
      <c r="C846" s="6">
        <v>2024</v>
      </c>
      <c r="D846" s="8">
        <v>12</v>
      </c>
      <c r="E846" s="8">
        <f ca="1">IFERROR(__xludf.DUMMYFUNCTION("""COMPUTED_VALUE"""),200)</f>
        <v>200</v>
      </c>
    </row>
    <row r="847" spans="1:6" ht="15.75" customHeight="1" x14ac:dyDescent="0.25">
      <c r="A847" s="7" t="s">
        <v>10</v>
      </c>
      <c r="B847" s="7" t="s">
        <v>4</v>
      </c>
      <c r="C847" s="6">
        <v>2024</v>
      </c>
      <c r="D847" s="8">
        <v>12</v>
      </c>
      <c r="E847" s="8" t="str">
        <f ca="1">IFERROR(__xludf.DUMMYFUNCTION("""COMPUTED_VALUE"""),"NULL")</f>
        <v>NULL</v>
      </c>
    </row>
    <row r="848" spans="1:6" ht="15.75" customHeight="1" x14ac:dyDescent="0.25">
      <c r="A848" s="7" t="s">
        <v>10</v>
      </c>
      <c r="B848" s="7" t="s">
        <v>1</v>
      </c>
      <c r="C848" s="6">
        <v>2024</v>
      </c>
      <c r="D848" s="8">
        <v>12</v>
      </c>
      <c r="E848" s="8" t="str">
        <f ca="1">IFERROR(__xludf.DUMMYFUNCTION("""COMPUTED_VALUE"""),"NULL")</f>
        <v>NULL</v>
      </c>
    </row>
    <row r="849" spans="1:5" ht="15.75" customHeight="1" x14ac:dyDescent="0.25">
      <c r="A849" s="7" t="s">
        <v>10</v>
      </c>
      <c r="B849" s="7" t="s">
        <v>14</v>
      </c>
      <c r="C849" s="6">
        <v>2024</v>
      </c>
      <c r="D849" s="8">
        <v>12</v>
      </c>
      <c r="E849" s="8">
        <f ca="1">IFERROR(__xludf.DUMMYFUNCTION("""COMPUTED_VALUE"""),2220)</f>
        <v>2220</v>
      </c>
    </row>
    <row r="850" spans="1:5" ht="15.75" customHeight="1" x14ac:dyDescent="0.25">
      <c r="A850" s="7" t="s">
        <v>10</v>
      </c>
      <c r="B850" s="7" t="s">
        <v>15</v>
      </c>
      <c r="C850" s="6">
        <v>2024</v>
      </c>
      <c r="D850" s="8">
        <v>12</v>
      </c>
      <c r="E850" s="8">
        <f ca="1">IFERROR(__xludf.DUMMYFUNCTION("""COMPUTED_VALUE"""),2140)</f>
        <v>2140</v>
      </c>
    </row>
    <row r="851" spans="1:5" ht="15.75" customHeight="1" x14ac:dyDescent="0.25">
      <c r="A851" s="7" t="s">
        <v>10</v>
      </c>
      <c r="B851" s="7" t="s">
        <v>2</v>
      </c>
      <c r="C851" s="6">
        <v>2024</v>
      </c>
      <c r="D851" s="8">
        <v>12</v>
      </c>
      <c r="E851" s="8">
        <f ca="1">IFERROR(__xludf.DUMMYFUNCTION("""COMPUTED_VALUE"""),604.210526315789)</f>
        <v>604.21052631578902</v>
      </c>
    </row>
    <row r="852" spans="1:5" ht="15.75" customHeight="1" x14ac:dyDescent="0.25">
      <c r="A852" s="7" t="s">
        <v>10</v>
      </c>
      <c r="B852" s="7" t="s">
        <v>16</v>
      </c>
      <c r="C852" s="6">
        <v>2024</v>
      </c>
      <c r="D852" s="8">
        <v>12</v>
      </c>
      <c r="E852" s="8">
        <f ca="1">IFERROR(__xludf.DUMMYFUNCTION("""COMPUTED_VALUE"""),6000)</f>
        <v>6000</v>
      </c>
    </row>
    <row r="853" spans="1:5" ht="15.75" customHeight="1" x14ac:dyDescent="0.25">
      <c r="A853" s="7" t="s">
        <v>10</v>
      </c>
      <c r="B853" s="7" t="s">
        <v>17</v>
      </c>
      <c r="C853" s="6">
        <v>2024</v>
      </c>
      <c r="D853" s="8">
        <v>12</v>
      </c>
      <c r="E853" s="8">
        <f ca="1">IFERROR(__xludf.DUMMYFUNCTION("""COMPUTED_VALUE"""),1770)</f>
        <v>1770</v>
      </c>
    </row>
    <row r="854" spans="1:5" ht="15.75" customHeight="1" x14ac:dyDescent="0.25">
      <c r="A854" s="7" t="s">
        <v>18</v>
      </c>
      <c r="B854" s="7" t="s">
        <v>5</v>
      </c>
      <c r="C854" s="6">
        <v>2024</v>
      </c>
      <c r="D854" s="8">
        <v>12</v>
      </c>
      <c r="E854" s="8">
        <f ca="1">IFERROR(__xludf.DUMMYFUNCTION("TRANSPOSE(IMPORTRANGE(""https://docs.google.com/spreadsheets/d/1Kl6hcZbk0Xm-rTfEbqmPvGqFowxLYpC5mFoXw2ogkHw/edit?usp=sharing"",""Perhitungan Stok!$J$46:$J$57""))"),41351.4875239923)</f>
        <v>41351.487523992299</v>
      </c>
    </row>
    <row r="855" spans="1:5" ht="15.75" customHeight="1" x14ac:dyDescent="0.25">
      <c r="A855" s="7" t="s">
        <v>18</v>
      </c>
      <c r="B855" s="7" t="s">
        <v>3</v>
      </c>
      <c r="C855" s="6">
        <v>2024</v>
      </c>
      <c r="D855" s="8">
        <v>12</v>
      </c>
      <c r="E855" s="8">
        <f ca="1">IFERROR(__xludf.DUMMYFUNCTION("""COMPUTED_VALUE"""),3000)</f>
        <v>3000</v>
      </c>
    </row>
    <row r="856" spans="1:5" ht="15.75" customHeight="1" x14ac:dyDescent="0.25">
      <c r="A856" s="7" t="s">
        <v>18</v>
      </c>
      <c r="B856" s="7" t="s">
        <v>11</v>
      </c>
      <c r="C856" s="6">
        <v>2024</v>
      </c>
      <c r="D856" s="8">
        <v>12</v>
      </c>
      <c r="E856" s="8">
        <f ca="1">IFERROR(__xludf.DUMMYFUNCTION("""COMPUTED_VALUE"""),1250)</f>
        <v>1250</v>
      </c>
    </row>
    <row r="857" spans="1:5" ht="15.75" customHeight="1" x14ac:dyDescent="0.25">
      <c r="A857" s="7" t="s">
        <v>18</v>
      </c>
      <c r="B857" s="7" t="s">
        <v>12</v>
      </c>
      <c r="C857" s="6">
        <v>2024</v>
      </c>
      <c r="D857" s="8">
        <v>12</v>
      </c>
      <c r="E857" s="8">
        <f ca="1">IFERROR(__xludf.DUMMYFUNCTION("""COMPUTED_VALUE"""),2396.35897435897)</f>
        <v>2396.35897435897</v>
      </c>
    </row>
    <row r="858" spans="1:5" ht="15.75" customHeight="1" x14ac:dyDescent="0.25">
      <c r="A858" s="7" t="s">
        <v>18</v>
      </c>
      <c r="B858" s="7" t="s">
        <v>13</v>
      </c>
      <c r="C858" s="6">
        <v>2024</v>
      </c>
      <c r="D858" s="8">
        <v>12</v>
      </c>
      <c r="E858" s="8">
        <f ca="1">IFERROR(__xludf.DUMMYFUNCTION("""COMPUTED_VALUE"""),5365.26315789473)</f>
        <v>5365.2631578947303</v>
      </c>
    </row>
    <row r="859" spans="1:5" ht="15.75" customHeight="1" x14ac:dyDescent="0.25">
      <c r="A859" s="7" t="s">
        <v>18</v>
      </c>
      <c r="B859" s="7" t="s">
        <v>4</v>
      </c>
      <c r="C859" s="6">
        <v>2024</v>
      </c>
      <c r="D859" s="8">
        <v>12</v>
      </c>
      <c r="E859" s="8">
        <f ca="1">IFERROR(__xludf.DUMMYFUNCTION("""COMPUTED_VALUE"""),-996.392727272727)</f>
        <v>-996.39272727272703</v>
      </c>
    </row>
    <row r="860" spans="1:5" ht="15.75" customHeight="1" x14ac:dyDescent="0.25">
      <c r="A860" s="7" t="s">
        <v>18</v>
      </c>
      <c r="B860" s="7" t="s">
        <v>1</v>
      </c>
      <c r="C860" s="6">
        <v>2024</v>
      </c>
      <c r="D860" s="8">
        <v>12</v>
      </c>
      <c r="E860" s="8">
        <f ca="1">IFERROR(__xludf.DUMMYFUNCTION("""COMPUTED_VALUE"""),1291.125)</f>
        <v>1291.125</v>
      </c>
    </row>
    <row r="861" spans="1:5" ht="15.75" customHeight="1" x14ac:dyDescent="0.25">
      <c r="A861" s="7" t="s">
        <v>18</v>
      </c>
      <c r="B861" s="7" t="s">
        <v>14</v>
      </c>
      <c r="C861" s="6">
        <v>2024</v>
      </c>
      <c r="D861" s="8">
        <v>12</v>
      </c>
      <c r="E861" s="8">
        <f ca="1">IFERROR(__xludf.DUMMYFUNCTION("""COMPUTED_VALUE"""),141.714285714285)</f>
        <v>141.71428571428501</v>
      </c>
    </row>
    <row r="862" spans="1:5" ht="15.75" customHeight="1" x14ac:dyDescent="0.25">
      <c r="A862" s="7" t="s">
        <v>18</v>
      </c>
      <c r="B862" s="7" t="s">
        <v>15</v>
      </c>
      <c r="C862" s="6">
        <v>2024</v>
      </c>
      <c r="D862" s="8">
        <v>12</v>
      </c>
      <c r="E862" s="8">
        <f ca="1">IFERROR(__xludf.DUMMYFUNCTION("""COMPUTED_VALUE"""),49703.1629392971)</f>
        <v>49703.162939297101</v>
      </c>
    </row>
    <row r="863" spans="1:5" ht="15.75" customHeight="1" x14ac:dyDescent="0.25">
      <c r="A863" s="7" t="s">
        <v>18</v>
      </c>
      <c r="B863" s="7" t="s">
        <v>2</v>
      </c>
      <c r="C863" s="6">
        <v>2024</v>
      </c>
      <c r="D863" s="8">
        <v>12</v>
      </c>
      <c r="E863" s="8">
        <f ca="1">IFERROR(__xludf.DUMMYFUNCTION("""COMPUTED_VALUE"""),14969.370277078)</f>
        <v>14969.370277078</v>
      </c>
    </row>
    <row r="864" spans="1:5" ht="15.75" customHeight="1" x14ac:dyDescent="0.25">
      <c r="A864" s="7" t="s">
        <v>18</v>
      </c>
      <c r="B864" s="7" t="s">
        <v>16</v>
      </c>
      <c r="C864" s="6">
        <v>2024</v>
      </c>
      <c r="D864" s="8">
        <v>12</v>
      </c>
      <c r="E864" s="8">
        <f ca="1">IFERROR(__xludf.DUMMYFUNCTION("""COMPUTED_VALUE"""),18224.0034256351)</f>
        <v>18224.003425635099</v>
      </c>
    </row>
    <row r="865" spans="1:5" ht="15.75" customHeight="1" x14ac:dyDescent="0.25">
      <c r="A865" s="7" t="s">
        <v>18</v>
      </c>
      <c r="B865" s="7" t="s">
        <v>17</v>
      </c>
      <c r="C865" s="6">
        <v>2024</v>
      </c>
      <c r="D865" s="8">
        <v>12</v>
      </c>
      <c r="E865" s="8">
        <f ca="1">IFERROR(__xludf.DUMMYFUNCTION("""COMPUTED_VALUE"""),1595.51491166077)</f>
        <v>1595.5149116607699</v>
      </c>
    </row>
    <row r="866" spans="1:5" ht="15.75" customHeight="1" x14ac:dyDescent="0.25">
      <c r="A866" s="7" t="s">
        <v>19</v>
      </c>
      <c r="B866" s="7" t="s">
        <v>5</v>
      </c>
      <c r="C866" s="6">
        <v>2024</v>
      </c>
      <c r="D866" s="8">
        <v>12</v>
      </c>
      <c r="E866" s="8">
        <f ca="1">IFERROR(__xludf.DUMMYFUNCTION("TRANSPOSE(IMPORTRANGE(""https://docs.google.com/spreadsheets/d/1xvoedWrhqk3-exzHTGmXmwnmfnuZnP7GvG4G_DiivbU/edit?usp=sharing"",""Perhitungan Stok!$J$46:$J$57""))"),18619.0476190476)</f>
        <v>18619.0476190476</v>
      </c>
    </row>
    <row r="867" spans="1:5" ht="15.75" customHeight="1" x14ac:dyDescent="0.25">
      <c r="A867" s="7" t="s">
        <v>19</v>
      </c>
      <c r="B867" s="7" t="s">
        <v>3</v>
      </c>
      <c r="C867" s="6">
        <v>2024</v>
      </c>
      <c r="D867" s="8">
        <v>12</v>
      </c>
      <c r="E867" s="8">
        <f ca="1">IFERROR(__xludf.DUMMYFUNCTION("""COMPUTED_VALUE"""),5294.74431818181)</f>
        <v>5294.7443181818098</v>
      </c>
    </row>
    <row r="868" spans="1:5" ht="15.75" customHeight="1" x14ac:dyDescent="0.25">
      <c r="A868" s="7" t="s">
        <v>19</v>
      </c>
      <c r="B868" s="7" t="s">
        <v>11</v>
      </c>
      <c r="C868" s="6">
        <v>2024</v>
      </c>
      <c r="D868" s="8">
        <v>12</v>
      </c>
      <c r="E868" s="8">
        <f ca="1">IFERROR(__xludf.DUMMYFUNCTION("""COMPUTED_VALUE"""),57520.4044117647)</f>
        <v>57520.404411764699</v>
      </c>
    </row>
    <row r="869" spans="1:5" ht="15.75" customHeight="1" x14ac:dyDescent="0.25">
      <c r="A869" s="7" t="s">
        <v>19</v>
      </c>
      <c r="B869" s="7" t="s">
        <v>12</v>
      </c>
      <c r="C869" s="6">
        <v>2024</v>
      </c>
      <c r="D869" s="8">
        <v>12</v>
      </c>
      <c r="E869" s="8">
        <f ca="1">IFERROR(__xludf.DUMMYFUNCTION("""COMPUTED_VALUE"""),231.428571428571)</f>
        <v>231.42857142857099</v>
      </c>
    </row>
    <row r="870" spans="1:5" ht="15.75" customHeight="1" x14ac:dyDescent="0.25">
      <c r="A870" s="7" t="s">
        <v>19</v>
      </c>
      <c r="B870" s="7" t="s">
        <v>13</v>
      </c>
      <c r="C870" s="6">
        <v>2024</v>
      </c>
      <c r="D870" s="8">
        <v>12</v>
      </c>
      <c r="E870" s="8">
        <f ca="1">IFERROR(__xludf.DUMMYFUNCTION("""COMPUTED_VALUE"""),303.84)</f>
        <v>303.83999999999997</v>
      </c>
    </row>
    <row r="871" spans="1:5" ht="15.75" customHeight="1" x14ac:dyDescent="0.25">
      <c r="A871" s="7" t="s">
        <v>19</v>
      </c>
      <c r="B871" s="7" t="s">
        <v>4</v>
      </c>
      <c r="C871" s="6">
        <v>2024</v>
      </c>
      <c r="D871" s="8">
        <v>12</v>
      </c>
      <c r="E871" s="8">
        <f ca="1">IFERROR(__xludf.DUMMYFUNCTION("""COMPUTED_VALUE"""),31.6666666666666)</f>
        <v>31.6666666666666</v>
      </c>
    </row>
    <row r="872" spans="1:5" ht="15.75" customHeight="1" x14ac:dyDescent="0.25">
      <c r="A872" s="7" t="s">
        <v>19</v>
      </c>
      <c r="B872" s="7" t="s">
        <v>1</v>
      </c>
      <c r="C872" s="6">
        <v>2024</v>
      </c>
      <c r="D872" s="8">
        <v>12</v>
      </c>
      <c r="E872" s="8">
        <f ca="1">IFERROR(__xludf.DUMMYFUNCTION("""COMPUTED_VALUE"""),45)</f>
        <v>45</v>
      </c>
    </row>
    <row r="873" spans="1:5" ht="15.75" customHeight="1" x14ac:dyDescent="0.25">
      <c r="A873" s="7" t="s">
        <v>19</v>
      </c>
      <c r="B873" s="7" t="s">
        <v>14</v>
      </c>
      <c r="C873" s="6">
        <v>2024</v>
      </c>
      <c r="D873" s="8">
        <v>12</v>
      </c>
      <c r="E873" s="8">
        <f ca="1">IFERROR(__xludf.DUMMYFUNCTION("""COMPUTED_VALUE"""),276.878980891719)</f>
        <v>276.87898089171898</v>
      </c>
    </row>
    <row r="874" spans="1:5" ht="15.75" customHeight="1" x14ac:dyDescent="0.25">
      <c r="A874" s="7" t="s">
        <v>19</v>
      </c>
      <c r="B874" s="7" t="s">
        <v>15</v>
      </c>
      <c r="C874" s="6">
        <v>2024</v>
      </c>
      <c r="D874" s="8">
        <v>12</v>
      </c>
      <c r="E874" s="8">
        <f ca="1">IFERROR(__xludf.DUMMYFUNCTION("""COMPUTED_VALUE"""),248.823529411764)</f>
        <v>248.82352941176401</v>
      </c>
    </row>
    <row r="875" spans="1:5" ht="15.75" customHeight="1" x14ac:dyDescent="0.25">
      <c r="A875" s="7" t="s">
        <v>19</v>
      </c>
      <c r="B875" s="7" t="s">
        <v>2</v>
      </c>
      <c r="C875" s="6">
        <v>2024</v>
      </c>
      <c r="D875" s="8">
        <v>12</v>
      </c>
      <c r="E875" s="8">
        <f ca="1">IFERROR(__xludf.DUMMYFUNCTION("""COMPUTED_VALUE"""),1529.97402597402)</f>
        <v>1529.9740259740199</v>
      </c>
    </row>
    <row r="876" spans="1:5" ht="15.75" customHeight="1" x14ac:dyDescent="0.25">
      <c r="A876" s="7" t="s">
        <v>19</v>
      </c>
      <c r="B876" s="7" t="s">
        <v>16</v>
      </c>
      <c r="C876" s="6">
        <v>2024</v>
      </c>
      <c r="D876" s="8">
        <v>12</v>
      </c>
      <c r="E876" s="8">
        <f ca="1">IFERROR(__xludf.DUMMYFUNCTION("""COMPUTED_VALUE"""),2710.58823529411)</f>
        <v>2710.5882352941098</v>
      </c>
    </row>
    <row r="877" spans="1:5" ht="15.75" customHeight="1" x14ac:dyDescent="0.25">
      <c r="A877" s="7" t="s">
        <v>19</v>
      </c>
      <c r="B877" s="7" t="s">
        <v>17</v>
      </c>
      <c r="C877" s="6">
        <v>2024</v>
      </c>
      <c r="D877" s="8">
        <v>12</v>
      </c>
      <c r="E877" s="8">
        <f ca="1">IFERROR(__xludf.DUMMYFUNCTION("""COMPUTED_VALUE"""),7058.9192139738)</f>
        <v>7058.9192139737997</v>
      </c>
    </row>
    <row r="878" spans="1:5" ht="15.75" customHeight="1" x14ac:dyDescent="0.25">
      <c r="A878" s="7" t="s">
        <v>20</v>
      </c>
      <c r="B878" s="7" t="s">
        <v>5</v>
      </c>
      <c r="C878" s="6">
        <v>2024</v>
      </c>
      <c r="D878" s="8">
        <v>12</v>
      </c>
      <c r="E878" s="8">
        <f ca="1">IFERROR(__xludf.DUMMYFUNCTION("TRANSPOSE(IMPORTRANGE(""https://docs.google.com/spreadsheets/d/1Ju_v-uQmWpLGDtMfHbQ4-NbOO5xSN_XWIQWTdgAKaFQ/edit?usp=sharing"",""Perhitungan Stok!$J$46:$J$57""))"),494589.330069706)</f>
        <v>494589.33006970602</v>
      </c>
    </row>
    <row r="879" spans="1:5" ht="15.75" customHeight="1" x14ac:dyDescent="0.25">
      <c r="A879" s="7" t="s">
        <v>20</v>
      </c>
      <c r="B879" s="7" t="s">
        <v>3</v>
      </c>
      <c r="C879" s="6">
        <v>2024</v>
      </c>
      <c r="D879" s="8">
        <v>12</v>
      </c>
      <c r="E879" s="8">
        <f ca="1">IFERROR(__xludf.DUMMYFUNCTION("""COMPUTED_VALUE"""),5944955.47714943)</f>
        <v>5944955.4771494297</v>
      </c>
    </row>
    <row r="880" spans="1:5" ht="15.75" customHeight="1" x14ac:dyDescent="0.25">
      <c r="A880" s="7" t="s">
        <v>20</v>
      </c>
      <c r="B880" s="7" t="s">
        <v>11</v>
      </c>
      <c r="C880" s="6">
        <v>2024</v>
      </c>
      <c r="D880" s="8">
        <v>12</v>
      </c>
      <c r="E880" s="8">
        <f ca="1">IFERROR(__xludf.DUMMYFUNCTION("""COMPUTED_VALUE"""),20592.7052968361)</f>
        <v>20592.705296836099</v>
      </c>
    </row>
    <row r="881" spans="1:5" ht="15.75" customHeight="1" x14ac:dyDescent="0.25">
      <c r="A881" s="7" t="s">
        <v>20</v>
      </c>
      <c r="B881" s="7" t="s">
        <v>12</v>
      </c>
      <c r="C881" s="6">
        <v>2024</v>
      </c>
      <c r="D881" s="8">
        <v>12</v>
      </c>
      <c r="E881" s="8">
        <f ca="1">IFERROR(__xludf.DUMMYFUNCTION("""COMPUTED_VALUE"""),257.024)</f>
        <v>257.024</v>
      </c>
    </row>
    <row r="882" spans="1:5" ht="15.75" customHeight="1" x14ac:dyDescent="0.25">
      <c r="A882" s="7" t="s">
        <v>20</v>
      </c>
      <c r="B882" s="7" t="s">
        <v>13</v>
      </c>
      <c r="C882" s="6">
        <v>2024</v>
      </c>
      <c r="D882" s="8">
        <v>12</v>
      </c>
      <c r="E882" s="8">
        <f ca="1">IFERROR(__xludf.DUMMYFUNCTION("""COMPUTED_VALUE"""),295)</f>
        <v>295</v>
      </c>
    </row>
    <row r="883" spans="1:5" ht="15.75" customHeight="1" x14ac:dyDescent="0.25">
      <c r="A883" s="7" t="s">
        <v>20</v>
      </c>
      <c r="B883" s="7" t="s">
        <v>4</v>
      </c>
      <c r="C883" s="6">
        <v>2024</v>
      </c>
      <c r="D883" s="8">
        <v>12</v>
      </c>
      <c r="E883" s="8">
        <f ca="1">IFERROR(__xludf.DUMMYFUNCTION("""COMPUTED_VALUE"""),262.290598290598)</f>
        <v>262.29059829059798</v>
      </c>
    </row>
    <row r="884" spans="1:5" ht="15.75" customHeight="1" x14ac:dyDescent="0.25">
      <c r="A884" s="7" t="s">
        <v>20</v>
      </c>
      <c r="B884" s="7" t="s">
        <v>1</v>
      </c>
      <c r="C884" s="6">
        <v>2024</v>
      </c>
      <c r="D884" s="8">
        <v>12</v>
      </c>
      <c r="E884" s="8">
        <f ca="1">IFERROR(__xludf.DUMMYFUNCTION("""COMPUTED_VALUE"""),345)</f>
        <v>345</v>
      </c>
    </row>
    <row r="885" spans="1:5" ht="15.75" customHeight="1" x14ac:dyDescent="0.25">
      <c r="A885" s="7" t="s">
        <v>20</v>
      </c>
      <c r="B885" s="7" t="s">
        <v>14</v>
      </c>
      <c r="C885" s="6">
        <v>2024</v>
      </c>
      <c r="D885" s="8">
        <v>12</v>
      </c>
      <c r="E885" s="8">
        <f ca="1">IFERROR(__xludf.DUMMYFUNCTION("""COMPUTED_VALUE"""),10892.5962609879)</f>
        <v>10892.596260987901</v>
      </c>
    </row>
    <row r="886" spans="1:5" ht="15.75" customHeight="1" x14ac:dyDescent="0.25">
      <c r="A886" s="7" t="s">
        <v>20</v>
      </c>
      <c r="B886" s="7" t="s">
        <v>15</v>
      </c>
      <c r="C886" s="6">
        <v>2024</v>
      </c>
      <c r="D886" s="8">
        <v>12</v>
      </c>
      <c r="E886" s="8">
        <f ca="1">IFERROR(__xludf.DUMMYFUNCTION("""COMPUTED_VALUE"""),0)</f>
        <v>0</v>
      </c>
    </row>
    <row r="887" spans="1:5" ht="15.75" customHeight="1" x14ac:dyDescent="0.25">
      <c r="A887" s="7" t="s">
        <v>20</v>
      </c>
      <c r="B887" s="7" t="s">
        <v>2</v>
      </c>
      <c r="C887" s="6">
        <v>2024</v>
      </c>
      <c r="D887" s="8">
        <v>12</v>
      </c>
      <c r="E887" s="8">
        <f ca="1">IFERROR(__xludf.DUMMYFUNCTION("""COMPUTED_VALUE"""),4430.84295895797)</f>
        <v>4430.84295895797</v>
      </c>
    </row>
    <row r="888" spans="1:5" ht="15.75" customHeight="1" x14ac:dyDescent="0.25">
      <c r="A888" s="7" t="s">
        <v>20</v>
      </c>
      <c r="B888" s="7" t="s">
        <v>16</v>
      </c>
      <c r="C888" s="6">
        <v>2024</v>
      </c>
      <c r="D888" s="8">
        <v>12</v>
      </c>
      <c r="E888" s="8">
        <f ca="1">IFERROR(__xludf.DUMMYFUNCTION("""COMPUTED_VALUE"""),42328.7656986611)</f>
        <v>42328.765698661096</v>
      </c>
    </row>
    <row r="889" spans="1:5" ht="15.75" customHeight="1" x14ac:dyDescent="0.25">
      <c r="A889" s="7" t="s">
        <v>20</v>
      </c>
      <c r="B889" s="7" t="s">
        <v>17</v>
      </c>
      <c r="C889" s="6">
        <v>2024</v>
      </c>
      <c r="D889" s="8">
        <v>12</v>
      </c>
      <c r="E889" s="8">
        <f ca="1">IFERROR(__xludf.DUMMYFUNCTION("""COMPUTED_VALUE"""),104727.525491795)</f>
        <v>104727.52549179499</v>
      </c>
    </row>
    <row r="890" spans="1:5" ht="15.75" customHeight="1" x14ac:dyDescent="0.25">
      <c r="A890" s="7" t="s">
        <v>22</v>
      </c>
      <c r="B890" s="7" t="s">
        <v>5</v>
      </c>
      <c r="C890" s="6">
        <v>2024</v>
      </c>
      <c r="D890" s="8">
        <v>12</v>
      </c>
      <c r="E890" s="8">
        <f ca="1">IFERROR(__xludf.DUMMYFUNCTION("TRANSPOSE(IMPORTRANGE(""https://docs.google.com/spreadsheets/d/1QrH6xGEwyvEP6Jp4fAFz45PSjobEVe4G2UYIuP3CLDA/edit?usp=sharing"",""Perhitungan Stok!$J$46:$J$57""))"),50697.7777777777)</f>
        <v>50697.777777777701</v>
      </c>
    </row>
    <row r="891" spans="1:5" ht="15.75" customHeight="1" x14ac:dyDescent="0.25">
      <c r="A891" s="7" t="s">
        <v>22</v>
      </c>
      <c r="B891" s="7" t="s">
        <v>3</v>
      </c>
      <c r="C891" s="6">
        <v>2024</v>
      </c>
      <c r="D891" s="8">
        <v>12</v>
      </c>
      <c r="E891" s="8">
        <f ca="1">IFERROR(__xludf.DUMMYFUNCTION("""COMPUTED_VALUE"""),15000)</f>
        <v>15000</v>
      </c>
    </row>
    <row r="892" spans="1:5" ht="15.75" customHeight="1" x14ac:dyDescent="0.25">
      <c r="A892" s="7" t="s">
        <v>22</v>
      </c>
      <c r="B892" s="7" t="s">
        <v>11</v>
      </c>
      <c r="C892" s="6">
        <v>2024</v>
      </c>
      <c r="D892" s="8">
        <v>12</v>
      </c>
      <c r="E892" s="8">
        <f ca="1">IFERROR(__xludf.DUMMYFUNCTION("""COMPUTED_VALUE"""),11961.5066225165)</f>
        <v>11961.506622516499</v>
      </c>
    </row>
    <row r="893" spans="1:5" ht="15.75" customHeight="1" x14ac:dyDescent="0.25">
      <c r="A893" s="7" t="s">
        <v>22</v>
      </c>
      <c r="B893" s="7" t="s">
        <v>12</v>
      </c>
      <c r="C893" s="6">
        <v>2024</v>
      </c>
      <c r="D893" s="8">
        <v>12</v>
      </c>
      <c r="E893" s="8">
        <f ca="1">IFERROR(__xludf.DUMMYFUNCTION("""COMPUTED_VALUE"""),692.994791666666)</f>
        <v>692.99479166666595</v>
      </c>
    </row>
    <row r="894" spans="1:5" ht="15.75" customHeight="1" x14ac:dyDescent="0.25">
      <c r="A894" s="7" t="s">
        <v>22</v>
      </c>
      <c r="B894" s="7" t="s">
        <v>13</v>
      </c>
      <c r="C894" s="6">
        <v>2024</v>
      </c>
      <c r="D894" s="8">
        <v>12</v>
      </c>
      <c r="E894" s="8">
        <f ca="1">IFERROR(__xludf.DUMMYFUNCTION("""COMPUTED_VALUE"""),363.999999999999)</f>
        <v>363.99999999999898</v>
      </c>
    </row>
    <row r="895" spans="1:5" ht="15.75" customHeight="1" x14ac:dyDescent="0.25">
      <c r="A895" s="7" t="s">
        <v>22</v>
      </c>
      <c r="B895" s="7" t="s">
        <v>4</v>
      </c>
      <c r="C895" s="6">
        <v>2024</v>
      </c>
      <c r="D895" s="8">
        <v>12</v>
      </c>
      <c r="E895" s="8">
        <f ca="1">IFERROR(__xludf.DUMMYFUNCTION("""COMPUTED_VALUE"""),592.192771084337)</f>
        <v>592.19277108433698</v>
      </c>
    </row>
    <row r="896" spans="1:5" ht="15.75" customHeight="1" x14ac:dyDescent="0.25">
      <c r="A896" s="7" t="s">
        <v>22</v>
      </c>
      <c r="B896" s="7" t="s">
        <v>1</v>
      </c>
      <c r="C896" s="6">
        <v>2024</v>
      </c>
      <c r="D896" s="8">
        <v>12</v>
      </c>
      <c r="E896" s="8">
        <f ca="1">IFERROR(__xludf.DUMMYFUNCTION("""COMPUTED_VALUE"""),3152.08189655172)</f>
        <v>3152.0818965517201</v>
      </c>
    </row>
    <row r="897" spans="1:5" ht="15.75" customHeight="1" x14ac:dyDescent="0.25">
      <c r="A897" s="7" t="s">
        <v>22</v>
      </c>
      <c r="B897" s="7" t="s">
        <v>14</v>
      </c>
      <c r="C897" s="6">
        <v>2024</v>
      </c>
      <c r="D897" s="8">
        <v>12</v>
      </c>
      <c r="E897" s="8">
        <f ca="1">IFERROR(__xludf.DUMMYFUNCTION("""COMPUTED_VALUE"""),2933.4375)</f>
        <v>2933.4375</v>
      </c>
    </row>
    <row r="898" spans="1:5" ht="15.75" customHeight="1" x14ac:dyDescent="0.25">
      <c r="A898" s="7" t="s">
        <v>22</v>
      </c>
      <c r="B898" s="7" t="s">
        <v>15</v>
      </c>
      <c r="C898" s="6">
        <v>2024</v>
      </c>
      <c r="D898" s="8">
        <v>12</v>
      </c>
      <c r="E898" s="8">
        <f ca="1">IFERROR(__xludf.DUMMYFUNCTION("""COMPUTED_VALUE"""),675324.843596082)</f>
        <v>675324.84359608195</v>
      </c>
    </row>
    <row r="899" spans="1:5" ht="15.75" customHeight="1" x14ac:dyDescent="0.25">
      <c r="A899" s="7" t="s">
        <v>22</v>
      </c>
      <c r="B899" s="7" t="s">
        <v>2</v>
      </c>
      <c r="C899" s="6">
        <v>2024</v>
      </c>
      <c r="D899" s="8">
        <v>12</v>
      </c>
      <c r="E899" s="8">
        <f ca="1">IFERROR(__xludf.DUMMYFUNCTION("""COMPUTED_VALUE"""),5900.65116279069)</f>
        <v>5900.6511627906903</v>
      </c>
    </row>
    <row r="900" spans="1:5" ht="15.75" customHeight="1" x14ac:dyDescent="0.25">
      <c r="A900" s="7" t="s">
        <v>22</v>
      </c>
      <c r="B900" s="7" t="s">
        <v>16</v>
      </c>
      <c r="C900" s="6">
        <v>2024</v>
      </c>
      <c r="D900" s="8">
        <v>12</v>
      </c>
      <c r="E900" s="8">
        <f ca="1">IFERROR(__xludf.DUMMYFUNCTION("""COMPUTED_VALUE"""),2035.39094650205)</f>
        <v>2035.3909465020499</v>
      </c>
    </row>
    <row r="901" spans="1:5" ht="15.75" customHeight="1" x14ac:dyDescent="0.25">
      <c r="A901" s="7" t="s">
        <v>22</v>
      </c>
      <c r="B901" s="7" t="s">
        <v>17</v>
      </c>
      <c r="C901" s="6">
        <v>2024</v>
      </c>
      <c r="D901" s="8">
        <v>12</v>
      </c>
      <c r="E901" s="8">
        <f ca="1">IFERROR(__xludf.DUMMYFUNCTION("""COMPUTED_VALUE"""),7587.94998179832)</f>
        <v>7587.9499817983196</v>
      </c>
    </row>
    <row r="902" spans="1:5" ht="15.75" customHeight="1" x14ac:dyDescent="0.25">
      <c r="A902" s="7" t="s">
        <v>23</v>
      </c>
      <c r="B902" s="7" t="s">
        <v>5</v>
      </c>
      <c r="C902" s="6">
        <v>2024</v>
      </c>
      <c r="D902" s="8">
        <v>12</v>
      </c>
      <c r="E902" s="8">
        <f ca="1">IFERROR(__xludf.DUMMYFUNCTION("TRANSPOSE(IMPORTRANGE(""https://docs.google.com/spreadsheets/d/1abYjrPNXrjyrQBRe279vqnheT_sTochIzSQxER-5Lp4/edit?usp=sharing"",""Perhitungan Stok!$J$46:$J$57""))"),68166.6923076923)</f>
        <v>68166.692307692298</v>
      </c>
    </row>
    <row r="903" spans="1:5" ht="15.75" customHeight="1" x14ac:dyDescent="0.25">
      <c r="A903" s="7" t="s">
        <v>23</v>
      </c>
      <c r="B903" s="7" t="s">
        <v>3</v>
      </c>
      <c r="C903" s="6">
        <v>2024</v>
      </c>
      <c r="D903" s="8">
        <v>12</v>
      </c>
      <c r="E903" s="8">
        <f ca="1">IFERROR(__xludf.DUMMYFUNCTION("""COMPUTED_VALUE"""),96010.7482993197)</f>
        <v>96010.748299319705</v>
      </c>
    </row>
    <row r="904" spans="1:5" ht="15.75" customHeight="1" x14ac:dyDescent="0.25">
      <c r="A904" s="7" t="s">
        <v>23</v>
      </c>
      <c r="B904" s="7" t="s">
        <v>11</v>
      </c>
      <c r="C904" s="6">
        <v>2024</v>
      </c>
      <c r="D904" s="8">
        <v>12</v>
      </c>
      <c r="E904" s="8">
        <f ca="1">IFERROR(__xludf.DUMMYFUNCTION("""COMPUTED_VALUE"""),9200)</f>
        <v>9200</v>
      </c>
    </row>
    <row r="905" spans="1:5" ht="15.75" customHeight="1" x14ac:dyDescent="0.25">
      <c r="A905" s="7" t="s">
        <v>23</v>
      </c>
      <c r="B905" s="7" t="s">
        <v>12</v>
      </c>
      <c r="C905" s="6">
        <v>2024</v>
      </c>
      <c r="D905" s="8">
        <v>12</v>
      </c>
      <c r="E905" s="8">
        <f ca="1">IFERROR(__xludf.DUMMYFUNCTION("""COMPUTED_VALUE"""),52056.3867249602)</f>
        <v>52056.386724960197</v>
      </c>
    </row>
    <row r="906" spans="1:5" ht="15.75" customHeight="1" x14ac:dyDescent="0.25">
      <c r="A906" s="7" t="s">
        <v>23</v>
      </c>
      <c r="B906" s="7" t="s">
        <v>13</v>
      </c>
      <c r="C906" s="6">
        <v>2024</v>
      </c>
      <c r="D906" s="8">
        <v>12</v>
      </c>
      <c r="E906" s="8">
        <f ca="1">IFERROR(__xludf.DUMMYFUNCTION("""COMPUTED_VALUE"""),2158.5)</f>
        <v>2158.5</v>
      </c>
    </row>
    <row r="907" spans="1:5" ht="15.75" customHeight="1" x14ac:dyDescent="0.25">
      <c r="A907" s="7" t="s">
        <v>23</v>
      </c>
      <c r="B907" s="7" t="s">
        <v>4</v>
      </c>
      <c r="C907" s="6">
        <v>2024</v>
      </c>
      <c r="D907" s="8">
        <v>12</v>
      </c>
      <c r="E907" s="8">
        <f ca="1">IFERROR(__xludf.DUMMYFUNCTION("""COMPUTED_VALUE"""),1005.09999999999)</f>
        <v>1005.09999999999</v>
      </c>
    </row>
    <row r="908" spans="1:5" ht="15.75" customHeight="1" x14ac:dyDescent="0.25">
      <c r="A908" s="7" t="s">
        <v>23</v>
      </c>
      <c r="B908" s="7" t="s">
        <v>1</v>
      </c>
      <c r="C908" s="6">
        <v>2024</v>
      </c>
      <c r="D908" s="8">
        <v>12</v>
      </c>
      <c r="E908" s="8">
        <f ca="1">IFERROR(__xludf.DUMMYFUNCTION("""COMPUTED_VALUE"""),644.111111111111)</f>
        <v>644.11111111111097</v>
      </c>
    </row>
    <row r="909" spans="1:5" ht="15.75" customHeight="1" x14ac:dyDescent="0.25">
      <c r="A909" s="7" t="s">
        <v>23</v>
      </c>
      <c r="B909" s="7" t="s">
        <v>14</v>
      </c>
      <c r="C909" s="6">
        <v>2024</v>
      </c>
      <c r="D909" s="8">
        <v>12</v>
      </c>
      <c r="E909" s="8">
        <f ca="1">IFERROR(__xludf.DUMMYFUNCTION("""COMPUTED_VALUE"""),693.243243243243)</f>
        <v>693.243243243243</v>
      </c>
    </row>
    <row r="910" spans="1:5" ht="15.75" customHeight="1" x14ac:dyDescent="0.25">
      <c r="A910" s="7" t="s">
        <v>23</v>
      </c>
      <c r="B910" s="7" t="s">
        <v>15</v>
      </c>
      <c r="C910" s="6">
        <v>2024</v>
      </c>
      <c r="D910" s="8">
        <v>12</v>
      </c>
      <c r="E910" s="8">
        <f ca="1">IFERROR(__xludf.DUMMYFUNCTION("""COMPUTED_VALUE"""),2659.27272727272)</f>
        <v>2659.2727272727202</v>
      </c>
    </row>
    <row r="911" spans="1:5" ht="15.75" customHeight="1" x14ac:dyDescent="0.25">
      <c r="A911" s="7" t="s">
        <v>23</v>
      </c>
      <c r="B911" s="7" t="s">
        <v>2</v>
      </c>
      <c r="C911" s="6">
        <v>2024</v>
      </c>
      <c r="D911" s="8">
        <v>12</v>
      </c>
      <c r="E911" s="8">
        <f ca="1">IFERROR(__xludf.DUMMYFUNCTION("""COMPUTED_VALUE"""),5064.44444444444)</f>
        <v>5064.4444444444398</v>
      </c>
    </row>
    <row r="912" spans="1:5" ht="15.75" customHeight="1" x14ac:dyDescent="0.25">
      <c r="A912" s="7" t="s">
        <v>23</v>
      </c>
      <c r="B912" s="7" t="s">
        <v>16</v>
      </c>
      <c r="C912" s="6">
        <v>2024</v>
      </c>
      <c r="D912" s="8">
        <v>12</v>
      </c>
      <c r="E912" s="8">
        <f ca="1">IFERROR(__xludf.DUMMYFUNCTION("""COMPUTED_VALUE"""),998.75)</f>
        <v>998.75</v>
      </c>
    </row>
    <row r="913" spans="1:5" ht="15.75" customHeight="1" x14ac:dyDescent="0.25">
      <c r="A913" s="7" t="s">
        <v>23</v>
      </c>
      <c r="B913" s="7" t="s">
        <v>17</v>
      </c>
      <c r="C913" s="6">
        <v>2024</v>
      </c>
      <c r="D913" s="8">
        <v>12</v>
      </c>
      <c r="E913" s="8">
        <f ca="1">IFERROR(__xludf.DUMMYFUNCTION("""COMPUTED_VALUE"""),2071.62)</f>
        <v>2071.62</v>
      </c>
    </row>
    <row r="914" spans="1:5" ht="15.75" customHeight="1" x14ac:dyDescent="0.25">
      <c r="A914" s="7" t="s">
        <v>24</v>
      </c>
      <c r="B914" s="7" t="s">
        <v>5</v>
      </c>
      <c r="C914" s="6">
        <v>2024</v>
      </c>
      <c r="D914" s="8">
        <v>12</v>
      </c>
      <c r="E914" s="8">
        <f ca="1">IFERROR(__xludf.DUMMYFUNCTION("TRANSPOSE(IMPORTRANGE(""https://docs.google.com/spreadsheets/d/162lqdnznmafNiFSUZSYMQ_z5XK7KaZvUYY8a69l6taA/edit?usp=sharing"",""Perhitungan Stok!$J$46:$J$57""))"),351100.832266325)</f>
        <v>351100.83226632501</v>
      </c>
    </row>
    <row r="915" spans="1:5" ht="15.75" customHeight="1" x14ac:dyDescent="0.25">
      <c r="A915" s="7" t="s">
        <v>24</v>
      </c>
      <c r="B915" s="7" t="s">
        <v>3</v>
      </c>
      <c r="C915" s="6">
        <v>2024</v>
      </c>
      <c r="D915" s="8">
        <v>12</v>
      </c>
      <c r="E915" s="8">
        <f ca="1">IFERROR(__xludf.DUMMYFUNCTION("""COMPUTED_VALUE"""),0)</f>
        <v>0</v>
      </c>
    </row>
    <row r="916" spans="1:5" ht="15.75" customHeight="1" x14ac:dyDescent="0.25">
      <c r="A916" s="7" t="s">
        <v>24</v>
      </c>
      <c r="B916" s="7" t="s">
        <v>11</v>
      </c>
      <c r="C916" s="6">
        <v>2024</v>
      </c>
      <c r="D916" s="8">
        <v>12</v>
      </c>
      <c r="E916" s="8">
        <f ca="1">IFERROR(__xludf.DUMMYFUNCTION("""COMPUTED_VALUE"""),5120.32608695652)</f>
        <v>5120.3260869565202</v>
      </c>
    </row>
    <row r="917" spans="1:5" ht="15.75" customHeight="1" x14ac:dyDescent="0.25">
      <c r="A917" s="7" t="s">
        <v>24</v>
      </c>
      <c r="B917" s="7" t="s">
        <v>12</v>
      </c>
      <c r="C917" s="6">
        <v>2024</v>
      </c>
      <c r="D917" s="8">
        <v>12</v>
      </c>
      <c r="E917" s="8">
        <f ca="1">IFERROR(__xludf.DUMMYFUNCTION("""COMPUTED_VALUE"""),985.157647058823)</f>
        <v>985.15764705882304</v>
      </c>
    </row>
    <row r="918" spans="1:5" ht="15.75" customHeight="1" x14ac:dyDescent="0.25">
      <c r="A918" s="7" t="s">
        <v>24</v>
      </c>
      <c r="B918" s="7" t="s">
        <v>13</v>
      </c>
      <c r="C918" s="6">
        <v>2024</v>
      </c>
      <c r="D918" s="8">
        <v>12</v>
      </c>
      <c r="E918" s="8">
        <f ca="1">IFERROR(__xludf.DUMMYFUNCTION("""COMPUTED_VALUE"""),8807.77595907928)</f>
        <v>8807.7759590792793</v>
      </c>
    </row>
    <row r="919" spans="1:5" ht="15.75" customHeight="1" x14ac:dyDescent="0.25">
      <c r="A919" s="7" t="s">
        <v>24</v>
      </c>
      <c r="B919" s="7" t="s">
        <v>4</v>
      </c>
      <c r="C919" s="6">
        <v>2024</v>
      </c>
      <c r="D919" s="8">
        <v>12</v>
      </c>
      <c r="E919" s="8">
        <f ca="1">IFERROR(__xludf.DUMMYFUNCTION("""COMPUTED_VALUE"""),565.505769230769)</f>
        <v>565.50576923076903</v>
      </c>
    </row>
    <row r="920" spans="1:5" ht="15.75" customHeight="1" x14ac:dyDescent="0.25">
      <c r="A920" s="7" t="s">
        <v>24</v>
      </c>
      <c r="B920" s="7" t="s">
        <v>1</v>
      </c>
      <c r="C920" s="6">
        <v>2024</v>
      </c>
      <c r="D920" s="8">
        <v>12</v>
      </c>
      <c r="E920" s="8">
        <f ca="1">IFERROR(__xludf.DUMMYFUNCTION("""COMPUTED_VALUE"""),428.021052631578)</f>
        <v>428.02105263157802</v>
      </c>
    </row>
    <row r="921" spans="1:5" ht="15.75" customHeight="1" x14ac:dyDescent="0.25">
      <c r="A921" s="7" t="s">
        <v>24</v>
      </c>
      <c r="B921" s="7" t="s">
        <v>14</v>
      </c>
      <c r="C921" s="6">
        <v>2024</v>
      </c>
      <c r="D921" s="8">
        <v>12</v>
      </c>
      <c r="E921" s="8">
        <f ca="1">IFERROR(__xludf.DUMMYFUNCTION("""COMPUTED_VALUE"""),535)</f>
        <v>535</v>
      </c>
    </row>
    <row r="922" spans="1:5" ht="15.75" customHeight="1" x14ac:dyDescent="0.25">
      <c r="A922" s="7" t="s">
        <v>24</v>
      </c>
      <c r="B922" s="7" t="s">
        <v>15</v>
      </c>
      <c r="C922" s="6">
        <v>2024</v>
      </c>
      <c r="D922" s="8">
        <v>12</v>
      </c>
      <c r="E922" s="8">
        <f ca="1">IFERROR(__xludf.DUMMYFUNCTION("""COMPUTED_VALUE"""),970)</f>
        <v>970</v>
      </c>
    </row>
    <row r="923" spans="1:5" ht="15.75" customHeight="1" x14ac:dyDescent="0.25">
      <c r="A923" s="7" t="s">
        <v>24</v>
      </c>
      <c r="B923" s="7" t="s">
        <v>2</v>
      </c>
      <c r="C923" s="6">
        <v>2024</v>
      </c>
      <c r="D923" s="8">
        <v>12</v>
      </c>
      <c r="E923" s="8">
        <f ca="1">IFERROR(__xludf.DUMMYFUNCTION("""COMPUTED_VALUE"""),0)</f>
        <v>0</v>
      </c>
    </row>
    <row r="924" spans="1:5" ht="15.75" customHeight="1" x14ac:dyDescent="0.25">
      <c r="A924" s="7" t="s">
        <v>24</v>
      </c>
      <c r="B924" s="7" t="s">
        <v>16</v>
      </c>
      <c r="C924" s="6">
        <v>2024</v>
      </c>
      <c r="D924" s="8">
        <v>12</v>
      </c>
      <c r="E924" s="8">
        <f ca="1">IFERROR(__xludf.DUMMYFUNCTION("""COMPUTED_VALUE"""),4615.28260869565)</f>
        <v>4615.2826086956502</v>
      </c>
    </row>
    <row r="925" spans="1:5" ht="15.75" customHeight="1" x14ac:dyDescent="0.25">
      <c r="A925" s="7" t="s">
        <v>24</v>
      </c>
      <c r="B925" s="7" t="s">
        <v>17</v>
      </c>
      <c r="C925" s="6">
        <v>2024</v>
      </c>
      <c r="D925" s="8">
        <v>12</v>
      </c>
      <c r="E925" s="8">
        <f ca="1">IFERROR(__xludf.DUMMYFUNCTION("""COMPUTED_VALUE"""),46959.503117063)</f>
        <v>46959.503117063003</v>
      </c>
    </row>
    <row r="926" spans="1:5" ht="15.75" customHeight="1" x14ac:dyDescent="0.25">
      <c r="A926" s="7" t="s">
        <v>25</v>
      </c>
      <c r="B926" s="9" t="s">
        <v>5</v>
      </c>
      <c r="C926" s="6">
        <v>2024</v>
      </c>
      <c r="D926" s="8">
        <v>12</v>
      </c>
      <c r="E926" s="8">
        <f ca="1">IFERROR(__xludf.DUMMYFUNCTION("TRANSPOSE(IMPORTRANGE(""https://docs.google.com/spreadsheets/d/1wW7aIQCjZpQhGNEcqxHrtnn7ldFRNQ-wlibQ5l7I2cs/edit?usp=sharing"",""Perhitungan Stok!$J$46:$J$57""))"),1034078.19791355)</f>
        <v>1034078.19791355</v>
      </c>
    </row>
    <row r="927" spans="1:5" ht="15.75" customHeight="1" x14ac:dyDescent="0.25">
      <c r="A927" s="7" t="s">
        <v>25</v>
      </c>
      <c r="B927" s="7" t="s">
        <v>3</v>
      </c>
      <c r="C927" s="6">
        <v>2024</v>
      </c>
      <c r="D927" s="8">
        <v>12</v>
      </c>
      <c r="E927" s="8">
        <f ca="1">IFERROR(__xludf.DUMMYFUNCTION("""COMPUTED_VALUE"""),109107.213114754)</f>
        <v>109107.21311475401</v>
      </c>
    </row>
    <row r="928" spans="1:5" ht="15.75" customHeight="1" x14ac:dyDescent="0.25">
      <c r="A928" s="7" t="s">
        <v>25</v>
      </c>
      <c r="B928" s="7" t="s">
        <v>11</v>
      </c>
      <c r="C928" s="6">
        <v>2024</v>
      </c>
      <c r="D928" s="8">
        <v>12</v>
      </c>
      <c r="E928" s="8">
        <f ca="1">IFERROR(__xludf.DUMMYFUNCTION("""COMPUTED_VALUE"""),0)</f>
        <v>0</v>
      </c>
    </row>
    <row r="929" spans="1:5" ht="15.75" customHeight="1" x14ac:dyDescent="0.25">
      <c r="A929" s="7" t="s">
        <v>25</v>
      </c>
      <c r="B929" s="7" t="s">
        <v>12</v>
      </c>
      <c r="C929" s="6">
        <v>2024</v>
      </c>
      <c r="D929" s="8">
        <v>12</v>
      </c>
      <c r="E929" s="8">
        <f ca="1">IFERROR(__xludf.DUMMYFUNCTION("""COMPUTED_VALUE"""),9690.625)</f>
        <v>9690.625</v>
      </c>
    </row>
    <row r="930" spans="1:5" ht="15.75" customHeight="1" x14ac:dyDescent="0.25">
      <c r="A930" s="7" t="s">
        <v>25</v>
      </c>
      <c r="B930" s="7" t="s">
        <v>13</v>
      </c>
      <c r="C930" s="6">
        <v>2024</v>
      </c>
      <c r="D930" s="8">
        <v>12</v>
      </c>
      <c r="E930" s="8">
        <f ca="1">IFERROR(__xludf.DUMMYFUNCTION("""COMPUTED_VALUE"""),2095)</f>
        <v>2095</v>
      </c>
    </row>
    <row r="931" spans="1:5" ht="15.75" customHeight="1" x14ac:dyDescent="0.25">
      <c r="A931" s="7" t="s">
        <v>25</v>
      </c>
      <c r="B931" s="7" t="s">
        <v>4</v>
      </c>
      <c r="C931" s="6">
        <v>2024</v>
      </c>
      <c r="D931" s="8">
        <v>12</v>
      </c>
      <c r="E931" s="8">
        <f ca="1">IFERROR(__xludf.DUMMYFUNCTION("""COMPUTED_VALUE"""),14851.2857142857)</f>
        <v>14851.285714285699</v>
      </c>
    </row>
    <row r="932" spans="1:5" ht="15.75" customHeight="1" x14ac:dyDescent="0.25">
      <c r="A932" s="7" t="s">
        <v>25</v>
      </c>
      <c r="B932" s="7" t="s">
        <v>1</v>
      </c>
      <c r="C932" s="6">
        <v>2024</v>
      </c>
      <c r="D932" s="8">
        <v>12</v>
      </c>
      <c r="E932" s="8" t="str">
        <f ca="1">IFERROR(__xludf.DUMMYFUNCTION("""COMPUTED_VALUE"""),"NULL")</f>
        <v>NULL</v>
      </c>
    </row>
    <row r="933" spans="1:5" ht="15.75" customHeight="1" x14ac:dyDescent="0.25">
      <c r="A933" s="7" t="s">
        <v>25</v>
      </c>
      <c r="B933" s="7" t="s">
        <v>14</v>
      </c>
      <c r="C933" s="6">
        <v>2024</v>
      </c>
      <c r="D933" s="8">
        <v>12</v>
      </c>
      <c r="E933" s="8">
        <f ca="1">IFERROR(__xludf.DUMMYFUNCTION("""COMPUTED_VALUE"""),0)</f>
        <v>0</v>
      </c>
    </row>
    <row r="934" spans="1:5" ht="15.75" customHeight="1" x14ac:dyDescent="0.25">
      <c r="A934" s="7" t="s">
        <v>25</v>
      </c>
      <c r="B934" s="7" t="s">
        <v>15</v>
      </c>
      <c r="C934" s="6">
        <v>2024</v>
      </c>
      <c r="D934" s="8">
        <v>12</v>
      </c>
      <c r="E934" s="8">
        <f ca="1">IFERROR(__xludf.DUMMYFUNCTION("""COMPUTED_VALUE"""),909920)</f>
        <v>909920</v>
      </c>
    </row>
    <row r="935" spans="1:5" ht="15.75" customHeight="1" x14ac:dyDescent="0.25">
      <c r="A935" s="7" t="s">
        <v>25</v>
      </c>
      <c r="B935" s="7" t="s">
        <v>2</v>
      </c>
      <c r="C935" s="6">
        <v>2024</v>
      </c>
      <c r="D935" s="8">
        <v>12</v>
      </c>
      <c r="E935" s="8">
        <f ca="1">IFERROR(__xludf.DUMMYFUNCTION("""COMPUTED_VALUE"""),9765.43209876543)</f>
        <v>9765.4320987654301</v>
      </c>
    </row>
    <row r="936" spans="1:5" ht="15.75" customHeight="1" x14ac:dyDescent="0.25">
      <c r="A936" s="7" t="s">
        <v>25</v>
      </c>
      <c r="B936" s="7" t="s">
        <v>16</v>
      </c>
      <c r="C936" s="6">
        <v>2024</v>
      </c>
      <c r="D936" s="8">
        <v>12</v>
      </c>
      <c r="E936" s="8">
        <f ca="1">IFERROR(__xludf.DUMMYFUNCTION("""COMPUTED_VALUE"""),9040.50314465408)</f>
        <v>9040.5031446540797</v>
      </c>
    </row>
    <row r="937" spans="1:5" ht="15.75" customHeight="1" x14ac:dyDescent="0.25">
      <c r="A937" s="7" t="s">
        <v>25</v>
      </c>
      <c r="B937" s="7" t="s">
        <v>17</v>
      </c>
      <c r="C937" s="6">
        <v>2024</v>
      </c>
      <c r="D937" s="8">
        <v>12</v>
      </c>
      <c r="E937" s="8">
        <f ca="1">IFERROR(__xludf.DUMMYFUNCTION("""COMPUTED_VALUE"""),31418.3431952662)</f>
        <v>31418.343195266199</v>
      </c>
    </row>
    <row r="938" spans="1:5" ht="15.75" customHeight="1" x14ac:dyDescent="0.25">
      <c r="A938" s="7" t="s">
        <v>26</v>
      </c>
      <c r="B938" s="9" t="s">
        <v>5</v>
      </c>
      <c r="C938" s="6">
        <v>2024</v>
      </c>
      <c r="D938" s="8">
        <v>12</v>
      </c>
      <c r="E938" s="8">
        <f ca="1">IFERROR(__xludf.DUMMYFUNCTION("TRANSPOSE(IMPORTRANGE(""https://docs.google.com/spreadsheets/d/1F9VkpCGgiSm7cP70MReDW5TTFwAoKnNBcFE7o4tY-E4/edit?usp=sharing"",""Perhitungan Stok!$J$46:$J$57""))"),120495.074831078)</f>
        <v>120495.074831078</v>
      </c>
    </row>
    <row r="939" spans="1:5" ht="15.75" customHeight="1" x14ac:dyDescent="0.25">
      <c r="A939" s="7" t="s">
        <v>26</v>
      </c>
      <c r="B939" s="7" t="s">
        <v>3</v>
      </c>
      <c r="C939" s="6">
        <v>2024</v>
      </c>
      <c r="D939" s="8">
        <v>12</v>
      </c>
      <c r="E939" s="8">
        <f ca="1">IFERROR(__xludf.DUMMYFUNCTION("""COMPUTED_VALUE"""),79275)</f>
        <v>79275</v>
      </c>
    </row>
    <row r="940" spans="1:5" ht="15.75" customHeight="1" x14ac:dyDescent="0.25">
      <c r="A940" s="7" t="s">
        <v>26</v>
      </c>
      <c r="B940" s="7" t="s">
        <v>11</v>
      </c>
      <c r="C940" s="6">
        <v>2024</v>
      </c>
      <c r="D940" s="8">
        <v>12</v>
      </c>
      <c r="E940" s="8">
        <f ca="1">IFERROR(__xludf.DUMMYFUNCTION("""COMPUTED_VALUE"""),11590.4048614039)</f>
        <v>11590.4048614039</v>
      </c>
    </row>
    <row r="941" spans="1:5" ht="15.75" customHeight="1" x14ac:dyDescent="0.25">
      <c r="A941" s="7" t="s">
        <v>26</v>
      </c>
      <c r="B941" s="7" t="s">
        <v>12</v>
      </c>
      <c r="C941" s="6">
        <v>2024</v>
      </c>
      <c r="D941" s="8">
        <v>12</v>
      </c>
      <c r="E941" s="8">
        <f ca="1">IFERROR(__xludf.DUMMYFUNCTION("""COMPUTED_VALUE"""),8569.81414634146)</f>
        <v>8569.8141463414595</v>
      </c>
    </row>
    <row r="942" spans="1:5" ht="15.75" customHeight="1" x14ac:dyDescent="0.25">
      <c r="A942" s="7" t="s">
        <v>26</v>
      </c>
      <c r="B942" s="7" t="s">
        <v>13</v>
      </c>
      <c r="C942" s="6">
        <v>2024</v>
      </c>
      <c r="D942" s="8">
        <v>12</v>
      </c>
      <c r="E942" s="8">
        <f ca="1">IFERROR(__xludf.DUMMYFUNCTION("""COMPUTED_VALUE"""),2634.02564102564)</f>
        <v>2634.0256410256402</v>
      </c>
    </row>
    <row r="943" spans="1:5" ht="15.75" customHeight="1" x14ac:dyDescent="0.25">
      <c r="A943" s="7" t="s">
        <v>26</v>
      </c>
      <c r="B943" s="7" t="s">
        <v>4</v>
      </c>
      <c r="C943" s="6">
        <v>2024</v>
      </c>
      <c r="D943" s="8">
        <v>12</v>
      </c>
      <c r="E943" s="8">
        <f ca="1">IFERROR(__xludf.DUMMYFUNCTION("""COMPUTED_VALUE"""),1848.94642857142)</f>
        <v>1848.94642857142</v>
      </c>
    </row>
    <row r="944" spans="1:5" ht="15.75" customHeight="1" x14ac:dyDescent="0.25">
      <c r="A944" s="7" t="s">
        <v>26</v>
      </c>
      <c r="B944" s="7" t="s">
        <v>1</v>
      </c>
      <c r="C944" s="6">
        <v>2024</v>
      </c>
      <c r="D944" s="8">
        <v>12</v>
      </c>
      <c r="E944" s="8">
        <f ca="1">IFERROR(__xludf.DUMMYFUNCTION("""COMPUTED_VALUE"""),591.045669291338)</f>
        <v>591.04566929133796</v>
      </c>
    </row>
    <row r="945" spans="1:5" ht="15.75" customHeight="1" x14ac:dyDescent="0.25">
      <c r="A945" s="7" t="s">
        <v>26</v>
      </c>
      <c r="B945" s="7" t="s">
        <v>14</v>
      </c>
      <c r="C945" s="6">
        <v>2024</v>
      </c>
      <c r="D945" s="8">
        <v>12</v>
      </c>
      <c r="E945" s="8" t="str">
        <f ca="1">IFERROR(__xludf.DUMMYFUNCTION("""COMPUTED_VALUE"""),"NULL")</f>
        <v>NULL</v>
      </c>
    </row>
    <row r="946" spans="1:5" ht="15.75" customHeight="1" x14ac:dyDescent="0.25">
      <c r="A946" s="7" t="s">
        <v>26</v>
      </c>
      <c r="B946" s="7" t="s">
        <v>15</v>
      </c>
      <c r="C946" s="6">
        <v>2024</v>
      </c>
      <c r="D946" s="8">
        <v>12</v>
      </c>
      <c r="E946" s="8">
        <f ca="1">IFERROR(__xludf.DUMMYFUNCTION("""COMPUTED_VALUE"""),787.8)</f>
        <v>787.8</v>
      </c>
    </row>
    <row r="947" spans="1:5" ht="15.75" customHeight="1" x14ac:dyDescent="0.25">
      <c r="A947" s="7" t="s">
        <v>26</v>
      </c>
      <c r="B947" s="7" t="s">
        <v>2</v>
      </c>
      <c r="C947" s="6">
        <v>2024</v>
      </c>
      <c r="D947" s="8">
        <v>12</v>
      </c>
      <c r="E947" s="8">
        <f ca="1">IFERROR(__xludf.DUMMYFUNCTION("""COMPUTED_VALUE"""),869.14696485623)</f>
        <v>869.14696485623006</v>
      </c>
    </row>
    <row r="948" spans="1:5" ht="15.75" customHeight="1" x14ac:dyDescent="0.25">
      <c r="A948" s="7" t="s">
        <v>26</v>
      </c>
      <c r="B948" s="7" t="s">
        <v>16</v>
      </c>
      <c r="C948" s="6">
        <v>2024</v>
      </c>
      <c r="D948" s="8">
        <v>12</v>
      </c>
      <c r="E948" s="8">
        <f ca="1">IFERROR(__xludf.DUMMYFUNCTION("""COMPUTED_VALUE"""),48902.0781029619)</f>
        <v>48902.078102961903</v>
      </c>
    </row>
    <row r="949" spans="1:5" ht="15.75" customHeight="1" x14ac:dyDescent="0.25">
      <c r="A949" s="7" t="s">
        <v>26</v>
      </c>
      <c r="B949" s="7" t="s">
        <v>17</v>
      </c>
      <c r="C949" s="6">
        <v>2024</v>
      </c>
      <c r="D949" s="8">
        <v>12</v>
      </c>
      <c r="E949" s="8">
        <f ca="1">IFERROR(__xludf.DUMMYFUNCTION("""COMPUTED_VALUE"""),53767.1770594929)</f>
        <v>53767.177059492897</v>
      </c>
    </row>
    <row r="950" spans="1:5" ht="15.75" customHeight="1" x14ac:dyDescent="0.25">
      <c r="A950" s="7" t="s">
        <v>27</v>
      </c>
      <c r="B950" s="9" t="s">
        <v>5</v>
      </c>
      <c r="C950" s="6">
        <v>2024</v>
      </c>
      <c r="D950" s="8">
        <v>12</v>
      </c>
      <c r="E950" s="8">
        <f ca="1">IFERROR(__xludf.DUMMYFUNCTION("TRANSPOSE(IMPORTRANGE(""https://docs.google.com/spreadsheets/d/1aShJkEUKQn2xgZT8xSfUykbY1AAronZNMhmmKjxM5vY/edit?usp=sharing"",""Perhitungan Stok!$J$46:$J$57""))"),152524.58692098)</f>
        <v>152524.58692097999</v>
      </c>
    </row>
    <row r="951" spans="1:5" ht="15.75" customHeight="1" x14ac:dyDescent="0.25">
      <c r="A951" s="7" t="s">
        <v>27</v>
      </c>
      <c r="B951" s="7" t="s">
        <v>3</v>
      </c>
      <c r="C951" s="6">
        <v>2024</v>
      </c>
      <c r="D951" s="8">
        <v>12</v>
      </c>
      <c r="E951" s="8">
        <f ca="1">IFERROR(__xludf.DUMMYFUNCTION("""COMPUTED_VALUE"""),25078.0062111801)</f>
        <v>25078.006211180102</v>
      </c>
    </row>
    <row r="952" spans="1:5" ht="15.75" customHeight="1" x14ac:dyDescent="0.25">
      <c r="A952" s="7" t="s">
        <v>27</v>
      </c>
      <c r="B952" s="7" t="s">
        <v>11</v>
      </c>
      <c r="C952" s="6">
        <v>2024</v>
      </c>
      <c r="D952" s="8">
        <v>12</v>
      </c>
      <c r="E952" s="8">
        <f ca="1">IFERROR(__xludf.DUMMYFUNCTION("""COMPUTED_VALUE"""),21120.9543568464)</f>
        <v>21120.9543568464</v>
      </c>
    </row>
    <row r="953" spans="1:5" ht="15.75" customHeight="1" x14ac:dyDescent="0.25">
      <c r="A953" s="7" t="s">
        <v>27</v>
      </c>
      <c r="B953" s="7" t="s">
        <v>12</v>
      </c>
      <c r="C953" s="6">
        <v>2024</v>
      </c>
      <c r="D953" s="8">
        <v>12</v>
      </c>
      <c r="E953" s="8">
        <f ca="1">IFERROR(__xludf.DUMMYFUNCTION("""COMPUTED_VALUE"""),12.3880597014925)</f>
        <v>12.3880597014925</v>
      </c>
    </row>
    <row r="954" spans="1:5" ht="15.75" customHeight="1" x14ac:dyDescent="0.25">
      <c r="A954" s="7" t="s">
        <v>27</v>
      </c>
      <c r="B954" s="7" t="s">
        <v>13</v>
      </c>
      <c r="C954" s="6">
        <v>2024</v>
      </c>
      <c r="D954" s="8">
        <v>12</v>
      </c>
      <c r="E954" s="8">
        <f ca="1">IFERROR(__xludf.DUMMYFUNCTION("""COMPUTED_VALUE"""),12.2033898305084)</f>
        <v>12.203389830508399</v>
      </c>
    </row>
    <row r="955" spans="1:5" ht="15.75" customHeight="1" x14ac:dyDescent="0.25">
      <c r="A955" s="7" t="s">
        <v>27</v>
      </c>
      <c r="B955" s="7" t="s">
        <v>4</v>
      </c>
      <c r="C955" s="6">
        <v>2024</v>
      </c>
      <c r="D955" s="8">
        <v>12</v>
      </c>
      <c r="E955" s="8">
        <f ca="1">IFERROR(__xludf.DUMMYFUNCTION("""COMPUTED_VALUE"""),5.77777777777777)</f>
        <v>5.7777777777777697</v>
      </c>
    </row>
    <row r="956" spans="1:5" ht="15.75" customHeight="1" x14ac:dyDescent="0.25">
      <c r="A956" s="7" t="s">
        <v>27</v>
      </c>
      <c r="B956" s="7" t="s">
        <v>1</v>
      </c>
      <c r="C956" s="6">
        <v>2024</v>
      </c>
      <c r="D956" s="8">
        <v>12</v>
      </c>
      <c r="E956" s="8">
        <f ca="1">IFERROR(__xludf.DUMMYFUNCTION("""COMPUTED_VALUE"""),6.6)</f>
        <v>6.6</v>
      </c>
    </row>
    <row r="957" spans="1:5" ht="15.75" customHeight="1" x14ac:dyDescent="0.25">
      <c r="A957" s="7" t="s">
        <v>27</v>
      </c>
      <c r="B957" s="7" t="s">
        <v>14</v>
      </c>
      <c r="C957" s="6">
        <v>2024</v>
      </c>
      <c r="D957" s="8">
        <v>12</v>
      </c>
      <c r="E957" s="8">
        <f ca="1">IFERROR(__xludf.DUMMYFUNCTION("""COMPUTED_VALUE"""),327.35294117647)</f>
        <v>327.35294117646998</v>
      </c>
    </row>
    <row r="958" spans="1:5" ht="15.75" customHeight="1" x14ac:dyDescent="0.25">
      <c r="A958" s="7" t="s">
        <v>27</v>
      </c>
      <c r="B958" s="7" t="s">
        <v>15</v>
      </c>
      <c r="C958" s="6">
        <v>2024</v>
      </c>
      <c r="D958" s="8">
        <v>12</v>
      </c>
      <c r="E958" s="8">
        <f ca="1">IFERROR(__xludf.DUMMYFUNCTION("""COMPUTED_VALUE"""),574.75)</f>
        <v>574.75</v>
      </c>
    </row>
    <row r="959" spans="1:5" ht="15.75" customHeight="1" x14ac:dyDescent="0.25">
      <c r="A959" s="7" t="s">
        <v>27</v>
      </c>
      <c r="B959" s="7" t="s">
        <v>2</v>
      </c>
      <c r="C959" s="6">
        <v>2024</v>
      </c>
      <c r="D959" s="8">
        <v>12</v>
      </c>
      <c r="E959" s="8">
        <f ca="1">IFERROR(__xludf.DUMMYFUNCTION("""COMPUTED_VALUE"""),2355.61797752809)</f>
        <v>2355.6179775280898</v>
      </c>
    </row>
    <row r="960" spans="1:5" ht="15.75" customHeight="1" x14ac:dyDescent="0.25">
      <c r="A960" s="7" t="s">
        <v>27</v>
      </c>
      <c r="B960" s="7" t="s">
        <v>16</v>
      </c>
      <c r="C960" s="6">
        <v>2024</v>
      </c>
      <c r="D960" s="8">
        <v>12</v>
      </c>
      <c r="E960" s="8">
        <f ca="1">IFERROR(__xludf.DUMMYFUNCTION("""COMPUTED_VALUE"""),6098.23204419889)</f>
        <v>6098.2320441988904</v>
      </c>
    </row>
    <row r="961" spans="1:5" ht="15.75" customHeight="1" x14ac:dyDescent="0.25">
      <c r="A961" s="7" t="s">
        <v>27</v>
      </c>
      <c r="B961" s="7" t="s">
        <v>17</v>
      </c>
      <c r="C961" s="6">
        <v>2024</v>
      </c>
      <c r="D961" s="8">
        <v>12</v>
      </c>
      <c r="E961" s="8">
        <f ca="1">IFERROR(__xludf.DUMMYFUNCTION("""COMPUTED_VALUE"""),7719.71538461538)</f>
        <v>7719.7153846153797</v>
      </c>
    </row>
    <row r="962" spans="1:5" ht="15.75" customHeight="1" x14ac:dyDescent="0.25">
      <c r="A962" s="7" t="s">
        <v>28</v>
      </c>
      <c r="B962" s="9" t="s">
        <v>5</v>
      </c>
      <c r="C962" s="6">
        <v>2024</v>
      </c>
      <c r="D962" s="8">
        <v>12</v>
      </c>
      <c r="E962" s="8">
        <f ca="1">IFERROR(__xludf.DUMMYFUNCTION("TRANSPOSE(IMPORTRANGE(""https://docs.google.com/spreadsheets/d/1fhnWJ22CL1CLnM8yDaqFFy0IpnLfRpNb0YPe0U15EHM/edit?usp=sharing"",""Perhitungan Stok!$J$46:$J$57""))"),34369.1919191919)</f>
        <v>34369.191919191901</v>
      </c>
    </row>
    <row r="963" spans="1:5" ht="15.75" customHeight="1" x14ac:dyDescent="0.25">
      <c r="A963" s="7" t="s">
        <v>28</v>
      </c>
      <c r="B963" s="7" t="s">
        <v>3</v>
      </c>
      <c r="C963" s="6">
        <v>2024</v>
      </c>
      <c r="D963" s="8">
        <v>12</v>
      </c>
      <c r="E963" s="8">
        <f ca="1">IFERROR(__xludf.DUMMYFUNCTION("""COMPUTED_VALUE"""),60009.9999999999)</f>
        <v>60009.999999999898</v>
      </c>
    </row>
    <row r="964" spans="1:5" ht="15.75" customHeight="1" x14ac:dyDescent="0.25">
      <c r="A964" s="7" t="s">
        <v>28</v>
      </c>
      <c r="B964" s="7" t="s">
        <v>11</v>
      </c>
      <c r="C964" s="6">
        <v>2024</v>
      </c>
      <c r="D964" s="8">
        <v>12</v>
      </c>
      <c r="E964" s="8">
        <f ca="1">IFERROR(__xludf.DUMMYFUNCTION("""COMPUTED_VALUE"""),225030)</f>
        <v>225030</v>
      </c>
    </row>
    <row r="965" spans="1:5" ht="15.75" customHeight="1" x14ac:dyDescent="0.25">
      <c r="A965" s="7" t="s">
        <v>28</v>
      </c>
      <c r="B965" s="7" t="s">
        <v>12</v>
      </c>
      <c r="C965" s="6">
        <v>2024</v>
      </c>
      <c r="D965" s="8">
        <v>12</v>
      </c>
      <c r="E965" s="8">
        <f ca="1">IFERROR(__xludf.DUMMYFUNCTION("""COMPUTED_VALUE"""),375.100671140939)</f>
        <v>375.10067114093903</v>
      </c>
    </row>
    <row r="966" spans="1:5" ht="15.75" customHeight="1" x14ac:dyDescent="0.25">
      <c r="A966" s="7" t="s">
        <v>28</v>
      </c>
      <c r="B966" s="7" t="s">
        <v>13</v>
      </c>
      <c r="C966" s="6">
        <v>2024</v>
      </c>
      <c r="D966" s="8">
        <v>12</v>
      </c>
      <c r="E966" s="8">
        <f ca="1">IFERROR(__xludf.DUMMYFUNCTION("""COMPUTED_VALUE"""),787.5)</f>
        <v>787.5</v>
      </c>
    </row>
    <row r="967" spans="1:5" ht="15.75" customHeight="1" x14ac:dyDescent="0.25">
      <c r="A967" s="7" t="s">
        <v>28</v>
      </c>
      <c r="B967" s="7" t="s">
        <v>4</v>
      </c>
      <c r="C967" s="6">
        <v>2024</v>
      </c>
      <c r="D967" s="8">
        <v>12</v>
      </c>
      <c r="E967" s="8">
        <f ca="1">IFERROR(__xludf.DUMMYFUNCTION("""COMPUTED_VALUE"""),90)</f>
        <v>90</v>
      </c>
    </row>
    <row r="968" spans="1:5" ht="15.75" customHeight="1" x14ac:dyDescent="0.25">
      <c r="A968" s="7" t="s">
        <v>28</v>
      </c>
      <c r="B968" s="7" t="s">
        <v>1</v>
      </c>
      <c r="C968" s="6">
        <v>2024</v>
      </c>
      <c r="D968" s="8">
        <v>12</v>
      </c>
      <c r="E968" s="8">
        <f ca="1">IFERROR(__xludf.DUMMYFUNCTION("""COMPUTED_VALUE"""),100)</f>
        <v>100</v>
      </c>
    </row>
    <row r="969" spans="1:5" ht="15.75" customHeight="1" x14ac:dyDescent="0.25">
      <c r="A969" s="7" t="s">
        <v>28</v>
      </c>
      <c r="B969" s="7" t="s">
        <v>14</v>
      </c>
      <c r="C969" s="6">
        <v>2024</v>
      </c>
      <c r="D969" s="8">
        <v>12</v>
      </c>
      <c r="E969" s="8">
        <f ca="1">IFERROR(__xludf.DUMMYFUNCTION("""COMPUTED_VALUE"""),50)</f>
        <v>50</v>
      </c>
    </row>
    <row r="970" spans="1:5" ht="15.75" customHeight="1" x14ac:dyDescent="0.25">
      <c r="A970" s="7" t="s">
        <v>28</v>
      </c>
      <c r="B970" s="7" t="s">
        <v>15</v>
      </c>
      <c r="C970" s="6">
        <v>2024</v>
      </c>
      <c r="D970" s="8">
        <v>12</v>
      </c>
      <c r="E970" s="8">
        <f ca="1">IFERROR(__xludf.DUMMYFUNCTION("""COMPUTED_VALUE"""),500)</f>
        <v>500</v>
      </c>
    </row>
    <row r="971" spans="1:5" ht="15.75" customHeight="1" x14ac:dyDescent="0.25">
      <c r="A971" s="7" t="s">
        <v>28</v>
      </c>
      <c r="B971" s="7" t="s">
        <v>2</v>
      </c>
      <c r="C971" s="6">
        <v>2024</v>
      </c>
      <c r="D971" s="8">
        <v>12</v>
      </c>
      <c r="E971" s="8">
        <f ca="1">IFERROR(__xludf.DUMMYFUNCTION("""COMPUTED_VALUE"""),27677.4251497005)</f>
        <v>27677.425149700499</v>
      </c>
    </row>
    <row r="972" spans="1:5" ht="15.75" customHeight="1" x14ac:dyDescent="0.25">
      <c r="A972" s="7" t="s">
        <v>28</v>
      </c>
      <c r="B972" s="7" t="s">
        <v>16</v>
      </c>
      <c r="C972" s="6">
        <v>2024</v>
      </c>
      <c r="D972" s="8">
        <v>12</v>
      </c>
      <c r="E972" s="8">
        <f ca="1">IFERROR(__xludf.DUMMYFUNCTION("""COMPUTED_VALUE"""),1815.40229885057)</f>
        <v>1815.4022988505701</v>
      </c>
    </row>
    <row r="973" spans="1:5" ht="15.75" customHeight="1" x14ac:dyDescent="0.25">
      <c r="A973" s="7" t="s">
        <v>28</v>
      </c>
      <c r="B973" s="7" t="s">
        <v>17</v>
      </c>
      <c r="C973" s="6">
        <v>2024</v>
      </c>
      <c r="D973" s="8">
        <v>12</v>
      </c>
      <c r="E973" s="8">
        <f ca="1">IFERROR(__xludf.DUMMYFUNCTION("""COMPUTED_VALUE"""),617.777777777777)</f>
        <v>617.77777777777703</v>
      </c>
    </row>
    <row r="974" spans="1:5" ht="15.75" customHeight="1" x14ac:dyDescent="0.25">
      <c r="A974" s="7" t="s">
        <v>29</v>
      </c>
      <c r="B974" s="9" t="s">
        <v>5</v>
      </c>
      <c r="C974" s="6">
        <v>2024</v>
      </c>
      <c r="D974" s="8">
        <v>12</v>
      </c>
      <c r="E974" s="8">
        <f ca="1">IFERROR(__xludf.DUMMYFUNCTION("TRANSPOSE(IMPORTRANGE(""https://docs.google.com/spreadsheets/d/1FZs6yi73px1UeIq12X4pJWRpMY-i9pr7NJo7QazmvpY/edit?usp=sharing"",""Perhitungan Stok!$J$46:$J$57""))"),174851.503724525)</f>
        <v>174851.50372452501</v>
      </c>
    </row>
    <row r="975" spans="1:5" ht="15.75" customHeight="1" x14ac:dyDescent="0.25">
      <c r="A975" s="7" t="s">
        <v>29</v>
      </c>
      <c r="B975" s="7" t="s">
        <v>3</v>
      </c>
      <c r="C975" s="6">
        <v>2024</v>
      </c>
      <c r="D975" s="8">
        <v>12</v>
      </c>
      <c r="E975" s="8">
        <f ca="1">IFERROR(__xludf.DUMMYFUNCTION("""COMPUTED_VALUE"""),300.598802395209)</f>
        <v>300.59880239520902</v>
      </c>
    </row>
    <row r="976" spans="1:5" ht="15.75" customHeight="1" x14ac:dyDescent="0.25">
      <c r="A976" s="7" t="s">
        <v>29</v>
      </c>
      <c r="B976" s="7" t="s">
        <v>11</v>
      </c>
      <c r="C976" s="6">
        <v>2024</v>
      </c>
      <c r="D976" s="8">
        <v>12</v>
      </c>
      <c r="E976" s="8">
        <f ca="1">IFERROR(__xludf.DUMMYFUNCTION("""COMPUTED_VALUE"""),51812.7130681818)</f>
        <v>51812.713068181802</v>
      </c>
    </row>
    <row r="977" spans="1:5" ht="15.75" customHeight="1" x14ac:dyDescent="0.25">
      <c r="A977" s="7" t="s">
        <v>29</v>
      </c>
      <c r="B977" s="7" t="s">
        <v>12</v>
      </c>
      <c r="C977" s="6">
        <v>2024</v>
      </c>
      <c r="D977" s="8">
        <v>12</v>
      </c>
      <c r="E977" s="8">
        <f ca="1">IFERROR(__xludf.DUMMYFUNCTION("""COMPUTED_VALUE"""),1415.11111111111)</f>
        <v>1415.1111111111099</v>
      </c>
    </row>
    <row r="978" spans="1:5" ht="15.75" customHeight="1" x14ac:dyDescent="0.25">
      <c r="A978" s="7" t="s">
        <v>29</v>
      </c>
      <c r="B978" s="7" t="s">
        <v>13</v>
      </c>
      <c r="C978" s="6">
        <v>2024</v>
      </c>
      <c r="D978" s="8">
        <v>12</v>
      </c>
      <c r="E978" s="8">
        <f ca="1">IFERROR(__xludf.DUMMYFUNCTION("""COMPUTED_VALUE"""),1729.78723404255)</f>
        <v>1729.7872340425499</v>
      </c>
    </row>
    <row r="979" spans="1:5" ht="15.75" customHeight="1" x14ac:dyDescent="0.25">
      <c r="A979" s="7" t="s">
        <v>29</v>
      </c>
      <c r="B979" s="7" t="s">
        <v>4</v>
      </c>
      <c r="C979" s="6">
        <v>2024</v>
      </c>
      <c r="D979" s="8">
        <v>12</v>
      </c>
      <c r="E979" s="8">
        <f ca="1">IFERROR(__xludf.DUMMYFUNCTION("""COMPUTED_VALUE"""),203.65625)</f>
        <v>203.65625</v>
      </c>
    </row>
    <row r="980" spans="1:5" ht="15.75" customHeight="1" x14ac:dyDescent="0.25">
      <c r="A980" s="7" t="s">
        <v>29</v>
      </c>
      <c r="B980" s="7" t="s">
        <v>1</v>
      </c>
      <c r="C980" s="6">
        <v>2024</v>
      </c>
      <c r="D980" s="8">
        <v>12</v>
      </c>
      <c r="E980" s="8">
        <f ca="1">IFERROR(__xludf.DUMMYFUNCTION("""COMPUTED_VALUE"""),466.631578947368)</f>
        <v>466.63157894736798</v>
      </c>
    </row>
    <row r="981" spans="1:5" ht="15.75" customHeight="1" x14ac:dyDescent="0.25">
      <c r="A981" s="7" t="s">
        <v>29</v>
      </c>
      <c r="B981" s="7" t="s">
        <v>14</v>
      </c>
      <c r="C981" s="6">
        <v>2024</v>
      </c>
      <c r="D981" s="8">
        <v>12</v>
      </c>
      <c r="E981" s="8">
        <f ca="1">IFERROR(__xludf.DUMMYFUNCTION("""COMPUTED_VALUE"""),50.4)</f>
        <v>50.4</v>
      </c>
    </row>
    <row r="982" spans="1:5" ht="15.75" customHeight="1" x14ac:dyDescent="0.25">
      <c r="A982" s="7" t="s">
        <v>29</v>
      </c>
      <c r="B982" s="7" t="s">
        <v>15</v>
      </c>
      <c r="C982" s="6">
        <v>2024</v>
      </c>
      <c r="D982" s="8">
        <v>12</v>
      </c>
      <c r="E982" s="8">
        <f ca="1">IFERROR(__xludf.DUMMYFUNCTION("""COMPUTED_VALUE"""),5431.5)</f>
        <v>5431.5</v>
      </c>
    </row>
    <row r="983" spans="1:5" ht="15.75" customHeight="1" x14ac:dyDescent="0.25">
      <c r="A983" s="7" t="s">
        <v>29</v>
      </c>
      <c r="B983" s="7" t="s">
        <v>2</v>
      </c>
      <c r="C983" s="6">
        <v>2024</v>
      </c>
      <c r="D983" s="8">
        <v>12</v>
      </c>
      <c r="E983" s="8">
        <f ca="1">IFERROR(__xludf.DUMMYFUNCTION("""COMPUTED_VALUE"""),13193.9189189189)</f>
        <v>13193.9189189189</v>
      </c>
    </row>
    <row r="984" spans="1:5" ht="15.75" customHeight="1" x14ac:dyDescent="0.25">
      <c r="A984" s="7" t="s">
        <v>29</v>
      </c>
      <c r="B984" s="7" t="s">
        <v>16</v>
      </c>
      <c r="C984" s="6">
        <v>2024</v>
      </c>
      <c r="D984" s="8">
        <v>12</v>
      </c>
      <c r="E984" s="8">
        <f ca="1">IFERROR(__xludf.DUMMYFUNCTION("""COMPUTED_VALUE"""),41793.0568720379)</f>
        <v>41793.056872037901</v>
      </c>
    </row>
    <row r="985" spans="1:5" ht="15.75" customHeight="1" x14ac:dyDescent="0.25">
      <c r="A985" s="7" t="s">
        <v>29</v>
      </c>
      <c r="B985" s="7" t="s">
        <v>17</v>
      </c>
      <c r="C985" s="6">
        <v>2024</v>
      </c>
      <c r="D985" s="8">
        <v>12</v>
      </c>
      <c r="E985" s="8">
        <f ca="1">IFERROR(__xludf.DUMMYFUNCTION("""COMPUTED_VALUE"""),182739.989477678)</f>
        <v>182739.989477678</v>
      </c>
    </row>
    <row r="986" spans="1:5" ht="15.75" customHeight="1" x14ac:dyDescent="0.25">
      <c r="A986" s="7" t="s">
        <v>30</v>
      </c>
      <c r="B986" s="9" t="s">
        <v>5</v>
      </c>
      <c r="C986" s="6">
        <v>2024</v>
      </c>
      <c r="D986" s="8">
        <v>12</v>
      </c>
      <c r="E986" s="8">
        <f ca="1">IFERROR(__xludf.DUMMYFUNCTION("TRANSPOSE(IMPORTRANGE(""https://docs.google.com/spreadsheets/d/1xBM7mOEG38prtetY9HT35-b5NhNoQALxyERnMGh_kRA/edit?usp=sharing"",""Perhitungan Stok!$J$46:$J$57""))"),56250)</f>
        <v>56250</v>
      </c>
    </row>
    <row r="987" spans="1:5" ht="15.75" customHeight="1" x14ac:dyDescent="0.25">
      <c r="A987" s="7" t="s">
        <v>30</v>
      </c>
      <c r="B987" s="7" t="s">
        <v>3</v>
      </c>
      <c r="C987" s="6">
        <v>2024</v>
      </c>
      <c r="D987" s="8">
        <v>12</v>
      </c>
      <c r="E987" s="8">
        <f ca="1">IFERROR(__xludf.DUMMYFUNCTION("""COMPUTED_VALUE"""),40225.4347826086)</f>
        <v>40225.434782608601</v>
      </c>
    </row>
    <row r="988" spans="1:5" ht="15.75" customHeight="1" x14ac:dyDescent="0.25">
      <c r="A988" s="7" t="s">
        <v>30</v>
      </c>
      <c r="B988" s="7" t="s">
        <v>11</v>
      </c>
      <c r="C988" s="6">
        <v>2024</v>
      </c>
      <c r="D988" s="8">
        <v>12</v>
      </c>
      <c r="E988" s="8">
        <f ca="1">IFERROR(__xludf.DUMMYFUNCTION("""COMPUTED_VALUE"""),5350)</f>
        <v>5350</v>
      </c>
    </row>
    <row r="989" spans="1:5" ht="15.75" customHeight="1" x14ac:dyDescent="0.25">
      <c r="A989" s="7" t="s">
        <v>30</v>
      </c>
      <c r="B989" s="7" t="s">
        <v>12</v>
      </c>
      <c r="C989" s="6">
        <v>2024</v>
      </c>
      <c r="D989" s="8">
        <v>12</v>
      </c>
      <c r="E989" s="8">
        <f ca="1">IFERROR(__xludf.DUMMYFUNCTION("""COMPUTED_VALUE"""),11049.6657633243)</f>
        <v>11049.665763324299</v>
      </c>
    </row>
    <row r="990" spans="1:5" ht="15.75" customHeight="1" x14ac:dyDescent="0.25">
      <c r="A990" s="7" t="s">
        <v>30</v>
      </c>
      <c r="B990" s="7" t="s">
        <v>13</v>
      </c>
      <c r="C990" s="6">
        <v>2024</v>
      </c>
      <c r="D990" s="8">
        <v>12</v>
      </c>
      <c r="E990" s="8">
        <f ca="1">IFERROR(__xludf.DUMMYFUNCTION("""COMPUTED_VALUE"""),13894.6153846153)</f>
        <v>13894.615384615299</v>
      </c>
    </row>
    <row r="991" spans="1:5" ht="15.75" customHeight="1" x14ac:dyDescent="0.25">
      <c r="A991" s="7" t="s">
        <v>30</v>
      </c>
      <c r="B991" s="7" t="s">
        <v>4</v>
      </c>
      <c r="C991" s="6">
        <v>2024</v>
      </c>
      <c r="D991" s="8">
        <v>12</v>
      </c>
      <c r="E991" s="8">
        <f ca="1">IFERROR(__xludf.DUMMYFUNCTION("""COMPUTED_VALUE"""),545)</f>
        <v>545</v>
      </c>
    </row>
    <row r="992" spans="1:5" ht="15.75" customHeight="1" x14ac:dyDescent="0.25">
      <c r="A992" s="7" t="s">
        <v>30</v>
      </c>
      <c r="B992" s="7" t="s">
        <v>1</v>
      </c>
      <c r="C992" s="6">
        <v>2024</v>
      </c>
      <c r="D992" s="8">
        <v>12</v>
      </c>
      <c r="E992" s="8">
        <f ca="1">IFERROR(__xludf.DUMMYFUNCTION("""COMPUTED_VALUE"""),687.692307692307)</f>
        <v>687.69230769230705</v>
      </c>
    </row>
    <row r="993" spans="1:5" ht="15.75" customHeight="1" x14ac:dyDescent="0.25">
      <c r="A993" s="7" t="s">
        <v>30</v>
      </c>
      <c r="B993" s="7" t="s">
        <v>14</v>
      </c>
      <c r="C993" s="6">
        <v>2024</v>
      </c>
      <c r="D993" s="8">
        <v>12</v>
      </c>
      <c r="E993" s="8">
        <f ca="1">IFERROR(__xludf.DUMMYFUNCTION("""COMPUTED_VALUE"""),0)</f>
        <v>0</v>
      </c>
    </row>
    <row r="994" spans="1:5" ht="15.75" customHeight="1" x14ac:dyDescent="0.25">
      <c r="A994" s="7" t="s">
        <v>30</v>
      </c>
      <c r="B994" s="7" t="s">
        <v>15</v>
      </c>
      <c r="C994" s="6">
        <v>2024</v>
      </c>
      <c r="D994" s="8">
        <v>12</v>
      </c>
      <c r="E994" s="8">
        <f ca="1">IFERROR(__xludf.DUMMYFUNCTION("""COMPUTED_VALUE"""),0)</f>
        <v>0</v>
      </c>
    </row>
    <row r="995" spans="1:5" ht="15.75" customHeight="1" x14ac:dyDescent="0.25">
      <c r="A995" s="7" t="s">
        <v>30</v>
      </c>
      <c r="B995" s="7" t="s">
        <v>2</v>
      </c>
      <c r="C995" s="6">
        <v>2024</v>
      </c>
      <c r="D995" s="8">
        <v>12</v>
      </c>
      <c r="E995" s="8">
        <f ca="1">IFERROR(__xludf.DUMMYFUNCTION("""COMPUTED_VALUE"""),11621.3461538461)</f>
        <v>11621.3461538461</v>
      </c>
    </row>
    <row r="996" spans="1:5" ht="15.75" customHeight="1" x14ac:dyDescent="0.25">
      <c r="A996" s="7" t="s">
        <v>30</v>
      </c>
      <c r="B996" s="7" t="s">
        <v>16</v>
      </c>
      <c r="C996" s="6">
        <v>2024</v>
      </c>
      <c r="D996" s="8">
        <v>12</v>
      </c>
      <c r="E996" s="8">
        <f ca="1">IFERROR(__xludf.DUMMYFUNCTION("""COMPUTED_VALUE"""),1989.5652173913)</f>
        <v>1989.5652173912999</v>
      </c>
    </row>
    <row r="997" spans="1:5" ht="15.75" customHeight="1" x14ac:dyDescent="0.25">
      <c r="A997" s="7" t="s">
        <v>30</v>
      </c>
      <c r="B997" s="7" t="s">
        <v>17</v>
      </c>
      <c r="C997" s="6">
        <v>2024</v>
      </c>
      <c r="D997" s="8">
        <v>12</v>
      </c>
      <c r="E997" s="8">
        <f ca="1">IFERROR(__xludf.DUMMYFUNCTION("""COMPUTED_VALUE"""),7512.81323087203)</f>
        <v>7512.8132308720296</v>
      </c>
    </row>
    <row r="998" spans="1:5" ht="15.75" customHeight="1" x14ac:dyDescent="0.25">
      <c r="A998" s="7" t="s">
        <v>31</v>
      </c>
      <c r="B998" s="9" t="s">
        <v>5</v>
      </c>
      <c r="C998" s="6">
        <v>2024</v>
      </c>
      <c r="D998" s="8">
        <v>12</v>
      </c>
      <c r="E998" s="8">
        <f ca="1">IFERROR(__xludf.DUMMYFUNCTION("TRANSPOSE(IMPORTRANGE(""https://docs.google.com/spreadsheets/d/1cv8w4RgreF55A1mw5YfUmgV2e6j-PXym1SXozOAxbDQ/edit?usp=sharing"",""Perhitungan Stok!$J$46:$J$57""))"),862301.565535443)</f>
        <v>862301.56553544302</v>
      </c>
    </row>
    <row r="999" spans="1:5" ht="15.75" customHeight="1" x14ac:dyDescent="0.25">
      <c r="A999" s="7" t="s">
        <v>31</v>
      </c>
      <c r="B999" s="7" t="s">
        <v>3</v>
      </c>
      <c r="C999" s="6">
        <v>2024</v>
      </c>
      <c r="D999" s="8">
        <v>12</v>
      </c>
      <c r="E999" s="8">
        <f ca="1">IFERROR(__xludf.DUMMYFUNCTION("""COMPUTED_VALUE"""),1350)</f>
        <v>1350</v>
      </c>
    </row>
    <row r="1000" spans="1:5" ht="15.75" customHeight="1" x14ac:dyDescent="0.25">
      <c r="A1000" s="7" t="s">
        <v>31</v>
      </c>
      <c r="B1000" s="7" t="s">
        <v>11</v>
      </c>
      <c r="C1000" s="6">
        <v>2024</v>
      </c>
      <c r="D1000" s="8">
        <v>12</v>
      </c>
      <c r="E1000" s="8">
        <f ca="1">IFERROR(__xludf.DUMMYFUNCTION("""COMPUTED_VALUE"""),4063.2)</f>
        <v>4063.2</v>
      </c>
    </row>
    <row r="1001" spans="1:5" ht="15.75" customHeight="1" x14ac:dyDescent="0.25">
      <c r="A1001" s="7" t="s">
        <v>31</v>
      </c>
      <c r="B1001" s="7" t="s">
        <v>12</v>
      </c>
      <c r="C1001" s="6">
        <v>2024</v>
      </c>
      <c r="D1001" s="8">
        <v>12</v>
      </c>
      <c r="E1001" s="8">
        <f ca="1">IFERROR(__xludf.DUMMYFUNCTION("""COMPUTED_VALUE"""),1140)</f>
        <v>1140</v>
      </c>
    </row>
    <row r="1002" spans="1:5" ht="15.75" customHeight="1" x14ac:dyDescent="0.25">
      <c r="A1002" s="7" t="s">
        <v>31</v>
      </c>
      <c r="B1002" s="7" t="s">
        <v>13</v>
      </c>
      <c r="C1002" s="6">
        <v>2024</v>
      </c>
      <c r="D1002" s="8">
        <v>12</v>
      </c>
      <c r="E1002" s="8">
        <f ca="1">IFERROR(__xludf.DUMMYFUNCTION("""COMPUTED_VALUE"""),593)</f>
        <v>593</v>
      </c>
    </row>
    <row r="1003" spans="1:5" ht="15.75" customHeight="1" x14ac:dyDescent="0.25">
      <c r="A1003" s="7" t="s">
        <v>31</v>
      </c>
      <c r="B1003" s="7" t="s">
        <v>4</v>
      </c>
      <c r="C1003" s="6">
        <v>2024</v>
      </c>
      <c r="D1003" s="8">
        <v>12</v>
      </c>
      <c r="E1003" s="8">
        <f ca="1">IFERROR(__xludf.DUMMYFUNCTION("""COMPUTED_VALUE"""),159.25)</f>
        <v>159.25</v>
      </c>
    </row>
    <row r="1004" spans="1:5" ht="15.75" customHeight="1" x14ac:dyDescent="0.25">
      <c r="A1004" s="7" t="s">
        <v>31</v>
      </c>
      <c r="B1004" s="7" t="s">
        <v>1</v>
      </c>
      <c r="C1004" s="6">
        <v>2024</v>
      </c>
      <c r="D1004" s="8">
        <v>12</v>
      </c>
      <c r="E1004" s="8">
        <f ca="1">IFERROR(__xludf.DUMMYFUNCTION("""COMPUTED_VALUE"""),608.052631578947)</f>
        <v>608.05263157894694</v>
      </c>
    </row>
    <row r="1005" spans="1:5" ht="15.75" customHeight="1" x14ac:dyDescent="0.25">
      <c r="A1005" s="7" t="s">
        <v>31</v>
      </c>
      <c r="B1005" s="7" t="s">
        <v>14</v>
      </c>
      <c r="C1005" s="6">
        <v>2024</v>
      </c>
      <c r="D1005" s="8">
        <v>12</v>
      </c>
      <c r="E1005" s="8">
        <f ca="1">IFERROR(__xludf.DUMMYFUNCTION("""COMPUTED_VALUE"""),246.045918367346)</f>
        <v>246.04591836734599</v>
      </c>
    </row>
    <row r="1006" spans="1:5" ht="15.75" customHeight="1" x14ac:dyDescent="0.25">
      <c r="A1006" s="7" t="s">
        <v>31</v>
      </c>
      <c r="B1006" s="7" t="s">
        <v>15</v>
      </c>
      <c r="C1006" s="6">
        <v>2024</v>
      </c>
      <c r="D1006" s="8">
        <v>12</v>
      </c>
      <c r="E1006" s="8">
        <f ca="1">IFERROR(__xludf.DUMMYFUNCTION("""COMPUTED_VALUE"""),121)</f>
        <v>121</v>
      </c>
    </row>
    <row r="1007" spans="1:5" ht="15.75" customHeight="1" x14ac:dyDescent="0.25">
      <c r="A1007" s="7" t="s">
        <v>31</v>
      </c>
      <c r="B1007" s="7" t="s">
        <v>2</v>
      </c>
      <c r="C1007" s="6">
        <v>2024</v>
      </c>
      <c r="D1007" s="8">
        <v>12</v>
      </c>
      <c r="E1007" s="8">
        <f ca="1">IFERROR(__xludf.DUMMYFUNCTION("""COMPUTED_VALUE"""),9677.26358148893)</f>
        <v>9677.2635814889309</v>
      </c>
    </row>
    <row r="1008" spans="1:5" ht="15.75" customHeight="1" x14ac:dyDescent="0.25">
      <c r="A1008" s="7" t="s">
        <v>31</v>
      </c>
      <c r="B1008" s="7" t="s">
        <v>16</v>
      </c>
      <c r="C1008" s="6">
        <v>2024</v>
      </c>
      <c r="D1008" s="8">
        <v>12</v>
      </c>
      <c r="E1008" s="8">
        <f ca="1">IFERROR(__xludf.DUMMYFUNCTION("""COMPUTED_VALUE"""),617.5)</f>
        <v>617.5</v>
      </c>
    </row>
    <row r="1009" spans="1:5" ht="15.75" customHeight="1" x14ac:dyDescent="0.25">
      <c r="A1009" s="7" t="s">
        <v>31</v>
      </c>
      <c r="B1009" s="7" t="s">
        <v>17</v>
      </c>
      <c r="C1009" s="6">
        <v>2024</v>
      </c>
      <c r="D1009" s="8">
        <v>12</v>
      </c>
      <c r="E1009" s="8">
        <f ca="1">IFERROR(__xludf.DUMMYFUNCTION("""COMPUTED_VALUE"""),1546.11111111111)</f>
        <v>1546.1111111111099</v>
      </c>
    </row>
    <row r="1010" spans="1:5" ht="15.75" customHeight="1" x14ac:dyDescent="0.25">
      <c r="A1010" s="7" t="s">
        <v>32</v>
      </c>
      <c r="B1010" s="9" t="s">
        <v>5</v>
      </c>
      <c r="C1010" s="6">
        <v>2024</v>
      </c>
      <c r="D1010" s="8">
        <v>12</v>
      </c>
      <c r="E1010" s="8">
        <f ca="1">IFERROR(__xludf.DUMMYFUNCTION("TRANSPOSE(IMPORTRANGE(""https://docs.google.com/spreadsheets/d/18D7pHiWpJ4gLst8rmYyUj14WiVjxp1qK_8RCugx8bpg/edit?usp=sharing"",""Perhitungan Stok!$J$46:$J$57""))"),1033954.2314335)</f>
        <v>1033954.2314335</v>
      </c>
    </row>
    <row r="1011" spans="1:5" ht="15.75" customHeight="1" x14ac:dyDescent="0.25">
      <c r="A1011" s="7" t="s">
        <v>32</v>
      </c>
      <c r="B1011" s="7" t="s">
        <v>3</v>
      </c>
      <c r="C1011" s="6">
        <v>2024</v>
      </c>
      <c r="D1011" s="8">
        <v>12</v>
      </c>
      <c r="E1011" s="8">
        <f ca="1">IFERROR(__xludf.DUMMYFUNCTION("""COMPUTED_VALUE"""),273681.818181818)</f>
        <v>273681.818181818</v>
      </c>
    </row>
    <row r="1012" spans="1:5" ht="15.75" customHeight="1" x14ac:dyDescent="0.25">
      <c r="A1012" s="7" t="s">
        <v>32</v>
      </c>
      <c r="B1012" s="7" t="s">
        <v>11</v>
      </c>
      <c r="C1012" s="6">
        <v>2024</v>
      </c>
      <c r="D1012" s="8">
        <v>12</v>
      </c>
      <c r="E1012" s="8">
        <f ca="1">IFERROR(__xludf.DUMMYFUNCTION("""COMPUTED_VALUE"""),487000)</f>
        <v>487000</v>
      </c>
    </row>
    <row r="1013" spans="1:5" ht="15.75" customHeight="1" x14ac:dyDescent="0.25">
      <c r="A1013" s="7" t="s">
        <v>32</v>
      </c>
      <c r="B1013" s="7" t="s">
        <v>12</v>
      </c>
      <c r="C1013" s="6">
        <v>2024</v>
      </c>
      <c r="D1013" s="8">
        <v>12</v>
      </c>
      <c r="E1013" s="8">
        <f ca="1">IFERROR(__xludf.DUMMYFUNCTION("""COMPUTED_VALUE"""),29600)</f>
        <v>29600</v>
      </c>
    </row>
    <row r="1014" spans="1:5" ht="15.75" customHeight="1" x14ac:dyDescent="0.25">
      <c r="A1014" s="7" t="s">
        <v>32</v>
      </c>
      <c r="B1014" s="7" t="s">
        <v>13</v>
      </c>
      <c r="C1014" s="6">
        <v>2024</v>
      </c>
      <c r="D1014" s="8">
        <v>12</v>
      </c>
      <c r="E1014" s="8">
        <f ca="1">IFERROR(__xludf.DUMMYFUNCTION("""COMPUTED_VALUE"""),44000)</f>
        <v>44000</v>
      </c>
    </row>
    <row r="1015" spans="1:5" ht="15.75" customHeight="1" x14ac:dyDescent="0.25">
      <c r="A1015" s="7" t="s">
        <v>32</v>
      </c>
      <c r="B1015" s="7" t="s">
        <v>4</v>
      </c>
      <c r="C1015" s="6">
        <v>2024</v>
      </c>
      <c r="D1015" s="8">
        <v>12</v>
      </c>
      <c r="E1015" s="8">
        <f ca="1">IFERROR(__xludf.DUMMYFUNCTION("""COMPUTED_VALUE"""),200)</f>
        <v>200</v>
      </c>
    </row>
    <row r="1016" spans="1:5" ht="15.75" customHeight="1" x14ac:dyDescent="0.25">
      <c r="A1016" s="7" t="s">
        <v>32</v>
      </c>
      <c r="B1016" s="7" t="s">
        <v>1</v>
      </c>
      <c r="C1016" s="6">
        <v>2024</v>
      </c>
      <c r="D1016" s="8">
        <v>12</v>
      </c>
      <c r="E1016" s="8">
        <f ca="1">IFERROR(__xludf.DUMMYFUNCTION("""COMPUTED_VALUE"""),2632)</f>
        <v>2632</v>
      </c>
    </row>
    <row r="1017" spans="1:5" ht="15.75" customHeight="1" x14ac:dyDescent="0.25">
      <c r="A1017" s="7" t="s">
        <v>32</v>
      </c>
      <c r="B1017" s="7" t="s">
        <v>14</v>
      </c>
      <c r="C1017" s="6">
        <v>2024</v>
      </c>
      <c r="D1017" s="8">
        <v>12</v>
      </c>
      <c r="E1017" s="8">
        <f ca="1">IFERROR(__xludf.DUMMYFUNCTION("""COMPUTED_VALUE"""),18379.2549019607)</f>
        <v>18379.254901960699</v>
      </c>
    </row>
    <row r="1018" spans="1:5" ht="15.75" customHeight="1" x14ac:dyDescent="0.25">
      <c r="A1018" s="7" t="s">
        <v>32</v>
      </c>
      <c r="B1018" s="7" t="s">
        <v>15</v>
      </c>
      <c r="C1018" s="6">
        <v>2024</v>
      </c>
      <c r="D1018" s="8">
        <v>12</v>
      </c>
      <c r="E1018" s="8">
        <f ca="1">IFERROR(__xludf.DUMMYFUNCTION("""COMPUTED_VALUE"""),1895.38461538461)</f>
        <v>1895.38461538461</v>
      </c>
    </row>
    <row r="1019" spans="1:5" ht="15.75" customHeight="1" x14ac:dyDescent="0.25">
      <c r="A1019" s="7" t="s">
        <v>32</v>
      </c>
      <c r="B1019" s="7" t="s">
        <v>2</v>
      </c>
      <c r="C1019" s="6">
        <v>2024</v>
      </c>
      <c r="D1019" s="8">
        <v>12</v>
      </c>
      <c r="E1019" s="8">
        <f ca="1">IFERROR(__xludf.DUMMYFUNCTION("""COMPUTED_VALUE"""),1930.18867924528)</f>
        <v>1930.1886792452799</v>
      </c>
    </row>
    <row r="1020" spans="1:5" ht="15.75" customHeight="1" x14ac:dyDescent="0.25">
      <c r="A1020" s="7" t="s">
        <v>32</v>
      </c>
      <c r="B1020" s="7" t="s">
        <v>16</v>
      </c>
      <c r="C1020" s="6">
        <v>2024</v>
      </c>
      <c r="D1020" s="8">
        <v>12</v>
      </c>
      <c r="E1020" s="8">
        <f ca="1">IFERROR(__xludf.DUMMYFUNCTION("""COMPUTED_VALUE"""),233013.513513513)</f>
        <v>233013.513513513</v>
      </c>
    </row>
    <row r="1021" spans="1:5" ht="15.75" customHeight="1" x14ac:dyDescent="0.25">
      <c r="A1021" s="7" t="s">
        <v>32</v>
      </c>
      <c r="B1021" s="7" t="s">
        <v>17</v>
      </c>
      <c r="C1021" s="6">
        <v>2024</v>
      </c>
      <c r="D1021" s="8">
        <v>12</v>
      </c>
      <c r="E1021" s="8">
        <f ca="1">IFERROR(__xludf.DUMMYFUNCTION("""COMPUTED_VALUE"""),234056.002762777)</f>
        <v>234056.002762777</v>
      </c>
    </row>
    <row r="1022" spans="1:5" ht="15.75" customHeight="1" x14ac:dyDescent="0.25">
      <c r="A1022" s="7" t="s">
        <v>33</v>
      </c>
      <c r="B1022" s="9" t="s">
        <v>5</v>
      </c>
      <c r="C1022" s="6">
        <v>2024</v>
      </c>
      <c r="D1022" s="8">
        <v>12</v>
      </c>
      <c r="E1022" s="8">
        <f ca="1">IFERROR(__xludf.DUMMYFUNCTION("TRANSPOSE(IMPORTRANGE(""https://docs.google.com/spreadsheets/d/1ArHx5-8u4ELpz2uUlOuKHoaCijkEJNBjpAucWEyfJG8/edit?usp=sharing"",""Perhitungan Stok!$J$46:$J$57""))"),73423.198051948)</f>
        <v>73423.198051947998</v>
      </c>
    </row>
    <row r="1023" spans="1:5" ht="15.75" customHeight="1" x14ac:dyDescent="0.25">
      <c r="A1023" s="7" t="s">
        <v>33</v>
      </c>
      <c r="B1023" s="7" t="s">
        <v>3</v>
      </c>
      <c r="C1023" s="6">
        <v>2024</v>
      </c>
      <c r="D1023" s="8">
        <v>12</v>
      </c>
      <c r="E1023" s="8">
        <f ca="1">IFERROR(__xludf.DUMMYFUNCTION("""COMPUTED_VALUE"""),4700)</f>
        <v>4700</v>
      </c>
    </row>
    <row r="1024" spans="1:5" ht="15.75" customHeight="1" x14ac:dyDescent="0.25">
      <c r="A1024" s="7" t="s">
        <v>33</v>
      </c>
      <c r="B1024" s="7" t="s">
        <v>11</v>
      </c>
      <c r="C1024" s="6">
        <v>2024</v>
      </c>
      <c r="D1024" s="8">
        <v>12</v>
      </c>
      <c r="E1024" s="8">
        <f ca="1">IFERROR(__xludf.DUMMYFUNCTION("""COMPUTED_VALUE"""),10016.6666666666)</f>
        <v>10016.666666666601</v>
      </c>
    </row>
    <row r="1025" spans="1:5" ht="15.75" customHeight="1" x14ac:dyDescent="0.25">
      <c r="A1025" s="7" t="s">
        <v>33</v>
      </c>
      <c r="B1025" s="7" t="s">
        <v>12</v>
      </c>
      <c r="C1025" s="6">
        <v>2024</v>
      </c>
      <c r="D1025" s="8">
        <v>12</v>
      </c>
      <c r="E1025" s="8">
        <f ca="1">IFERROR(__xludf.DUMMYFUNCTION("""COMPUTED_VALUE"""),34272)</f>
        <v>34272</v>
      </c>
    </row>
    <row r="1026" spans="1:5" ht="15.75" customHeight="1" x14ac:dyDescent="0.25">
      <c r="A1026" s="7" t="s">
        <v>33</v>
      </c>
      <c r="B1026" s="7" t="s">
        <v>13</v>
      </c>
      <c r="C1026" s="6">
        <v>2024</v>
      </c>
      <c r="D1026" s="8">
        <v>12</v>
      </c>
      <c r="E1026" s="8">
        <f ca="1">IFERROR(__xludf.DUMMYFUNCTION("""COMPUTED_VALUE"""),2206.15384615384)</f>
        <v>2206.1538461538398</v>
      </c>
    </row>
    <row r="1027" spans="1:5" ht="15.75" customHeight="1" x14ac:dyDescent="0.25">
      <c r="A1027" s="7" t="s">
        <v>33</v>
      </c>
      <c r="B1027" s="7" t="s">
        <v>4</v>
      </c>
      <c r="C1027" s="6">
        <v>2024</v>
      </c>
      <c r="D1027" s="8">
        <v>12</v>
      </c>
      <c r="E1027" s="8">
        <f ca="1">IFERROR(__xludf.DUMMYFUNCTION("""COMPUTED_VALUE"""),14645.9307432432)</f>
        <v>14645.9307432432</v>
      </c>
    </row>
    <row r="1028" spans="1:5" ht="15.75" customHeight="1" x14ac:dyDescent="0.25">
      <c r="A1028" s="7" t="s">
        <v>33</v>
      </c>
      <c r="B1028" s="7" t="s">
        <v>1</v>
      </c>
      <c r="C1028" s="6">
        <v>2024</v>
      </c>
      <c r="D1028" s="8">
        <v>12</v>
      </c>
      <c r="E1028" s="8">
        <f ca="1">IFERROR(__xludf.DUMMYFUNCTION("""COMPUTED_VALUE"""),6470.47877145438)</f>
        <v>6470.47877145438</v>
      </c>
    </row>
    <row r="1029" spans="1:5" ht="15.75" customHeight="1" x14ac:dyDescent="0.25">
      <c r="A1029" s="7" t="s">
        <v>33</v>
      </c>
      <c r="B1029" s="7" t="s">
        <v>14</v>
      </c>
      <c r="C1029" s="6">
        <v>2024</v>
      </c>
      <c r="D1029" s="8">
        <v>12</v>
      </c>
      <c r="E1029" s="8">
        <f ca="1">IFERROR(__xludf.DUMMYFUNCTION("""COMPUTED_VALUE"""),0)</f>
        <v>0</v>
      </c>
    </row>
    <row r="1030" spans="1:5" ht="15.75" customHeight="1" x14ac:dyDescent="0.25">
      <c r="A1030" s="7" t="s">
        <v>33</v>
      </c>
      <c r="B1030" s="7" t="s">
        <v>15</v>
      </c>
      <c r="C1030" s="6">
        <v>2024</v>
      </c>
      <c r="D1030" s="8">
        <v>12</v>
      </c>
      <c r="E1030" s="8">
        <f ca="1">IFERROR(__xludf.DUMMYFUNCTION("""COMPUTED_VALUE"""),1272)</f>
        <v>1272</v>
      </c>
    </row>
    <row r="1031" spans="1:5" ht="15.75" customHeight="1" x14ac:dyDescent="0.25">
      <c r="A1031" s="7" t="s">
        <v>33</v>
      </c>
      <c r="B1031" s="7" t="s">
        <v>2</v>
      </c>
      <c r="C1031" s="6">
        <v>2024</v>
      </c>
      <c r="D1031" s="8">
        <v>12</v>
      </c>
      <c r="E1031" s="8">
        <f ca="1">IFERROR(__xludf.DUMMYFUNCTION("""COMPUTED_VALUE"""),1610.35714285714)</f>
        <v>1610.3571428571399</v>
      </c>
    </row>
    <row r="1032" spans="1:5" ht="15.75" customHeight="1" x14ac:dyDescent="0.25">
      <c r="A1032" s="7" t="s">
        <v>33</v>
      </c>
      <c r="B1032" s="7" t="s">
        <v>16</v>
      </c>
      <c r="C1032" s="6">
        <v>2024</v>
      </c>
      <c r="D1032" s="8">
        <v>12</v>
      </c>
      <c r="E1032" s="8">
        <f ca="1">IFERROR(__xludf.DUMMYFUNCTION("""COMPUTED_VALUE"""),72000)</f>
        <v>72000</v>
      </c>
    </row>
    <row r="1033" spans="1:5" ht="15.75" customHeight="1" x14ac:dyDescent="0.25">
      <c r="A1033" s="7" t="s">
        <v>33</v>
      </c>
      <c r="B1033" s="7" t="s">
        <v>17</v>
      </c>
      <c r="C1033" s="6">
        <v>2024</v>
      </c>
      <c r="D1033" s="8">
        <v>12</v>
      </c>
      <c r="E1033" s="8">
        <f ca="1">IFERROR(__xludf.DUMMYFUNCTION("""COMPUTED_VALUE"""),37305.1428571428)</f>
        <v>37305.142857142797</v>
      </c>
    </row>
    <row r="1034" spans="1:5" ht="15.75" customHeight="1" x14ac:dyDescent="0.25">
      <c r="A1034" s="7" t="s">
        <v>34</v>
      </c>
      <c r="B1034" s="9" t="s">
        <v>5</v>
      </c>
      <c r="C1034" s="6">
        <v>2024</v>
      </c>
      <c r="D1034" s="8">
        <v>12</v>
      </c>
      <c r="E1034" s="8">
        <f ca="1">IFERROR(__xludf.DUMMYFUNCTION("TRANSPOSE(IMPORTRANGE(""https://docs.google.com/spreadsheets/d/1kLe3nWHd3by4MLnEx5u1gOw0zTx4XY5f-DO5W5CXE3k/edit?usp=sharing"",""Perhitungan Stok!$J$46:$J$57""))"),189767.711474369)</f>
        <v>189767.71147436899</v>
      </c>
    </row>
    <row r="1035" spans="1:5" ht="15.75" customHeight="1" x14ac:dyDescent="0.25">
      <c r="A1035" s="7" t="s">
        <v>34</v>
      </c>
      <c r="B1035" s="7" t="s">
        <v>3</v>
      </c>
      <c r="C1035" s="6">
        <v>2024</v>
      </c>
      <c r="D1035" s="8">
        <v>12</v>
      </c>
      <c r="E1035" s="8">
        <f ca="1">IFERROR(__xludf.DUMMYFUNCTION("""COMPUTED_VALUE"""),566.495148485739)</f>
        <v>566.49514848573904</v>
      </c>
    </row>
    <row r="1036" spans="1:5" ht="15.75" customHeight="1" x14ac:dyDescent="0.25">
      <c r="A1036" s="7" t="s">
        <v>34</v>
      </c>
      <c r="B1036" s="7" t="s">
        <v>11</v>
      </c>
      <c r="C1036" s="6">
        <v>2024</v>
      </c>
      <c r="D1036" s="8">
        <v>12</v>
      </c>
      <c r="E1036" s="8">
        <f ca="1">IFERROR(__xludf.DUMMYFUNCTION("""COMPUTED_VALUE"""),29531.6391565047)</f>
        <v>29531.639156504702</v>
      </c>
    </row>
    <row r="1037" spans="1:5" ht="15.75" customHeight="1" x14ac:dyDescent="0.25">
      <c r="A1037" s="7" t="s">
        <v>34</v>
      </c>
      <c r="B1037" s="7" t="s">
        <v>12</v>
      </c>
      <c r="C1037" s="6">
        <v>2024</v>
      </c>
      <c r="D1037" s="8">
        <v>12</v>
      </c>
      <c r="E1037" s="8">
        <f ca="1">IFERROR(__xludf.DUMMYFUNCTION("""COMPUTED_VALUE"""),38780.0149420993)</f>
        <v>38780.014942099297</v>
      </c>
    </row>
    <row r="1038" spans="1:5" ht="15.75" customHeight="1" x14ac:dyDescent="0.25">
      <c r="A1038" s="7" t="s">
        <v>34</v>
      </c>
      <c r="B1038" s="7" t="s">
        <v>13</v>
      </c>
      <c r="C1038" s="6">
        <v>2024</v>
      </c>
      <c r="D1038" s="8">
        <v>12</v>
      </c>
      <c r="E1038" s="8">
        <f ca="1">IFERROR(__xludf.DUMMYFUNCTION("""COMPUTED_VALUE"""),29099.608372093)</f>
        <v>29099.608372093</v>
      </c>
    </row>
    <row r="1039" spans="1:5" ht="15.75" customHeight="1" x14ac:dyDescent="0.25">
      <c r="A1039" s="7" t="s">
        <v>34</v>
      </c>
      <c r="B1039" s="7" t="s">
        <v>4</v>
      </c>
      <c r="C1039" s="6">
        <v>2024</v>
      </c>
      <c r="D1039" s="8">
        <v>12</v>
      </c>
      <c r="E1039" s="8">
        <f ca="1">IFERROR(__xludf.DUMMYFUNCTION("""COMPUTED_VALUE"""),430651.470881863)</f>
        <v>430651.47088186297</v>
      </c>
    </row>
    <row r="1040" spans="1:5" ht="15.75" customHeight="1" x14ac:dyDescent="0.25">
      <c r="A1040" s="7" t="s">
        <v>34</v>
      </c>
      <c r="B1040" s="7" t="s">
        <v>1</v>
      </c>
      <c r="C1040" s="6">
        <v>2024</v>
      </c>
      <c r="D1040" s="8">
        <v>12</v>
      </c>
      <c r="E1040" s="8">
        <f ca="1">IFERROR(__xludf.DUMMYFUNCTION("""COMPUTED_VALUE"""),59877.5733333333)</f>
        <v>59877.573333333297</v>
      </c>
    </row>
    <row r="1041" spans="1:5" ht="15.75" customHeight="1" x14ac:dyDescent="0.25">
      <c r="A1041" s="7" t="s">
        <v>34</v>
      </c>
      <c r="B1041" s="7" t="s">
        <v>14</v>
      </c>
      <c r="C1041" s="6">
        <v>2024</v>
      </c>
      <c r="D1041" s="8">
        <v>12</v>
      </c>
      <c r="E1041" s="8">
        <f ca="1">IFERROR(__xludf.DUMMYFUNCTION("""COMPUTED_VALUE"""),43973.4375)</f>
        <v>43973.4375</v>
      </c>
    </row>
    <row r="1042" spans="1:5" ht="15.75" customHeight="1" x14ac:dyDescent="0.25">
      <c r="A1042" s="7" t="s">
        <v>34</v>
      </c>
      <c r="B1042" s="7" t="s">
        <v>15</v>
      </c>
      <c r="C1042" s="6">
        <v>2024</v>
      </c>
      <c r="D1042" s="8">
        <v>12</v>
      </c>
      <c r="E1042" s="8">
        <f ca="1">IFERROR(__xludf.DUMMYFUNCTION("""COMPUTED_VALUE"""),708.75)</f>
        <v>708.75</v>
      </c>
    </row>
    <row r="1043" spans="1:5" ht="15.75" customHeight="1" x14ac:dyDescent="0.25">
      <c r="A1043" s="7" t="s">
        <v>34</v>
      </c>
      <c r="B1043" s="7" t="s">
        <v>2</v>
      </c>
      <c r="C1043" s="6">
        <v>2024</v>
      </c>
      <c r="D1043" s="8">
        <v>12</v>
      </c>
      <c r="E1043" s="8">
        <f ca="1">IFERROR(__xludf.DUMMYFUNCTION("""COMPUTED_VALUE"""),13703.5913978494)</f>
        <v>13703.591397849401</v>
      </c>
    </row>
    <row r="1044" spans="1:5" ht="15.75" customHeight="1" x14ac:dyDescent="0.25">
      <c r="A1044" s="7" t="s">
        <v>34</v>
      </c>
      <c r="B1044" s="7" t="s">
        <v>16</v>
      </c>
      <c r="C1044" s="6">
        <v>2024</v>
      </c>
      <c r="D1044" s="8">
        <v>12</v>
      </c>
      <c r="E1044" s="8">
        <f ca="1">IFERROR(__xludf.DUMMYFUNCTION("""COMPUTED_VALUE"""),818.577008702691)</f>
        <v>818.57700870269105</v>
      </c>
    </row>
    <row r="1045" spans="1:5" ht="15.75" customHeight="1" x14ac:dyDescent="0.25">
      <c r="A1045" s="7" t="s">
        <v>34</v>
      </c>
      <c r="B1045" s="7" t="s">
        <v>17</v>
      </c>
      <c r="C1045" s="6">
        <v>2024</v>
      </c>
      <c r="D1045" s="8">
        <v>12</v>
      </c>
      <c r="E1045" s="8">
        <f ca="1">IFERROR(__xludf.DUMMYFUNCTION("""COMPUTED_VALUE"""),125270.334447781)</f>
        <v>125270.334447781</v>
      </c>
    </row>
    <row r="1046" spans="1:5" ht="15.75" customHeight="1" x14ac:dyDescent="0.25">
      <c r="A1046" s="7" t="s">
        <v>35</v>
      </c>
      <c r="B1046" s="9" t="s">
        <v>5</v>
      </c>
      <c r="C1046" s="6">
        <v>2024</v>
      </c>
      <c r="D1046" s="8">
        <v>12</v>
      </c>
      <c r="E1046" s="8">
        <f ca="1">IFERROR(__xludf.DUMMYFUNCTION("TRANSPOSE(IMPORTRANGE(""https://docs.google.com/spreadsheets/d/1gJzSp5cbYFocOtgYIyG1Wg-CFWI1-6TNNGjKqY22Ue0/edit?usp=sharing"",""Perhitungan Stok!$J$46:$J$57""))"),103642.82674772)</f>
        <v>103642.82674772</v>
      </c>
    </row>
    <row r="1047" spans="1:5" ht="15.75" customHeight="1" x14ac:dyDescent="0.25">
      <c r="A1047" s="7" t="s">
        <v>35</v>
      </c>
      <c r="B1047" s="7" t="s">
        <v>3</v>
      </c>
      <c r="C1047" s="6">
        <v>2024</v>
      </c>
      <c r="D1047" s="8">
        <v>12</v>
      </c>
      <c r="E1047" s="8">
        <f ca="1">IFERROR(__xludf.DUMMYFUNCTION("""COMPUTED_VALUE"""),935)</f>
        <v>935</v>
      </c>
    </row>
    <row r="1048" spans="1:5" ht="15.75" customHeight="1" x14ac:dyDescent="0.25">
      <c r="A1048" s="7" t="s">
        <v>35</v>
      </c>
      <c r="B1048" s="7" t="s">
        <v>11</v>
      </c>
      <c r="C1048" s="6">
        <v>2024</v>
      </c>
      <c r="D1048" s="8">
        <v>12</v>
      </c>
      <c r="E1048" s="8">
        <f ca="1">IFERROR(__xludf.DUMMYFUNCTION("""COMPUTED_VALUE"""),89265.7142857142)</f>
        <v>89265.714285714203</v>
      </c>
    </row>
    <row r="1049" spans="1:5" ht="15.75" customHeight="1" x14ac:dyDescent="0.25">
      <c r="A1049" s="7" t="s">
        <v>35</v>
      </c>
      <c r="B1049" s="7" t="s">
        <v>12</v>
      </c>
      <c r="C1049" s="6">
        <v>2024</v>
      </c>
      <c r="D1049" s="8">
        <v>12</v>
      </c>
      <c r="E1049" s="8">
        <f ca="1">IFERROR(__xludf.DUMMYFUNCTION("""COMPUTED_VALUE"""),2840.01987577639)</f>
        <v>2840.0198757763901</v>
      </c>
    </row>
    <row r="1050" spans="1:5" ht="15.75" customHeight="1" x14ac:dyDescent="0.25">
      <c r="A1050" s="7" t="s">
        <v>35</v>
      </c>
      <c r="B1050" s="7" t="s">
        <v>13</v>
      </c>
      <c r="C1050" s="6">
        <v>2024</v>
      </c>
      <c r="D1050" s="8">
        <v>12</v>
      </c>
      <c r="E1050" s="8">
        <f ca="1">IFERROR(__xludf.DUMMYFUNCTION("""COMPUTED_VALUE"""),27502.604)</f>
        <v>27502.603999999999</v>
      </c>
    </row>
    <row r="1051" spans="1:5" ht="15.75" customHeight="1" x14ac:dyDescent="0.25">
      <c r="A1051" s="7" t="s">
        <v>35</v>
      </c>
      <c r="B1051" s="7" t="s">
        <v>4</v>
      </c>
      <c r="C1051" s="6">
        <v>2024</v>
      </c>
      <c r="D1051" s="8">
        <v>12</v>
      </c>
      <c r="E1051" s="8">
        <f ca="1">IFERROR(__xludf.DUMMYFUNCTION("""COMPUTED_VALUE"""),109.0375)</f>
        <v>109.03749999999999</v>
      </c>
    </row>
    <row r="1052" spans="1:5" ht="15.75" customHeight="1" x14ac:dyDescent="0.25">
      <c r="A1052" s="7" t="s">
        <v>35</v>
      </c>
      <c r="B1052" s="7" t="s">
        <v>1</v>
      </c>
      <c r="C1052" s="6">
        <v>2024</v>
      </c>
      <c r="D1052" s="8">
        <v>12</v>
      </c>
      <c r="E1052" s="8">
        <f ca="1">IFERROR(__xludf.DUMMYFUNCTION("""COMPUTED_VALUE"""),224.325)</f>
        <v>224.32499999999999</v>
      </c>
    </row>
    <row r="1053" spans="1:5" ht="15.75" customHeight="1" x14ac:dyDescent="0.25">
      <c r="A1053" s="7" t="s">
        <v>35</v>
      </c>
      <c r="B1053" s="7" t="s">
        <v>14</v>
      </c>
      <c r="C1053" s="6">
        <v>2024</v>
      </c>
      <c r="D1053" s="8">
        <v>12</v>
      </c>
      <c r="E1053" s="8">
        <f ca="1">IFERROR(__xludf.DUMMYFUNCTION("""COMPUTED_VALUE"""),3355.15384615384)</f>
        <v>3355.1538461538398</v>
      </c>
    </row>
    <row r="1054" spans="1:5" ht="15.75" customHeight="1" x14ac:dyDescent="0.25">
      <c r="A1054" s="7" t="s">
        <v>35</v>
      </c>
      <c r="B1054" s="7" t="s">
        <v>15</v>
      </c>
      <c r="C1054" s="6">
        <v>2024</v>
      </c>
      <c r="D1054" s="8">
        <v>12</v>
      </c>
      <c r="E1054" s="8">
        <f ca="1">IFERROR(__xludf.DUMMYFUNCTION("""COMPUTED_VALUE"""),2991.07659574468)</f>
        <v>2991.0765957446802</v>
      </c>
    </row>
    <row r="1055" spans="1:5" ht="15.75" customHeight="1" x14ac:dyDescent="0.25">
      <c r="A1055" s="7" t="s">
        <v>35</v>
      </c>
      <c r="B1055" s="7" t="s">
        <v>2</v>
      </c>
      <c r="C1055" s="6">
        <v>2024</v>
      </c>
      <c r="D1055" s="8">
        <v>12</v>
      </c>
      <c r="E1055" s="8">
        <f ca="1">IFERROR(__xludf.DUMMYFUNCTION("""COMPUTED_VALUE"""),3530.87824351297)</f>
        <v>3530.8782435129701</v>
      </c>
    </row>
    <row r="1056" spans="1:5" ht="15.75" customHeight="1" x14ac:dyDescent="0.25">
      <c r="A1056" s="7" t="s">
        <v>35</v>
      </c>
      <c r="B1056" s="7" t="s">
        <v>16</v>
      </c>
      <c r="C1056" s="6">
        <v>2024</v>
      </c>
      <c r="D1056" s="8">
        <v>12</v>
      </c>
      <c r="E1056" s="8">
        <f ca="1">IFERROR(__xludf.DUMMYFUNCTION("""COMPUTED_VALUE"""),60625.1497005988)</f>
        <v>60625.149700598799</v>
      </c>
    </row>
    <row r="1057" spans="1:5" ht="15.75" customHeight="1" x14ac:dyDescent="0.25">
      <c r="A1057" s="7" t="s">
        <v>35</v>
      </c>
      <c r="B1057" s="7" t="s">
        <v>17</v>
      </c>
      <c r="C1057" s="6">
        <v>2024</v>
      </c>
      <c r="D1057" s="8">
        <v>12</v>
      </c>
      <c r="E1057" s="8">
        <f ca="1">IFERROR(__xludf.DUMMYFUNCTION("""COMPUTED_VALUE"""),235898.722550681)</f>
        <v>235898.72255068101</v>
      </c>
    </row>
    <row r="1058" spans="1:5" ht="15.75" customHeight="1" x14ac:dyDescent="0.25">
      <c r="A1058" s="7" t="s">
        <v>36</v>
      </c>
      <c r="B1058" s="9" t="s">
        <v>5</v>
      </c>
      <c r="C1058" s="6">
        <v>2024</v>
      </c>
      <c r="D1058" s="8">
        <v>12</v>
      </c>
      <c r="E1058" s="8">
        <f ca="1">IFERROR(__xludf.DUMMYFUNCTION("TRANSPOSE(IMPORTRANGE(""https://docs.google.com/spreadsheets/d/1hoq_4P55Wq7WfLD0YKYtZM8RJ1skpb6QSlP5ingN8H4/edit?usp=sharing"",""Perhitungan Stok!$J$46:$J$57""))"),27275)</f>
        <v>27275</v>
      </c>
    </row>
    <row r="1059" spans="1:5" ht="15.75" customHeight="1" x14ac:dyDescent="0.25">
      <c r="A1059" s="7" t="s">
        <v>36</v>
      </c>
      <c r="B1059" s="7" t="s">
        <v>3</v>
      </c>
      <c r="C1059" s="6">
        <v>2024</v>
      </c>
      <c r="D1059" s="8">
        <v>12</v>
      </c>
      <c r="E1059" s="8">
        <f ca="1">IFERROR(__xludf.DUMMYFUNCTION("""COMPUTED_VALUE"""),146722.199999999)</f>
        <v>146722.19999999899</v>
      </c>
    </row>
    <row r="1060" spans="1:5" ht="15.75" customHeight="1" x14ac:dyDescent="0.25">
      <c r="A1060" s="7" t="s">
        <v>36</v>
      </c>
      <c r="B1060" s="7" t="s">
        <v>11</v>
      </c>
      <c r="C1060" s="6">
        <v>2024</v>
      </c>
      <c r="D1060" s="8">
        <v>12</v>
      </c>
      <c r="E1060" s="8">
        <f ca="1">IFERROR(__xludf.DUMMYFUNCTION("""COMPUTED_VALUE"""),9433.17647058823)</f>
        <v>9433.1764705882306</v>
      </c>
    </row>
    <row r="1061" spans="1:5" ht="15.75" customHeight="1" x14ac:dyDescent="0.25">
      <c r="A1061" s="7" t="s">
        <v>36</v>
      </c>
      <c r="B1061" s="7" t="s">
        <v>12</v>
      </c>
      <c r="C1061" s="6">
        <v>2024</v>
      </c>
      <c r="D1061" s="8">
        <v>12</v>
      </c>
      <c r="E1061" s="8">
        <f ca="1">IFERROR(__xludf.DUMMYFUNCTION("""COMPUTED_VALUE"""),130.799999999999)</f>
        <v>130.79999999999899</v>
      </c>
    </row>
    <row r="1062" spans="1:5" ht="15.75" customHeight="1" x14ac:dyDescent="0.25">
      <c r="A1062" s="7" t="s">
        <v>36</v>
      </c>
      <c r="B1062" s="7" t="s">
        <v>13</v>
      </c>
      <c r="C1062" s="6">
        <v>2024</v>
      </c>
      <c r="D1062" s="8">
        <v>12</v>
      </c>
      <c r="E1062" s="8">
        <f ca="1">IFERROR(__xludf.DUMMYFUNCTION("""COMPUTED_VALUE"""),1573.30179282868)</f>
        <v>1573.3017928286799</v>
      </c>
    </row>
    <row r="1063" spans="1:5" ht="15.75" customHeight="1" x14ac:dyDescent="0.25">
      <c r="A1063" s="7" t="s">
        <v>36</v>
      </c>
      <c r="B1063" s="7" t="s">
        <v>4</v>
      </c>
      <c r="C1063" s="6">
        <v>2024</v>
      </c>
      <c r="D1063" s="8">
        <v>12</v>
      </c>
      <c r="E1063" s="8">
        <f ca="1">IFERROR(__xludf.DUMMYFUNCTION("""COMPUTED_VALUE"""),21254.1428571428)</f>
        <v>21254.1428571428</v>
      </c>
    </row>
    <row r="1064" spans="1:5" ht="15.75" customHeight="1" x14ac:dyDescent="0.25">
      <c r="A1064" s="7" t="s">
        <v>36</v>
      </c>
      <c r="B1064" s="7" t="s">
        <v>1</v>
      </c>
      <c r="C1064" s="6">
        <v>2024</v>
      </c>
      <c r="D1064" s="8">
        <v>12</v>
      </c>
      <c r="E1064" s="8">
        <f ca="1">IFERROR(__xludf.DUMMYFUNCTION("""COMPUTED_VALUE"""),300)</f>
        <v>300</v>
      </c>
    </row>
    <row r="1065" spans="1:5" ht="15.75" customHeight="1" x14ac:dyDescent="0.25">
      <c r="A1065" s="7" t="s">
        <v>36</v>
      </c>
      <c r="B1065" s="7" t="s">
        <v>14</v>
      </c>
      <c r="C1065" s="6">
        <v>2024</v>
      </c>
      <c r="D1065" s="8">
        <v>12</v>
      </c>
      <c r="E1065" s="8" t="str">
        <f ca="1">IFERROR(__xludf.DUMMYFUNCTION("""COMPUTED_VALUE"""),"NULL")</f>
        <v>NULL</v>
      </c>
    </row>
    <row r="1066" spans="1:5" ht="15.75" customHeight="1" x14ac:dyDescent="0.25">
      <c r="A1066" s="7" t="s">
        <v>36</v>
      </c>
      <c r="B1066" s="7" t="s">
        <v>15</v>
      </c>
      <c r="C1066" s="6">
        <v>2024</v>
      </c>
      <c r="D1066" s="8">
        <v>12</v>
      </c>
      <c r="E1066" s="8" t="str">
        <f ca="1">IFERROR(__xludf.DUMMYFUNCTION("""COMPUTED_VALUE"""),"NULL")</f>
        <v>NULL</v>
      </c>
    </row>
    <row r="1067" spans="1:5" ht="15.75" customHeight="1" x14ac:dyDescent="0.25">
      <c r="A1067" s="7" t="s">
        <v>36</v>
      </c>
      <c r="B1067" s="7" t="s">
        <v>2</v>
      </c>
      <c r="C1067" s="6">
        <v>2024</v>
      </c>
      <c r="D1067" s="8">
        <v>12</v>
      </c>
      <c r="E1067" s="8">
        <f ca="1">IFERROR(__xludf.DUMMYFUNCTION("""COMPUTED_VALUE"""),5947.16814650388)</f>
        <v>5947.1681465038801</v>
      </c>
    </row>
    <row r="1068" spans="1:5" ht="15.75" customHeight="1" x14ac:dyDescent="0.25">
      <c r="A1068" s="7" t="s">
        <v>36</v>
      </c>
      <c r="B1068" s="7" t="s">
        <v>16</v>
      </c>
      <c r="C1068" s="6">
        <v>2024</v>
      </c>
      <c r="D1068" s="8">
        <v>12</v>
      </c>
      <c r="E1068" s="8">
        <f ca="1">IFERROR(__xludf.DUMMYFUNCTION("""COMPUTED_VALUE"""),73.4999999999999)</f>
        <v>73.499999999999901</v>
      </c>
    </row>
    <row r="1069" spans="1:5" ht="15.75" customHeight="1" x14ac:dyDescent="0.25">
      <c r="A1069" s="7" t="s">
        <v>36</v>
      </c>
      <c r="B1069" s="7" t="s">
        <v>17</v>
      </c>
      <c r="C1069" s="6">
        <v>2024</v>
      </c>
      <c r="D1069" s="8">
        <v>12</v>
      </c>
      <c r="E1069" s="8">
        <f ca="1">IFERROR(__xludf.DUMMYFUNCTION("""COMPUTED_VALUE"""),370)</f>
        <v>370</v>
      </c>
    </row>
    <row r="1070" spans="1:5" ht="15.75" customHeight="1" x14ac:dyDescent="0.25">
      <c r="A1070" s="7" t="s">
        <v>37</v>
      </c>
      <c r="B1070" s="9" t="s">
        <v>5</v>
      </c>
      <c r="C1070" s="6">
        <v>2024</v>
      </c>
      <c r="D1070" s="8">
        <v>12</v>
      </c>
      <c r="E1070" s="8">
        <f ca="1">IFERROR(__xludf.DUMMYFUNCTION("TRANSPOSE(IMPORTRANGE(""https://docs.google.com/spreadsheets/d/1nhrG8aUhwlu8h9RD8LxjTGiz9Y-B18aQAaUEaBSJOCg/edit?usp=sharing"",""Perhitungan Stok!$J$46:$J$57""))"),16811.2739010989)</f>
        <v>16811.273901098899</v>
      </c>
    </row>
    <row r="1071" spans="1:5" ht="15.75" customHeight="1" x14ac:dyDescent="0.25">
      <c r="A1071" s="7" t="s">
        <v>37</v>
      </c>
      <c r="B1071" s="7" t="s">
        <v>3</v>
      </c>
      <c r="C1071" s="6">
        <v>2024</v>
      </c>
      <c r="D1071" s="8">
        <v>12</v>
      </c>
      <c r="E1071" s="8">
        <f ca="1">IFERROR(__xludf.DUMMYFUNCTION("""COMPUTED_VALUE"""),10952.5974025974)</f>
        <v>10952.597402597399</v>
      </c>
    </row>
    <row r="1072" spans="1:5" ht="15.75" customHeight="1" x14ac:dyDescent="0.25">
      <c r="A1072" s="7" t="s">
        <v>37</v>
      </c>
      <c r="B1072" s="7" t="s">
        <v>11</v>
      </c>
      <c r="C1072" s="6">
        <v>2024</v>
      </c>
      <c r="D1072" s="8">
        <v>12</v>
      </c>
      <c r="E1072" s="8">
        <f ca="1">IFERROR(__xludf.DUMMYFUNCTION("""COMPUTED_VALUE"""),911.026103151862)</f>
        <v>911.026103151862</v>
      </c>
    </row>
    <row r="1073" spans="1:5" ht="15.75" customHeight="1" x14ac:dyDescent="0.25">
      <c r="A1073" s="7" t="s">
        <v>37</v>
      </c>
      <c r="B1073" s="7" t="s">
        <v>12</v>
      </c>
      <c r="C1073" s="6">
        <v>2024</v>
      </c>
      <c r="D1073" s="8">
        <v>12</v>
      </c>
      <c r="E1073" s="8">
        <f ca="1">IFERROR(__xludf.DUMMYFUNCTION("""COMPUTED_VALUE"""),566)</f>
        <v>566</v>
      </c>
    </row>
    <row r="1074" spans="1:5" ht="15.75" customHeight="1" x14ac:dyDescent="0.25">
      <c r="A1074" s="7" t="s">
        <v>37</v>
      </c>
      <c r="B1074" s="7" t="s">
        <v>13</v>
      </c>
      <c r="C1074" s="6">
        <v>2024</v>
      </c>
      <c r="D1074" s="8">
        <v>12</v>
      </c>
      <c r="E1074" s="8">
        <f ca="1">IFERROR(__xludf.DUMMYFUNCTION("""COMPUTED_VALUE"""),897.6)</f>
        <v>897.6</v>
      </c>
    </row>
    <row r="1075" spans="1:5" ht="15.75" customHeight="1" x14ac:dyDescent="0.25">
      <c r="A1075" s="7" t="s">
        <v>37</v>
      </c>
      <c r="B1075" s="7" t="s">
        <v>4</v>
      </c>
      <c r="C1075" s="6">
        <v>2024</v>
      </c>
      <c r="D1075" s="8">
        <v>12</v>
      </c>
      <c r="E1075" s="8">
        <f ca="1">IFERROR(__xludf.DUMMYFUNCTION("""COMPUTED_VALUE"""),4452.10714285714)</f>
        <v>4452.1071428571404</v>
      </c>
    </row>
    <row r="1076" spans="1:5" ht="15.75" customHeight="1" x14ac:dyDescent="0.25">
      <c r="A1076" s="7" t="s">
        <v>37</v>
      </c>
      <c r="B1076" s="7" t="s">
        <v>1</v>
      </c>
      <c r="C1076" s="6">
        <v>2024</v>
      </c>
      <c r="D1076" s="8">
        <v>12</v>
      </c>
      <c r="E1076" s="8">
        <f ca="1">IFERROR(__xludf.DUMMYFUNCTION("""COMPUTED_VALUE"""),1867.17307692307)</f>
        <v>1867.1730769230701</v>
      </c>
    </row>
    <row r="1077" spans="1:5" ht="15.75" customHeight="1" x14ac:dyDescent="0.25">
      <c r="A1077" s="7" t="s">
        <v>37</v>
      </c>
      <c r="B1077" s="7" t="s">
        <v>14</v>
      </c>
      <c r="C1077" s="6">
        <v>2024</v>
      </c>
      <c r="D1077" s="8">
        <v>12</v>
      </c>
      <c r="E1077" s="8">
        <f ca="1">IFERROR(__xludf.DUMMYFUNCTION("""COMPUTED_VALUE"""),2584)</f>
        <v>2584</v>
      </c>
    </row>
    <row r="1078" spans="1:5" ht="15.75" customHeight="1" x14ac:dyDescent="0.25">
      <c r="A1078" s="7" t="s">
        <v>37</v>
      </c>
      <c r="B1078" s="7" t="s">
        <v>15</v>
      </c>
      <c r="C1078" s="6">
        <v>2024</v>
      </c>
      <c r="D1078" s="8">
        <v>12</v>
      </c>
      <c r="E1078" s="8">
        <f ca="1">IFERROR(__xludf.DUMMYFUNCTION("""COMPUTED_VALUE"""),3623.5294117647)</f>
        <v>3623.5294117646999</v>
      </c>
    </row>
    <row r="1079" spans="1:5" ht="15.75" customHeight="1" x14ac:dyDescent="0.25">
      <c r="A1079" s="7" t="s">
        <v>37</v>
      </c>
      <c r="B1079" s="7" t="s">
        <v>2</v>
      </c>
      <c r="C1079" s="6">
        <v>2024</v>
      </c>
      <c r="D1079" s="8">
        <v>12</v>
      </c>
      <c r="E1079" s="8">
        <f ca="1">IFERROR(__xludf.DUMMYFUNCTION("""COMPUTED_VALUE"""),12415.5949367088)</f>
        <v>12415.5949367088</v>
      </c>
    </row>
    <row r="1080" spans="1:5" ht="15.75" customHeight="1" x14ac:dyDescent="0.25">
      <c r="A1080" s="7" t="s">
        <v>37</v>
      </c>
      <c r="B1080" s="7" t="s">
        <v>16</v>
      </c>
      <c r="C1080" s="6">
        <v>2024</v>
      </c>
      <c r="D1080" s="8">
        <v>12</v>
      </c>
      <c r="E1080" s="8">
        <f ca="1">IFERROR(__xludf.DUMMYFUNCTION("""COMPUTED_VALUE"""),1013.28740697439)</f>
        <v>1013.28740697439</v>
      </c>
    </row>
    <row r="1081" spans="1:5" ht="15.75" customHeight="1" x14ac:dyDescent="0.25">
      <c r="A1081" s="7" t="s">
        <v>37</v>
      </c>
      <c r="B1081" s="7" t="s">
        <v>17</v>
      </c>
      <c r="C1081" s="6">
        <v>2024</v>
      </c>
      <c r="D1081" s="8">
        <v>12</v>
      </c>
      <c r="E1081" s="8">
        <f ca="1">IFERROR(__xludf.DUMMYFUNCTION("""COMPUTED_VALUE"""),497122.405400248)</f>
        <v>497122.40540024801</v>
      </c>
    </row>
    <row r="1082" spans="1:5" ht="15.75" customHeight="1" x14ac:dyDescent="0.25">
      <c r="A1082" s="7" t="s">
        <v>38</v>
      </c>
      <c r="B1082" s="9" t="s">
        <v>5</v>
      </c>
      <c r="C1082" s="6">
        <v>2024</v>
      </c>
      <c r="D1082" s="8">
        <v>12</v>
      </c>
      <c r="E1082" s="8">
        <f ca="1">IFERROR(__xludf.DUMMYFUNCTION("TRANSPOSE(IMPORTRANGE(""https://docs.google.com/spreadsheets/d/1cnnoH2DzFv3zqxk0Yl4qfpoTY4Eh1GUn4Dj-GmU6csM/edit?usp=sharing"",""Perhitungan Stok!$J$46:$J$57""))"),391181.494067796)</f>
        <v>391181.49406779598</v>
      </c>
    </row>
    <row r="1083" spans="1:5" ht="15.75" customHeight="1" x14ac:dyDescent="0.25">
      <c r="A1083" s="7" t="s">
        <v>38</v>
      </c>
      <c r="B1083" s="7" t="s">
        <v>3</v>
      </c>
      <c r="C1083" s="6">
        <v>2024</v>
      </c>
      <c r="D1083" s="8">
        <v>12</v>
      </c>
      <c r="E1083" s="8">
        <f ca="1">IFERROR(__xludf.DUMMYFUNCTION("""COMPUTED_VALUE"""),5530.31111111111)</f>
        <v>5530.3111111111102</v>
      </c>
    </row>
    <row r="1084" spans="1:5" ht="15.75" customHeight="1" x14ac:dyDescent="0.25">
      <c r="A1084" s="7" t="s">
        <v>38</v>
      </c>
      <c r="B1084" s="7" t="s">
        <v>11</v>
      </c>
      <c r="C1084" s="6">
        <v>2024</v>
      </c>
      <c r="D1084" s="8">
        <v>12</v>
      </c>
      <c r="E1084" s="8">
        <f ca="1">IFERROR(__xludf.DUMMYFUNCTION("""COMPUTED_VALUE"""),45015)</f>
        <v>45015</v>
      </c>
    </row>
    <row r="1085" spans="1:5" ht="15.75" customHeight="1" x14ac:dyDescent="0.25">
      <c r="A1085" s="7" t="s">
        <v>38</v>
      </c>
      <c r="B1085" s="7" t="s">
        <v>12</v>
      </c>
      <c r="C1085" s="6">
        <v>2024</v>
      </c>
      <c r="D1085" s="8">
        <v>12</v>
      </c>
      <c r="E1085" s="8">
        <f ca="1">IFERROR(__xludf.DUMMYFUNCTION("""COMPUTED_VALUE"""),2344.53519417475)</f>
        <v>2344.5351941747499</v>
      </c>
    </row>
    <row r="1086" spans="1:5" ht="15.75" customHeight="1" x14ac:dyDescent="0.25">
      <c r="A1086" s="7" t="s">
        <v>38</v>
      </c>
      <c r="B1086" s="7" t="s">
        <v>13</v>
      </c>
      <c r="C1086" s="6">
        <v>2024</v>
      </c>
      <c r="D1086" s="8">
        <v>12</v>
      </c>
      <c r="E1086" s="8">
        <f ca="1">IFERROR(__xludf.DUMMYFUNCTION("""COMPUTED_VALUE"""),3756.63888888888)</f>
        <v>3756.63888888888</v>
      </c>
    </row>
    <row r="1087" spans="1:5" ht="15.75" customHeight="1" x14ac:dyDescent="0.25">
      <c r="A1087" s="7" t="s">
        <v>38</v>
      </c>
      <c r="B1087" s="7" t="s">
        <v>4</v>
      </c>
      <c r="C1087" s="6">
        <v>2024</v>
      </c>
      <c r="D1087" s="8">
        <v>12</v>
      </c>
      <c r="E1087" s="8">
        <f ca="1">IFERROR(__xludf.DUMMYFUNCTION("""COMPUTED_VALUE"""),92016)</f>
        <v>92016</v>
      </c>
    </row>
    <row r="1088" spans="1:5" ht="15.75" customHeight="1" x14ac:dyDescent="0.25">
      <c r="A1088" s="7" t="s">
        <v>38</v>
      </c>
      <c r="B1088" s="7" t="s">
        <v>1</v>
      </c>
      <c r="C1088" s="6">
        <v>2024</v>
      </c>
      <c r="D1088" s="8">
        <v>12</v>
      </c>
      <c r="E1088" s="8">
        <f ca="1">IFERROR(__xludf.DUMMYFUNCTION("""COMPUTED_VALUE"""),2195.61904761904)</f>
        <v>2195.61904761904</v>
      </c>
    </row>
    <row r="1089" spans="1:5" ht="15.75" customHeight="1" x14ac:dyDescent="0.25">
      <c r="A1089" s="7" t="s">
        <v>38</v>
      </c>
      <c r="B1089" s="7" t="s">
        <v>14</v>
      </c>
      <c r="C1089" s="6">
        <v>2024</v>
      </c>
      <c r="D1089" s="8">
        <v>12</v>
      </c>
      <c r="E1089" s="8">
        <f ca="1">IFERROR(__xludf.DUMMYFUNCTION("""COMPUTED_VALUE"""),285)</f>
        <v>285</v>
      </c>
    </row>
    <row r="1090" spans="1:5" ht="15.75" customHeight="1" x14ac:dyDescent="0.25">
      <c r="A1090" s="7" t="s">
        <v>38</v>
      </c>
      <c r="B1090" s="7" t="s">
        <v>15</v>
      </c>
      <c r="C1090" s="6">
        <v>2024</v>
      </c>
      <c r="D1090" s="8">
        <v>12</v>
      </c>
      <c r="E1090" s="8">
        <f ca="1">IFERROR(__xludf.DUMMYFUNCTION("""COMPUTED_VALUE"""),3229.99999999999)</f>
        <v>3229.99999999999</v>
      </c>
    </row>
    <row r="1091" spans="1:5" ht="15.75" customHeight="1" x14ac:dyDescent="0.25">
      <c r="A1091" s="7" t="s">
        <v>38</v>
      </c>
      <c r="B1091" s="7" t="s">
        <v>2</v>
      </c>
      <c r="C1091" s="6">
        <v>2024</v>
      </c>
      <c r="D1091" s="8">
        <v>12</v>
      </c>
      <c r="E1091" s="8">
        <f ca="1">IFERROR(__xludf.DUMMYFUNCTION("""COMPUTED_VALUE"""),10425.5384615384)</f>
        <v>10425.538461538399</v>
      </c>
    </row>
    <row r="1092" spans="1:5" ht="15.75" customHeight="1" x14ac:dyDescent="0.25">
      <c r="A1092" s="7" t="s">
        <v>38</v>
      </c>
      <c r="B1092" s="7" t="s">
        <v>16</v>
      </c>
      <c r="C1092" s="6">
        <v>2024</v>
      </c>
      <c r="D1092" s="8">
        <v>12</v>
      </c>
      <c r="E1092" s="8">
        <f ca="1">IFERROR(__xludf.DUMMYFUNCTION("""COMPUTED_VALUE"""),3329.30049751243)</f>
        <v>3329.30049751243</v>
      </c>
    </row>
    <row r="1093" spans="1:5" ht="15.75" customHeight="1" x14ac:dyDescent="0.25">
      <c r="A1093" s="7" t="s">
        <v>38</v>
      </c>
      <c r="B1093" s="7" t="s">
        <v>17</v>
      </c>
      <c r="C1093" s="6">
        <v>2024</v>
      </c>
      <c r="D1093" s="8">
        <v>12</v>
      </c>
      <c r="E1093" s="8">
        <f ca="1">IFERROR(__xludf.DUMMYFUNCTION("""COMPUTED_VALUE"""),51797.5719471091)</f>
        <v>51797.5719471091</v>
      </c>
    </row>
    <row r="1094" spans="1:5" ht="15.75" customHeight="1" x14ac:dyDescent="0.25">
      <c r="A1094" s="7" t="s">
        <v>39</v>
      </c>
      <c r="B1094" s="9" t="s">
        <v>5</v>
      </c>
      <c r="C1094" s="6">
        <v>2024</v>
      </c>
      <c r="D1094" s="8">
        <v>12</v>
      </c>
      <c r="E1094" s="8">
        <f ca="1">IFERROR(__xludf.DUMMYFUNCTION("TRANSPOSE(IMPORTRANGE(""https://docs.google.com/spreadsheets/d/1vjoYpAKwt-1uYvHssYaITGNWtHjFb67ZO2O1EfOX948/edit?usp=sharing"",""Perhitungan Stok!$J$46:$J$57""))"),483254.53474239)</f>
        <v>483254.53474238998</v>
      </c>
    </row>
    <row r="1095" spans="1:5" ht="15.75" customHeight="1" x14ac:dyDescent="0.25">
      <c r="A1095" s="7" t="s">
        <v>39</v>
      </c>
      <c r="B1095" s="7" t="s">
        <v>3</v>
      </c>
      <c r="C1095" s="6">
        <v>2024</v>
      </c>
      <c r="D1095" s="8">
        <v>12</v>
      </c>
      <c r="E1095" s="8">
        <f ca="1">IFERROR(__xludf.DUMMYFUNCTION("""COMPUTED_VALUE"""),42986.0111111111)</f>
        <v>42986.011111111096</v>
      </c>
    </row>
    <row r="1096" spans="1:5" ht="15.75" customHeight="1" x14ac:dyDescent="0.25">
      <c r="A1096" s="7" t="s">
        <v>39</v>
      </c>
      <c r="B1096" s="7" t="s">
        <v>11</v>
      </c>
      <c r="C1096" s="6">
        <v>2024</v>
      </c>
      <c r="D1096" s="8">
        <v>12</v>
      </c>
      <c r="E1096" s="8">
        <f ca="1">IFERROR(__xludf.DUMMYFUNCTION("""COMPUTED_VALUE"""),24234.7371428571)</f>
        <v>24234.737142857099</v>
      </c>
    </row>
    <row r="1097" spans="1:5" ht="15.75" customHeight="1" x14ac:dyDescent="0.25">
      <c r="A1097" s="7" t="s">
        <v>39</v>
      </c>
      <c r="B1097" s="7" t="s">
        <v>12</v>
      </c>
      <c r="C1097" s="6">
        <v>2024</v>
      </c>
      <c r="D1097" s="8">
        <v>12</v>
      </c>
      <c r="E1097" s="8">
        <f ca="1">IFERROR(__xludf.DUMMYFUNCTION("""COMPUTED_VALUE"""),1211.58260869565)</f>
        <v>1211.5826086956499</v>
      </c>
    </row>
    <row r="1098" spans="1:5" ht="15.75" customHeight="1" x14ac:dyDescent="0.25">
      <c r="A1098" s="7" t="s">
        <v>39</v>
      </c>
      <c r="B1098" s="7" t="s">
        <v>13</v>
      </c>
      <c r="C1098" s="6">
        <v>2024</v>
      </c>
      <c r="D1098" s="8">
        <v>12</v>
      </c>
      <c r="E1098" s="8">
        <f ca="1">IFERROR(__xludf.DUMMYFUNCTION("""COMPUTED_VALUE"""),3916.03524229074)</f>
        <v>3916.0352422907399</v>
      </c>
    </row>
    <row r="1099" spans="1:5" ht="15.75" customHeight="1" x14ac:dyDescent="0.25">
      <c r="A1099" s="7" t="s">
        <v>39</v>
      </c>
      <c r="B1099" s="7" t="s">
        <v>4</v>
      </c>
      <c r="C1099" s="6">
        <v>2024</v>
      </c>
      <c r="D1099" s="8">
        <v>12</v>
      </c>
      <c r="E1099" s="8">
        <f ca="1">IFERROR(__xludf.DUMMYFUNCTION("""COMPUTED_VALUE"""),662.313799621928)</f>
        <v>662.31379962192796</v>
      </c>
    </row>
    <row r="1100" spans="1:5" ht="15.75" customHeight="1" x14ac:dyDescent="0.25">
      <c r="A1100" s="7" t="s">
        <v>39</v>
      </c>
      <c r="B1100" s="7" t="s">
        <v>1</v>
      </c>
      <c r="C1100" s="6">
        <v>2024</v>
      </c>
      <c r="D1100" s="8">
        <v>12</v>
      </c>
      <c r="E1100" s="8">
        <f ca="1">IFERROR(__xludf.DUMMYFUNCTION("""COMPUTED_VALUE"""),1265.12432432432)</f>
        <v>1265.12432432432</v>
      </c>
    </row>
    <row r="1101" spans="1:5" ht="15.75" customHeight="1" x14ac:dyDescent="0.25">
      <c r="A1101" s="7" t="s">
        <v>39</v>
      </c>
      <c r="B1101" s="7" t="s">
        <v>14</v>
      </c>
      <c r="C1101" s="6">
        <v>2024</v>
      </c>
      <c r="D1101" s="8">
        <v>12</v>
      </c>
      <c r="E1101" s="8">
        <f ca="1">IFERROR(__xludf.DUMMYFUNCTION("""COMPUTED_VALUE"""),754.449999999999)</f>
        <v>754.44999999999902</v>
      </c>
    </row>
    <row r="1102" spans="1:5" ht="15.75" customHeight="1" x14ac:dyDescent="0.25">
      <c r="A1102" s="7" t="s">
        <v>39</v>
      </c>
      <c r="B1102" s="7" t="s">
        <v>15</v>
      </c>
      <c r="C1102" s="6">
        <v>2024</v>
      </c>
      <c r="D1102" s="8">
        <v>12</v>
      </c>
      <c r="E1102" s="8">
        <f ca="1">IFERROR(__xludf.DUMMYFUNCTION("""COMPUTED_VALUE"""),5847.10857142857)</f>
        <v>5847.10857142857</v>
      </c>
    </row>
    <row r="1103" spans="1:5" ht="15.75" customHeight="1" x14ac:dyDescent="0.25">
      <c r="A1103" s="7" t="s">
        <v>39</v>
      </c>
      <c r="B1103" s="7" t="s">
        <v>2</v>
      </c>
      <c r="C1103" s="6">
        <v>2024</v>
      </c>
      <c r="D1103" s="8">
        <v>12</v>
      </c>
      <c r="E1103" s="8">
        <f ca="1">IFERROR(__xludf.DUMMYFUNCTION("""COMPUTED_VALUE"""),1688.61818181818)</f>
        <v>1688.6181818181799</v>
      </c>
    </row>
    <row r="1104" spans="1:5" ht="15.75" customHeight="1" x14ac:dyDescent="0.25">
      <c r="A1104" s="7" t="s">
        <v>39</v>
      </c>
      <c r="B1104" s="7" t="s">
        <v>16</v>
      </c>
      <c r="C1104" s="6">
        <v>2024</v>
      </c>
      <c r="D1104" s="8">
        <v>12</v>
      </c>
      <c r="E1104" s="8">
        <f ca="1">IFERROR(__xludf.DUMMYFUNCTION("""COMPUTED_VALUE"""),148193.79866047)</f>
        <v>148193.79866047</v>
      </c>
    </row>
    <row r="1105" spans="1:5" ht="15.75" customHeight="1" x14ac:dyDescent="0.25">
      <c r="A1105" s="7" t="s">
        <v>39</v>
      </c>
      <c r="B1105" s="7" t="s">
        <v>17</v>
      </c>
      <c r="C1105" s="6">
        <v>2024</v>
      </c>
      <c r="D1105" s="8">
        <v>12</v>
      </c>
      <c r="E1105" s="8">
        <f ca="1">IFERROR(__xludf.DUMMYFUNCTION("""COMPUTED_VALUE"""),17601.758633643)</f>
        <v>17601.758633642999</v>
      </c>
    </row>
    <row r="1106" spans="1:5" ht="15.75" customHeight="1" x14ac:dyDescent="0.25">
      <c r="A1106" s="7" t="s">
        <v>40</v>
      </c>
      <c r="B1106" s="9" t="s">
        <v>5</v>
      </c>
      <c r="C1106" s="6">
        <v>2024</v>
      </c>
      <c r="D1106" s="8">
        <v>12</v>
      </c>
      <c r="E1106" s="8">
        <f ca="1">IFERROR(__xludf.DUMMYFUNCTION("TRANSPOSE(IMPORTRANGE(""https://docs.google.com/spreadsheets/d/1a-yinyZMPWvIFnuwmKIvmbn9HnV88O1eISRoq9xl3ow/edit?usp=sharing"",""Perhitungan Stok!$J$46:$J$57""))"),2507895.88696344)</f>
        <v>2507895.8869634401</v>
      </c>
    </row>
    <row r="1107" spans="1:5" ht="15.75" customHeight="1" x14ac:dyDescent="0.25">
      <c r="A1107" s="7" t="s">
        <v>40</v>
      </c>
      <c r="B1107" s="7" t="s">
        <v>3</v>
      </c>
      <c r="C1107" s="6">
        <v>2024</v>
      </c>
      <c r="D1107" s="8">
        <v>12</v>
      </c>
      <c r="E1107" s="8" t="str">
        <f ca="1">IFERROR(__xludf.DUMMYFUNCTION("""COMPUTED_VALUE"""),"NULL")</f>
        <v>NULL</v>
      </c>
    </row>
    <row r="1108" spans="1:5" ht="15.75" customHeight="1" x14ac:dyDescent="0.25">
      <c r="A1108" s="7" t="s">
        <v>40</v>
      </c>
      <c r="B1108" s="7" t="s">
        <v>11</v>
      </c>
      <c r="C1108" s="6">
        <v>2024</v>
      </c>
      <c r="D1108" s="8">
        <v>12</v>
      </c>
      <c r="E1108" s="8">
        <f ca="1">IFERROR(__xludf.DUMMYFUNCTION("""COMPUTED_VALUE"""),227375)</f>
        <v>227375</v>
      </c>
    </row>
    <row r="1109" spans="1:5" ht="15.75" customHeight="1" x14ac:dyDescent="0.25">
      <c r="A1109" s="7" t="s">
        <v>40</v>
      </c>
      <c r="B1109" s="7" t="s">
        <v>12</v>
      </c>
      <c r="C1109" s="6">
        <v>2024</v>
      </c>
      <c r="D1109" s="8">
        <v>12</v>
      </c>
      <c r="E1109" s="8">
        <f ca="1">IFERROR(__xludf.DUMMYFUNCTION("""COMPUTED_VALUE"""),201.882352941176)</f>
        <v>201.88235294117601</v>
      </c>
    </row>
    <row r="1110" spans="1:5" ht="15.75" customHeight="1" x14ac:dyDescent="0.25">
      <c r="A1110" s="7" t="s">
        <v>40</v>
      </c>
      <c r="B1110" s="7" t="s">
        <v>13</v>
      </c>
      <c r="C1110" s="6">
        <v>2024</v>
      </c>
      <c r="D1110" s="8">
        <v>12</v>
      </c>
      <c r="E1110" s="8">
        <f ca="1">IFERROR(__xludf.DUMMYFUNCTION("""COMPUTED_VALUE"""),642.307692307692)</f>
        <v>642.30769230769204</v>
      </c>
    </row>
    <row r="1111" spans="1:5" ht="15.75" customHeight="1" x14ac:dyDescent="0.25">
      <c r="A1111" s="7" t="s">
        <v>40</v>
      </c>
      <c r="B1111" s="7" t="s">
        <v>4</v>
      </c>
      <c r="C1111" s="6">
        <v>2024</v>
      </c>
      <c r="D1111" s="8">
        <v>12</v>
      </c>
      <c r="E1111" s="8">
        <f ca="1">IFERROR(__xludf.DUMMYFUNCTION("""COMPUTED_VALUE"""),6708)</f>
        <v>6708</v>
      </c>
    </row>
    <row r="1112" spans="1:5" ht="15.75" customHeight="1" x14ac:dyDescent="0.25">
      <c r="A1112" s="7" t="s">
        <v>40</v>
      </c>
      <c r="B1112" s="7" t="s">
        <v>1</v>
      </c>
      <c r="C1112" s="6">
        <v>2024</v>
      </c>
      <c r="D1112" s="8">
        <v>12</v>
      </c>
      <c r="E1112" s="8">
        <f ca="1">IFERROR(__xludf.DUMMYFUNCTION("""COMPUTED_VALUE"""),119891.2)</f>
        <v>119891.2</v>
      </c>
    </row>
    <row r="1113" spans="1:5" ht="15.75" customHeight="1" x14ac:dyDescent="0.25">
      <c r="A1113" s="7" t="s">
        <v>40</v>
      </c>
      <c r="B1113" s="7" t="s">
        <v>14</v>
      </c>
      <c r="C1113" s="6">
        <v>2024</v>
      </c>
      <c r="D1113" s="8">
        <v>12</v>
      </c>
      <c r="E1113" s="8">
        <f ca="1">IFERROR(__xludf.DUMMYFUNCTION("""COMPUTED_VALUE"""),1950)</f>
        <v>1950</v>
      </c>
    </row>
    <row r="1114" spans="1:5" ht="15.75" customHeight="1" x14ac:dyDescent="0.25">
      <c r="A1114" s="7" t="s">
        <v>40</v>
      </c>
      <c r="B1114" s="7" t="s">
        <v>15</v>
      </c>
      <c r="C1114" s="6">
        <v>2024</v>
      </c>
      <c r="D1114" s="8">
        <v>12</v>
      </c>
      <c r="E1114" s="8">
        <f ca="1">IFERROR(__xludf.DUMMYFUNCTION("""COMPUTED_VALUE"""),1905.26315789473)</f>
        <v>1905.2631578947301</v>
      </c>
    </row>
    <row r="1115" spans="1:5" ht="15.75" customHeight="1" x14ac:dyDescent="0.25">
      <c r="A1115" s="7" t="s">
        <v>40</v>
      </c>
      <c r="B1115" s="7" t="s">
        <v>2</v>
      </c>
      <c r="C1115" s="6">
        <v>2024</v>
      </c>
      <c r="D1115" s="8">
        <v>12</v>
      </c>
      <c r="E1115" s="8">
        <f ca="1">IFERROR(__xludf.DUMMYFUNCTION("""COMPUTED_VALUE"""),143740.460829493)</f>
        <v>143740.46082949301</v>
      </c>
    </row>
    <row r="1116" spans="1:5" ht="15.75" customHeight="1" x14ac:dyDescent="0.25">
      <c r="A1116" s="7" t="s">
        <v>40</v>
      </c>
      <c r="B1116" s="7" t="s">
        <v>16</v>
      </c>
      <c r="C1116" s="6">
        <v>2024</v>
      </c>
      <c r="D1116" s="8">
        <v>12</v>
      </c>
      <c r="E1116" s="8">
        <f ca="1">IFERROR(__xludf.DUMMYFUNCTION("""COMPUTED_VALUE"""),73686.7753677155)</f>
        <v>73686.775367715498</v>
      </c>
    </row>
    <row r="1117" spans="1:5" ht="15.75" customHeight="1" x14ac:dyDescent="0.25">
      <c r="A1117" s="7" t="s">
        <v>40</v>
      </c>
      <c r="B1117" s="7" t="s">
        <v>17</v>
      </c>
      <c r="C1117" s="6">
        <v>2024</v>
      </c>
      <c r="D1117" s="8">
        <v>12</v>
      </c>
      <c r="E1117" s="8">
        <f ca="1">IFERROR(__xludf.DUMMYFUNCTION("""COMPUTED_VALUE"""),1130288.68470736)</f>
        <v>1130288.6847073601</v>
      </c>
    </row>
    <row r="1118" spans="1:5" ht="15.75" customHeight="1" x14ac:dyDescent="0.25">
      <c r="A1118" s="7" t="s">
        <v>41</v>
      </c>
      <c r="B1118" s="9" t="s">
        <v>5</v>
      </c>
      <c r="C1118" s="6">
        <v>2024</v>
      </c>
      <c r="D1118" s="8">
        <v>12</v>
      </c>
      <c r="E1118" s="8">
        <f ca="1">IFERROR(__xludf.DUMMYFUNCTION("TRANSPOSE(IMPORTRANGE(""https://docs.google.com/spreadsheets/d/1mU4EIcXrwUDeB7vEe4Xgk9GJ4ybq50bGeYst7gDl-KE/edit?usp=sharing"",""Perhitungan Stok!$J$46:$J$57""))"),46156.4957364341)</f>
        <v>46156.495736434103</v>
      </c>
    </row>
    <row r="1119" spans="1:5" ht="15.75" customHeight="1" x14ac:dyDescent="0.25">
      <c r="A1119" s="7" t="s">
        <v>41</v>
      </c>
      <c r="B1119" s="7" t="s">
        <v>3</v>
      </c>
      <c r="C1119" s="6">
        <v>2024</v>
      </c>
      <c r="D1119" s="8">
        <v>12</v>
      </c>
      <c r="E1119" s="8">
        <f ca="1">IFERROR(__xludf.DUMMYFUNCTION("""COMPUTED_VALUE"""),26888.3571428571)</f>
        <v>26888.357142857101</v>
      </c>
    </row>
    <row r="1120" spans="1:5" ht="15.75" customHeight="1" x14ac:dyDescent="0.25">
      <c r="A1120" s="7" t="s">
        <v>41</v>
      </c>
      <c r="B1120" s="7" t="s">
        <v>11</v>
      </c>
      <c r="C1120" s="6">
        <v>2024</v>
      </c>
      <c r="D1120" s="8">
        <v>12</v>
      </c>
      <c r="E1120" s="8">
        <f ca="1">IFERROR(__xludf.DUMMYFUNCTION("""COMPUTED_VALUE"""),52877.7904761904)</f>
        <v>52877.790476190399</v>
      </c>
    </row>
    <row r="1121" spans="1:5" ht="15.75" customHeight="1" x14ac:dyDescent="0.25">
      <c r="A1121" s="7" t="s">
        <v>41</v>
      </c>
      <c r="B1121" s="7" t="s">
        <v>12</v>
      </c>
      <c r="C1121" s="6">
        <v>2024</v>
      </c>
      <c r="D1121" s="8">
        <v>12</v>
      </c>
      <c r="E1121" s="8">
        <f ca="1">IFERROR(__xludf.DUMMYFUNCTION("""COMPUTED_VALUE"""),8130.83333333333)</f>
        <v>8130.8333333333303</v>
      </c>
    </row>
    <row r="1122" spans="1:5" ht="15.75" customHeight="1" x14ac:dyDescent="0.25">
      <c r="A1122" s="7" t="s">
        <v>41</v>
      </c>
      <c r="B1122" s="7" t="s">
        <v>13</v>
      </c>
      <c r="C1122" s="6">
        <v>2024</v>
      </c>
      <c r="D1122" s="8">
        <v>12</v>
      </c>
      <c r="E1122" s="8">
        <f ca="1">IFERROR(__xludf.DUMMYFUNCTION("""COMPUTED_VALUE"""),13989.6249999999)</f>
        <v>13989.6249999999</v>
      </c>
    </row>
    <row r="1123" spans="1:5" ht="15.75" customHeight="1" x14ac:dyDescent="0.25">
      <c r="A1123" s="7" t="s">
        <v>41</v>
      </c>
      <c r="B1123" s="7" t="s">
        <v>4</v>
      </c>
      <c r="C1123" s="6">
        <v>2024</v>
      </c>
      <c r="D1123" s="8">
        <v>12</v>
      </c>
      <c r="E1123" s="8">
        <f ca="1">IFERROR(__xludf.DUMMYFUNCTION("""COMPUTED_VALUE"""),2105.91367924528)</f>
        <v>2105.91367924528</v>
      </c>
    </row>
    <row r="1124" spans="1:5" ht="15.75" customHeight="1" x14ac:dyDescent="0.25">
      <c r="A1124" s="7" t="s">
        <v>41</v>
      </c>
      <c r="B1124" s="7" t="s">
        <v>1</v>
      </c>
      <c r="C1124" s="6">
        <v>2024</v>
      </c>
      <c r="D1124" s="8">
        <v>12</v>
      </c>
      <c r="E1124" s="8">
        <f ca="1">IFERROR(__xludf.DUMMYFUNCTION("""COMPUTED_VALUE"""),2258.16875)</f>
        <v>2258.1687499999998</v>
      </c>
    </row>
    <row r="1125" spans="1:5" ht="15.75" customHeight="1" x14ac:dyDescent="0.25">
      <c r="A1125" s="7" t="s">
        <v>41</v>
      </c>
      <c r="B1125" s="7" t="s">
        <v>14</v>
      </c>
      <c r="C1125" s="6">
        <v>2024</v>
      </c>
      <c r="D1125" s="8">
        <v>12</v>
      </c>
      <c r="E1125" s="8">
        <f ca="1">IFERROR(__xludf.DUMMYFUNCTION("""COMPUTED_VALUE"""),3119.69696969696)</f>
        <v>3119.69696969696</v>
      </c>
    </row>
    <row r="1126" spans="1:5" ht="15.75" customHeight="1" x14ac:dyDescent="0.25">
      <c r="A1126" s="7" t="s">
        <v>41</v>
      </c>
      <c r="B1126" s="7" t="s">
        <v>15</v>
      </c>
      <c r="C1126" s="6">
        <v>2024</v>
      </c>
      <c r="D1126" s="8">
        <v>12</v>
      </c>
      <c r="E1126" s="8">
        <f ca="1">IFERROR(__xludf.DUMMYFUNCTION("""COMPUTED_VALUE"""),25619.55)</f>
        <v>25619.55</v>
      </c>
    </row>
    <row r="1127" spans="1:5" ht="15.75" customHeight="1" x14ac:dyDescent="0.25">
      <c r="A1127" s="7" t="s">
        <v>41</v>
      </c>
      <c r="B1127" s="7" t="s">
        <v>2</v>
      </c>
      <c r="C1127" s="6">
        <v>2024</v>
      </c>
      <c r="D1127" s="8">
        <v>12</v>
      </c>
      <c r="E1127" s="8">
        <f ca="1">IFERROR(__xludf.DUMMYFUNCTION("""COMPUTED_VALUE"""),68103)</f>
        <v>68103</v>
      </c>
    </row>
    <row r="1128" spans="1:5" ht="15.75" customHeight="1" x14ac:dyDescent="0.25">
      <c r="A1128" s="7" t="s">
        <v>41</v>
      </c>
      <c r="B1128" s="7" t="s">
        <v>16</v>
      </c>
      <c r="C1128" s="6">
        <v>2024</v>
      </c>
      <c r="D1128" s="8">
        <v>12</v>
      </c>
      <c r="E1128" s="8">
        <f ca="1">IFERROR(__xludf.DUMMYFUNCTION("""COMPUTED_VALUE"""),15172.5)</f>
        <v>15172.5</v>
      </c>
    </row>
    <row r="1129" spans="1:5" ht="15.75" customHeight="1" x14ac:dyDescent="0.25">
      <c r="A1129" s="7" t="s">
        <v>41</v>
      </c>
      <c r="B1129" s="7" t="s">
        <v>17</v>
      </c>
      <c r="C1129" s="6">
        <v>2024</v>
      </c>
      <c r="D1129" s="8">
        <v>12</v>
      </c>
      <c r="E1129" s="8">
        <f ca="1">IFERROR(__xludf.DUMMYFUNCTION("""COMPUTED_VALUE"""),10698.6267605633)</f>
        <v>10698.6267605633</v>
      </c>
    </row>
    <row r="1130" spans="1:5" ht="15.75" customHeight="1" x14ac:dyDescent="0.25">
      <c r="A1130" s="7" t="s">
        <v>42</v>
      </c>
      <c r="B1130" s="9" t="s">
        <v>5</v>
      </c>
      <c r="C1130" s="6">
        <v>2024</v>
      </c>
      <c r="D1130" s="8">
        <v>12</v>
      </c>
      <c r="E1130" s="8">
        <f ca="1">IFERROR(__xludf.DUMMYFUNCTION("TRANSPOSE(IMPORTRANGE(""https://docs.google.com/spreadsheets/d/1RtKPQyOO7LmdCKbTIs0prNnx7wEDb46eo2A3rO1IrDQ/edit?usp=sharing"",""Perhitungan Stok!$J$46:$J$57""))"),1189076.48888888)</f>
        <v>1189076.48888888</v>
      </c>
    </row>
    <row r="1131" spans="1:5" ht="15.75" customHeight="1" x14ac:dyDescent="0.25">
      <c r="A1131" s="7" t="s">
        <v>42</v>
      </c>
      <c r="B1131" s="7" t="s">
        <v>3</v>
      </c>
      <c r="C1131" s="6">
        <v>2024</v>
      </c>
      <c r="D1131" s="8">
        <v>12</v>
      </c>
      <c r="E1131" s="8">
        <f ca="1">IFERROR(__xludf.DUMMYFUNCTION("""COMPUTED_VALUE"""),1500)</f>
        <v>1500</v>
      </c>
    </row>
    <row r="1132" spans="1:5" ht="15.75" customHeight="1" x14ac:dyDescent="0.25">
      <c r="A1132" s="7" t="s">
        <v>42</v>
      </c>
      <c r="B1132" s="7" t="s">
        <v>11</v>
      </c>
      <c r="C1132" s="6">
        <v>2024</v>
      </c>
      <c r="D1132" s="8">
        <v>12</v>
      </c>
      <c r="E1132" s="8">
        <f ca="1">IFERROR(__xludf.DUMMYFUNCTION("""COMPUTED_VALUE"""),14527.0588235294)</f>
        <v>14527.0588235294</v>
      </c>
    </row>
    <row r="1133" spans="1:5" ht="15.75" customHeight="1" x14ac:dyDescent="0.25">
      <c r="A1133" s="7" t="s">
        <v>42</v>
      </c>
      <c r="B1133" s="7" t="s">
        <v>12</v>
      </c>
      <c r="C1133" s="6">
        <v>2024</v>
      </c>
      <c r="D1133" s="8">
        <v>12</v>
      </c>
      <c r="E1133" s="8">
        <f ca="1">IFERROR(__xludf.DUMMYFUNCTION("""COMPUTED_VALUE"""),234)</f>
        <v>234</v>
      </c>
    </row>
    <row r="1134" spans="1:5" ht="15.75" customHeight="1" x14ac:dyDescent="0.25">
      <c r="A1134" s="7" t="s">
        <v>42</v>
      </c>
      <c r="B1134" s="7" t="s">
        <v>13</v>
      </c>
      <c r="C1134" s="6">
        <v>2024</v>
      </c>
      <c r="D1134" s="8">
        <v>12</v>
      </c>
      <c r="E1134" s="8">
        <f ca="1">IFERROR(__xludf.DUMMYFUNCTION("""COMPUTED_VALUE"""),259.566666666666)</f>
        <v>259.56666666666598</v>
      </c>
    </row>
    <row r="1135" spans="1:5" ht="15.75" customHeight="1" x14ac:dyDescent="0.25">
      <c r="A1135" s="7" t="s">
        <v>42</v>
      </c>
      <c r="B1135" s="7" t="s">
        <v>4</v>
      </c>
      <c r="C1135" s="6">
        <v>2024</v>
      </c>
      <c r="D1135" s="8">
        <v>12</v>
      </c>
      <c r="E1135" s="8">
        <f ca="1">IFERROR(__xludf.DUMMYFUNCTION("""COMPUTED_VALUE"""),423)</f>
        <v>423</v>
      </c>
    </row>
    <row r="1136" spans="1:5" ht="15.75" customHeight="1" x14ac:dyDescent="0.25">
      <c r="A1136" s="7" t="s">
        <v>42</v>
      </c>
      <c r="B1136" s="7" t="s">
        <v>1</v>
      </c>
      <c r="C1136" s="6">
        <v>2024</v>
      </c>
      <c r="D1136" s="8">
        <v>12</v>
      </c>
      <c r="E1136" s="8">
        <f ca="1">IFERROR(__xludf.DUMMYFUNCTION("""COMPUTED_VALUE"""),458.999999999999)</f>
        <v>458.99999999999898</v>
      </c>
    </row>
    <row r="1137" spans="1:5" ht="15.75" customHeight="1" x14ac:dyDescent="0.25">
      <c r="A1137" s="7" t="s">
        <v>42</v>
      </c>
      <c r="B1137" s="7" t="s">
        <v>14</v>
      </c>
      <c r="C1137" s="6">
        <v>2024</v>
      </c>
      <c r="D1137" s="8">
        <v>12</v>
      </c>
      <c r="E1137" s="8">
        <f ca="1">IFERROR(__xludf.DUMMYFUNCTION("""COMPUTED_VALUE"""),6924.04458598726)</f>
        <v>6924.0445859872598</v>
      </c>
    </row>
    <row r="1138" spans="1:5" ht="15.75" customHeight="1" x14ac:dyDescent="0.25">
      <c r="A1138" s="7" t="s">
        <v>42</v>
      </c>
      <c r="B1138" s="7" t="s">
        <v>15</v>
      </c>
      <c r="C1138" s="6">
        <v>2024</v>
      </c>
      <c r="D1138" s="8">
        <v>12</v>
      </c>
      <c r="E1138" s="8">
        <f ca="1">IFERROR(__xludf.DUMMYFUNCTION("""COMPUTED_VALUE"""),127197.428016823)</f>
        <v>127197.428016823</v>
      </c>
    </row>
    <row r="1139" spans="1:5" ht="15.75" customHeight="1" x14ac:dyDescent="0.25">
      <c r="A1139" s="7" t="s">
        <v>42</v>
      </c>
      <c r="B1139" s="7" t="s">
        <v>2</v>
      </c>
      <c r="C1139" s="6">
        <v>2024</v>
      </c>
      <c r="D1139" s="8">
        <v>12</v>
      </c>
      <c r="E1139" s="8">
        <f ca="1">IFERROR(__xludf.DUMMYFUNCTION("""COMPUTED_VALUE"""),2946.5815324165)</f>
        <v>2946.5815324165001</v>
      </c>
    </row>
    <row r="1140" spans="1:5" ht="15.75" customHeight="1" x14ac:dyDescent="0.25">
      <c r="A1140" s="7" t="s">
        <v>42</v>
      </c>
      <c r="B1140" s="7" t="s">
        <v>16</v>
      </c>
      <c r="C1140" s="6">
        <v>2024</v>
      </c>
      <c r="D1140" s="8">
        <v>12</v>
      </c>
      <c r="E1140" s="8">
        <f ca="1">IFERROR(__xludf.DUMMYFUNCTION("""COMPUTED_VALUE"""),57376.4671232876)</f>
        <v>57376.467123287599</v>
      </c>
    </row>
    <row r="1141" spans="1:5" ht="15.75" customHeight="1" x14ac:dyDescent="0.25">
      <c r="A1141" s="7" t="s">
        <v>42</v>
      </c>
      <c r="B1141" s="7" t="s">
        <v>17</v>
      </c>
      <c r="C1141" s="6">
        <v>2024</v>
      </c>
      <c r="D1141" s="8">
        <v>12</v>
      </c>
      <c r="E1141" s="8">
        <f ca="1">IFERROR(__xludf.DUMMYFUNCTION("""COMPUTED_VALUE"""),150836.228356017)</f>
        <v>150836.228356017</v>
      </c>
    </row>
    <row r="1142" spans="1:5" ht="15.75" customHeight="1" x14ac:dyDescent="0.25">
      <c r="A1142" s="7" t="s">
        <v>43</v>
      </c>
      <c r="B1142" s="9" t="s">
        <v>5</v>
      </c>
      <c r="C1142" s="6">
        <v>2024</v>
      </c>
      <c r="D1142" s="8">
        <v>12</v>
      </c>
      <c r="E1142" s="8">
        <f ca="1">IFERROR(__xludf.DUMMYFUNCTION("TRANSPOSE(IMPORTRANGE(""https://docs.google.com/spreadsheets/d/1P96zExzZ_FAGTmCPEbN-_JSVdJbkoS61itTZxFOJirQ/edit?usp=sharing"",""Perhitungan Stok!$J$46:$J$57""))"),281268.376068376)</f>
        <v>281268.376068376</v>
      </c>
    </row>
    <row r="1143" spans="1:5" ht="15.75" customHeight="1" x14ac:dyDescent="0.25">
      <c r="A1143" s="7" t="s">
        <v>43</v>
      </c>
      <c r="B1143" s="7" t="s">
        <v>3</v>
      </c>
      <c r="C1143" s="6">
        <v>2024</v>
      </c>
      <c r="D1143" s="8">
        <v>12</v>
      </c>
      <c r="E1143" s="8">
        <f ca="1">IFERROR(__xludf.DUMMYFUNCTION("""COMPUTED_VALUE"""),4450)</f>
        <v>4450</v>
      </c>
    </row>
    <row r="1144" spans="1:5" ht="15.75" customHeight="1" x14ac:dyDescent="0.25">
      <c r="A1144" s="7" t="s">
        <v>43</v>
      </c>
      <c r="B1144" s="7" t="s">
        <v>11</v>
      </c>
      <c r="C1144" s="6">
        <v>2024</v>
      </c>
      <c r="D1144" s="8">
        <v>12</v>
      </c>
      <c r="E1144" s="8">
        <f ca="1">IFERROR(__xludf.DUMMYFUNCTION("""COMPUTED_VALUE"""),62700)</f>
        <v>62700</v>
      </c>
    </row>
    <row r="1145" spans="1:5" ht="15.75" customHeight="1" x14ac:dyDescent="0.25">
      <c r="A1145" s="7" t="s">
        <v>43</v>
      </c>
      <c r="B1145" s="7" t="s">
        <v>12</v>
      </c>
      <c r="C1145" s="6">
        <v>2024</v>
      </c>
      <c r="D1145" s="8">
        <v>12</v>
      </c>
      <c r="E1145" s="8">
        <f ca="1">IFERROR(__xludf.DUMMYFUNCTION("""COMPUTED_VALUE"""),9054.02072027627)</f>
        <v>9054.0207202762704</v>
      </c>
    </row>
    <row r="1146" spans="1:5" ht="15.75" customHeight="1" x14ac:dyDescent="0.25">
      <c r="A1146" s="7" t="s">
        <v>43</v>
      </c>
      <c r="B1146" s="7" t="s">
        <v>13</v>
      </c>
      <c r="C1146" s="6">
        <v>2024</v>
      </c>
      <c r="D1146" s="8">
        <v>12</v>
      </c>
      <c r="E1146" s="8">
        <f ca="1">IFERROR(__xludf.DUMMYFUNCTION("""COMPUTED_VALUE"""),15338.8460710441)</f>
        <v>15338.8460710441</v>
      </c>
    </row>
    <row r="1147" spans="1:5" ht="15.75" customHeight="1" x14ac:dyDescent="0.25">
      <c r="A1147" s="7" t="s">
        <v>43</v>
      </c>
      <c r="B1147" s="7" t="s">
        <v>4</v>
      </c>
      <c r="C1147" s="6">
        <v>2024</v>
      </c>
      <c r="D1147" s="8">
        <v>12</v>
      </c>
      <c r="E1147" s="8">
        <f ca="1">IFERROR(__xludf.DUMMYFUNCTION("""COMPUTED_VALUE"""),4974.41176470588)</f>
        <v>4974.4117647058802</v>
      </c>
    </row>
    <row r="1148" spans="1:5" ht="15.75" customHeight="1" x14ac:dyDescent="0.25">
      <c r="A1148" s="7" t="s">
        <v>43</v>
      </c>
      <c r="B1148" s="7" t="s">
        <v>1</v>
      </c>
      <c r="C1148" s="6">
        <v>2024</v>
      </c>
      <c r="D1148" s="8">
        <v>12</v>
      </c>
      <c r="E1148" s="8">
        <f ca="1">IFERROR(__xludf.DUMMYFUNCTION("""COMPUTED_VALUE"""),4325.44826254826)</f>
        <v>4325.4482625482597</v>
      </c>
    </row>
    <row r="1149" spans="1:5" ht="15.75" customHeight="1" x14ac:dyDescent="0.25">
      <c r="A1149" s="7" t="s">
        <v>43</v>
      </c>
      <c r="B1149" s="7" t="s">
        <v>14</v>
      </c>
      <c r="C1149" s="6">
        <v>2024</v>
      </c>
      <c r="D1149" s="8">
        <v>12</v>
      </c>
      <c r="E1149" s="8">
        <f ca="1">IFERROR(__xludf.DUMMYFUNCTION("""COMPUTED_VALUE"""),6451.35135135135)</f>
        <v>6451.3513513513499</v>
      </c>
    </row>
    <row r="1150" spans="1:5" ht="15.75" customHeight="1" x14ac:dyDescent="0.25">
      <c r="A1150" s="7" t="s">
        <v>43</v>
      </c>
      <c r="B1150" s="7" t="s">
        <v>15</v>
      </c>
      <c r="C1150" s="6">
        <v>2024</v>
      </c>
      <c r="D1150" s="8">
        <v>12</v>
      </c>
      <c r="E1150" s="8">
        <f ca="1">IFERROR(__xludf.DUMMYFUNCTION("""COMPUTED_VALUE"""),2207.61904761904)</f>
        <v>2207.61904761904</v>
      </c>
    </row>
    <row r="1151" spans="1:5" ht="15.75" customHeight="1" x14ac:dyDescent="0.25">
      <c r="A1151" s="7" t="s">
        <v>43</v>
      </c>
      <c r="B1151" s="7" t="s">
        <v>2</v>
      </c>
      <c r="C1151" s="6">
        <v>2024</v>
      </c>
      <c r="D1151" s="8">
        <v>12</v>
      </c>
      <c r="E1151" s="8">
        <f ca="1">IFERROR(__xludf.DUMMYFUNCTION("""COMPUTED_VALUE"""),2817.34577603143)</f>
        <v>2817.34577603143</v>
      </c>
    </row>
    <row r="1152" spans="1:5" ht="15.75" customHeight="1" x14ac:dyDescent="0.25">
      <c r="A1152" s="7" t="s">
        <v>43</v>
      </c>
      <c r="B1152" s="7" t="s">
        <v>16</v>
      </c>
      <c r="C1152" s="6">
        <v>2024</v>
      </c>
      <c r="D1152" s="8">
        <v>12</v>
      </c>
      <c r="E1152" s="8">
        <f ca="1">IFERROR(__xludf.DUMMYFUNCTION("""COMPUTED_VALUE"""),9614.82142857143)</f>
        <v>9614.8214285714294</v>
      </c>
    </row>
    <row r="1153" spans="1:5" ht="15.75" customHeight="1" x14ac:dyDescent="0.25">
      <c r="A1153" s="7" t="s">
        <v>43</v>
      </c>
      <c r="B1153" s="7" t="s">
        <v>17</v>
      </c>
      <c r="C1153" s="6">
        <v>2024</v>
      </c>
      <c r="D1153" s="8">
        <v>12</v>
      </c>
      <c r="E1153" s="8">
        <f ca="1">IFERROR(__xludf.DUMMYFUNCTION("""COMPUTED_VALUE"""),14501.9057000262)</f>
        <v>14501.9057000262</v>
      </c>
    </row>
    <row r="1154" spans="1:5" ht="15.75" customHeight="1" x14ac:dyDescent="0.25">
      <c r="A1154" s="7" t="s">
        <v>44</v>
      </c>
      <c r="B1154" s="9" t="s">
        <v>5</v>
      </c>
      <c r="C1154" s="6">
        <v>2024</v>
      </c>
      <c r="D1154" s="8">
        <v>12</v>
      </c>
      <c r="E1154" s="8">
        <f ca="1">IFERROR(__xludf.DUMMYFUNCTION("TRANSPOSE(IMPORTRANGE(""https://docs.google.com/spreadsheets/d/13sC7GAx5GW9Y4AKkeKOD8XAoz69RjfvFJbdV-Oj6oNo/edit?usp=sharing"",""Perhitungan Stok!$J$46:$J$57""))"),3843024.08702648)</f>
        <v>3843024.0870264801</v>
      </c>
    </row>
    <row r="1155" spans="1:5" ht="15.75" customHeight="1" x14ac:dyDescent="0.25">
      <c r="A1155" s="7" t="s">
        <v>44</v>
      </c>
      <c r="B1155" s="7" t="s">
        <v>3</v>
      </c>
      <c r="C1155" s="6">
        <v>2024</v>
      </c>
      <c r="D1155" s="8">
        <v>12</v>
      </c>
      <c r="E1155" s="8">
        <f ca="1">IFERROR(__xludf.DUMMYFUNCTION("""COMPUTED_VALUE"""),50006.8965517241)</f>
        <v>50006.896551724101</v>
      </c>
    </row>
    <row r="1156" spans="1:5" ht="15.75" customHeight="1" x14ac:dyDescent="0.25">
      <c r="A1156" s="7" t="s">
        <v>44</v>
      </c>
      <c r="B1156" s="7" t="s">
        <v>11</v>
      </c>
      <c r="C1156" s="6">
        <v>2024</v>
      </c>
      <c r="D1156" s="8">
        <v>12</v>
      </c>
      <c r="E1156" s="8">
        <f ca="1">IFERROR(__xludf.DUMMYFUNCTION("""COMPUTED_VALUE"""),23885.6453900709)</f>
        <v>23885.645390070898</v>
      </c>
    </row>
    <row r="1157" spans="1:5" ht="15.75" customHeight="1" x14ac:dyDescent="0.25">
      <c r="A1157" s="7" t="s">
        <v>44</v>
      </c>
      <c r="B1157" s="7" t="s">
        <v>12</v>
      </c>
      <c r="C1157" s="6">
        <v>2024</v>
      </c>
      <c r="D1157" s="8">
        <v>12</v>
      </c>
      <c r="E1157" s="8">
        <f ca="1">IFERROR(__xludf.DUMMYFUNCTION("""COMPUTED_VALUE"""),4041.45454545454)</f>
        <v>4041.45454545454</v>
      </c>
    </row>
    <row r="1158" spans="1:5" ht="15.75" customHeight="1" x14ac:dyDescent="0.25">
      <c r="A1158" s="7" t="s">
        <v>44</v>
      </c>
      <c r="B1158" s="7" t="s">
        <v>13</v>
      </c>
      <c r="C1158" s="6">
        <v>2024</v>
      </c>
      <c r="D1158" s="8">
        <v>12</v>
      </c>
      <c r="E1158" s="8">
        <f ca="1">IFERROR(__xludf.DUMMYFUNCTION("""COMPUTED_VALUE"""),33336.2059055623)</f>
        <v>33336.205905562303</v>
      </c>
    </row>
    <row r="1159" spans="1:5" ht="15.75" customHeight="1" x14ac:dyDescent="0.25">
      <c r="A1159" s="7" t="s">
        <v>44</v>
      </c>
      <c r="B1159" s="7" t="s">
        <v>4</v>
      </c>
      <c r="C1159" s="6">
        <v>2024</v>
      </c>
      <c r="D1159" s="8">
        <v>12</v>
      </c>
      <c r="E1159" s="8">
        <f ca="1">IFERROR(__xludf.DUMMYFUNCTION("""COMPUTED_VALUE"""),201.375)</f>
        <v>201.375</v>
      </c>
    </row>
    <row r="1160" spans="1:5" ht="15.75" customHeight="1" x14ac:dyDescent="0.25">
      <c r="A1160" s="7" t="s">
        <v>44</v>
      </c>
      <c r="B1160" s="7" t="s">
        <v>1</v>
      </c>
      <c r="C1160" s="6">
        <v>2024</v>
      </c>
      <c r="D1160" s="8">
        <v>12</v>
      </c>
      <c r="E1160" s="8">
        <f ca="1">IFERROR(__xludf.DUMMYFUNCTION("""COMPUTED_VALUE"""),133.941176470588)</f>
        <v>133.941176470588</v>
      </c>
    </row>
    <row r="1161" spans="1:5" ht="15.75" customHeight="1" x14ac:dyDescent="0.25">
      <c r="A1161" s="7" t="s">
        <v>44</v>
      </c>
      <c r="B1161" s="7" t="s">
        <v>14</v>
      </c>
      <c r="C1161" s="6">
        <v>2024</v>
      </c>
      <c r="D1161" s="8">
        <v>12</v>
      </c>
      <c r="E1161" s="8">
        <f ca="1">IFERROR(__xludf.DUMMYFUNCTION("""COMPUTED_VALUE"""),307.5)</f>
        <v>307.5</v>
      </c>
    </row>
    <row r="1162" spans="1:5" ht="15.75" customHeight="1" x14ac:dyDescent="0.25">
      <c r="A1162" s="7" t="s">
        <v>44</v>
      </c>
      <c r="B1162" s="7" t="s">
        <v>15</v>
      </c>
      <c r="C1162" s="6">
        <v>2024</v>
      </c>
      <c r="D1162" s="8">
        <v>12</v>
      </c>
      <c r="E1162" s="8">
        <f ca="1">IFERROR(__xludf.DUMMYFUNCTION("""COMPUTED_VALUE"""),175532.857142857)</f>
        <v>175532.85714285701</v>
      </c>
    </row>
    <row r="1163" spans="1:5" ht="15.75" customHeight="1" x14ac:dyDescent="0.25">
      <c r="A1163" s="7" t="s">
        <v>44</v>
      </c>
      <c r="B1163" s="7" t="s">
        <v>2</v>
      </c>
      <c r="C1163" s="6">
        <v>2024</v>
      </c>
      <c r="D1163" s="8">
        <v>12</v>
      </c>
      <c r="E1163" s="8">
        <f ca="1">IFERROR(__xludf.DUMMYFUNCTION("""COMPUTED_VALUE"""),28936.4229249011)</f>
        <v>28936.4229249011</v>
      </c>
    </row>
    <row r="1164" spans="1:5" ht="15.75" customHeight="1" x14ac:dyDescent="0.25">
      <c r="A1164" s="7" t="s">
        <v>44</v>
      </c>
      <c r="B1164" s="7" t="s">
        <v>16</v>
      </c>
      <c r="C1164" s="6">
        <v>2024</v>
      </c>
      <c r="D1164" s="8">
        <v>12</v>
      </c>
      <c r="E1164" s="8">
        <f ca="1">IFERROR(__xludf.DUMMYFUNCTION("""COMPUTED_VALUE"""),370239.43258188)</f>
        <v>370239.43258188001</v>
      </c>
    </row>
    <row r="1165" spans="1:5" ht="15.75" customHeight="1" x14ac:dyDescent="0.25">
      <c r="A1165" s="7" t="s">
        <v>44</v>
      </c>
      <c r="B1165" s="7" t="s">
        <v>17</v>
      </c>
      <c r="C1165" s="6">
        <v>2024</v>
      </c>
      <c r="D1165" s="8">
        <v>12</v>
      </c>
      <c r="E1165" s="8">
        <f ca="1">IFERROR(__xludf.DUMMYFUNCTION("""COMPUTED_VALUE"""),814994.409757012)</f>
        <v>814994.40975701204</v>
      </c>
    </row>
    <row r="1166" spans="1:5" ht="15.75" customHeight="1" x14ac:dyDescent="0.25">
      <c r="A1166" s="7" t="s">
        <v>45</v>
      </c>
      <c r="B1166" s="9" t="s">
        <v>5</v>
      </c>
      <c r="C1166" s="6">
        <v>2024</v>
      </c>
      <c r="D1166" s="8">
        <v>12</v>
      </c>
      <c r="E1166" s="8">
        <f ca="1">IFERROR(__xludf.DUMMYFUNCTION("TRANSPOSE(IMPORTRANGE(""https://docs.google.com/spreadsheets/d/14A0DNgZ904tq3xNlIBMNddwXRU3VDeUDJbBdf315Yvo/edit?usp=sharing"",""Perhitungan Stok!$J$46:$J$57""))"),113930.46875)</f>
        <v>113930.46875</v>
      </c>
    </row>
    <row r="1167" spans="1:5" ht="15.75" customHeight="1" x14ac:dyDescent="0.25">
      <c r="A1167" s="7" t="s">
        <v>45</v>
      </c>
      <c r="B1167" s="7" t="s">
        <v>3</v>
      </c>
      <c r="C1167" s="6">
        <v>2024</v>
      </c>
      <c r="D1167" s="8">
        <v>12</v>
      </c>
      <c r="E1167" s="8">
        <f ca="1">IFERROR(__xludf.DUMMYFUNCTION("""COMPUTED_VALUE"""),150)</f>
        <v>150</v>
      </c>
    </row>
    <row r="1168" spans="1:5" ht="15.75" customHeight="1" x14ac:dyDescent="0.25">
      <c r="A1168" s="7" t="s">
        <v>45</v>
      </c>
      <c r="B1168" s="7" t="s">
        <v>11</v>
      </c>
      <c r="C1168" s="6">
        <v>2024</v>
      </c>
      <c r="D1168" s="8">
        <v>12</v>
      </c>
      <c r="E1168" s="8">
        <f ca="1">IFERROR(__xludf.DUMMYFUNCTION("""COMPUTED_VALUE"""),28800)</f>
        <v>28800</v>
      </c>
    </row>
    <row r="1169" spans="1:5" ht="15.75" customHeight="1" x14ac:dyDescent="0.25">
      <c r="A1169" s="7" t="s">
        <v>45</v>
      </c>
      <c r="B1169" s="7" t="s">
        <v>12</v>
      </c>
      <c r="C1169" s="6">
        <v>2024</v>
      </c>
      <c r="D1169" s="8">
        <v>12</v>
      </c>
      <c r="E1169" s="8">
        <f ca="1">IFERROR(__xludf.DUMMYFUNCTION("""COMPUTED_VALUE"""),42595.9722222222)</f>
        <v>42595.972222222197</v>
      </c>
    </row>
    <row r="1170" spans="1:5" ht="15.75" customHeight="1" x14ac:dyDescent="0.25">
      <c r="A1170" s="7" t="s">
        <v>45</v>
      </c>
      <c r="B1170" s="7" t="s">
        <v>13</v>
      </c>
      <c r="C1170" s="6">
        <v>2024</v>
      </c>
      <c r="D1170" s="8">
        <v>12</v>
      </c>
      <c r="E1170" s="8">
        <f ca="1">IFERROR(__xludf.DUMMYFUNCTION("""COMPUTED_VALUE"""),23335.8)</f>
        <v>23335.8</v>
      </c>
    </row>
    <row r="1171" spans="1:5" ht="15.75" customHeight="1" x14ac:dyDescent="0.25">
      <c r="A1171" s="7" t="s">
        <v>45</v>
      </c>
      <c r="B1171" s="7" t="s">
        <v>4</v>
      </c>
      <c r="C1171" s="6">
        <v>2024</v>
      </c>
      <c r="D1171" s="8">
        <v>12</v>
      </c>
      <c r="E1171" s="8">
        <f ca="1">IFERROR(__xludf.DUMMYFUNCTION("""COMPUTED_VALUE"""),531.875)</f>
        <v>531.875</v>
      </c>
    </row>
    <row r="1172" spans="1:5" ht="15.75" customHeight="1" x14ac:dyDescent="0.25">
      <c r="A1172" s="7" t="s">
        <v>45</v>
      </c>
      <c r="B1172" s="7" t="s">
        <v>1</v>
      </c>
      <c r="C1172" s="6">
        <v>2024</v>
      </c>
      <c r="D1172" s="8">
        <v>12</v>
      </c>
      <c r="E1172" s="8">
        <f ca="1">IFERROR(__xludf.DUMMYFUNCTION("""COMPUTED_VALUE"""),215.999999999999)</f>
        <v>215.99999999999901</v>
      </c>
    </row>
    <row r="1173" spans="1:5" ht="15.75" customHeight="1" x14ac:dyDescent="0.25">
      <c r="A1173" s="7" t="s">
        <v>45</v>
      </c>
      <c r="B1173" s="7" t="s">
        <v>14</v>
      </c>
      <c r="C1173" s="6">
        <v>2024</v>
      </c>
      <c r="D1173" s="8">
        <v>12</v>
      </c>
      <c r="E1173" s="8">
        <f ca="1">IFERROR(__xludf.DUMMYFUNCTION("""COMPUTED_VALUE"""),840)</f>
        <v>840</v>
      </c>
    </row>
    <row r="1174" spans="1:5" ht="15.75" customHeight="1" x14ac:dyDescent="0.25">
      <c r="A1174" s="7" t="s">
        <v>45</v>
      </c>
      <c r="B1174" s="7" t="s">
        <v>15</v>
      </c>
      <c r="C1174" s="6">
        <v>2024</v>
      </c>
      <c r="D1174" s="8">
        <v>12</v>
      </c>
      <c r="E1174" s="8">
        <f ca="1">IFERROR(__xludf.DUMMYFUNCTION("""COMPUTED_VALUE"""),-2007.59259259259)</f>
        <v>-2007.5925925925901</v>
      </c>
    </row>
    <row r="1175" spans="1:5" ht="15.75" customHeight="1" x14ac:dyDescent="0.25">
      <c r="A1175" s="7" t="s">
        <v>45</v>
      </c>
      <c r="B1175" s="7" t="s">
        <v>2</v>
      </c>
      <c r="C1175" s="6">
        <v>2024</v>
      </c>
      <c r="D1175" s="8">
        <v>12</v>
      </c>
      <c r="E1175" s="8">
        <f ca="1">IFERROR(__xludf.DUMMYFUNCTION("""COMPUTED_VALUE"""),601.25)</f>
        <v>601.25</v>
      </c>
    </row>
    <row r="1176" spans="1:5" ht="15.75" customHeight="1" x14ac:dyDescent="0.25">
      <c r="A1176" s="7" t="s">
        <v>45</v>
      </c>
      <c r="B1176" s="7" t="s">
        <v>16</v>
      </c>
      <c r="C1176" s="6">
        <v>2024</v>
      </c>
      <c r="D1176" s="8">
        <v>12</v>
      </c>
      <c r="E1176" s="8">
        <f ca="1">IFERROR(__xludf.DUMMYFUNCTION("""COMPUTED_VALUE"""),197894.075757575)</f>
        <v>197894.07575757499</v>
      </c>
    </row>
    <row r="1177" spans="1:5" ht="15.75" customHeight="1" x14ac:dyDescent="0.25">
      <c r="A1177" s="7" t="s">
        <v>45</v>
      </c>
      <c r="B1177" s="7" t="s">
        <v>17</v>
      </c>
      <c r="C1177" s="6">
        <v>2024</v>
      </c>
      <c r="D1177" s="8">
        <v>12</v>
      </c>
      <c r="E1177" s="8">
        <f ca="1">IFERROR(__xludf.DUMMYFUNCTION("""COMPUTED_VALUE"""),245840.374468085)</f>
        <v>245840.37446808501</v>
      </c>
    </row>
    <row r="1178" spans="1:5" ht="15.75" customHeight="1" x14ac:dyDescent="0.25">
      <c r="A1178" s="7" t="s">
        <v>46</v>
      </c>
      <c r="B1178" s="9" t="s">
        <v>5</v>
      </c>
      <c r="C1178" s="6">
        <v>2024</v>
      </c>
      <c r="D1178" s="8">
        <v>12</v>
      </c>
      <c r="E1178" s="8">
        <f ca="1">IFERROR(__xludf.DUMMYFUNCTION("TRANSPOSE(IMPORTRANGE(""https://docs.google.com/spreadsheets/d/1IOqPAcRQw0MsUcmTGJungPyv0gJ8RLeotagPVhIIGCc/edit?usp=sharing"",""Perhitungan Stok!$J$46:$J$57""))"),75214.0932497402)</f>
        <v>75214.093249740195</v>
      </c>
    </row>
    <row r="1179" spans="1:5" ht="15.75" customHeight="1" x14ac:dyDescent="0.25">
      <c r="A1179" s="7" t="s">
        <v>46</v>
      </c>
      <c r="B1179" s="7" t="s">
        <v>3</v>
      </c>
      <c r="C1179" s="6">
        <v>2024</v>
      </c>
      <c r="D1179" s="8">
        <v>12</v>
      </c>
      <c r="E1179" s="8">
        <f ca="1">IFERROR(__xludf.DUMMYFUNCTION("""COMPUTED_VALUE"""),1050)</f>
        <v>1050</v>
      </c>
    </row>
    <row r="1180" spans="1:5" ht="15.75" customHeight="1" x14ac:dyDescent="0.25">
      <c r="A1180" s="7" t="s">
        <v>46</v>
      </c>
      <c r="B1180" s="7" t="s">
        <v>11</v>
      </c>
      <c r="C1180" s="6">
        <v>2024</v>
      </c>
      <c r="D1180" s="8">
        <v>12</v>
      </c>
      <c r="E1180" s="8">
        <f ca="1">IFERROR(__xludf.DUMMYFUNCTION("""COMPUTED_VALUE"""),20000)</f>
        <v>20000</v>
      </c>
    </row>
    <row r="1181" spans="1:5" ht="15.75" customHeight="1" x14ac:dyDescent="0.25">
      <c r="A1181" s="7" t="s">
        <v>46</v>
      </c>
      <c r="B1181" s="7" t="s">
        <v>12</v>
      </c>
      <c r="C1181" s="6">
        <v>2024</v>
      </c>
      <c r="D1181" s="8">
        <v>12</v>
      </c>
      <c r="E1181" s="8">
        <f ca="1">IFERROR(__xludf.DUMMYFUNCTION("""COMPUTED_VALUE"""),410.492682926829)</f>
        <v>410.49268292682899</v>
      </c>
    </row>
    <row r="1182" spans="1:5" ht="15.75" customHeight="1" x14ac:dyDescent="0.25">
      <c r="A1182" s="7" t="s">
        <v>46</v>
      </c>
      <c r="B1182" s="7" t="s">
        <v>13</v>
      </c>
      <c r="C1182" s="6">
        <v>2024</v>
      </c>
      <c r="D1182" s="8">
        <v>12</v>
      </c>
      <c r="E1182" s="8">
        <f ca="1">IFERROR(__xludf.DUMMYFUNCTION("""COMPUTED_VALUE"""),340.878048780487)</f>
        <v>340.87804878048701</v>
      </c>
    </row>
    <row r="1183" spans="1:5" ht="15.75" customHeight="1" x14ac:dyDescent="0.25">
      <c r="A1183" s="7" t="s">
        <v>46</v>
      </c>
      <c r="B1183" s="7" t="s">
        <v>4</v>
      </c>
      <c r="C1183" s="6">
        <v>2024</v>
      </c>
      <c r="D1183" s="8">
        <v>12</v>
      </c>
      <c r="E1183" s="8">
        <f ca="1">IFERROR(__xludf.DUMMYFUNCTION("""COMPUTED_VALUE"""),0)</f>
        <v>0</v>
      </c>
    </row>
    <row r="1184" spans="1:5" ht="15.75" customHeight="1" x14ac:dyDescent="0.25">
      <c r="A1184" s="7" t="s">
        <v>46</v>
      </c>
      <c r="B1184" s="7" t="s">
        <v>1</v>
      </c>
      <c r="C1184" s="6">
        <v>2024</v>
      </c>
      <c r="D1184" s="8">
        <v>12</v>
      </c>
      <c r="E1184" s="8">
        <f ca="1">IFERROR(__xludf.DUMMYFUNCTION("""COMPUTED_VALUE"""),3558.33333333333)</f>
        <v>3558.3333333333298</v>
      </c>
    </row>
    <row r="1185" spans="1:5" ht="15.75" customHeight="1" x14ac:dyDescent="0.25">
      <c r="A1185" s="7" t="s">
        <v>46</v>
      </c>
      <c r="B1185" s="7" t="s">
        <v>14</v>
      </c>
      <c r="C1185" s="6">
        <v>2024</v>
      </c>
      <c r="D1185" s="8">
        <v>12</v>
      </c>
      <c r="E1185" s="8">
        <f ca="1">IFERROR(__xludf.DUMMYFUNCTION("""COMPUTED_VALUE"""),0)</f>
        <v>0</v>
      </c>
    </row>
    <row r="1186" spans="1:5" ht="15.75" customHeight="1" x14ac:dyDescent="0.25">
      <c r="A1186" s="7" t="s">
        <v>46</v>
      </c>
      <c r="B1186" s="7" t="s">
        <v>15</v>
      </c>
      <c r="C1186" s="6">
        <v>2024</v>
      </c>
      <c r="D1186" s="8">
        <v>12</v>
      </c>
      <c r="E1186" s="8">
        <f ca="1">IFERROR(__xludf.DUMMYFUNCTION("""COMPUTED_VALUE"""),3127.27272727272)</f>
        <v>3127.2727272727202</v>
      </c>
    </row>
    <row r="1187" spans="1:5" ht="15.75" customHeight="1" x14ac:dyDescent="0.25">
      <c r="A1187" s="7" t="s">
        <v>46</v>
      </c>
      <c r="B1187" s="7" t="s">
        <v>2</v>
      </c>
      <c r="C1187" s="6">
        <v>2024</v>
      </c>
      <c r="D1187" s="8">
        <v>12</v>
      </c>
      <c r="E1187" s="8">
        <f ca="1">IFERROR(__xludf.DUMMYFUNCTION("""COMPUTED_VALUE"""),822.828947368421)</f>
        <v>822.82894736842104</v>
      </c>
    </row>
    <row r="1188" spans="1:5" ht="15.75" customHeight="1" x14ac:dyDescent="0.25">
      <c r="A1188" s="7" t="s">
        <v>46</v>
      </c>
      <c r="B1188" s="7" t="s">
        <v>16</v>
      </c>
      <c r="C1188" s="6">
        <v>2024</v>
      </c>
      <c r="D1188" s="8">
        <v>12</v>
      </c>
      <c r="E1188" s="8">
        <f ca="1">IFERROR(__xludf.DUMMYFUNCTION("""COMPUTED_VALUE"""),21785.5723098012)</f>
        <v>21785.572309801199</v>
      </c>
    </row>
    <row r="1189" spans="1:5" ht="15.75" customHeight="1" x14ac:dyDescent="0.25">
      <c r="A1189" s="7" t="s">
        <v>46</v>
      </c>
      <c r="B1189" s="7" t="s">
        <v>17</v>
      </c>
      <c r="C1189" s="6">
        <v>2024</v>
      </c>
      <c r="D1189" s="8">
        <v>12</v>
      </c>
      <c r="E1189" s="8">
        <f ca="1">IFERROR(__xludf.DUMMYFUNCTION("""COMPUTED_VALUE"""),20311.5)</f>
        <v>20311.5</v>
      </c>
    </row>
    <row r="1190" spans="1:5" ht="15.75" customHeight="1" x14ac:dyDescent="0.25">
      <c r="A1190" s="7" t="s">
        <v>47</v>
      </c>
      <c r="B1190" s="9" t="s">
        <v>5</v>
      </c>
      <c r="C1190" s="6">
        <v>2024</v>
      </c>
      <c r="D1190" s="8">
        <v>12</v>
      </c>
      <c r="E1190" s="8">
        <f ca="1">IFERROR(__xludf.DUMMYFUNCTION("TRANSPOSE(IMPORTRANGE(""https://docs.google.com/spreadsheets/d/1UBNDIB22NDBqqUlOVUWEEfB7VNFvljdWNbp2szC8yMI/edit?usp=sharing"",""Perhitungan Stok!$J$46:$J$57""))"),43786.329113924)</f>
        <v>43786.329113924003</v>
      </c>
    </row>
    <row r="1191" spans="1:5" ht="15.75" customHeight="1" x14ac:dyDescent="0.25">
      <c r="A1191" s="7" t="s">
        <v>47</v>
      </c>
      <c r="B1191" s="7" t="s">
        <v>3</v>
      </c>
      <c r="C1191" s="6">
        <v>2024</v>
      </c>
      <c r="D1191" s="8">
        <v>12</v>
      </c>
      <c r="E1191" s="8">
        <f ca="1">IFERROR(__xludf.DUMMYFUNCTION("""COMPUTED_VALUE"""),501.25)</f>
        <v>501.25</v>
      </c>
    </row>
    <row r="1192" spans="1:5" ht="15.75" customHeight="1" x14ac:dyDescent="0.25">
      <c r="A1192" s="7" t="s">
        <v>47</v>
      </c>
      <c r="B1192" s="7" t="s">
        <v>11</v>
      </c>
      <c r="C1192" s="6">
        <v>2024</v>
      </c>
      <c r="D1192" s="8">
        <v>12</v>
      </c>
      <c r="E1192" s="8">
        <f ca="1">IFERROR(__xludf.DUMMYFUNCTION("""COMPUTED_VALUE"""),9708.73)</f>
        <v>9708.73</v>
      </c>
    </row>
    <row r="1193" spans="1:5" ht="15.75" customHeight="1" x14ac:dyDescent="0.25">
      <c r="A1193" s="7" t="s">
        <v>47</v>
      </c>
      <c r="B1193" s="7" t="s">
        <v>12</v>
      </c>
      <c r="C1193" s="6">
        <v>2024</v>
      </c>
      <c r="D1193" s="8">
        <v>12</v>
      </c>
      <c r="E1193" s="8">
        <f ca="1">IFERROR(__xludf.DUMMYFUNCTION("""COMPUTED_VALUE"""),1182)</f>
        <v>1182</v>
      </c>
    </row>
    <row r="1194" spans="1:5" ht="15.75" customHeight="1" x14ac:dyDescent="0.25">
      <c r="A1194" s="7" t="s">
        <v>47</v>
      </c>
      <c r="B1194" s="7" t="s">
        <v>13</v>
      </c>
      <c r="C1194" s="6">
        <v>2024</v>
      </c>
      <c r="D1194" s="8">
        <v>12</v>
      </c>
      <c r="E1194" s="8">
        <f ca="1">IFERROR(__xludf.DUMMYFUNCTION("""COMPUTED_VALUE"""),1222)</f>
        <v>1222</v>
      </c>
    </row>
    <row r="1195" spans="1:5" ht="15.75" customHeight="1" x14ac:dyDescent="0.25">
      <c r="A1195" s="7" t="s">
        <v>47</v>
      </c>
      <c r="B1195" s="7" t="s">
        <v>4</v>
      </c>
      <c r="C1195" s="6">
        <v>2024</v>
      </c>
      <c r="D1195" s="8">
        <v>12</v>
      </c>
      <c r="E1195" s="8">
        <f ca="1">IFERROR(__xludf.DUMMYFUNCTION("""COMPUTED_VALUE"""),706)</f>
        <v>706</v>
      </c>
    </row>
    <row r="1196" spans="1:5" ht="15.75" customHeight="1" x14ac:dyDescent="0.25">
      <c r="A1196" s="7" t="s">
        <v>47</v>
      </c>
      <c r="B1196" s="7" t="s">
        <v>1</v>
      </c>
      <c r="C1196" s="6">
        <v>2024</v>
      </c>
      <c r="D1196" s="8">
        <v>12</v>
      </c>
      <c r="E1196" s="8">
        <f ca="1">IFERROR(__xludf.DUMMYFUNCTION("""COMPUTED_VALUE"""),456)</f>
        <v>456</v>
      </c>
    </row>
    <row r="1197" spans="1:5" ht="15.75" customHeight="1" x14ac:dyDescent="0.25">
      <c r="A1197" s="7" t="s">
        <v>47</v>
      </c>
      <c r="B1197" s="7" t="s">
        <v>14</v>
      </c>
      <c r="C1197" s="6">
        <v>2024</v>
      </c>
      <c r="D1197" s="8">
        <v>12</v>
      </c>
      <c r="E1197" s="8">
        <f ca="1">IFERROR(__xludf.DUMMYFUNCTION("""COMPUTED_VALUE"""),193.230769230769)</f>
        <v>193.230769230769</v>
      </c>
    </row>
    <row r="1198" spans="1:5" ht="15.75" customHeight="1" x14ac:dyDescent="0.25">
      <c r="A1198" s="7" t="s">
        <v>47</v>
      </c>
      <c r="B1198" s="7" t="s">
        <v>15</v>
      </c>
      <c r="C1198" s="6">
        <v>2024</v>
      </c>
      <c r="D1198" s="8">
        <v>12</v>
      </c>
      <c r="E1198" s="8">
        <f ca="1">IFERROR(__xludf.DUMMYFUNCTION("""COMPUTED_VALUE"""),5139)</f>
        <v>5139</v>
      </c>
    </row>
    <row r="1199" spans="1:5" ht="15.75" customHeight="1" x14ac:dyDescent="0.25">
      <c r="A1199" s="7" t="s">
        <v>47</v>
      </c>
      <c r="B1199" s="7" t="s">
        <v>2</v>
      </c>
      <c r="C1199" s="6">
        <v>2024</v>
      </c>
      <c r="D1199" s="8">
        <v>12</v>
      </c>
      <c r="E1199" s="8">
        <f ca="1">IFERROR(__xludf.DUMMYFUNCTION("""COMPUTED_VALUE"""),147.2)</f>
        <v>147.19999999999999</v>
      </c>
    </row>
    <row r="1200" spans="1:5" ht="15.75" customHeight="1" x14ac:dyDescent="0.25">
      <c r="A1200" s="7" t="s">
        <v>47</v>
      </c>
      <c r="B1200" s="7" t="s">
        <v>16</v>
      </c>
      <c r="C1200" s="6">
        <v>2024</v>
      </c>
      <c r="D1200" s="8">
        <v>12</v>
      </c>
      <c r="E1200" s="8">
        <f ca="1">IFERROR(__xludf.DUMMYFUNCTION("""COMPUTED_VALUE"""),25039.3740188383)</f>
        <v>25039.374018838302</v>
      </c>
    </row>
    <row r="1201" spans="1:5" ht="15.75" customHeight="1" x14ac:dyDescent="0.25">
      <c r="A1201" s="7" t="s">
        <v>47</v>
      </c>
      <c r="B1201" s="7" t="s">
        <v>17</v>
      </c>
      <c r="C1201" s="6">
        <v>2024</v>
      </c>
      <c r="D1201" s="8">
        <v>12</v>
      </c>
      <c r="E1201" s="8">
        <f ca="1">IFERROR(__xludf.DUMMYFUNCTION("""COMPUTED_VALUE"""),9477.98447058823)</f>
        <v>9477.9844705882297</v>
      </c>
    </row>
    <row r="1202" spans="1:5" ht="15.75" customHeight="1" x14ac:dyDescent="0.25">
      <c r="A1202" s="7" t="s">
        <v>48</v>
      </c>
      <c r="B1202" s="9" t="s">
        <v>5</v>
      </c>
      <c r="C1202" s="6">
        <v>2024</v>
      </c>
      <c r="D1202" s="8">
        <v>12</v>
      </c>
      <c r="E1202" s="8">
        <f ca="1">IFERROR(__xludf.DUMMYFUNCTION("TRANSPOSE(IMPORTRANGE(""https://docs.google.com/spreadsheets/d/1Neux5hclRUvn-l11oCucFs5U3HxYGAHbfPQXuRnkeiM/edit?usp=sharing"",""Perhitungan Stok!$J$46:$J$57""))"),42693.9018261015)</f>
        <v>42693.901826101501</v>
      </c>
    </row>
    <row r="1203" spans="1:5" ht="15.75" customHeight="1" x14ac:dyDescent="0.25">
      <c r="A1203" s="7" t="s">
        <v>48</v>
      </c>
      <c r="B1203" s="7" t="s">
        <v>3</v>
      </c>
      <c r="C1203" s="6">
        <v>2024</v>
      </c>
      <c r="D1203" s="8">
        <v>12</v>
      </c>
      <c r="E1203" s="8" t="str">
        <f ca="1">IFERROR(__xludf.DUMMYFUNCTION("""COMPUTED_VALUE"""),"NULL")</f>
        <v>NULL</v>
      </c>
    </row>
    <row r="1204" spans="1:5" ht="15.75" customHeight="1" x14ac:dyDescent="0.25">
      <c r="A1204" s="7" t="s">
        <v>48</v>
      </c>
      <c r="B1204" s="7" t="s">
        <v>11</v>
      </c>
      <c r="C1204" s="6">
        <v>2024</v>
      </c>
      <c r="D1204" s="8">
        <v>12</v>
      </c>
      <c r="E1204" s="8">
        <f ca="1">IFERROR(__xludf.DUMMYFUNCTION("""COMPUTED_VALUE"""),-10200)</f>
        <v>-10200</v>
      </c>
    </row>
    <row r="1205" spans="1:5" ht="15.75" customHeight="1" x14ac:dyDescent="0.25">
      <c r="A1205" s="7" t="s">
        <v>48</v>
      </c>
      <c r="B1205" s="7" t="s">
        <v>12</v>
      </c>
      <c r="C1205" s="6">
        <v>2024</v>
      </c>
      <c r="D1205" s="8">
        <v>12</v>
      </c>
      <c r="E1205" s="8">
        <f ca="1">IFERROR(__xludf.DUMMYFUNCTION("""COMPUTED_VALUE"""),4240)</f>
        <v>4240</v>
      </c>
    </row>
    <row r="1206" spans="1:5" ht="15.75" customHeight="1" x14ac:dyDescent="0.25">
      <c r="A1206" s="7" t="s">
        <v>48</v>
      </c>
      <c r="B1206" s="7" t="s">
        <v>13</v>
      </c>
      <c r="C1206" s="6">
        <v>2024</v>
      </c>
      <c r="D1206" s="8">
        <v>12</v>
      </c>
      <c r="E1206" s="8">
        <f ca="1">IFERROR(__xludf.DUMMYFUNCTION("""COMPUTED_VALUE"""),75)</f>
        <v>75</v>
      </c>
    </row>
    <row r="1207" spans="1:5" ht="15.75" customHeight="1" x14ac:dyDescent="0.25">
      <c r="A1207" s="7" t="s">
        <v>48</v>
      </c>
      <c r="B1207" s="7" t="s">
        <v>4</v>
      </c>
      <c r="C1207" s="6">
        <v>2024</v>
      </c>
      <c r="D1207" s="8">
        <v>12</v>
      </c>
      <c r="E1207" s="8">
        <f ca="1">IFERROR(__xludf.DUMMYFUNCTION("""COMPUTED_VALUE"""),60)</f>
        <v>60</v>
      </c>
    </row>
    <row r="1208" spans="1:5" ht="15.75" customHeight="1" x14ac:dyDescent="0.25">
      <c r="A1208" s="7" t="s">
        <v>48</v>
      </c>
      <c r="B1208" s="7" t="s">
        <v>1</v>
      </c>
      <c r="C1208" s="6">
        <v>2024</v>
      </c>
      <c r="D1208" s="8">
        <v>12</v>
      </c>
      <c r="E1208" s="8">
        <f ca="1">IFERROR(__xludf.DUMMYFUNCTION("""COMPUTED_VALUE"""),335)</f>
        <v>335</v>
      </c>
    </row>
    <row r="1209" spans="1:5" ht="15.75" customHeight="1" x14ac:dyDescent="0.25">
      <c r="A1209" s="7" t="s">
        <v>48</v>
      </c>
      <c r="B1209" s="7" t="s">
        <v>14</v>
      </c>
      <c r="C1209" s="6">
        <v>2024</v>
      </c>
      <c r="D1209" s="8">
        <v>12</v>
      </c>
      <c r="E1209" s="8">
        <f ca="1">IFERROR(__xludf.DUMMYFUNCTION("""COMPUTED_VALUE"""),0)</f>
        <v>0</v>
      </c>
    </row>
    <row r="1210" spans="1:5" ht="15.75" customHeight="1" x14ac:dyDescent="0.25">
      <c r="A1210" s="7" t="s">
        <v>48</v>
      </c>
      <c r="B1210" s="7" t="s">
        <v>15</v>
      </c>
      <c r="C1210" s="6">
        <v>2024</v>
      </c>
      <c r="D1210" s="8">
        <v>12</v>
      </c>
      <c r="E1210" s="8">
        <f ca="1">IFERROR(__xludf.DUMMYFUNCTION("""COMPUTED_VALUE"""),0)</f>
        <v>0</v>
      </c>
    </row>
    <row r="1211" spans="1:5" ht="15.75" customHeight="1" x14ac:dyDescent="0.25">
      <c r="A1211" s="7" t="s">
        <v>48</v>
      </c>
      <c r="B1211" s="7" t="s">
        <v>2</v>
      </c>
      <c r="C1211" s="6">
        <v>2024</v>
      </c>
      <c r="D1211" s="8">
        <v>12</v>
      </c>
      <c r="E1211" s="8">
        <f ca="1">IFERROR(__xludf.DUMMYFUNCTION("""COMPUTED_VALUE"""),1406)</f>
        <v>1406</v>
      </c>
    </row>
    <row r="1212" spans="1:5" ht="15.75" customHeight="1" x14ac:dyDescent="0.25">
      <c r="A1212" s="7" t="s">
        <v>48</v>
      </c>
      <c r="B1212" s="7" t="s">
        <v>16</v>
      </c>
      <c r="C1212" s="6">
        <v>2024</v>
      </c>
      <c r="D1212" s="8">
        <v>12</v>
      </c>
      <c r="E1212" s="8">
        <f ca="1">IFERROR(__xludf.DUMMYFUNCTION("""COMPUTED_VALUE"""),37975.3846153846)</f>
        <v>37975.384615384603</v>
      </c>
    </row>
    <row r="1213" spans="1:5" ht="15.75" customHeight="1" x14ac:dyDescent="0.25">
      <c r="A1213" s="7" t="s">
        <v>48</v>
      </c>
      <c r="B1213" s="7" t="s">
        <v>17</v>
      </c>
      <c r="C1213" s="6">
        <v>2024</v>
      </c>
      <c r="D1213" s="8">
        <v>12</v>
      </c>
      <c r="E1213" s="8">
        <f ca="1">IFERROR(__xludf.DUMMYFUNCTION("""COMPUTED_VALUE"""),9232.58817533129)</f>
        <v>9232.5881753312897</v>
      </c>
    </row>
    <row r="1214" spans="1:5" ht="15.75" customHeight="1" x14ac:dyDescent="0.25">
      <c r="A1214" s="7" t="s">
        <v>49</v>
      </c>
      <c r="B1214" s="9" t="s">
        <v>5</v>
      </c>
      <c r="C1214" s="6">
        <v>2024</v>
      </c>
      <c r="D1214" s="8">
        <v>12</v>
      </c>
      <c r="E1214" s="8">
        <f ca="1">IFERROR(__xludf.DUMMYFUNCTION("TRANSPOSE(IMPORTRANGE(""https://docs.google.com/spreadsheets/d/1YP2JnoksgNTGTq3Y_cG0aVYHnh52cpd0EbwD2VhFviE/edit?usp=sharing"",""Perhitungan Stok!$J$46:$J$57""))"),239504.042853877)</f>
        <v>239504.04285387701</v>
      </c>
    </row>
    <row r="1215" spans="1:5" ht="15.75" customHeight="1" x14ac:dyDescent="0.25">
      <c r="A1215" s="7" t="s">
        <v>49</v>
      </c>
      <c r="B1215" s="7" t="s">
        <v>3</v>
      </c>
      <c r="C1215" s="6">
        <v>2024</v>
      </c>
      <c r="D1215" s="8">
        <v>12</v>
      </c>
      <c r="E1215" s="8">
        <f ca="1">IFERROR(__xludf.DUMMYFUNCTION("""COMPUTED_VALUE"""),11315.2)</f>
        <v>11315.2</v>
      </c>
    </row>
    <row r="1216" spans="1:5" ht="15.75" customHeight="1" x14ac:dyDescent="0.25">
      <c r="A1216" s="7" t="s">
        <v>49</v>
      </c>
      <c r="B1216" s="7" t="s">
        <v>11</v>
      </c>
      <c r="C1216" s="6">
        <v>2024</v>
      </c>
      <c r="D1216" s="8">
        <v>12</v>
      </c>
      <c r="E1216" s="8">
        <f ca="1">IFERROR(__xludf.DUMMYFUNCTION("""COMPUTED_VALUE"""),245723.823475409)</f>
        <v>245723.82347540901</v>
      </c>
    </row>
    <row r="1217" spans="1:5" ht="15.75" customHeight="1" x14ac:dyDescent="0.25">
      <c r="A1217" s="7" t="s">
        <v>49</v>
      </c>
      <c r="B1217" s="7" t="s">
        <v>12</v>
      </c>
      <c r="C1217" s="6">
        <v>2024</v>
      </c>
      <c r="D1217" s="8">
        <v>12</v>
      </c>
      <c r="E1217" s="8">
        <f ca="1">IFERROR(__xludf.DUMMYFUNCTION("""COMPUTED_VALUE"""),0)</f>
        <v>0</v>
      </c>
    </row>
    <row r="1218" spans="1:5" ht="15.75" customHeight="1" x14ac:dyDescent="0.25">
      <c r="A1218" s="7" t="s">
        <v>49</v>
      </c>
      <c r="B1218" s="7" t="s">
        <v>13</v>
      </c>
      <c r="C1218" s="6">
        <v>2024</v>
      </c>
      <c r="D1218" s="8">
        <v>12</v>
      </c>
      <c r="E1218" s="8">
        <f ca="1">IFERROR(__xludf.DUMMYFUNCTION("""COMPUTED_VALUE"""),68504.4767427513)</f>
        <v>68504.4767427513</v>
      </c>
    </row>
    <row r="1219" spans="1:5" ht="15.75" customHeight="1" x14ac:dyDescent="0.25">
      <c r="A1219" s="7" t="s">
        <v>49</v>
      </c>
      <c r="B1219" s="7" t="s">
        <v>4</v>
      </c>
      <c r="C1219" s="6">
        <v>2024</v>
      </c>
      <c r="D1219" s="8">
        <v>12</v>
      </c>
      <c r="E1219" s="8">
        <f ca="1">IFERROR(__xludf.DUMMYFUNCTION("""COMPUTED_VALUE"""),21350)</f>
        <v>21350</v>
      </c>
    </row>
    <row r="1220" spans="1:5" ht="15.75" customHeight="1" x14ac:dyDescent="0.25">
      <c r="A1220" s="7" t="s">
        <v>49</v>
      </c>
      <c r="B1220" s="7" t="s">
        <v>1</v>
      </c>
      <c r="C1220" s="6">
        <v>2024</v>
      </c>
      <c r="D1220" s="8">
        <v>12</v>
      </c>
      <c r="E1220" s="8">
        <f ca="1">IFERROR(__xludf.DUMMYFUNCTION("""COMPUTED_VALUE"""),20799.9999999999)</f>
        <v>20799.999999999902</v>
      </c>
    </row>
    <row r="1221" spans="1:5" ht="15.75" customHeight="1" x14ac:dyDescent="0.25">
      <c r="A1221" s="7" t="s">
        <v>49</v>
      </c>
      <c r="B1221" s="7" t="s">
        <v>14</v>
      </c>
      <c r="C1221" s="6">
        <v>2024</v>
      </c>
      <c r="D1221" s="8">
        <v>12</v>
      </c>
      <c r="E1221" s="8">
        <f ca="1">IFERROR(__xludf.DUMMYFUNCTION("""COMPUTED_VALUE"""),44607.4434782608)</f>
        <v>44607.4434782608</v>
      </c>
    </row>
    <row r="1222" spans="1:5" ht="15.75" customHeight="1" x14ac:dyDescent="0.25">
      <c r="A1222" s="7" t="s">
        <v>49</v>
      </c>
      <c r="B1222" s="7" t="s">
        <v>15</v>
      </c>
      <c r="C1222" s="6">
        <v>2024</v>
      </c>
      <c r="D1222" s="8">
        <v>12</v>
      </c>
      <c r="E1222" s="8">
        <f ca="1">IFERROR(__xludf.DUMMYFUNCTION("""COMPUTED_VALUE"""),19797.6)</f>
        <v>19797.599999999999</v>
      </c>
    </row>
    <row r="1223" spans="1:5" ht="15.75" customHeight="1" x14ac:dyDescent="0.25">
      <c r="A1223" s="7" t="s">
        <v>49</v>
      </c>
      <c r="B1223" s="7" t="s">
        <v>2</v>
      </c>
      <c r="C1223" s="6">
        <v>2024</v>
      </c>
      <c r="D1223" s="8">
        <v>12</v>
      </c>
      <c r="E1223" s="8">
        <f ca="1">IFERROR(__xludf.DUMMYFUNCTION("""COMPUTED_VALUE"""),105087.19620853)</f>
        <v>105087.19620853</v>
      </c>
    </row>
    <row r="1224" spans="1:5" ht="15.75" customHeight="1" x14ac:dyDescent="0.25">
      <c r="A1224" s="7" t="s">
        <v>49</v>
      </c>
      <c r="B1224" s="7" t="s">
        <v>16</v>
      </c>
      <c r="C1224" s="6">
        <v>2024</v>
      </c>
      <c r="D1224" s="8">
        <v>12</v>
      </c>
      <c r="E1224" s="8">
        <f ca="1">IFERROR(__xludf.DUMMYFUNCTION("""COMPUTED_VALUE"""),89261.4456654456)</f>
        <v>89261.445665445601</v>
      </c>
    </row>
    <row r="1225" spans="1:5" ht="15.75" customHeight="1" x14ac:dyDescent="0.25">
      <c r="A1225" s="7" t="s">
        <v>49</v>
      </c>
      <c r="B1225" s="7" t="s">
        <v>17</v>
      </c>
      <c r="C1225" s="6">
        <v>2024</v>
      </c>
      <c r="D1225" s="8">
        <v>12</v>
      </c>
      <c r="E1225" s="8">
        <f ca="1">IFERROR(__xludf.DUMMYFUNCTION("""COMPUTED_VALUE"""),165363.506809728)</f>
        <v>165363.50680972799</v>
      </c>
    </row>
    <row r="1226" spans="1:5" ht="15.75" customHeight="1" x14ac:dyDescent="0.25">
      <c r="A1226" s="7" t="s">
        <v>50</v>
      </c>
      <c r="B1226" s="9" t="s">
        <v>5</v>
      </c>
      <c r="C1226" s="6">
        <v>2024</v>
      </c>
      <c r="D1226" s="8">
        <v>12</v>
      </c>
      <c r="E1226" s="8">
        <f ca="1">IFERROR(__xludf.DUMMYFUNCTION("TRANSPOSE(IMPORTRANGE(""https://docs.google.com/spreadsheets/d/1mT3IjyNoODrU_LG3JEun9khz8b3FeOSoNSOv43fG8HI/edit?usp=sharing"",""Perhitungan Stok!$J$46:$J$57""))"),0)</f>
        <v>0</v>
      </c>
    </row>
    <row r="1227" spans="1:5" ht="15.75" customHeight="1" x14ac:dyDescent="0.25">
      <c r="A1227" s="7" t="s">
        <v>50</v>
      </c>
      <c r="B1227" s="7" t="s">
        <v>3</v>
      </c>
      <c r="C1227" s="6">
        <v>2024</v>
      </c>
      <c r="D1227" s="8">
        <v>12</v>
      </c>
      <c r="E1227" s="8">
        <f ca="1">IFERROR(__xludf.DUMMYFUNCTION("""COMPUTED_VALUE"""),0)</f>
        <v>0</v>
      </c>
    </row>
    <row r="1228" spans="1:5" ht="15.75" customHeight="1" x14ac:dyDescent="0.25">
      <c r="A1228" s="7" t="s">
        <v>50</v>
      </c>
      <c r="B1228" s="7" t="s">
        <v>11</v>
      </c>
      <c r="C1228" s="6">
        <v>2024</v>
      </c>
      <c r="D1228" s="8">
        <v>12</v>
      </c>
      <c r="E1228" s="8">
        <f ca="1">IFERROR(__xludf.DUMMYFUNCTION("""COMPUTED_VALUE"""),0)</f>
        <v>0</v>
      </c>
    </row>
    <row r="1229" spans="1:5" ht="15.75" customHeight="1" x14ac:dyDescent="0.25">
      <c r="A1229" s="7" t="s">
        <v>50</v>
      </c>
      <c r="B1229" s="7" t="s">
        <v>12</v>
      </c>
      <c r="C1229" s="6">
        <v>2024</v>
      </c>
      <c r="D1229" s="8">
        <v>12</v>
      </c>
      <c r="E1229" s="8">
        <f ca="1">IFERROR(__xludf.DUMMYFUNCTION("""COMPUTED_VALUE"""),0)</f>
        <v>0</v>
      </c>
    </row>
    <row r="1230" spans="1:5" ht="15.75" customHeight="1" x14ac:dyDescent="0.25">
      <c r="A1230" s="7" t="s">
        <v>50</v>
      </c>
      <c r="B1230" s="7" t="s">
        <v>13</v>
      </c>
      <c r="C1230" s="6">
        <v>2024</v>
      </c>
      <c r="D1230" s="8">
        <v>12</v>
      </c>
      <c r="E1230" s="8">
        <f ca="1">IFERROR(__xludf.DUMMYFUNCTION("""COMPUTED_VALUE"""),0)</f>
        <v>0</v>
      </c>
    </row>
    <row r="1231" spans="1:5" ht="15.75" customHeight="1" x14ac:dyDescent="0.25">
      <c r="A1231" s="7" t="s">
        <v>50</v>
      </c>
      <c r="B1231" s="7" t="s">
        <v>4</v>
      </c>
      <c r="C1231" s="6">
        <v>2024</v>
      </c>
      <c r="D1231" s="8">
        <v>12</v>
      </c>
      <c r="E1231" s="8">
        <f ca="1">IFERROR(__xludf.DUMMYFUNCTION("""COMPUTED_VALUE"""),0)</f>
        <v>0</v>
      </c>
    </row>
    <row r="1232" spans="1:5" ht="15.75" customHeight="1" x14ac:dyDescent="0.25">
      <c r="A1232" s="7" t="s">
        <v>50</v>
      </c>
      <c r="B1232" s="7" t="s">
        <v>1</v>
      </c>
      <c r="C1232" s="6">
        <v>2024</v>
      </c>
      <c r="D1232" s="8">
        <v>12</v>
      </c>
      <c r="E1232" s="8">
        <f ca="1">IFERROR(__xludf.DUMMYFUNCTION("""COMPUTED_VALUE"""),0)</f>
        <v>0</v>
      </c>
    </row>
    <row r="1233" spans="1:5" ht="15.75" customHeight="1" x14ac:dyDescent="0.25">
      <c r="A1233" s="7" t="s">
        <v>50</v>
      </c>
      <c r="B1233" s="7" t="s">
        <v>14</v>
      </c>
      <c r="C1233" s="6">
        <v>2024</v>
      </c>
      <c r="D1233" s="8">
        <v>12</v>
      </c>
      <c r="E1233" s="8">
        <f ca="1">IFERROR(__xludf.DUMMYFUNCTION("""COMPUTED_VALUE"""),0)</f>
        <v>0</v>
      </c>
    </row>
    <row r="1234" spans="1:5" ht="15.75" customHeight="1" x14ac:dyDescent="0.25">
      <c r="A1234" s="7" t="s">
        <v>50</v>
      </c>
      <c r="B1234" s="7" t="s">
        <v>15</v>
      </c>
      <c r="C1234" s="6">
        <v>2024</v>
      </c>
      <c r="D1234" s="8">
        <v>12</v>
      </c>
      <c r="E1234" s="8">
        <f ca="1">IFERROR(__xludf.DUMMYFUNCTION("""COMPUTED_VALUE"""),0)</f>
        <v>0</v>
      </c>
    </row>
    <row r="1235" spans="1:5" ht="15.75" customHeight="1" x14ac:dyDescent="0.25">
      <c r="A1235" s="7" t="s">
        <v>50</v>
      </c>
      <c r="B1235" s="7" t="s">
        <v>2</v>
      </c>
      <c r="C1235" s="6">
        <v>2024</v>
      </c>
      <c r="D1235" s="8">
        <v>12</v>
      </c>
      <c r="E1235" s="8">
        <f ca="1">IFERROR(__xludf.DUMMYFUNCTION("""COMPUTED_VALUE"""),0)</f>
        <v>0</v>
      </c>
    </row>
    <row r="1236" spans="1:5" ht="15.75" customHeight="1" x14ac:dyDescent="0.25">
      <c r="A1236" s="7" t="s">
        <v>50</v>
      </c>
      <c r="B1236" s="7" t="s">
        <v>16</v>
      </c>
      <c r="C1236" s="6">
        <v>2024</v>
      </c>
      <c r="D1236" s="8">
        <v>12</v>
      </c>
      <c r="E1236" s="8">
        <f ca="1">IFERROR(__xludf.DUMMYFUNCTION("""COMPUTED_VALUE"""),0)</f>
        <v>0</v>
      </c>
    </row>
    <row r="1237" spans="1:5" ht="15.75" customHeight="1" x14ac:dyDescent="0.25">
      <c r="A1237" s="7" t="s">
        <v>50</v>
      </c>
      <c r="B1237" s="7" t="s">
        <v>17</v>
      </c>
      <c r="C1237" s="6">
        <v>2024</v>
      </c>
      <c r="D1237" s="8">
        <v>12</v>
      </c>
      <c r="E1237" s="8">
        <f ca="1">IFERROR(__xludf.DUMMYFUNCTION("""COMPUTED_VALUE"""),0)</f>
        <v>0</v>
      </c>
    </row>
    <row r="1238" spans="1:5" ht="15.75" customHeight="1" x14ac:dyDescent="0.25">
      <c r="A1238" s="7" t="s">
        <v>51</v>
      </c>
      <c r="B1238" s="9" t="s">
        <v>5</v>
      </c>
      <c r="C1238" s="6">
        <v>2024</v>
      </c>
      <c r="D1238" s="8">
        <v>12</v>
      </c>
      <c r="E1238" s="8">
        <f ca="1">IFERROR(__xludf.DUMMYFUNCTION("TRANSPOSE(IMPORTRANGE(""https://docs.google.com/spreadsheets/d/18yT69aQlf6J1sEmVuUDlca7R2wc3eYvTk7Wv4aA2uKk/edit?usp=sharing"",""Perhitungan Stok!$J$46:$J$57""))"),20641.5379026521)</f>
        <v>20641.5379026521</v>
      </c>
    </row>
    <row r="1239" spans="1:5" ht="15.75" customHeight="1" x14ac:dyDescent="0.25">
      <c r="A1239" s="7" t="s">
        <v>51</v>
      </c>
      <c r="B1239" s="7" t="s">
        <v>3</v>
      </c>
      <c r="C1239" s="6">
        <v>2024</v>
      </c>
      <c r="D1239" s="8">
        <v>12</v>
      </c>
      <c r="E1239" s="8" t="str">
        <f ca="1">IFERROR(__xludf.DUMMYFUNCTION("""COMPUTED_VALUE"""),"NULL")</f>
        <v>NULL</v>
      </c>
    </row>
    <row r="1240" spans="1:5" ht="15.75" customHeight="1" x14ac:dyDescent="0.25">
      <c r="A1240" s="7" t="s">
        <v>51</v>
      </c>
      <c r="B1240" s="7" t="s">
        <v>11</v>
      </c>
      <c r="C1240" s="6">
        <v>2024</v>
      </c>
      <c r="D1240" s="8">
        <v>12</v>
      </c>
      <c r="E1240" s="8">
        <f ca="1">IFERROR(__xludf.DUMMYFUNCTION("""COMPUTED_VALUE"""),0)</f>
        <v>0</v>
      </c>
    </row>
    <row r="1241" spans="1:5" ht="15.75" customHeight="1" x14ac:dyDescent="0.25">
      <c r="A1241" s="7" t="s">
        <v>51</v>
      </c>
      <c r="B1241" s="7" t="s">
        <v>12</v>
      </c>
      <c r="C1241" s="6">
        <v>2024</v>
      </c>
      <c r="D1241" s="8">
        <v>12</v>
      </c>
      <c r="E1241" s="8">
        <f ca="1">IFERROR(__xludf.DUMMYFUNCTION("""COMPUTED_VALUE"""),0)</f>
        <v>0</v>
      </c>
    </row>
    <row r="1242" spans="1:5" ht="15.75" customHeight="1" x14ac:dyDescent="0.25">
      <c r="A1242" s="7" t="s">
        <v>51</v>
      </c>
      <c r="B1242" s="7" t="s">
        <v>13</v>
      </c>
      <c r="C1242" s="6">
        <v>2024</v>
      </c>
      <c r="D1242" s="8">
        <v>12</v>
      </c>
      <c r="E1242" s="8">
        <f ca="1">IFERROR(__xludf.DUMMYFUNCTION("""COMPUTED_VALUE"""),0)</f>
        <v>0</v>
      </c>
    </row>
    <row r="1243" spans="1:5" ht="15.75" customHeight="1" x14ac:dyDescent="0.25">
      <c r="A1243" s="7" t="s">
        <v>51</v>
      </c>
      <c r="B1243" s="7" t="s">
        <v>4</v>
      </c>
      <c r="C1243" s="6">
        <v>2024</v>
      </c>
      <c r="D1243" s="8">
        <v>12</v>
      </c>
      <c r="E1243" s="8">
        <f ca="1">IFERROR(__xludf.DUMMYFUNCTION("""COMPUTED_VALUE"""),0)</f>
        <v>0</v>
      </c>
    </row>
    <row r="1244" spans="1:5" ht="15.75" customHeight="1" x14ac:dyDescent="0.25">
      <c r="A1244" s="7" t="s">
        <v>51</v>
      </c>
      <c r="B1244" s="7" t="s">
        <v>1</v>
      </c>
      <c r="C1244" s="6">
        <v>2024</v>
      </c>
      <c r="D1244" s="8">
        <v>12</v>
      </c>
      <c r="E1244" s="8">
        <f ca="1">IFERROR(__xludf.DUMMYFUNCTION("""COMPUTED_VALUE"""),0)</f>
        <v>0</v>
      </c>
    </row>
    <row r="1245" spans="1:5" ht="15.75" customHeight="1" x14ac:dyDescent="0.25">
      <c r="A1245" s="7" t="s">
        <v>51</v>
      </c>
      <c r="B1245" s="7" t="s">
        <v>14</v>
      </c>
      <c r="C1245" s="6">
        <v>2024</v>
      </c>
      <c r="D1245" s="8">
        <v>12</v>
      </c>
      <c r="E1245" s="8">
        <f ca="1">IFERROR(__xludf.DUMMYFUNCTION("""COMPUTED_VALUE"""),0)</f>
        <v>0</v>
      </c>
    </row>
    <row r="1246" spans="1:5" ht="15.75" customHeight="1" x14ac:dyDescent="0.25">
      <c r="A1246" s="7" t="s">
        <v>51</v>
      </c>
      <c r="B1246" s="7" t="s">
        <v>15</v>
      </c>
      <c r="C1246" s="6">
        <v>2024</v>
      </c>
      <c r="D1246" s="8">
        <v>12</v>
      </c>
      <c r="E1246" s="8">
        <f ca="1">IFERROR(__xludf.DUMMYFUNCTION("""COMPUTED_VALUE"""),0)</f>
        <v>0</v>
      </c>
    </row>
    <row r="1247" spans="1:5" ht="15.75" customHeight="1" x14ac:dyDescent="0.25">
      <c r="A1247" s="7" t="s">
        <v>51</v>
      </c>
      <c r="B1247" s="7" t="s">
        <v>2</v>
      </c>
      <c r="C1247" s="6">
        <v>2024</v>
      </c>
      <c r="D1247" s="8">
        <v>12</v>
      </c>
      <c r="E1247" s="8">
        <f ca="1">IFERROR(__xludf.DUMMYFUNCTION("""COMPUTED_VALUE"""),2383.57300884955)</f>
        <v>2383.5730088495502</v>
      </c>
    </row>
    <row r="1248" spans="1:5" ht="15.75" customHeight="1" x14ac:dyDescent="0.25">
      <c r="A1248" s="7" t="s">
        <v>51</v>
      </c>
      <c r="B1248" s="7" t="s">
        <v>16</v>
      </c>
      <c r="C1248" s="6">
        <v>2024</v>
      </c>
      <c r="D1248" s="8">
        <v>12</v>
      </c>
      <c r="E1248" s="8">
        <f ca="1">IFERROR(__xludf.DUMMYFUNCTION("""COMPUTED_VALUE"""),4712.35934664246)</f>
        <v>4712.35934664246</v>
      </c>
    </row>
    <row r="1249" spans="1:5" ht="15.75" customHeight="1" x14ac:dyDescent="0.25">
      <c r="A1249" s="7" t="s">
        <v>51</v>
      </c>
      <c r="B1249" s="7" t="s">
        <v>17</v>
      </c>
      <c r="C1249" s="6">
        <v>2024</v>
      </c>
      <c r="D1249" s="8">
        <v>12</v>
      </c>
      <c r="E1249" s="8">
        <f ca="1">IFERROR(__xludf.DUMMYFUNCTION("""COMPUTED_VALUE"""),8949.63391136801)</f>
        <v>8949.6339113680096</v>
      </c>
    </row>
    <row r="1250" spans="1:5" ht="15.75" customHeight="1" x14ac:dyDescent="0.25">
      <c r="A1250" s="7" t="s">
        <v>52</v>
      </c>
      <c r="B1250" s="9" t="s">
        <v>5</v>
      </c>
      <c r="C1250" s="6">
        <v>2024</v>
      </c>
      <c r="D1250" s="8">
        <v>12</v>
      </c>
      <c r="E1250" s="8">
        <f ca="1">IFERROR(__xludf.DUMMYFUNCTION("TRANSPOSE(IMPORTRANGE(""https://docs.google.com/spreadsheets/d/1uZDbd7QqVDyXIy3J32lMUgNi0cYm-p80FJc-hWxxacs/edit?usp=sharing"",""Perhitungan Stok!$J$46:$J$57""))"),485148.775340538)</f>
        <v>485148.77534053801</v>
      </c>
    </row>
    <row r="1251" spans="1:5" ht="15.75" customHeight="1" x14ac:dyDescent="0.25">
      <c r="A1251" s="7" t="s">
        <v>52</v>
      </c>
      <c r="B1251" s="7" t="s">
        <v>3</v>
      </c>
      <c r="C1251" s="6">
        <v>2024</v>
      </c>
      <c r="D1251" s="8">
        <v>12</v>
      </c>
      <c r="E1251" s="8">
        <f ca="1">IFERROR(__xludf.DUMMYFUNCTION("""COMPUTED_VALUE"""),38.25)</f>
        <v>38.25</v>
      </c>
    </row>
    <row r="1252" spans="1:5" ht="15.75" customHeight="1" x14ac:dyDescent="0.25">
      <c r="A1252" s="7" t="s">
        <v>52</v>
      </c>
      <c r="B1252" s="7" t="s">
        <v>11</v>
      </c>
      <c r="C1252" s="6">
        <v>2024</v>
      </c>
      <c r="D1252" s="8">
        <v>12</v>
      </c>
      <c r="E1252" s="8">
        <f ca="1">IFERROR(__xludf.DUMMYFUNCTION("""COMPUTED_VALUE"""),9501.1875)</f>
        <v>9501.1875</v>
      </c>
    </row>
    <row r="1253" spans="1:5" ht="15.75" customHeight="1" x14ac:dyDescent="0.25">
      <c r="A1253" s="7" t="s">
        <v>52</v>
      </c>
      <c r="B1253" s="7" t="s">
        <v>12</v>
      </c>
      <c r="C1253" s="6">
        <v>2024</v>
      </c>
      <c r="D1253" s="8">
        <v>12</v>
      </c>
      <c r="E1253" s="8">
        <f ca="1">IFERROR(__xludf.DUMMYFUNCTION("""COMPUTED_VALUE"""),21.5)</f>
        <v>21.5</v>
      </c>
    </row>
    <row r="1254" spans="1:5" ht="15.75" customHeight="1" x14ac:dyDescent="0.25">
      <c r="A1254" s="7" t="s">
        <v>52</v>
      </c>
      <c r="B1254" s="7" t="s">
        <v>13</v>
      </c>
      <c r="C1254" s="6">
        <v>2024</v>
      </c>
      <c r="D1254" s="8">
        <v>12</v>
      </c>
      <c r="E1254" s="8">
        <f ca="1">IFERROR(__xludf.DUMMYFUNCTION("""COMPUTED_VALUE"""),1208.39155629139)</f>
        <v>1208.3915562913901</v>
      </c>
    </row>
    <row r="1255" spans="1:5" ht="15.75" customHeight="1" x14ac:dyDescent="0.25">
      <c r="A1255" s="7" t="s">
        <v>52</v>
      </c>
      <c r="B1255" s="7" t="s">
        <v>4</v>
      </c>
      <c r="C1255" s="6">
        <v>2024</v>
      </c>
      <c r="D1255" s="8">
        <v>12</v>
      </c>
      <c r="E1255" s="8">
        <f ca="1">IFERROR(__xludf.DUMMYFUNCTION("""COMPUTED_VALUE"""),65)</f>
        <v>65</v>
      </c>
    </row>
    <row r="1256" spans="1:5" ht="15.75" customHeight="1" x14ac:dyDescent="0.25">
      <c r="A1256" s="7" t="s">
        <v>52</v>
      </c>
      <c r="B1256" s="7" t="s">
        <v>1</v>
      </c>
      <c r="C1256" s="6">
        <v>2024</v>
      </c>
      <c r="D1256" s="8">
        <v>12</v>
      </c>
      <c r="E1256" s="8">
        <f ca="1">IFERROR(__xludf.DUMMYFUNCTION("""COMPUTED_VALUE"""),72.5)</f>
        <v>72.5</v>
      </c>
    </row>
    <row r="1257" spans="1:5" ht="15.75" customHeight="1" x14ac:dyDescent="0.25">
      <c r="A1257" s="7" t="s">
        <v>52</v>
      </c>
      <c r="B1257" s="7" t="s">
        <v>14</v>
      </c>
      <c r="C1257" s="6">
        <v>2024</v>
      </c>
      <c r="D1257" s="8">
        <v>12</v>
      </c>
      <c r="E1257" s="8">
        <f ca="1">IFERROR(__xludf.DUMMYFUNCTION("""COMPUTED_VALUE"""),0)</f>
        <v>0</v>
      </c>
    </row>
    <row r="1258" spans="1:5" ht="15.75" customHeight="1" x14ac:dyDescent="0.25">
      <c r="A1258" s="7" t="s">
        <v>52</v>
      </c>
      <c r="B1258" s="7" t="s">
        <v>15</v>
      </c>
      <c r="C1258" s="6">
        <v>2024</v>
      </c>
      <c r="D1258" s="8">
        <v>12</v>
      </c>
      <c r="E1258" s="8">
        <f ca="1">IFERROR(__xludf.DUMMYFUNCTION("""COMPUTED_VALUE"""),1.31746031746031)</f>
        <v>1.3174603174603099</v>
      </c>
    </row>
    <row r="1259" spans="1:5" ht="15.75" customHeight="1" x14ac:dyDescent="0.25">
      <c r="A1259" s="7" t="s">
        <v>52</v>
      </c>
      <c r="B1259" s="7" t="s">
        <v>2</v>
      </c>
      <c r="C1259" s="6">
        <v>2024</v>
      </c>
      <c r="D1259" s="8">
        <v>12</v>
      </c>
      <c r="E1259" s="8">
        <f ca="1">IFERROR(__xludf.DUMMYFUNCTION("""COMPUTED_VALUE"""),628.865979381443)</f>
        <v>628.86597938144303</v>
      </c>
    </row>
    <row r="1260" spans="1:5" ht="15.75" customHeight="1" x14ac:dyDescent="0.25">
      <c r="A1260" s="7" t="s">
        <v>52</v>
      </c>
      <c r="B1260" s="7" t="s">
        <v>16</v>
      </c>
      <c r="C1260" s="6">
        <v>2024</v>
      </c>
      <c r="D1260" s="8">
        <v>12</v>
      </c>
      <c r="E1260" s="8">
        <f ca="1">IFERROR(__xludf.DUMMYFUNCTION("""COMPUTED_VALUE"""),1354513.15561662)</f>
        <v>1354513.1556166201</v>
      </c>
    </row>
    <row r="1261" spans="1:5" ht="15.75" customHeight="1" x14ac:dyDescent="0.25">
      <c r="A1261" s="7" t="s">
        <v>52</v>
      </c>
      <c r="B1261" s="7" t="s">
        <v>17</v>
      </c>
      <c r="C1261" s="6">
        <v>2024</v>
      </c>
      <c r="D1261" s="8">
        <v>12</v>
      </c>
      <c r="E1261" s="8">
        <f ca="1">IFERROR(__xludf.DUMMYFUNCTION("""COMPUTED_VALUE"""),290271.097377557)</f>
        <v>290271.09737755702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/ MIA</cp:lastModifiedBy>
  <dcterms:modified xsi:type="dcterms:W3CDTF">2025-02-11T06:55:14Z</dcterms:modified>
</cp:coreProperties>
</file>