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klaStructuresModels\Test_model\hcsCheckerData\"/>
    </mc:Choice>
  </mc:AlternateContent>
  <xr:revisionPtr revIDLastSave="0" documentId="13_ncr:1_{BEF0597D-4F08-4CD3-BE09-1C180B78D9B0}" xr6:coauthVersionLast="47" xr6:coauthVersionMax="47" xr10:uidLastSave="{00000000-0000-0000-0000-000000000000}"/>
  <bookViews>
    <workbookView xWindow="37650" yWindow="1650" windowWidth="19155" windowHeight="11385" xr2:uid="{A7723341-39E2-4D03-BA76-830211858837}"/>
  </bookViews>
  <sheets>
    <sheet name="Calculation" sheetId="1" r:id="rId1"/>
    <sheet name="Helper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D83" i="1"/>
  <c r="D278" i="1" l="1"/>
  <c r="D269" i="1"/>
  <c r="D126" i="1"/>
  <c r="M18" i="2"/>
  <c r="M19" i="2"/>
  <c r="M20" i="2"/>
  <c r="M21" i="2"/>
  <c r="M22" i="2"/>
  <c r="M17" i="2"/>
  <c r="D123" i="1"/>
  <c r="D236" i="1"/>
  <c r="D234" i="1"/>
  <c r="D233" i="1"/>
  <c r="D263" i="1"/>
  <c r="D102" i="1"/>
  <c r="D217" i="1"/>
  <c r="L22" i="2"/>
  <c r="L21" i="2"/>
  <c r="L20" i="2"/>
  <c r="L19" i="2"/>
  <c r="L18" i="2"/>
  <c r="L17" i="2"/>
  <c r="D129" i="1"/>
  <c r="D128" i="1"/>
  <c r="J18" i="2"/>
  <c r="J19" i="2"/>
  <c r="J20" i="2"/>
  <c r="J21" i="2"/>
  <c r="J22" i="2"/>
  <c r="J17" i="2"/>
  <c r="I18" i="2"/>
  <c r="I19" i="2"/>
  <c r="I20" i="2"/>
  <c r="I21" i="2"/>
  <c r="I22" i="2"/>
  <c r="I17" i="2"/>
  <c r="H22" i="2"/>
  <c r="H21" i="2"/>
  <c r="H20" i="2"/>
  <c r="H19" i="2"/>
  <c r="H18" i="2"/>
  <c r="H17" i="2"/>
  <c r="D153" i="1"/>
  <c r="D156" i="1" s="1"/>
  <c r="D154" i="1"/>
  <c r="G18" i="2"/>
  <c r="G19" i="2"/>
  <c r="G20" i="2"/>
  <c r="G21" i="2"/>
  <c r="G22" i="2"/>
  <c r="G17" i="2"/>
  <c r="D120" i="1"/>
  <c r="E22" i="2"/>
  <c r="E21" i="2"/>
  <c r="E20" i="2"/>
  <c r="E19" i="2"/>
  <c r="E18" i="2"/>
  <c r="E17" i="2"/>
  <c r="D47" i="1"/>
  <c r="D107" i="1"/>
  <c r="D204" i="1" s="1"/>
  <c r="D202" i="1"/>
  <c r="D303" i="1"/>
  <c r="M21" i="1" s="1"/>
  <c r="D145" i="1"/>
  <c r="D146" i="1" s="1"/>
  <c r="M11" i="1" s="1"/>
  <c r="D99" i="1"/>
  <c r="D104" i="1" s="1"/>
  <c r="D150" i="1"/>
  <c r="D208" i="1" s="1"/>
  <c r="D131" i="1"/>
  <c r="D135" i="1" s="1"/>
  <c r="D209" i="1" l="1"/>
  <c r="D239" i="1" s="1"/>
  <c r="D270" i="1"/>
  <c r="D265" i="1"/>
  <c r="D266" i="1" s="1"/>
  <c r="D205" i="1"/>
  <c r="D213" i="1" s="1"/>
  <c r="D100" i="1"/>
  <c r="D139" i="1"/>
  <c r="D133" i="1"/>
  <c r="D137" i="1" s="1"/>
  <c r="D132" i="1"/>
  <c r="D136" i="1" s="1"/>
  <c r="D48" i="1"/>
  <c r="D49" i="1" s="1"/>
  <c r="C46" i="2"/>
  <c r="C45" i="2"/>
  <c r="D21" i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D81" i="1" l="1"/>
  <c r="D82" i="1"/>
  <c r="D178" i="1"/>
  <c r="D295" i="1"/>
  <c r="D294" i="1"/>
  <c r="D79" i="1"/>
  <c r="D240" i="1"/>
  <c r="D274" i="1"/>
  <c r="D282" i="1" s="1"/>
  <c r="D283" i="1" s="1"/>
  <c r="D267" i="1"/>
  <c r="D287" i="1" s="1"/>
  <c r="D277" i="1"/>
  <c r="D273" i="1"/>
  <c r="D272" i="1"/>
  <c r="D238" i="1"/>
  <c r="D221" i="1"/>
  <c r="D212" i="1"/>
  <c r="D211" i="1"/>
  <c r="D216" i="1"/>
  <c r="D206" i="1"/>
  <c r="D187" i="1"/>
  <c r="D148" i="1"/>
  <c r="D157" i="1" s="1"/>
  <c r="D229" i="1" s="1"/>
  <c r="D177" i="1"/>
  <c r="D180" i="1"/>
  <c r="D30" i="1"/>
  <c r="D19" i="1"/>
  <c r="D85" i="1" s="1"/>
  <c r="D91" i="1" l="1"/>
  <c r="D215" i="1"/>
  <c r="D219" i="1" s="1"/>
  <c r="D93" i="1"/>
  <c r="D297" i="1"/>
  <c r="D170" i="1" s="1"/>
  <c r="D92" i="1"/>
  <c r="D290" i="1" s="1"/>
  <c r="D242" i="1"/>
  <c r="D165" i="1" s="1"/>
  <c r="D276" i="1"/>
  <c r="D280" i="1" s="1"/>
  <c r="D285" i="1" s="1"/>
  <c r="D226" i="1"/>
  <c r="D161" i="1"/>
  <c r="D222" i="1"/>
  <c r="D111" i="1"/>
  <c r="D112" i="1" s="1"/>
  <c r="D163" i="1" s="1"/>
  <c r="D162" i="1"/>
  <c r="D95" i="1"/>
  <c r="D151" i="1"/>
  <c r="D89" i="1"/>
  <c r="J9" i="1" s="1"/>
  <c r="D292" i="1" l="1"/>
  <c r="D288" i="1" s="1"/>
  <c r="D224" i="1"/>
  <c r="D231" i="1" s="1"/>
  <c r="D227" i="1" s="1"/>
  <c r="D140" i="1"/>
  <c r="D181" i="1" s="1"/>
  <c r="J11" i="1" s="1"/>
  <c r="K11" i="1" s="1"/>
  <c r="D171" i="1" l="1"/>
  <c r="D173" i="1" s="1"/>
  <c r="D116" i="1"/>
  <c r="D166" i="1"/>
  <c r="D168" i="1" s="1"/>
  <c r="D182" i="1"/>
  <c r="L11" i="1"/>
  <c r="D300" i="1" l="1"/>
  <c r="D299" i="1"/>
  <c r="D301" i="1"/>
  <c r="D124" i="1"/>
  <c r="D184" i="1"/>
  <c r="D190" i="1" s="1"/>
  <c r="D244" i="1"/>
  <c r="D186" i="1"/>
  <c r="D189" i="1" l="1"/>
  <c r="M9" i="1" s="1"/>
  <c r="L9" i="1" s="1"/>
  <c r="D246" i="1"/>
  <c r="D245" i="1"/>
  <c r="D248" i="1" l="1"/>
  <c r="D194" i="1" s="1"/>
  <c r="D122" i="1" s="1"/>
  <c r="D252" i="1" s="1"/>
  <c r="K9" i="1"/>
  <c r="D308" i="1" l="1"/>
  <c r="D250" i="1"/>
  <c r="D254" i="1" s="1"/>
  <c r="D305" i="1"/>
  <c r="D307" i="1"/>
  <c r="J19" i="1" l="1"/>
  <c r="L19" i="1" s="1"/>
  <c r="D310" i="1"/>
  <c r="J21" i="1" s="1"/>
  <c r="K19" i="1" l="1"/>
  <c r="L21" i="1"/>
  <c r="K21" i="1"/>
  <c r="K27" i="1" l="1"/>
</calcChain>
</file>

<file path=xl/sharedStrings.xml><?xml version="1.0" encoding="utf-8"?>
<sst xmlns="http://schemas.openxmlformats.org/spreadsheetml/2006/main" count="487" uniqueCount="282">
  <si>
    <t>General</t>
  </si>
  <si>
    <t>γc</t>
  </si>
  <si>
    <t>γs</t>
  </si>
  <si>
    <t>-</t>
  </si>
  <si>
    <t>αcc</t>
  </si>
  <si>
    <t>Action</t>
  </si>
  <si>
    <t>ψ0</t>
  </si>
  <si>
    <t>ψ1</t>
  </si>
  <si>
    <t>ψ2</t>
  </si>
  <si>
    <t>Characteristic</t>
  </si>
  <si>
    <t>Category B : office areas</t>
  </si>
  <si>
    <t>Category C : congregation areas</t>
  </si>
  <si>
    <t>Category D : shopping areas</t>
  </si>
  <si>
    <t>Category E : storage areas</t>
  </si>
  <si>
    <t>Load category</t>
  </si>
  <si>
    <t>Loads</t>
  </si>
  <si>
    <r>
      <t>γ</t>
    </r>
    <r>
      <rPr>
        <sz val="7"/>
        <color theme="1"/>
        <rFont val="Times New Roman"/>
        <family val="1"/>
      </rPr>
      <t>G</t>
    </r>
  </si>
  <si>
    <r>
      <t>γ</t>
    </r>
    <r>
      <rPr>
        <sz val="7"/>
        <color theme="1"/>
        <rFont val="Calibri"/>
        <family val="2"/>
        <scheme val="minor"/>
      </rPr>
      <t>Q</t>
    </r>
  </si>
  <si>
    <r>
      <t>ψ</t>
    </r>
    <r>
      <rPr>
        <sz val="7"/>
        <color theme="1"/>
        <rFont val="Times New Roman"/>
        <family val="1"/>
      </rPr>
      <t>2</t>
    </r>
  </si>
  <si>
    <t>Geometry</t>
  </si>
  <si>
    <t>kN/m2</t>
  </si>
  <si>
    <t>Gk (Dead load)</t>
  </si>
  <si>
    <t>Gk (Self-weight)</t>
  </si>
  <si>
    <t>Qk (Live-load)</t>
  </si>
  <si>
    <t>Length</t>
  </si>
  <si>
    <t>m</t>
  </si>
  <si>
    <t>Support length</t>
  </si>
  <si>
    <t>Calculation length</t>
  </si>
  <si>
    <t>HCS Profile</t>
  </si>
  <si>
    <t>Name</t>
  </si>
  <si>
    <t>HCS 200</t>
  </si>
  <si>
    <t>HCS 220</t>
  </si>
  <si>
    <t>HCS 265</t>
  </si>
  <si>
    <t>HCS 320</t>
  </si>
  <si>
    <t>HCS 400</t>
  </si>
  <si>
    <t>HCS 500</t>
  </si>
  <si>
    <t>Concrete class at striking</t>
  </si>
  <si>
    <t>Class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</si>
  <si>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</si>
  <si>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</si>
  <si>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</si>
  <si>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</si>
  <si>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</si>
  <si>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</si>
  <si>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</si>
  <si>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</si>
  <si>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</si>
  <si>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C55/67</t>
  </si>
  <si>
    <t>C60/75</t>
  </si>
  <si>
    <t>C70/85</t>
  </si>
  <si>
    <t>C80/95</t>
  </si>
  <si>
    <t>C90/105</t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</si>
  <si>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ck </t>
    </r>
    <r>
      <rPr>
        <sz val="10"/>
        <rFont val="Calibri"/>
        <family val="2"/>
        <charset val="186"/>
        <scheme val="minor"/>
      </rPr>
      <t>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</si>
  <si>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>ck</t>
    </r>
    <r>
      <rPr>
        <sz val="10"/>
        <rFont val="Calibri"/>
        <family val="2"/>
        <charset val="186"/>
        <scheme val="minor"/>
      </rPr>
      <t xml:space="preserve">, </t>
    </r>
    <r>
      <rPr>
        <vertAlign val="subscript"/>
        <sz val="10"/>
        <rFont val="Calibri"/>
        <family val="2"/>
        <charset val="186"/>
        <scheme val="minor"/>
      </rPr>
      <t>c</t>
    </r>
    <r>
      <rPr>
        <sz val="10"/>
        <rFont val="Calibri"/>
        <family val="2"/>
        <charset val="186"/>
        <scheme val="minor"/>
      </rPr>
      <t xml:space="preserve"> 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</si>
  <si>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>cm</t>
    </r>
    <r>
      <rPr>
        <sz val="10"/>
        <rFont val="Calibri"/>
        <family val="2"/>
        <charset val="186"/>
        <scheme val="minor"/>
      </rPr>
      <t xml:space="preserve"> 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</si>
  <si>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ctm </t>
    </r>
    <r>
      <rPr>
        <sz val="10"/>
        <rFont val="Calibri"/>
        <family val="2"/>
        <charset val="186"/>
        <scheme val="minor"/>
      </rPr>
      <t>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</si>
  <si>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ctk </t>
    </r>
    <r>
      <rPr>
        <sz val="10"/>
        <rFont val="Calibri"/>
        <family val="2"/>
        <charset val="186"/>
        <scheme val="minor"/>
      </rPr>
      <t>0.05 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</si>
  <si>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ctm </t>
    </r>
    <r>
      <rPr>
        <sz val="10"/>
        <rFont val="Calibri"/>
        <family val="2"/>
        <charset val="186"/>
        <scheme val="minor"/>
      </rPr>
      <t>0.95 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</si>
  <si>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ct,fl </t>
    </r>
    <r>
      <rPr>
        <sz val="10"/>
        <rFont val="Calibri"/>
        <family val="2"/>
        <charset val="186"/>
        <scheme val="minor"/>
      </rPr>
      <t>(MPa)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</si>
  <si>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vck </t>
    </r>
    <r>
      <rPr>
        <sz val="10"/>
        <rFont val="Calibri"/>
        <family val="2"/>
        <charset val="186"/>
        <scheme val="minor"/>
      </rPr>
      <t>(MPa)</t>
    </r>
  </si>
  <si>
    <r>
      <t>E</t>
    </r>
    <r>
      <rPr>
        <vertAlign val="subscript"/>
        <sz val="10"/>
        <rFont val="Calibri"/>
        <family val="2"/>
        <charset val="186"/>
        <scheme val="minor"/>
      </rPr>
      <t xml:space="preserve">c </t>
    </r>
    <r>
      <rPr>
        <sz val="10"/>
        <rFont val="Calibri"/>
        <family val="2"/>
        <charset val="186"/>
        <scheme val="minor"/>
      </rPr>
      <t>(GPa)</t>
    </r>
  </si>
  <si>
    <r>
      <t>G</t>
    </r>
    <r>
      <rPr>
        <vertAlign val="subscript"/>
        <sz val="10"/>
        <rFont val="Calibri"/>
        <family val="2"/>
        <charset val="186"/>
        <scheme val="minor"/>
      </rPr>
      <t xml:space="preserve">c </t>
    </r>
    <r>
      <rPr>
        <sz val="10"/>
        <rFont val="Calibri"/>
        <family val="2"/>
        <charset val="186"/>
        <scheme val="minor"/>
      </rPr>
      <t>(GPa)</t>
    </r>
  </si>
  <si>
    <r>
      <t>w (kN/m</t>
    </r>
    <r>
      <rPr>
        <vertAlign val="superscript"/>
        <sz val="10"/>
        <rFont val="Calibri"/>
        <family val="2"/>
        <charset val="186"/>
        <scheme val="minor"/>
      </rPr>
      <t>2</t>
    </r>
    <r>
      <rPr>
        <sz val="10"/>
        <rFont val="Calibri"/>
        <family val="2"/>
        <charset val="186"/>
        <scheme val="minor"/>
      </rPr>
      <t>)</t>
    </r>
  </si>
  <si>
    <t>Wire class</t>
  </si>
  <si>
    <t>Y1860S7</t>
  </si>
  <si>
    <t>Weight (kN/m2)</t>
  </si>
  <si>
    <t>Internal forces</t>
  </si>
  <si>
    <t>Calculation</t>
  </si>
  <si>
    <t>Results</t>
  </si>
  <si>
    <t>Deflection at factory</t>
  </si>
  <si>
    <t>Deflection final</t>
  </si>
  <si>
    <t>ULS</t>
  </si>
  <si>
    <t>SLS</t>
  </si>
  <si>
    <t>Max</t>
  </si>
  <si>
    <t>HCS width</t>
  </si>
  <si>
    <t>%</t>
  </si>
  <si>
    <t>Loads on HCS</t>
  </si>
  <si>
    <t>kNm</t>
  </si>
  <si>
    <t>Material properties</t>
  </si>
  <si>
    <r>
      <t>f</t>
    </r>
    <r>
      <rPr>
        <sz val="7"/>
        <color theme="1"/>
        <rFont val="Calibri"/>
        <family val="2"/>
        <scheme val="minor"/>
      </rPr>
      <t>cd</t>
    </r>
  </si>
  <si>
    <t>Mpa</t>
  </si>
  <si>
    <r>
      <t>f</t>
    </r>
    <r>
      <rPr>
        <sz val="7"/>
        <color theme="1"/>
        <rFont val="Calibri"/>
        <family val="2"/>
        <scheme val="minor"/>
      </rPr>
      <t>ck</t>
    </r>
  </si>
  <si>
    <t>Section properties</t>
  </si>
  <si>
    <t>mm2</t>
  </si>
  <si>
    <t>pcs</t>
  </si>
  <si>
    <t>Number of Strands</t>
  </si>
  <si>
    <t>(cm2)</t>
  </si>
  <si>
    <t>Strand size</t>
  </si>
  <si>
    <t>Area</t>
  </si>
  <si>
    <t>Strand diameter</t>
  </si>
  <si>
    <t>mm</t>
  </si>
  <si>
    <t>d</t>
  </si>
  <si>
    <t>Height</t>
  </si>
  <si>
    <t>h</t>
  </si>
  <si>
    <t>Strands</t>
  </si>
  <si>
    <t>Top strands</t>
  </si>
  <si>
    <t>z</t>
  </si>
  <si>
    <t>Bottom 2 strands</t>
  </si>
  <si>
    <t>Bottom 1 strands</t>
  </si>
  <si>
    <r>
      <t>Distance to strand (a</t>
    </r>
    <r>
      <rPr>
        <sz val="7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)</t>
    </r>
  </si>
  <si>
    <r>
      <t>Distance to strand (a</t>
    </r>
    <r>
      <rPr>
        <sz val="7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)</t>
    </r>
  </si>
  <si>
    <r>
      <t>Distance to strand (a</t>
    </r>
    <r>
      <rPr>
        <sz val="7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</si>
  <si>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Tension force</t>
  </si>
  <si>
    <t>MPa</t>
  </si>
  <si>
    <r>
      <t>f</t>
    </r>
    <r>
      <rPr>
        <sz val="7"/>
        <color theme="1"/>
        <rFont val="Calibri"/>
        <family val="2"/>
        <scheme val="minor"/>
      </rPr>
      <t>pk</t>
    </r>
  </si>
  <si>
    <r>
      <t>f</t>
    </r>
    <r>
      <rPr>
        <vertAlign val="subscript"/>
        <sz val="10"/>
        <rFont val="Calibri"/>
        <family val="2"/>
        <charset val="186"/>
        <scheme val="minor"/>
      </rPr>
      <t xml:space="preserve">pk </t>
    </r>
    <r>
      <rPr>
        <sz val="10"/>
        <rFont val="Calibri"/>
        <family val="2"/>
        <charset val="186"/>
        <scheme val="minor"/>
      </rPr>
      <t>(MPa)</t>
    </r>
  </si>
  <si>
    <r>
      <t>f</t>
    </r>
    <r>
      <rPr>
        <sz val="7"/>
        <color theme="1"/>
        <rFont val="Calibri"/>
        <family val="2"/>
        <scheme val="minor"/>
      </rPr>
      <t>p0.1k</t>
    </r>
  </si>
  <si>
    <r>
      <t>f</t>
    </r>
    <r>
      <rPr>
        <sz val="7"/>
        <color theme="1"/>
        <rFont val="Calibri"/>
        <family val="2"/>
        <scheme val="minor"/>
      </rPr>
      <t>pd</t>
    </r>
  </si>
  <si>
    <r>
      <t>A</t>
    </r>
    <r>
      <rPr>
        <sz val="7"/>
        <color theme="1"/>
        <rFont val="Calibri"/>
        <family val="2"/>
        <scheme val="minor"/>
      </rPr>
      <t>b2T</t>
    </r>
  </si>
  <si>
    <r>
      <t>A</t>
    </r>
    <r>
      <rPr>
        <sz val="7"/>
        <color theme="1"/>
        <rFont val="Calibri"/>
        <family val="2"/>
        <scheme val="minor"/>
      </rPr>
      <t>b1T</t>
    </r>
  </si>
  <si>
    <r>
      <t>A</t>
    </r>
    <r>
      <rPr>
        <sz val="7"/>
        <color theme="1"/>
        <rFont val="Calibri"/>
        <family val="2"/>
        <scheme val="minor"/>
      </rPr>
      <t>sC</t>
    </r>
  </si>
  <si>
    <r>
      <t>Fs</t>
    </r>
    <r>
      <rPr>
        <sz val="7"/>
        <color theme="1"/>
        <rFont val="Calibri"/>
        <family val="2"/>
        <scheme val="minor"/>
      </rPr>
      <t>rdT</t>
    </r>
  </si>
  <si>
    <r>
      <t>Fs</t>
    </r>
    <r>
      <rPr>
        <sz val="7"/>
        <color theme="1"/>
        <rFont val="Calibri"/>
        <family val="2"/>
        <scheme val="minor"/>
      </rPr>
      <t>rdC</t>
    </r>
  </si>
  <si>
    <r>
      <t>B</t>
    </r>
    <r>
      <rPr>
        <sz val="7"/>
        <color theme="1"/>
        <rFont val="Calibri"/>
        <family val="2"/>
        <scheme val="minor"/>
      </rPr>
      <t>ef</t>
    </r>
  </si>
  <si>
    <t>Concrete</t>
  </si>
  <si>
    <t>Concrete class final</t>
  </si>
  <si>
    <t>λ</t>
  </si>
  <si>
    <r>
      <t>Fc</t>
    </r>
    <r>
      <rPr>
        <sz val="7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(per mm)</t>
    </r>
  </si>
  <si>
    <t>N</t>
  </si>
  <si>
    <t>N/mm</t>
  </si>
  <si>
    <t>x/d</t>
  </si>
  <si>
    <r>
      <t>a</t>
    </r>
    <r>
      <rPr>
        <sz val="7"/>
        <color theme="1"/>
        <rFont val="Calibri"/>
        <family val="2"/>
        <scheme val="minor"/>
      </rPr>
      <t>tavg</t>
    </r>
  </si>
  <si>
    <t>η</t>
  </si>
  <si>
    <r>
      <t>A</t>
    </r>
    <r>
      <rPr>
        <sz val="7"/>
        <color theme="1"/>
        <rFont val="Calibri"/>
        <family val="2"/>
        <scheme val="minor"/>
      </rPr>
      <t>ef</t>
    </r>
  </si>
  <si>
    <t xml:space="preserve">Compression zone </t>
  </si>
  <si>
    <t>xu/du</t>
  </si>
  <si>
    <t>Moment distribution (δ)</t>
  </si>
  <si>
    <t>k1</t>
  </si>
  <si>
    <t>k2</t>
  </si>
  <si>
    <r>
      <t>ε</t>
    </r>
    <r>
      <rPr>
        <sz val="7"/>
        <color theme="1"/>
        <rFont val="Calibri"/>
        <family val="2"/>
        <scheme val="minor"/>
      </rPr>
      <t>cu2</t>
    </r>
  </si>
  <si>
    <t>x</t>
  </si>
  <si>
    <r>
      <t>N</t>
    </r>
    <r>
      <rPr>
        <sz val="7"/>
        <color theme="1"/>
        <rFont val="Calibri"/>
        <family val="2"/>
        <scheme val="minor"/>
      </rPr>
      <t>RdC</t>
    </r>
  </si>
  <si>
    <r>
      <t>M</t>
    </r>
    <r>
      <rPr>
        <sz val="7"/>
        <color theme="1"/>
        <rFont val="Calibri"/>
        <family val="2"/>
        <scheme val="minor"/>
      </rPr>
      <t>RdC</t>
    </r>
  </si>
  <si>
    <r>
      <t>N</t>
    </r>
    <r>
      <rPr>
        <sz val="7"/>
        <color theme="1"/>
        <rFont val="Calibri"/>
        <family val="2"/>
        <scheme val="minor"/>
      </rPr>
      <t>RdT</t>
    </r>
  </si>
  <si>
    <r>
      <t>M</t>
    </r>
    <r>
      <rPr>
        <sz val="7"/>
        <color theme="1"/>
        <rFont val="Calibri"/>
        <family val="2"/>
        <scheme val="minor"/>
      </rPr>
      <t>RdT</t>
    </r>
  </si>
  <si>
    <t>Ratio</t>
  </si>
  <si>
    <t>Moment</t>
  </si>
  <si>
    <t>Unit</t>
  </si>
  <si>
    <t>Check</t>
  </si>
  <si>
    <t>Value</t>
  </si>
  <si>
    <t>Ok?</t>
  </si>
  <si>
    <t>Allowable deflection</t>
  </si>
  <si>
    <t>1/200</t>
  </si>
  <si>
    <t>1/250</t>
  </si>
  <si>
    <t>1/300</t>
  </si>
  <si>
    <t>1/350</t>
  </si>
  <si>
    <t>1/400</t>
  </si>
  <si>
    <t>1/450</t>
  </si>
  <si>
    <t>1/500</t>
  </si>
  <si>
    <t>Deflection</t>
  </si>
  <si>
    <r>
      <t>w</t>
    </r>
    <r>
      <rPr>
        <sz val="8"/>
        <color theme="1"/>
        <rFont val="Calibri"/>
        <family val="2"/>
        <scheme val="minor"/>
      </rPr>
      <t>max</t>
    </r>
  </si>
  <si>
    <t>ULS - Moment</t>
  </si>
  <si>
    <t>SLS - Deflection final</t>
  </si>
  <si>
    <t>SLS - Deflection at striking</t>
  </si>
  <si>
    <r>
      <t>f</t>
    </r>
    <r>
      <rPr>
        <sz val="7"/>
        <color theme="1"/>
        <rFont val="Calibri"/>
        <family val="2"/>
        <scheme val="minor"/>
      </rPr>
      <t>cm</t>
    </r>
  </si>
  <si>
    <t>Striking</t>
  </si>
  <si>
    <t>days</t>
  </si>
  <si>
    <t>Cement class</t>
  </si>
  <si>
    <t>s coeficient</t>
  </si>
  <si>
    <t>R</t>
  </si>
  <si>
    <t>S</t>
  </si>
  <si>
    <t>s</t>
  </si>
  <si>
    <r>
      <t>β</t>
    </r>
    <r>
      <rPr>
        <sz val="7"/>
        <color theme="1"/>
        <rFont val="Calibri"/>
        <family val="2"/>
        <scheme val="minor"/>
      </rPr>
      <t>cc(t)</t>
    </r>
  </si>
  <si>
    <r>
      <t>f</t>
    </r>
    <r>
      <rPr>
        <sz val="7"/>
        <color theme="1"/>
        <rFont val="Calibri"/>
        <family val="2"/>
        <scheme val="minor"/>
      </rPr>
      <t>ck(t)</t>
    </r>
  </si>
  <si>
    <r>
      <t>f</t>
    </r>
    <r>
      <rPr>
        <sz val="7"/>
        <color theme="1"/>
        <rFont val="Calibri"/>
        <family val="2"/>
        <scheme val="minor"/>
      </rPr>
      <t>cd(t)</t>
    </r>
  </si>
  <si>
    <r>
      <t>E</t>
    </r>
    <r>
      <rPr>
        <sz val="7"/>
        <color theme="1"/>
        <rFont val="Calibri"/>
        <family val="2"/>
        <scheme val="minor"/>
      </rPr>
      <t>cm</t>
    </r>
  </si>
  <si>
    <r>
      <t>E</t>
    </r>
    <r>
      <rPr>
        <sz val="7"/>
        <color theme="1"/>
        <rFont val="Calibri"/>
        <family val="2"/>
        <scheme val="minor"/>
      </rPr>
      <t>c,eff</t>
    </r>
  </si>
  <si>
    <r>
      <t>F</t>
    </r>
    <r>
      <rPr>
        <sz val="7"/>
        <color theme="1"/>
        <rFont val="Calibri"/>
        <family val="2"/>
        <scheme val="minor"/>
      </rPr>
      <t>b2T</t>
    </r>
  </si>
  <si>
    <r>
      <t>F</t>
    </r>
    <r>
      <rPr>
        <sz val="7"/>
        <color theme="1"/>
        <rFont val="Calibri"/>
        <family val="2"/>
        <scheme val="minor"/>
      </rPr>
      <t>b1T</t>
    </r>
  </si>
  <si>
    <r>
      <rPr>
        <sz val="11"/>
        <color theme="1"/>
        <rFont val="Calibri"/>
        <family val="2"/>
        <scheme val="minor"/>
      </rPr>
      <t>F</t>
    </r>
    <r>
      <rPr>
        <sz val="7"/>
        <color theme="1"/>
        <rFont val="Calibri"/>
        <family val="2"/>
        <scheme val="minor"/>
      </rPr>
      <t>sC</t>
    </r>
  </si>
  <si>
    <t>A</t>
  </si>
  <si>
    <r>
      <rPr>
        <sz val="11"/>
        <color theme="1"/>
        <rFont val="Times New Roman"/>
        <family val="1"/>
      </rPr>
      <t>σ</t>
    </r>
    <r>
      <rPr>
        <sz val="7"/>
        <color theme="1"/>
        <rFont val="Calibri"/>
        <family val="2"/>
        <scheme val="minor"/>
      </rPr>
      <t>b1</t>
    </r>
  </si>
  <si>
    <t>Yb</t>
  </si>
  <si>
    <r>
      <t>Y</t>
    </r>
    <r>
      <rPr>
        <sz val="7"/>
        <color theme="1"/>
        <rFont val="Calibri"/>
        <family val="2"/>
        <scheme val="minor"/>
      </rPr>
      <t>b</t>
    </r>
  </si>
  <si>
    <t>Yt</t>
  </si>
  <si>
    <r>
      <t>Y</t>
    </r>
    <r>
      <rPr>
        <sz val="7"/>
        <color theme="1"/>
        <rFont val="Calibri"/>
        <family val="2"/>
        <scheme val="minor"/>
      </rPr>
      <t>t</t>
    </r>
  </si>
  <si>
    <r>
      <t>e</t>
    </r>
    <r>
      <rPr>
        <sz val="7"/>
        <color theme="1"/>
        <rFont val="Calibri"/>
        <family val="2"/>
        <scheme val="minor"/>
      </rPr>
      <t>b</t>
    </r>
  </si>
  <si>
    <t>Wtop (mm3)</t>
  </si>
  <si>
    <t>Wbot (mm3)</t>
  </si>
  <si>
    <t>I (cm4)</t>
  </si>
  <si>
    <r>
      <t>W</t>
    </r>
    <r>
      <rPr>
        <sz val="7"/>
        <color theme="1"/>
        <rFont val="Calibri"/>
        <family val="2"/>
        <scheme val="minor"/>
      </rPr>
      <t>top</t>
    </r>
  </si>
  <si>
    <t>mm3</t>
  </si>
  <si>
    <r>
      <t>W</t>
    </r>
    <r>
      <rPr>
        <sz val="7"/>
        <color theme="1"/>
        <rFont val="Calibri"/>
        <family val="2"/>
        <scheme val="minor"/>
      </rPr>
      <t>bottom</t>
    </r>
  </si>
  <si>
    <r>
      <t>e</t>
    </r>
    <r>
      <rPr>
        <sz val="7"/>
        <color theme="1"/>
        <rFont val="Calibri"/>
        <family val="2"/>
        <scheme val="minor"/>
      </rPr>
      <t>t</t>
    </r>
  </si>
  <si>
    <t>ϕRH</t>
  </si>
  <si>
    <t>RH</t>
  </si>
  <si>
    <r>
      <t>h</t>
    </r>
    <r>
      <rPr>
        <sz val="7"/>
        <color theme="1"/>
        <rFont val="Calibri"/>
        <family val="2"/>
        <scheme val="minor"/>
      </rPr>
      <t>0</t>
    </r>
  </si>
  <si>
    <r>
      <t>u</t>
    </r>
    <r>
      <rPr>
        <sz val="7"/>
        <color theme="1"/>
        <rFont val="Calibri"/>
        <family val="2"/>
        <scheme val="minor"/>
      </rPr>
      <t>st</t>
    </r>
  </si>
  <si>
    <t>Hallow count</t>
  </si>
  <si>
    <t>Hallow perimeter (1 pcs)</t>
  </si>
  <si>
    <r>
      <rPr>
        <sz val="11"/>
        <color theme="1"/>
        <rFont val="Times New Roman"/>
        <family val="1"/>
      </rPr>
      <t>α</t>
    </r>
    <r>
      <rPr>
        <sz val="7"/>
        <color theme="1"/>
        <rFont val="Calibri"/>
        <family val="2"/>
        <scheme val="minor"/>
      </rPr>
      <t>1</t>
    </r>
  </si>
  <si>
    <r>
      <t>β</t>
    </r>
    <r>
      <rPr>
        <sz val="7"/>
        <color theme="1"/>
        <rFont val="Calibri"/>
        <family val="2"/>
        <scheme val="minor"/>
      </rPr>
      <t>(fcm)</t>
    </r>
  </si>
  <si>
    <r>
      <t>β</t>
    </r>
    <r>
      <rPr>
        <sz val="7"/>
        <color theme="1"/>
        <rFont val="Calibri"/>
        <family val="2"/>
        <scheme val="minor"/>
      </rPr>
      <t>(t0,3)</t>
    </r>
  </si>
  <si>
    <r>
      <t>ϕ</t>
    </r>
    <r>
      <rPr>
        <sz val="7"/>
        <color theme="1"/>
        <rFont val="Calibri"/>
        <family val="2"/>
      </rPr>
      <t>(0, 3)</t>
    </r>
  </si>
  <si>
    <r>
      <t>β</t>
    </r>
    <r>
      <rPr>
        <sz val="7"/>
        <color theme="1"/>
        <rFont val="Calibri"/>
        <family val="2"/>
        <scheme val="minor"/>
      </rPr>
      <t>c(3)</t>
    </r>
  </si>
  <si>
    <r>
      <t>β</t>
    </r>
    <r>
      <rPr>
        <sz val="7"/>
        <color theme="1"/>
        <rFont val="Calibri"/>
        <family val="2"/>
        <scheme val="minor"/>
      </rPr>
      <t>H</t>
    </r>
  </si>
  <si>
    <r>
      <rPr>
        <sz val="11"/>
        <color theme="1"/>
        <rFont val="Times New Roman"/>
        <family val="1"/>
      </rPr>
      <t>α</t>
    </r>
    <r>
      <rPr>
        <sz val="7"/>
        <color theme="1"/>
        <rFont val="Calibri"/>
        <family val="2"/>
        <scheme val="minor"/>
      </rPr>
      <t>2</t>
    </r>
  </si>
  <si>
    <r>
      <rPr>
        <sz val="11"/>
        <color theme="1"/>
        <rFont val="Times New Roman"/>
        <family val="1"/>
      </rPr>
      <t>α</t>
    </r>
    <r>
      <rPr>
        <sz val="7"/>
        <color theme="1"/>
        <rFont val="Calibri"/>
        <family val="2"/>
        <scheme val="minor"/>
      </rPr>
      <t>3</t>
    </r>
  </si>
  <si>
    <t>Transporting</t>
  </si>
  <si>
    <r>
      <t>ϕ</t>
    </r>
    <r>
      <rPr>
        <sz val="7"/>
        <color theme="1"/>
        <rFont val="Calibri"/>
        <family val="2"/>
      </rPr>
      <t>(s-t)</t>
    </r>
  </si>
  <si>
    <t>I</t>
  </si>
  <si>
    <t>mm4</t>
  </si>
  <si>
    <r>
      <t>M</t>
    </r>
    <r>
      <rPr>
        <sz val="7"/>
        <color theme="1"/>
        <rFont val="Calibri"/>
        <family val="2"/>
        <scheme val="minor"/>
      </rPr>
      <t>(uls)</t>
    </r>
  </si>
  <si>
    <r>
      <t>M</t>
    </r>
    <r>
      <rPr>
        <sz val="7"/>
        <color theme="1"/>
        <rFont val="Calibri"/>
        <family val="2"/>
        <scheme val="minor"/>
      </rPr>
      <t>(sls-qp)</t>
    </r>
  </si>
  <si>
    <r>
      <t>q</t>
    </r>
    <r>
      <rPr>
        <sz val="7"/>
        <color theme="1"/>
        <rFont val="Calibri"/>
        <family val="2"/>
        <scheme val="minor"/>
      </rPr>
      <t>(uls)</t>
    </r>
  </si>
  <si>
    <r>
      <t>q</t>
    </r>
    <r>
      <rPr>
        <sz val="7"/>
        <color theme="1"/>
        <rFont val="Calibri"/>
        <family val="2"/>
        <scheme val="minor"/>
      </rPr>
      <t>(sls-qp)</t>
    </r>
  </si>
  <si>
    <t>Cracking Moment</t>
  </si>
  <si>
    <r>
      <t>M</t>
    </r>
    <r>
      <rPr>
        <sz val="7"/>
        <color theme="1"/>
        <rFont val="Calibri"/>
        <family val="2"/>
        <scheme val="minor"/>
      </rPr>
      <t>CR</t>
    </r>
  </si>
  <si>
    <r>
      <t>f</t>
    </r>
    <r>
      <rPr>
        <sz val="7"/>
        <color theme="1"/>
        <rFont val="Calibri"/>
        <family val="2"/>
        <scheme val="minor"/>
      </rPr>
      <t>ctk 0.05</t>
    </r>
  </si>
  <si>
    <t>Presstressing losses</t>
  </si>
  <si>
    <t>Due elastic deformation</t>
  </si>
  <si>
    <r>
      <t>E</t>
    </r>
    <r>
      <rPr>
        <sz val="7"/>
        <color theme="1"/>
        <rFont val="Calibri"/>
        <family val="2"/>
        <scheme val="minor"/>
      </rPr>
      <t>p</t>
    </r>
  </si>
  <si>
    <t>Loading</t>
  </si>
  <si>
    <r>
      <t>ε</t>
    </r>
    <r>
      <rPr>
        <sz val="7"/>
        <color theme="1"/>
        <rFont val="Calibri"/>
        <family val="2"/>
      </rPr>
      <t>cd,0</t>
    </r>
  </si>
  <si>
    <t>αds1</t>
  </si>
  <si>
    <r>
      <t>α</t>
    </r>
    <r>
      <rPr>
        <sz val="7"/>
        <color theme="1"/>
        <rFont val="Calibri"/>
        <family val="2"/>
      </rPr>
      <t>ds1</t>
    </r>
  </si>
  <si>
    <t>αds2</t>
  </si>
  <si>
    <r>
      <t>α</t>
    </r>
    <r>
      <rPr>
        <sz val="7"/>
        <color theme="1"/>
        <rFont val="Calibri"/>
        <family val="2"/>
      </rPr>
      <t>ds2</t>
    </r>
  </si>
  <si>
    <r>
      <t>f</t>
    </r>
    <r>
      <rPr>
        <sz val="7"/>
        <color theme="1"/>
        <rFont val="Calibri"/>
        <family val="2"/>
      </rPr>
      <t>cmo</t>
    </r>
  </si>
  <si>
    <r>
      <t>β</t>
    </r>
    <r>
      <rPr>
        <sz val="7"/>
        <color theme="1"/>
        <rFont val="Calibri"/>
        <family val="2"/>
        <scheme val="minor"/>
      </rPr>
      <t>RH</t>
    </r>
  </si>
  <si>
    <r>
      <t>k</t>
    </r>
    <r>
      <rPr>
        <sz val="7"/>
        <color theme="1"/>
        <rFont val="Calibri"/>
        <family val="2"/>
      </rPr>
      <t>ht-s</t>
    </r>
  </si>
  <si>
    <r>
      <t>β</t>
    </r>
    <r>
      <rPr>
        <sz val="7"/>
        <color theme="1"/>
        <rFont val="Calibri"/>
        <family val="2"/>
        <scheme val="minor"/>
      </rPr>
      <t>t-ts-s</t>
    </r>
  </si>
  <si>
    <r>
      <t>ϕ</t>
    </r>
    <r>
      <rPr>
        <b/>
        <sz val="7"/>
        <color theme="1"/>
        <rFont val="Calibri"/>
        <family val="2"/>
      </rPr>
      <t>(s-t-adj)</t>
    </r>
  </si>
  <si>
    <r>
      <t>ε</t>
    </r>
    <r>
      <rPr>
        <b/>
        <sz val="7"/>
        <color theme="1"/>
        <rFont val="Calibri"/>
        <family val="2"/>
      </rPr>
      <t>cd-s</t>
    </r>
  </si>
  <si>
    <t>Creep</t>
  </si>
  <si>
    <t>Shrinkage</t>
  </si>
  <si>
    <t>rps</t>
  </si>
  <si>
    <t>ϴ</t>
  </si>
  <si>
    <t>μ</t>
  </si>
  <si>
    <t>k</t>
  </si>
  <si>
    <t>Total (striking)</t>
  </si>
  <si>
    <r>
      <rPr>
        <sz val="11"/>
        <color theme="1"/>
        <rFont val="Calibri"/>
        <family val="2"/>
        <scheme val="minor"/>
      </rPr>
      <t>F</t>
    </r>
    <r>
      <rPr>
        <sz val="7"/>
        <color theme="1"/>
        <rFont val="Calibri"/>
        <family val="2"/>
        <scheme val="minor"/>
      </rPr>
      <t>sC,L</t>
    </r>
  </si>
  <si>
    <r>
      <t>F</t>
    </r>
    <r>
      <rPr>
        <sz val="7"/>
        <color theme="1"/>
        <rFont val="Calibri"/>
        <family val="2"/>
        <scheme val="minor"/>
      </rPr>
      <t>b2T,L</t>
    </r>
  </si>
  <si>
    <r>
      <t>F</t>
    </r>
    <r>
      <rPr>
        <sz val="7"/>
        <color theme="1"/>
        <rFont val="Calibri"/>
        <family val="2"/>
        <scheme val="minor"/>
      </rPr>
      <t>b1T,L</t>
    </r>
  </si>
  <si>
    <r>
      <rPr>
        <sz val="11"/>
        <color theme="1"/>
        <rFont val="Times New Roman"/>
        <family val="1"/>
      </rPr>
      <t>σ</t>
    </r>
    <r>
      <rPr>
        <sz val="7"/>
        <color theme="1"/>
        <rFont val="Calibri"/>
        <family val="2"/>
        <scheme val="minor"/>
      </rPr>
      <t>b1,L</t>
    </r>
  </si>
  <si>
    <r>
      <t>I</t>
    </r>
    <r>
      <rPr>
        <sz val="7"/>
        <color theme="1"/>
        <rFont val="Calibri"/>
        <family val="2"/>
        <scheme val="minor"/>
      </rPr>
      <t>un</t>
    </r>
  </si>
  <si>
    <r>
      <t>I</t>
    </r>
    <r>
      <rPr>
        <sz val="7"/>
        <color theme="1"/>
        <rFont val="Calibri"/>
        <family val="2"/>
        <scheme val="minor"/>
      </rPr>
      <t>cr</t>
    </r>
  </si>
  <si>
    <r>
      <t>b</t>
    </r>
    <r>
      <rPr>
        <sz val="7"/>
        <color theme="1"/>
        <rFont val="Calibri"/>
        <family val="2"/>
        <scheme val="minor"/>
      </rPr>
      <t>rel</t>
    </r>
  </si>
  <si>
    <r>
      <t>b</t>
    </r>
    <r>
      <rPr>
        <sz val="7"/>
        <color theme="1"/>
        <rFont val="Calibri"/>
        <family val="2"/>
        <scheme val="minor"/>
      </rPr>
      <t>rel</t>
    </r>
    <r>
      <rPr>
        <sz val="11"/>
        <color theme="1"/>
        <rFont val="Calibri"/>
        <family val="2"/>
        <scheme val="minor"/>
      </rPr>
      <t xml:space="preserve"> (mm)</t>
    </r>
  </si>
  <si>
    <r>
      <t>α</t>
    </r>
    <r>
      <rPr>
        <sz val="7"/>
        <color theme="1"/>
        <rFont val="Calibri"/>
        <family val="2"/>
        <scheme val="minor"/>
      </rPr>
      <t>e</t>
    </r>
  </si>
  <si>
    <r>
      <t>ϕ</t>
    </r>
    <r>
      <rPr>
        <b/>
        <sz val="7"/>
        <color theme="1"/>
        <rFont val="Calibri"/>
        <family val="2"/>
      </rPr>
      <t>(f-t-adj)</t>
    </r>
  </si>
  <si>
    <r>
      <t>u</t>
    </r>
    <r>
      <rPr>
        <sz val="7"/>
        <color theme="1"/>
        <rFont val="Calibri"/>
        <family val="2"/>
        <scheme val="minor"/>
      </rPr>
      <t>f</t>
    </r>
  </si>
  <si>
    <r>
      <t>ϕ</t>
    </r>
    <r>
      <rPr>
        <sz val="7"/>
        <color theme="1"/>
        <rFont val="Calibri"/>
        <family val="2"/>
      </rPr>
      <t>(0, 28)</t>
    </r>
  </si>
  <si>
    <t>Service life</t>
  </si>
  <si>
    <t>years</t>
  </si>
  <si>
    <r>
      <t>q</t>
    </r>
    <r>
      <rPr>
        <sz val="7"/>
        <color theme="1"/>
        <rFont val="Calibri"/>
        <family val="2"/>
        <scheme val="minor"/>
      </rPr>
      <t>(sls-sw)</t>
    </r>
  </si>
  <si>
    <r>
      <t>q</t>
    </r>
    <r>
      <rPr>
        <sz val="7"/>
        <color theme="1"/>
        <rFont val="Calibri"/>
        <family val="2"/>
        <scheme val="minor"/>
      </rPr>
      <t>(sls-gk)</t>
    </r>
  </si>
  <si>
    <r>
      <t>M</t>
    </r>
    <r>
      <rPr>
        <sz val="7"/>
        <color theme="1"/>
        <rFont val="Calibri"/>
        <family val="2"/>
        <scheme val="minor"/>
      </rPr>
      <t>(sls-gk)</t>
    </r>
  </si>
  <si>
    <r>
      <t>ϕ</t>
    </r>
    <r>
      <rPr>
        <sz val="7"/>
        <color theme="1"/>
        <rFont val="Calibri"/>
        <family val="2"/>
      </rPr>
      <t>(f-t)</t>
    </r>
  </si>
  <si>
    <r>
      <t>β</t>
    </r>
    <r>
      <rPr>
        <sz val="7"/>
        <color theme="1"/>
        <rFont val="Calibri"/>
        <family val="2"/>
        <scheme val="minor"/>
      </rPr>
      <t>c(28)</t>
    </r>
  </si>
  <si>
    <r>
      <t>β</t>
    </r>
    <r>
      <rPr>
        <sz val="7"/>
        <color theme="1"/>
        <rFont val="Calibri"/>
        <family val="2"/>
        <scheme val="minor"/>
      </rPr>
      <t>(t0,28)</t>
    </r>
  </si>
  <si>
    <r>
      <t>E</t>
    </r>
    <r>
      <rPr>
        <sz val="7"/>
        <rFont val="Calibri"/>
        <family val="2"/>
        <scheme val="minor"/>
      </rPr>
      <t>c,eff</t>
    </r>
  </si>
  <si>
    <t>Due shrinkage (striking)</t>
  </si>
  <si>
    <t>Due creep (striking)</t>
  </si>
  <si>
    <t>Due anchorage</t>
  </si>
  <si>
    <t>Due wire friction</t>
  </si>
  <si>
    <t>Due shrinkage (final)</t>
  </si>
  <si>
    <t>Due creep (final)</t>
  </si>
  <si>
    <r>
      <t>k</t>
    </r>
    <r>
      <rPr>
        <sz val="7"/>
        <color theme="1"/>
        <rFont val="Calibri"/>
        <family val="2"/>
      </rPr>
      <t>ht-f</t>
    </r>
  </si>
  <si>
    <r>
      <t>β</t>
    </r>
    <r>
      <rPr>
        <sz val="7"/>
        <color theme="1"/>
        <rFont val="Calibri"/>
        <family val="2"/>
        <scheme val="minor"/>
      </rPr>
      <t>t-ts-f</t>
    </r>
  </si>
  <si>
    <r>
      <t>ε</t>
    </r>
    <r>
      <rPr>
        <b/>
        <sz val="7"/>
        <color theme="1"/>
        <rFont val="Calibri"/>
        <family val="2"/>
      </rPr>
      <t>cd-f</t>
    </r>
  </si>
  <si>
    <t>Total (final)</t>
  </si>
  <si>
    <r>
      <t>q</t>
    </r>
    <r>
      <rPr>
        <sz val="7"/>
        <color theme="1"/>
        <rFont val="Calibri"/>
        <family val="2"/>
        <scheme val="minor"/>
      </rPr>
      <t>(sls-qk)</t>
    </r>
  </si>
  <si>
    <r>
      <t>M</t>
    </r>
    <r>
      <rPr>
        <sz val="7"/>
        <color theme="1"/>
        <rFont val="Calibri"/>
        <family val="2"/>
        <scheme val="minor"/>
      </rPr>
      <t>(sls-qk)</t>
    </r>
  </si>
  <si>
    <r>
      <t>δ</t>
    </r>
    <r>
      <rPr>
        <b/>
        <sz val="7"/>
        <color theme="1"/>
        <rFont val="Calibri"/>
        <family val="2"/>
      </rPr>
      <t>f</t>
    </r>
  </si>
  <si>
    <t>Adjustable</t>
  </si>
  <si>
    <t>Allowable camber</t>
  </si>
  <si>
    <r>
      <t>δ</t>
    </r>
    <r>
      <rPr>
        <b/>
        <sz val="7"/>
        <color theme="1"/>
        <rFont val="Calibri"/>
        <family val="2"/>
      </rPr>
      <t>s</t>
    </r>
  </si>
  <si>
    <r>
      <t>α</t>
    </r>
    <r>
      <rPr>
        <sz val="7"/>
        <color theme="1"/>
        <rFont val="Calibri"/>
        <family val="2"/>
        <scheme val="minor"/>
      </rPr>
      <t>lG</t>
    </r>
  </si>
  <si>
    <r>
      <t>α</t>
    </r>
    <r>
      <rPr>
        <sz val="7"/>
        <color theme="1"/>
        <rFont val="Calibri"/>
        <family val="2"/>
        <scheme val="minor"/>
      </rPr>
      <t>lQ</t>
    </r>
  </si>
  <si>
    <r>
      <t>α</t>
    </r>
    <r>
      <rPr>
        <sz val="7"/>
        <color theme="1"/>
        <rFont val="Calibri"/>
        <family val="2"/>
        <scheme val="minor"/>
      </rPr>
      <t>lP</t>
    </r>
  </si>
  <si>
    <r>
      <t>α</t>
    </r>
    <r>
      <rPr>
        <sz val="7"/>
        <color theme="1"/>
        <rFont val="Calibri"/>
        <family val="2"/>
        <scheme val="minor"/>
      </rPr>
      <t>sP</t>
    </r>
  </si>
  <si>
    <r>
      <t>α</t>
    </r>
    <r>
      <rPr>
        <sz val="7"/>
        <color theme="1"/>
        <rFont val="Calibri"/>
        <family val="2"/>
        <scheme val="minor"/>
      </rPr>
      <t>sG</t>
    </r>
  </si>
  <si>
    <r>
      <t>M</t>
    </r>
    <r>
      <rPr>
        <sz val="7"/>
        <color theme="1"/>
        <rFont val="Calibri"/>
        <family val="2"/>
        <scheme val="minor"/>
      </rPr>
      <t>(sls-sw)</t>
    </r>
  </si>
  <si>
    <t>Snow Finland; Iceland; Norway; Sweden</t>
  </si>
  <si>
    <t>Snow Remainder of CEN Member States; for sites located at altitude H&gt;1000 m a.s.l</t>
  </si>
  <si>
    <t>Snow Remainder of CEN Member States; for sites located at altitude H&lt; 1000 m a.s.l</t>
  </si>
  <si>
    <t>Category A : domestic; residential areas</t>
  </si>
  <si>
    <t>Category G : traffic area; 30kN &lt; vehicle weight   160kN</t>
  </si>
  <si>
    <t>Category F : traffic area; vehicle weight   30kN</t>
  </si>
  <si>
    <t>TOTAL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</si>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</sst>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86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10"/>
      <name val="Calibri"/>
      <family val="2"/>
      <charset val="186"/>
      <scheme val="minor"/>
    </font>
    <font>
      <vertAlign val="subscript"/>
      <sz val="10"/>
      <name val="Calibri"/>
      <family val="2"/>
      <charset val="186"/>
      <scheme val="minor"/>
    </font>
    <font>
      <vertAlign val="superscript"/>
      <sz val="10"/>
      <name val="Calibri"/>
      <family val="2"/>
      <charset val="186"/>
      <scheme val="minor"/>
    </font>
    <font>
      <b/>
      <sz val="10"/>
      <name val="Calibri"/>
      <family val="2"/>
      <charset val="186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</font>
    <font>
      <sz val="11"/>
      <color theme="1"/>
      <name val="Calibri"/>
      <family val="1"/>
      <scheme val="minor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11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164" fontId="8" fillId="3" borderId="10" xfId="0" applyNumberFormat="1" applyFont="1" applyFill="1" applyBorder="1" applyAlignment="1">
      <alignment horizontal="center"/>
    </xf>
    <xf numFmtId="164" fontId="8" fillId="3" borderId="11" xfId="0" applyNumberFormat="1" applyFont="1" applyFill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8" fillId="3" borderId="3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0" fillId="0" borderId="11" xfId="0" applyBorder="1"/>
    <xf numFmtId="0" fontId="2" fillId="0" borderId="17" xfId="0" applyFont="1" applyBorder="1"/>
    <xf numFmtId="0" fontId="0" fillId="0" borderId="17" xfId="0" applyBorder="1"/>
    <xf numFmtId="2" fontId="0" fillId="0" borderId="1" xfId="0" applyNumberFormat="1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2" fontId="0" fillId="0" borderId="17" xfId="0" applyNumberFormat="1" applyBorder="1"/>
    <xf numFmtId="0" fontId="0" fillId="0" borderId="1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66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10" fontId="0" fillId="0" borderId="11" xfId="0" applyNumberFormat="1" applyBorder="1"/>
    <xf numFmtId="0" fontId="2" fillId="0" borderId="11" xfId="0" applyFont="1" applyBorder="1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5" xfId="0" applyBorder="1"/>
    <xf numFmtId="0" fontId="0" fillId="0" borderId="4" xfId="0" applyBorder="1"/>
    <xf numFmtId="166" fontId="0" fillId="0" borderId="0" xfId="0" applyNumberFormat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5" fillId="0" borderId="1" xfId="0" applyFont="1" applyBorder="1"/>
    <xf numFmtId="0" fontId="7" fillId="0" borderId="1" xfId="0" applyFont="1" applyBorder="1"/>
    <xf numFmtId="0" fontId="14" fillId="0" borderId="1" xfId="0" applyFont="1" applyBorder="1"/>
    <xf numFmtId="2" fontId="0" fillId="0" borderId="11" xfId="0" applyNumberFormat="1" applyBorder="1"/>
    <xf numFmtId="1" fontId="0" fillId="0" borderId="11" xfId="0" applyNumberFormat="1" applyBorder="1"/>
    <xf numFmtId="0" fontId="0" fillId="0" borderId="17" xfId="0" applyBorder="1" applyAlignment="1">
      <alignment wrapText="1"/>
    </xf>
    <xf numFmtId="0" fontId="14" fillId="0" borderId="0" xfId="0" applyFont="1"/>
    <xf numFmtId="0" fontId="5" fillId="0" borderId="0" xfId="0" applyFont="1"/>
    <xf numFmtId="0" fontId="15" fillId="0" borderId="1" xfId="0" applyFont="1" applyBorder="1"/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7" fontId="0" fillId="0" borderId="1" xfId="0" applyNumberFormat="1" applyBorder="1"/>
    <xf numFmtId="0" fontId="15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7" fillId="0" borderId="1" xfId="0" applyFont="1" applyBorder="1"/>
    <xf numFmtId="2" fontId="17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55</xdr:row>
      <xdr:rowOff>42873</xdr:rowOff>
    </xdr:from>
    <xdr:to>
      <xdr:col>14</xdr:col>
      <xdr:colOff>284239</xdr:colOff>
      <xdr:row>70</xdr:row>
      <xdr:rowOff>113623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AF1F5A-A46D-5040-3D34-D1349BA2F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11053773"/>
          <a:ext cx="6542164" cy="292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CB45-E0CE-4717-9925-5FB2CCC44F3D}">
  <dimension ref="C2:N310"/>
  <sheetViews>
    <sheetView tabSelected="1" topLeftCell="A43" workbookViewId="0">
      <selection activeCell="L55" sqref="L55"/>
    </sheetView>
  </sheetViews>
  <sheetFormatPr defaultRowHeight="15" x14ac:dyDescent="0.25"/>
  <cols>
    <col min="3" max="3" width="22.5703125" customWidth="1"/>
    <col min="4" max="4" width="17.28515625" customWidth="1"/>
    <col min="5" max="5" width="16.7109375" customWidth="1"/>
    <col min="7" max="7" width="14.5703125" customWidth="1"/>
    <col min="9" max="9" width="19" customWidth="1"/>
    <col min="10" max="10" width="12" bestFit="1" customWidth="1"/>
    <col min="11" max="11" width="10.140625" bestFit="1" customWidth="1"/>
    <col min="12" max="12" width="10.85546875" customWidth="1"/>
  </cols>
  <sheetData>
    <row r="2" spans="3:14" ht="15.75" thickBot="1" x14ac:dyDescent="0.3"/>
    <row r="3" spans="3:14" ht="15.75" thickBot="1" x14ac:dyDescent="0.3">
      <c r="C3" s="100" t="s">
        <v>0</v>
      </c>
      <c r="D3" s="101"/>
      <c r="E3" s="102"/>
      <c r="G3" s="99" t="s">
        <v>265</v>
      </c>
      <c r="I3" s="103" t="s">
        <v>68</v>
      </c>
      <c r="J3" s="104"/>
      <c r="K3" s="104"/>
      <c r="L3" s="104"/>
      <c r="M3" s="104"/>
      <c r="N3" s="105"/>
    </row>
    <row r="4" spans="3:14" ht="15.75" thickBot="1" x14ac:dyDescent="0.3">
      <c r="C4" s="1"/>
      <c r="D4" s="1"/>
      <c r="E4" s="1"/>
    </row>
    <row r="5" spans="3:14" ht="15.75" thickBot="1" x14ac:dyDescent="0.3">
      <c r="C5" s="2" t="s">
        <v>1</v>
      </c>
      <c r="D5" s="4">
        <v>1.5</v>
      </c>
      <c r="E5" s="2" t="s">
        <v>3</v>
      </c>
      <c r="I5" s="103" t="s">
        <v>71</v>
      </c>
      <c r="J5" s="104"/>
      <c r="K5" s="104"/>
      <c r="L5" s="104"/>
      <c r="M5" s="104"/>
      <c r="N5" s="105"/>
    </row>
    <row r="6" spans="3:14" ht="15.75" thickBot="1" x14ac:dyDescent="0.3">
      <c r="C6" s="2" t="s">
        <v>2</v>
      </c>
      <c r="D6" s="4">
        <v>1.1499999999999999</v>
      </c>
      <c r="E6" s="2" t="s">
        <v>3</v>
      </c>
    </row>
    <row r="7" spans="3:14" ht="15.75" thickBot="1" x14ac:dyDescent="0.3">
      <c r="C7" s="2" t="s">
        <v>4</v>
      </c>
      <c r="D7" s="4">
        <v>1</v>
      </c>
      <c r="E7" s="2" t="s">
        <v>3</v>
      </c>
      <c r="I7" s="8" t="s">
        <v>138</v>
      </c>
      <c r="J7" s="70" t="s">
        <v>139</v>
      </c>
      <c r="K7" s="9" t="s">
        <v>75</v>
      </c>
      <c r="L7" s="9" t="s">
        <v>140</v>
      </c>
      <c r="M7" s="9" t="s">
        <v>73</v>
      </c>
      <c r="N7" s="10" t="s">
        <v>137</v>
      </c>
    </row>
    <row r="8" spans="3:14" x14ac:dyDescent="0.25">
      <c r="I8" s="72"/>
      <c r="J8" s="72"/>
      <c r="K8" s="72"/>
      <c r="L8" s="72"/>
      <c r="M8" s="72"/>
      <c r="N8" s="72"/>
    </row>
    <row r="9" spans="3:14" x14ac:dyDescent="0.25">
      <c r="C9" s="2" t="s">
        <v>141</v>
      </c>
      <c r="D9" s="13" t="s">
        <v>143</v>
      </c>
      <c r="E9" s="2" t="s">
        <v>135</v>
      </c>
      <c r="I9" s="69" t="s">
        <v>136</v>
      </c>
      <c r="J9" s="67">
        <f>D89</f>
        <v>108.12945150000002</v>
      </c>
      <c r="K9" s="68">
        <f>J9/M9</f>
        <v>0.92025461273688225</v>
      </c>
      <c r="L9" s="71" t="str">
        <f>IF(J9&lt;=M9,"OK","FAIL")</f>
        <v>OK</v>
      </c>
      <c r="M9" s="67">
        <f>MIN(D189:D190)</f>
        <v>117.49949416544378</v>
      </c>
      <c r="N9" s="69" t="s">
        <v>77</v>
      </c>
    </row>
    <row r="10" spans="3:14" x14ac:dyDescent="0.25">
      <c r="C10" s="2" t="s">
        <v>266</v>
      </c>
      <c r="D10" s="4">
        <v>20</v>
      </c>
      <c r="E10" s="2" t="s">
        <v>90</v>
      </c>
      <c r="J10" s="1"/>
      <c r="M10" s="1"/>
    </row>
    <row r="11" spans="3:14" ht="15.75" thickBot="1" x14ac:dyDescent="0.3">
      <c r="I11" s="12" t="s">
        <v>124</v>
      </c>
      <c r="J11" s="65">
        <f>D181</f>
        <v>4.6453534851764518E-2</v>
      </c>
      <c r="K11" s="63">
        <f>J11/M11</f>
        <v>0.10369092600840292</v>
      </c>
      <c r="L11" s="64" t="str">
        <f>IF(J11&lt;=M11,"OK","FAIL")</f>
        <v>OK</v>
      </c>
      <c r="M11" s="5">
        <f>D146</f>
        <v>0.44800000000000006</v>
      </c>
      <c r="N11" s="12" t="s">
        <v>135</v>
      </c>
    </row>
    <row r="12" spans="3:14" ht="15.75" thickBot="1" x14ac:dyDescent="0.3">
      <c r="C12" s="100" t="s">
        <v>15</v>
      </c>
      <c r="D12" s="101"/>
      <c r="E12" s="102"/>
    </row>
    <row r="14" spans="3:14" ht="43.5" customHeight="1" thickBot="1" x14ac:dyDescent="0.3">
      <c r="C14" s="2" t="s">
        <v>14</v>
      </c>
      <c r="D14" s="106" t="s">
        <v>10</v>
      </c>
      <c r="E14" s="107"/>
    </row>
    <row r="15" spans="3:14" ht="15.75" thickBot="1" x14ac:dyDescent="0.3">
      <c r="I15" s="103" t="s">
        <v>72</v>
      </c>
      <c r="J15" s="104"/>
      <c r="K15" s="104"/>
      <c r="L15" s="104"/>
      <c r="M15" s="104"/>
      <c r="N15" s="105"/>
    </row>
    <row r="16" spans="3:14" ht="15.75" thickBot="1" x14ac:dyDescent="0.3">
      <c r="C16" s="11" t="s">
        <v>16</v>
      </c>
      <c r="D16" s="4">
        <v>1.35</v>
      </c>
      <c r="E16" s="2" t="s">
        <v>3</v>
      </c>
    </row>
    <row r="17" spans="3:14" ht="15.75" thickBot="1" x14ac:dyDescent="0.3">
      <c r="C17" s="2" t="s">
        <v>17</v>
      </c>
      <c r="D17" s="4">
        <v>1.5</v>
      </c>
      <c r="E17" s="2" t="s">
        <v>3</v>
      </c>
      <c r="I17" s="8" t="s">
        <v>138</v>
      </c>
      <c r="J17" s="70" t="s">
        <v>139</v>
      </c>
      <c r="K17" s="9" t="s">
        <v>75</v>
      </c>
      <c r="L17" s="9" t="s">
        <v>140</v>
      </c>
      <c r="M17" s="9" t="s">
        <v>73</v>
      </c>
      <c r="N17" s="10" t="s">
        <v>137</v>
      </c>
    </row>
    <row r="19" spans="3:14" x14ac:dyDescent="0.25">
      <c r="C19" s="11" t="s">
        <v>18</v>
      </c>
      <c r="D19" s="2">
        <f>VLOOKUP(D14,HelperData!B3:F12,4,FALSE)</f>
        <v>0.3</v>
      </c>
      <c r="E19" s="2" t="s">
        <v>3</v>
      </c>
      <c r="I19" s="12" t="s">
        <v>69</v>
      </c>
      <c r="J19" s="57">
        <f>D254</f>
        <v>-3.0018177017413081</v>
      </c>
      <c r="K19" s="63">
        <f>J19/M19</f>
        <v>0.15009088508706542</v>
      </c>
      <c r="L19" s="5" t="str">
        <f>IF(J19&gt;=M19,"OK","FAIL")</f>
        <v>OK</v>
      </c>
      <c r="M19" s="5">
        <f>-D10</f>
        <v>-20</v>
      </c>
      <c r="N19" s="12" t="s">
        <v>90</v>
      </c>
    </row>
    <row r="21" spans="3:14" x14ac:dyDescent="0.25">
      <c r="C21" s="2" t="s">
        <v>22</v>
      </c>
      <c r="D21" s="2">
        <f>VLOOKUP(D34,HelperData!B17:C22,2,FALSE)</f>
        <v>3.56</v>
      </c>
      <c r="E21" s="2" t="s">
        <v>20</v>
      </c>
      <c r="I21" s="12" t="s">
        <v>70</v>
      </c>
      <c r="J21" s="57">
        <f>D310</f>
        <v>-0.80293232107612944</v>
      </c>
      <c r="K21" s="63">
        <f>J21/M21</f>
        <v>-2.8676154324147479E-2</v>
      </c>
      <c r="L21" s="5" t="str">
        <f>IF(J21&lt;=M21,"OK","FAIL")</f>
        <v>OK</v>
      </c>
      <c r="M21" s="5">
        <f>D303</f>
        <v>28</v>
      </c>
      <c r="N21" s="12" t="s">
        <v>90</v>
      </c>
    </row>
    <row r="22" spans="3:14" x14ac:dyDescent="0.25">
      <c r="C22" s="2" t="s">
        <v>21</v>
      </c>
      <c r="D22" s="4">
        <v>2.1</v>
      </c>
      <c r="E22" s="2" t="s">
        <v>20</v>
      </c>
    </row>
    <row r="23" spans="3:14" x14ac:dyDescent="0.25">
      <c r="C23" s="2" t="s">
        <v>23</v>
      </c>
      <c r="D23" s="4">
        <v>5</v>
      </c>
      <c r="E23" s="2" t="s">
        <v>20</v>
      </c>
    </row>
    <row r="24" spans="3:14" ht="15.75" thickBot="1" x14ac:dyDescent="0.3"/>
    <row r="25" spans="3:14" ht="15.75" thickBot="1" x14ac:dyDescent="0.3">
      <c r="I25" s="103" t="s">
        <v>280</v>
      </c>
      <c r="J25" s="104"/>
      <c r="K25" s="104"/>
      <c r="L25" s="104"/>
      <c r="M25" s="104"/>
      <c r="N25" s="105"/>
    </row>
    <row r="26" spans="3:14" ht="15.75" thickBot="1" x14ac:dyDescent="0.3">
      <c r="C26" s="100" t="s">
        <v>19</v>
      </c>
      <c r="D26" s="101"/>
      <c r="E26" s="102"/>
    </row>
    <row r="27" spans="3:14" x14ac:dyDescent="0.25">
      <c r="I27" s="12" t="s">
        <v>281</v>
      </c>
      <c r="K27" s="63">
        <f>IFERROR(MAX(K9,K11,K19,K21),1.01)</f>
        <v>0.92025461273688225</v>
      </c>
      <c r="N27" s="12" t="s">
        <v>75</v>
      </c>
    </row>
    <row r="28" spans="3:14" x14ac:dyDescent="0.25">
      <c r="C28" s="2" t="s">
        <v>24</v>
      </c>
      <c r="D28" s="4">
        <v>7</v>
      </c>
      <c r="E28" s="2" t="s">
        <v>25</v>
      </c>
    </row>
    <row r="29" spans="3:14" x14ac:dyDescent="0.25">
      <c r="C29" s="2" t="s">
        <v>26</v>
      </c>
      <c r="D29" s="4">
        <v>0.1</v>
      </c>
      <c r="E29" s="2" t="s">
        <v>25</v>
      </c>
    </row>
    <row r="30" spans="3:14" x14ac:dyDescent="0.25">
      <c r="C30" s="2" t="s">
        <v>27</v>
      </c>
      <c r="D30" s="2">
        <f>D28-D29</f>
        <v>6.9</v>
      </c>
      <c r="E30" s="2" t="s">
        <v>25</v>
      </c>
    </row>
    <row r="32" spans="3:14" x14ac:dyDescent="0.25">
      <c r="C32" s="2" t="s">
        <v>74</v>
      </c>
      <c r="D32" s="4">
        <v>1.2</v>
      </c>
      <c r="E32" s="2" t="s">
        <v>25</v>
      </c>
    </row>
    <row r="34" spans="3:5" x14ac:dyDescent="0.25">
      <c r="C34" s="2" t="s">
        <v>28</v>
      </c>
      <c r="D34" s="13" t="s">
        <v>32</v>
      </c>
      <c r="E34" s="2" t="s">
        <v>3</v>
      </c>
    </row>
    <row r="35" spans="3:5" ht="15.75" thickBot="1" x14ac:dyDescent="0.3"/>
    <row r="36" spans="3:5" ht="15.75" thickBot="1" x14ac:dyDescent="0.3">
      <c r="C36" s="100" t="s">
        <v>114</v>
      </c>
      <c r="D36" s="101"/>
      <c r="E36" s="102"/>
    </row>
    <row r="37" spans="3:5" x14ac:dyDescent="0.25">
      <c r="C37" s="1"/>
      <c r="D37" s="1"/>
      <c r="E37" s="1"/>
    </row>
    <row r="38" spans="3:5" x14ac:dyDescent="0.25">
      <c r="C38" s="2" t="s">
        <v>36</v>
      </c>
      <c r="D38" s="13" t="s">
        <v>42</v>
      </c>
      <c r="E38" s="2" t="s">
        <v>3</v>
      </c>
    </row>
    <row r="39" spans="3:5" x14ac:dyDescent="0.25">
      <c r="C39" s="2" t="s">
        <v>115</v>
      </c>
      <c r="D39" s="13" t="s">
        <v>45</v>
      </c>
      <c r="E39" s="2" t="s">
        <v>3</v>
      </c>
    </row>
    <row r="41" spans="3:5" x14ac:dyDescent="0.25">
      <c r="C41" s="2" t="s">
        <v>157</v>
      </c>
      <c r="D41" s="13" t="s">
        <v>118</v>
      </c>
      <c r="E41" s="2" t="s">
        <v>3</v>
      </c>
    </row>
    <row r="42" spans="3:5" ht="15.75" thickBot="1" x14ac:dyDescent="0.3"/>
    <row r="43" spans="3:5" ht="15.75" thickBot="1" x14ac:dyDescent="0.3">
      <c r="C43" s="100" t="s">
        <v>94</v>
      </c>
      <c r="D43" s="101"/>
      <c r="E43" s="102"/>
    </row>
    <row r="45" spans="3:5" x14ac:dyDescent="0.25">
      <c r="C45" s="2" t="s">
        <v>63</v>
      </c>
      <c r="D45" s="13" t="s">
        <v>64</v>
      </c>
      <c r="E45" s="2" t="s">
        <v>3</v>
      </c>
    </row>
    <row r="47" spans="3:5" x14ac:dyDescent="0.25">
      <c r="C47" s="2" t="s">
        <v>104</v>
      </c>
      <c r="D47" s="2">
        <f>VLOOKUP(D45,HelperData!B41:C41,2,FALSE)</f>
        <v>1860</v>
      </c>
      <c r="E47" s="2" t="s">
        <v>103</v>
      </c>
    </row>
    <row r="48" spans="3:5" x14ac:dyDescent="0.25">
      <c r="C48" s="2" t="s">
        <v>106</v>
      </c>
      <c r="D48" s="55">
        <f>D47/1.131</f>
        <v>1644.5623342175065</v>
      </c>
      <c r="E48" s="2" t="s">
        <v>103</v>
      </c>
    </row>
    <row r="49" spans="3:5" x14ac:dyDescent="0.25">
      <c r="C49" s="2" t="s">
        <v>107</v>
      </c>
      <c r="D49" s="55">
        <f>D48/D6</f>
        <v>1430.0542036673971</v>
      </c>
      <c r="E49" s="2" t="s">
        <v>103</v>
      </c>
    </row>
    <row r="51" spans="3:5" x14ac:dyDescent="0.25">
      <c r="C51" s="108" t="s">
        <v>95</v>
      </c>
      <c r="D51" s="108"/>
      <c r="E51" s="108"/>
    </row>
    <row r="53" spans="3:5" x14ac:dyDescent="0.25">
      <c r="C53" s="2" t="s">
        <v>85</v>
      </c>
      <c r="D53" s="4">
        <v>3</v>
      </c>
      <c r="E53" s="2" t="s">
        <v>84</v>
      </c>
    </row>
    <row r="54" spans="3:5" x14ac:dyDescent="0.25">
      <c r="C54" s="2" t="s">
        <v>89</v>
      </c>
      <c r="D54" s="4">
        <v>9.3000000000000007</v>
      </c>
      <c r="E54" s="2" t="s">
        <v>90</v>
      </c>
    </row>
    <row r="55" spans="3:5" x14ac:dyDescent="0.25">
      <c r="C55" s="2" t="s">
        <v>102</v>
      </c>
      <c r="D55" s="4">
        <v>1050</v>
      </c>
      <c r="E55" s="2" t="s">
        <v>103</v>
      </c>
    </row>
    <row r="57" spans="3:5" x14ac:dyDescent="0.25">
      <c r="C57" s="2" t="s">
        <v>101</v>
      </c>
      <c r="D57" s="4">
        <v>220</v>
      </c>
      <c r="E57" s="2" t="s">
        <v>90</v>
      </c>
    </row>
    <row r="59" spans="3:5" x14ac:dyDescent="0.25">
      <c r="C59" s="108" t="s">
        <v>97</v>
      </c>
      <c r="D59" s="108"/>
      <c r="E59" s="108"/>
    </row>
    <row r="61" spans="3:5" x14ac:dyDescent="0.25">
      <c r="C61" s="2" t="s">
        <v>85</v>
      </c>
      <c r="D61" s="4">
        <v>0</v>
      </c>
      <c r="E61" s="2" t="s">
        <v>84</v>
      </c>
    </row>
    <row r="62" spans="3:5" x14ac:dyDescent="0.25">
      <c r="C62" s="2" t="s">
        <v>89</v>
      </c>
      <c r="D62" s="4">
        <v>9.3000000000000007</v>
      </c>
      <c r="E62" s="2" t="s">
        <v>90</v>
      </c>
    </row>
    <row r="63" spans="3:5" x14ac:dyDescent="0.25">
      <c r="C63" s="2" t="s">
        <v>102</v>
      </c>
      <c r="D63" s="4">
        <v>0</v>
      </c>
      <c r="E63" s="2" t="s">
        <v>103</v>
      </c>
    </row>
    <row r="65" spans="3:5" x14ac:dyDescent="0.25">
      <c r="C65" s="2" t="s">
        <v>100</v>
      </c>
      <c r="D65" s="4">
        <v>0</v>
      </c>
      <c r="E65" s="2" t="s">
        <v>90</v>
      </c>
    </row>
    <row r="67" spans="3:5" x14ac:dyDescent="0.25">
      <c r="C67" s="108" t="s">
        <v>98</v>
      </c>
      <c r="D67" s="108"/>
      <c r="E67" s="108"/>
    </row>
    <row r="69" spans="3:5" x14ac:dyDescent="0.25">
      <c r="C69" s="2" t="s">
        <v>85</v>
      </c>
      <c r="D69" s="4">
        <v>7</v>
      </c>
      <c r="E69" s="2" t="s">
        <v>84</v>
      </c>
    </row>
    <row r="70" spans="3:5" x14ac:dyDescent="0.25">
      <c r="C70" s="2" t="s">
        <v>89</v>
      </c>
      <c r="D70" s="4">
        <v>9.3000000000000007</v>
      </c>
      <c r="E70" s="2" t="s">
        <v>90</v>
      </c>
    </row>
    <row r="71" spans="3:5" x14ac:dyDescent="0.25">
      <c r="C71" s="2" t="s">
        <v>102</v>
      </c>
      <c r="D71" s="4">
        <v>1050</v>
      </c>
      <c r="E71" s="2" t="s">
        <v>103</v>
      </c>
    </row>
    <row r="73" spans="3:5" x14ac:dyDescent="0.25">
      <c r="C73" s="2" t="s">
        <v>99</v>
      </c>
      <c r="D73" s="4">
        <v>35</v>
      </c>
      <c r="E73" s="2" t="s">
        <v>90</v>
      </c>
    </row>
    <row r="74" spans="3:5" ht="15.75" thickBot="1" x14ac:dyDescent="0.3"/>
    <row r="75" spans="3:5" ht="15.75" thickBot="1" x14ac:dyDescent="0.3">
      <c r="C75" s="103" t="s">
        <v>67</v>
      </c>
      <c r="D75" s="104"/>
      <c r="E75" s="105"/>
    </row>
    <row r="77" spans="3:5" x14ac:dyDescent="0.25">
      <c r="C77" s="108" t="s">
        <v>76</v>
      </c>
      <c r="D77" s="108"/>
      <c r="E77" s="108"/>
    </row>
    <row r="79" spans="3:5" x14ac:dyDescent="0.25">
      <c r="C79" s="2" t="s">
        <v>204</v>
      </c>
      <c r="D79" s="46">
        <f>((D21+D22)*D16+D23*D17)*D32</f>
        <v>18.1692</v>
      </c>
      <c r="E79" s="2" t="s">
        <v>20</v>
      </c>
    </row>
    <row r="81" spans="3:5" x14ac:dyDescent="0.25">
      <c r="C81" s="2" t="s">
        <v>245</v>
      </c>
      <c r="D81" s="46">
        <f>D21*D32</f>
        <v>4.2720000000000002</v>
      </c>
      <c r="E81" s="2" t="s">
        <v>20</v>
      </c>
    </row>
    <row r="82" spans="3:5" x14ac:dyDescent="0.25">
      <c r="C82" s="2" t="s">
        <v>246</v>
      </c>
      <c r="D82" s="46">
        <f>(D21+D22)*D32</f>
        <v>6.7919999999999998</v>
      </c>
      <c r="E82" s="2" t="s">
        <v>20</v>
      </c>
    </row>
    <row r="83" spans="3:5" x14ac:dyDescent="0.25">
      <c r="C83" s="2" t="s">
        <v>262</v>
      </c>
      <c r="D83" s="46">
        <f>D23*D32</f>
        <v>6</v>
      </c>
      <c r="E83" s="2" t="s">
        <v>20</v>
      </c>
    </row>
    <row r="85" spans="3:5" x14ac:dyDescent="0.25">
      <c r="C85" s="2" t="s">
        <v>205</v>
      </c>
      <c r="D85" s="46">
        <f>((D21+D22)+D23*D19)*D32</f>
        <v>8.5920000000000005</v>
      </c>
      <c r="E85" s="2" t="s">
        <v>20</v>
      </c>
    </row>
    <row r="87" spans="3:5" x14ac:dyDescent="0.25">
      <c r="C87" s="108" t="s">
        <v>66</v>
      </c>
      <c r="D87" s="108"/>
      <c r="E87" s="108"/>
    </row>
    <row r="89" spans="3:5" x14ac:dyDescent="0.25">
      <c r="C89" s="2" t="s">
        <v>202</v>
      </c>
      <c r="D89" s="46">
        <f>(D79*D30^2)/8</f>
        <v>108.12945150000002</v>
      </c>
      <c r="E89" s="2" t="s">
        <v>77</v>
      </c>
    </row>
    <row r="91" spans="3:5" x14ac:dyDescent="0.25">
      <c r="C91" s="2" t="s">
        <v>273</v>
      </c>
      <c r="D91" s="46">
        <f>(D81*D30^2)/8</f>
        <v>25.423740000000006</v>
      </c>
      <c r="E91" s="2" t="s">
        <v>77</v>
      </c>
    </row>
    <row r="92" spans="3:5" x14ac:dyDescent="0.25">
      <c r="C92" s="2" t="s">
        <v>247</v>
      </c>
      <c r="D92" s="46">
        <f>(D82*D30^2)/8</f>
        <v>40.420890000000007</v>
      </c>
      <c r="E92" s="2" t="s">
        <v>77</v>
      </c>
    </row>
    <row r="93" spans="3:5" x14ac:dyDescent="0.25">
      <c r="C93" s="2" t="s">
        <v>263</v>
      </c>
      <c r="D93" s="46">
        <f>(D83*D30^2)/8</f>
        <v>35.707500000000003</v>
      </c>
      <c r="E93" s="2" t="s">
        <v>77</v>
      </c>
    </row>
    <row r="95" spans="3:5" x14ac:dyDescent="0.25">
      <c r="C95" s="2" t="s">
        <v>203</v>
      </c>
      <c r="D95" s="46">
        <f>(D85*D30^2)/8</f>
        <v>51.133140000000012</v>
      </c>
      <c r="E95" s="2" t="s">
        <v>77</v>
      </c>
    </row>
    <row r="97" spans="3:5" x14ac:dyDescent="0.25">
      <c r="C97" s="108" t="s">
        <v>78</v>
      </c>
      <c r="D97" s="108"/>
      <c r="E97" s="108"/>
    </row>
    <row r="99" spans="3:5" x14ac:dyDescent="0.25">
      <c r="C99" s="2" t="s">
        <v>81</v>
      </c>
      <c r="D99" s="46">
        <f>VLOOKUP(D39,HelperData!B25:C38,2,FALSE)</f>
        <v>45</v>
      </c>
      <c r="E99" s="2" t="s">
        <v>80</v>
      </c>
    </row>
    <row r="100" spans="3:5" x14ac:dyDescent="0.25">
      <c r="C100" s="2" t="s">
        <v>79</v>
      </c>
      <c r="D100" s="46">
        <f>D7*D99/D5</f>
        <v>30</v>
      </c>
      <c r="E100" s="2" t="s">
        <v>80</v>
      </c>
    </row>
    <row r="101" spans="3:5" x14ac:dyDescent="0.25">
      <c r="D101" s="60"/>
    </row>
    <row r="102" spans="3:5" x14ac:dyDescent="0.25">
      <c r="C102" s="2" t="s">
        <v>208</v>
      </c>
      <c r="D102" s="46">
        <f>VLOOKUP(D39,HelperData!B25:G38,6,FALSE)</f>
        <v>2.7</v>
      </c>
      <c r="E102" s="2" t="s">
        <v>80</v>
      </c>
    </row>
    <row r="103" spans="3:5" x14ac:dyDescent="0.25">
      <c r="D103" s="60"/>
    </row>
    <row r="104" spans="3:5" x14ac:dyDescent="0.25">
      <c r="C104" s="2" t="s">
        <v>122</v>
      </c>
      <c r="D104" s="46">
        <f>IF(D99&lt;50,1,1-(D99-50)/400)</f>
        <v>1</v>
      </c>
      <c r="E104" s="2" t="s">
        <v>3</v>
      </c>
    </row>
    <row r="105" spans="3:5" x14ac:dyDescent="0.25">
      <c r="C105" s="2" t="s">
        <v>129</v>
      </c>
      <c r="D105" s="62">
        <v>3.5000000000000001E-3</v>
      </c>
      <c r="E105" s="2" t="s">
        <v>3</v>
      </c>
    </row>
    <row r="106" spans="3:5" x14ac:dyDescent="0.25">
      <c r="D106" s="74"/>
    </row>
    <row r="107" spans="3:5" x14ac:dyDescent="0.25">
      <c r="C107" s="2" t="s">
        <v>161</v>
      </c>
      <c r="D107" s="46">
        <f>VLOOKUP(D41,HelperData!B58:C60,2,FALSE)</f>
        <v>0.25</v>
      </c>
      <c r="E107" s="2" t="s">
        <v>3</v>
      </c>
    </row>
    <row r="108" spans="3:5" x14ac:dyDescent="0.25">
      <c r="D108" s="60"/>
    </row>
    <row r="109" spans="3:5" x14ac:dyDescent="0.25">
      <c r="C109" s="2" t="s">
        <v>211</v>
      </c>
      <c r="D109" s="46">
        <v>195000</v>
      </c>
      <c r="E109" s="2" t="s">
        <v>103</v>
      </c>
    </row>
    <row r="110" spans="3:5" x14ac:dyDescent="0.25">
      <c r="D110" s="60"/>
    </row>
    <row r="111" spans="3:5" x14ac:dyDescent="0.25">
      <c r="C111" s="2" t="s">
        <v>226</v>
      </c>
      <c r="D111" s="46">
        <f>D30^2/((8*0.005)+(0.005/2))</f>
        <v>1120.2352941176471</v>
      </c>
      <c r="E111" s="2" t="s">
        <v>3</v>
      </c>
    </row>
    <row r="112" spans="3:5" x14ac:dyDescent="0.25">
      <c r="C112" s="2" t="s">
        <v>227</v>
      </c>
      <c r="D112" s="89">
        <f>(D30/2)/D111</f>
        <v>3.0797101449275364E-3</v>
      </c>
      <c r="E112" s="2" t="s">
        <v>3</v>
      </c>
    </row>
    <row r="113" spans="3:5" x14ac:dyDescent="0.25">
      <c r="C113" s="2" t="s">
        <v>228</v>
      </c>
      <c r="D113" s="46">
        <v>0.16</v>
      </c>
      <c r="E113" s="2" t="s">
        <v>3</v>
      </c>
    </row>
    <row r="114" spans="3:5" x14ac:dyDescent="0.25">
      <c r="C114" s="2" t="s">
        <v>229</v>
      </c>
      <c r="D114" s="62">
        <v>7.4999999999999997E-3</v>
      </c>
      <c r="E114" s="2" t="s">
        <v>3</v>
      </c>
    </row>
    <row r="115" spans="3:5" x14ac:dyDescent="0.25">
      <c r="D115" s="60"/>
    </row>
    <row r="116" spans="3:5" x14ac:dyDescent="0.25">
      <c r="C116" s="2" t="s">
        <v>239</v>
      </c>
      <c r="D116" s="46">
        <f>D109/D288</f>
        <v>15.082457436760139</v>
      </c>
      <c r="E116" s="2" t="s">
        <v>3</v>
      </c>
    </row>
    <row r="118" spans="3:5" x14ac:dyDescent="0.25">
      <c r="C118" s="108" t="s">
        <v>82</v>
      </c>
      <c r="D118" s="108"/>
      <c r="E118" s="108"/>
    </row>
    <row r="119" spans="3:5" x14ac:dyDescent="0.25">
      <c r="C119" s="1"/>
      <c r="D119" s="1"/>
      <c r="E119" s="1"/>
    </row>
    <row r="120" spans="3:5" x14ac:dyDescent="0.25">
      <c r="C120" s="2" t="s">
        <v>170</v>
      </c>
      <c r="D120" s="5">
        <f>VLOOKUP(D34,HelperData!B17:E22,4,FALSE)</f>
        <v>164589</v>
      </c>
      <c r="E120" s="5" t="s">
        <v>83</v>
      </c>
    </row>
    <row r="121" spans="3:5" x14ac:dyDescent="0.25">
      <c r="D121" s="1"/>
      <c r="E121" s="1"/>
    </row>
    <row r="122" spans="3:5" x14ac:dyDescent="0.25">
      <c r="C122" s="2" t="s">
        <v>200</v>
      </c>
      <c r="D122" s="2">
        <f>IF(D95&gt;=D194,D124,D123)</f>
        <v>1470060000</v>
      </c>
      <c r="E122" s="64" t="s">
        <v>201</v>
      </c>
    </row>
    <row r="123" spans="3:5" x14ac:dyDescent="0.25">
      <c r="C123" s="2" t="s">
        <v>235</v>
      </c>
      <c r="D123" s="2">
        <f>VLOOKUP(D34,HelperData!B17:H22,7,FALSE)</f>
        <v>1470060000</v>
      </c>
      <c r="E123" s="64" t="s">
        <v>201</v>
      </c>
    </row>
    <row r="124" spans="3:5" x14ac:dyDescent="0.25">
      <c r="C124" s="2" t="s">
        <v>236</v>
      </c>
      <c r="D124" s="2">
        <f>(D126*(D182^3)/3+D116*(D132+D133)*(D151-D182)^2+(D116-1)*D131*(D57-D182)^2)</f>
        <v>360702928.51259327</v>
      </c>
      <c r="E124" s="64" t="s">
        <v>201</v>
      </c>
    </row>
    <row r="125" spans="3:5" x14ac:dyDescent="0.25">
      <c r="E125" s="93"/>
    </row>
    <row r="126" spans="3:5" x14ac:dyDescent="0.25">
      <c r="C126" s="2" t="s">
        <v>237</v>
      </c>
      <c r="D126" s="2">
        <f>VLOOKUP(D34,HelperData!B17:M22,12,FALSE)</f>
        <v>947.93527542870959</v>
      </c>
      <c r="E126" s="64" t="s">
        <v>90</v>
      </c>
    </row>
    <row r="127" spans="3:5" x14ac:dyDescent="0.25">
      <c r="D127" s="1"/>
      <c r="E127" s="1"/>
    </row>
    <row r="128" spans="3:5" x14ac:dyDescent="0.25">
      <c r="C128" s="2" t="s">
        <v>180</v>
      </c>
      <c r="D128" s="5">
        <f>VLOOKUP(D34,HelperData!B17:J22,8,FALSE)</f>
        <v>11325577.812018489</v>
      </c>
      <c r="E128" s="5" t="s">
        <v>181</v>
      </c>
    </row>
    <row r="129" spans="3:5" x14ac:dyDescent="0.25">
      <c r="C129" s="2" t="s">
        <v>182</v>
      </c>
      <c r="D129" s="5">
        <f>VLOOKUP(D34,HelperData!B17:J22,9,FALSE)</f>
        <v>10873224.852071008</v>
      </c>
      <c r="E129" s="5" t="s">
        <v>181</v>
      </c>
    </row>
    <row r="130" spans="3:5" x14ac:dyDescent="0.25">
      <c r="C130" s="1"/>
      <c r="D130" s="1"/>
      <c r="E130" s="1"/>
    </row>
    <row r="131" spans="3:5" x14ac:dyDescent="0.25">
      <c r="C131" s="2" t="s">
        <v>110</v>
      </c>
      <c r="D131" s="5">
        <f>VLOOKUP(D54,HelperData!B45:C46,2,FALSE)*D53</f>
        <v>156</v>
      </c>
      <c r="E131" s="5" t="s">
        <v>83</v>
      </c>
    </row>
    <row r="132" spans="3:5" x14ac:dyDescent="0.25">
      <c r="C132" s="2" t="s">
        <v>108</v>
      </c>
      <c r="D132" s="5">
        <f>VLOOKUP(D62,HelperData!B45:C46,2,FALSE)*D61</f>
        <v>0</v>
      </c>
      <c r="E132" s="5" t="s">
        <v>83</v>
      </c>
    </row>
    <row r="133" spans="3:5" x14ac:dyDescent="0.25">
      <c r="C133" s="2" t="s">
        <v>109</v>
      </c>
      <c r="D133" s="5">
        <f>VLOOKUP(D70,HelperData!B45:C46,2,FALSE)*D69</f>
        <v>364</v>
      </c>
      <c r="E133" s="5" t="s">
        <v>83</v>
      </c>
    </row>
    <row r="134" spans="3:5" x14ac:dyDescent="0.25">
      <c r="D134" s="1"/>
      <c r="E134" s="1"/>
    </row>
    <row r="135" spans="3:5" x14ac:dyDescent="0.25">
      <c r="C135" s="79" t="s">
        <v>169</v>
      </c>
      <c r="D135" s="5">
        <f>D131*D55</f>
        <v>163800</v>
      </c>
      <c r="E135" s="5" t="s">
        <v>118</v>
      </c>
    </row>
    <row r="136" spans="3:5" x14ac:dyDescent="0.25">
      <c r="C136" s="2" t="s">
        <v>167</v>
      </c>
      <c r="D136" s="5">
        <f>D63*D132</f>
        <v>0</v>
      </c>
      <c r="E136" s="5" t="s">
        <v>118</v>
      </c>
    </row>
    <row r="137" spans="3:5" x14ac:dyDescent="0.25">
      <c r="C137" s="2" t="s">
        <v>168</v>
      </c>
      <c r="D137" s="5">
        <f>D133*D71</f>
        <v>382200</v>
      </c>
      <c r="E137" s="5" t="s">
        <v>118</v>
      </c>
    </row>
    <row r="138" spans="3:5" x14ac:dyDescent="0.25">
      <c r="D138" s="1"/>
      <c r="E138" s="1"/>
    </row>
    <row r="139" spans="3:5" x14ac:dyDescent="0.25">
      <c r="C139" s="2" t="s">
        <v>113</v>
      </c>
      <c r="D139" s="5">
        <f>D32*1000-40</f>
        <v>1160</v>
      </c>
      <c r="E139" s="5" t="s">
        <v>90</v>
      </c>
    </row>
    <row r="140" spans="3:5" x14ac:dyDescent="0.25">
      <c r="C140" s="2" t="s">
        <v>123</v>
      </c>
      <c r="D140" s="61">
        <f>D139*D151</f>
        <v>266800</v>
      </c>
      <c r="E140" s="5" t="s">
        <v>83</v>
      </c>
    </row>
    <row r="141" spans="3:5" x14ac:dyDescent="0.25">
      <c r="C141" s="2" t="s">
        <v>116</v>
      </c>
      <c r="D141" s="5">
        <v>0.8</v>
      </c>
      <c r="E141" s="5" t="s">
        <v>3</v>
      </c>
    </row>
    <row r="143" spans="3:5" x14ac:dyDescent="0.25">
      <c r="C143" s="2" t="s">
        <v>126</v>
      </c>
      <c r="D143" s="5">
        <v>1</v>
      </c>
      <c r="E143" s="5" t="s">
        <v>3</v>
      </c>
    </row>
    <row r="144" spans="3:5" x14ac:dyDescent="0.25">
      <c r="C144" s="2" t="s">
        <v>127</v>
      </c>
      <c r="D144" s="5">
        <v>0.44</v>
      </c>
      <c r="E144" s="5" t="s">
        <v>3</v>
      </c>
    </row>
    <row r="145" spans="3:5" x14ac:dyDescent="0.25">
      <c r="C145" s="2" t="s">
        <v>128</v>
      </c>
      <c r="D145" s="5">
        <f>1.25*(0.6+0.0014/D105)</f>
        <v>1.25</v>
      </c>
      <c r="E145" s="5" t="s">
        <v>3</v>
      </c>
    </row>
    <row r="146" spans="3:5" x14ac:dyDescent="0.25">
      <c r="C146" s="2" t="s">
        <v>125</v>
      </c>
      <c r="D146" s="66">
        <f>(D143-D144)/D145</f>
        <v>0.44800000000000006</v>
      </c>
      <c r="E146" s="2" t="s">
        <v>3</v>
      </c>
    </row>
    <row r="147" spans="3:5" x14ac:dyDescent="0.25">
      <c r="D147" s="1"/>
      <c r="E147" s="1"/>
    </row>
    <row r="148" spans="3:5" x14ac:dyDescent="0.25">
      <c r="C148" s="2" t="s">
        <v>121</v>
      </c>
      <c r="D148" s="57">
        <f>(D132*(D65+D73)+D133*D73)/(D132+D133)</f>
        <v>35</v>
      </c>
      <c r="E148" s="5" t="s">
        <v>90</v>
      </c>
    </row>
    <row r="149" spans="3:5" x14ac:dyDescent="0.25">
      <c r="D149" s="1"/>
      <c r="E149" s="1"/>
    </row>
    <row r="150" spans="3:5" x14ac:dyDescent="0.25">
      <c r="C150" s="2" t="s">
        <v>93</v>
      </c>
      <c r="D150" s="5">
        <f>VLOOKUP(D34,HelperData!B17:D22,3,FALSE)</f>
        <v>265</v>
      </c>
      <c r="E150" s="5" t="s">
        <v>90</v>
      </c>
    </row>
    <row r="151" spans="3:5" x14ac:dyDescent="0.25">
      <c r="C151" s="2" t="s">
        <v>91</v>
      </c>
      <c r="D151" s="57">
        <f>D150-D148</f>
        <v>230</v>
      </c>
      <c r="E151" s="5" t="s">
        <v>90</v>
      </c>
    </row>
    <row r="152" spans="3:5" x14ac:dyDescent="0.25">
      <c r="D152" s="59"/>
      <c r="E152" s="1"/>
    </row>
    <row r="153" spans="3:5" x14ac:dyDescent="0.25">
      <c r="C153" s="2" t="s">
        <v>175</v>
      </c>
      <c r="D153" s="57">
        <f>VLOOKUP(D34,HelperData!B17:G22,6,FALSE)</f>
        <v>129.80000000000001</v>
      </c>
      <c r="E153" s="5" t="s">
        <v>90</v>
      </c>
    </row>
    <row r="154" spans="3:5" x14ac:dyDescent="0.25">
      <c r="C154" s="2" t="s">
        <v>173</v>
      </c>
      <c r="D154" s="57">
        <f>VLOOKUP(D34,HelperData!B17:G22,5,FALSE)</f>
        <v>135.19999999999999</v>
      </c>
      <c r="E154" s="5" t="s">
        <v>90</v>
      </c>
    </row>
    <row r="155" spans="3:5" x14ac:dyDescent="0.25">
      <c r="D155" s="59"/>
      <c r="E155" s="1"/>
    </row>
    <row r="156" spans="3:5" x14ac:dyDescent="0.25">
      <c r="C156" s="2" t="s">
        <v>183</v>
      </c>
      <c r="D156" s="57">
        <f>D153-D57</f>
        <v>-90.199999999999989</v>
      </c>
      <c r="E156" s="5" t="s">
        <v>90</v>
      </c>
    </row>
    <row r="157" spans="3:5" x14ac:dyDescent="0.25">
      <c r="C157" s="2" t="s">
        <v>176</v>
      </c>
      <c r="D157" s="57">
        <f>D154-D148</f>
        <v>100.19999999999999</v>
      </c>
      <c r="E157" s="5" t="s">
        <v>90</v>
      </c>
    </row>
    <row r="158" spans="3:5" x14ac:dyDescent="0.25">
      <c r="D158" s="59"/>
      <c r="E158" s="1"/>
    </row>
    <row r="159" spans="3:5" x14ac:dyDescent="0.25">
      <c r="C159" s="108" t="s">
        <v>209</v>
      </c>
      <c r="D159" s="108"/>
      <c r="E159" s="108"/>
    </row>
    <row r="160" spans="3:5" x14ac:dyDescent="0.25">
      <c r="C160" s="1"/>
      <c r="D160" s="1"/>
      <c r="E160" s="1"/>
    </row>
    <row r="161" spans="3:5" x14ac:dyDescent="0.25">
      <c r="C161" s="5" t="s">
        <v>210</v>
      </c>
      <c r="D161" s="57">
        <f>100*(D109/D287)*(-D229/D71)</f>
        <v>3.9963254436102313</v>
      </c>
      <c r="E161" s="5" t="s">
        <v>75</v>
      </c>
    </row>
    <row r="162" spans="3:5" x14ac:dyDescent="0.25">
      <c r="C162" s="76" t="s">
        <v>254</v>
      </c>
      <c r="D162" s="57">
        <f>100*(1/(D30*1000))*D109/D71</f>
        <v>2.691511387163561</v>
      </c>
      <c r="E162" s="5" t="s">
        <v>75</v>
      </c>
    </row>
    <row r="163" spans="3:5" x14ac:dyDescent="0.25">
      <c r="C163" s="76" t="s">
        <v>255</v>
      </c>
      <c r="D163" s="57">
        <f>100*(1-EXP(1)^(-D113*(D112+D114*(D30/2))))</f>
        <v>0.4622038972619702</v>
      </c>
      <c r="E163" s="5" t="s">
        <v>75</v>
      </c>
    </row>
    <row r="165" spans="3:5" x14ac:dyDescent="0.25">
      <c r="C165" s="76" t="s">
        <v>252</v>
      </c>
      <c r="D165" s="57">
        <f>100*D109*(D242/1000)/D71</f>
        <v>3.2408130644567583</v>
      </c>
      <c r="E165" s="5" t="s">
        <v>75</v>
      </c>
    </row>
    <row r="166" spans="3:5" x14ac:dyDescent="0.25">
      <c r="C166" s="76" t="s">
        <v>253</v>
      </c>
      <c r="D166" s="57">
        <f>D161*D231</f>
        <v>6.6399419425389032</v>
      </c>
      <c r="E166" s="5" t="s">
        <v>75</v>
      </c>
    </row>
    <row r="168" spans="3:5" x14ac:dyDescent="0.25">
      <c r="C168" s="76" t="s">
        <v>230</v>
      </c>
      <c r="D168" s="57">
        <f>SUM(D161:D163)+SUM(D165:D166)</f>
        <v>17.030795735031425</v>
      </c>
      <c r="E168" s="5" t="s">
        <v>75</v>
      </c>
    </row>
    <row r="169" spans="3:5" x14ac:dyDescent="0.25">
      <c r="C169" s="56"/>
      <c r="D169" s="59"/>
      <c r="E169" s="1"/>
    </row>
    <row r="170" spans="3:5" x14ac:dyDescent="0.25">
      <c r="C170" s="76" t="s">
        <v>256</v>
      </c>
      <c r="D170" s="57">
        <f>100*D109*(D297/1000)/D71</f>
        <v>6.841055126771761</v>
      </c>
      <c r="E170" s="5" t="s">
        <v>75</v>
      </c>
    </row>
    <row r="171" spans="3:5" x14ac:dyDescent="0.25">
      <c r="C171" s="76" t="s">
        <v>257</v>
      </c>
      <c r="D171" s="57">
        <f>D161*D292</f>
        <v>7.7018997245046519</v>
      </c>
      <c r="E171" s="5" t="s">
        <v>75</v>
      </c>
    </row>
    <row r="173" spans="3:5" x14ac:dyDescent="0.25">
      <c r="C173" s="76" t="s">
        <v>261</v>
      </c>
      <c r="D173" s="57">
        <f>SUM(D161:D163)+SUM(D170:D171)</f>
        <v>21.692995579312175</v>
      </c>
      <c r="E173" s="5" t="s">
        <v>75</v>
      </c>
    </row>
    <row r="175" spans="3:5" x14ac:dyDescent="0.25">
      <c r="C175" s="108" t="s">
        <v>151</v>
      </c>
      <c r="D175" s="108"/>
      <c r="E175" s="108"/>
    </row>
    <row r="177" spans="3:5" x14ac:dyDescent="0.25">
      <c r="C177" s="2" t="s">
        <v>111</v>
      </c>
      <c r="D177" s="46">
        <f>(D132*D49+D133*D49)</f>
        <v>520539.73013493256</v>
      </c>
      <c r="E177" s="2" t="s">
        <v>118</v>
      </c>
    </row>
    <row r="178" spans="3:5" x14ac:dyDescent="0.25">
      <c r="C178" s="2" t="s">
        <v>112</v>
      </c>
      <c r="D178" s="46">
        <f>D131*D49</f>
        <v>223088.45577211396</v>
      </c>
      <c r="E178" s="2" t="s">
        <v>118</v>
      </c>
    </row>
    <row r="180" spans="3:5" x14ac:dyDescent="0.25">
      <c r="C180" s="2" t="s">
        <v>117</v>
      </c>
      <c r="D180" s="46">
        <f>D139*D100*D141</f>
        <v>27840</v>
      </c>
      <c r="E180" s="2" t="s">
        <v>119</v>
      </c>
    </row>
    <row r="181" spans="3:5" x14ac:dyDescent="0.25">
      <c r="C181" s="2" t="s">
        <v>120</v>
      </c>
      <c r="D181" s="58">
        <f>IF(D131&gt;0,(D177-D178)/D180/D151,(D5*(D132+D133)*D48)/(D6*D104*D7*D140*D99*D141))</f>
        <v>4.6453534851764518E-2</v>
      </c>
      <c r="E181" s="2" t="s">
        <v>3</v>
      </c>
    </row>
    <row r="182" spans="3:5" x14ac:dyDescent="0.25">
      <c r="C182" s="2" t="s">
        <v>130</v>
      </c>
      <c r="D182" s="58">
        <f>D181*D151</f>
        <v>10.68431301590584</v>
      </c>
      <c r="E182" s="2" t="s">
        <v>90</v>
      </c>
    </row>
    <row r="184" spans="3:5" x14ac:dyDescent="0.25">
      <c r="C184" s="2" t="s">
        <v>96</v>
      </c>
      <c r="D184" s="58">
        <f>D151-(D182*D141)/2</f>
        <v>225.72627479363766</v>
      </c>
      <c r="E184" s="2" t="s">
        <v>90</v>
      </c>
    </row>
    <row r="186" spans="3:5" x14ac:dyDescent="0.25">
      <c r="C186" s="2" t="s">
        <v>131</v>
      </c>
      <c r="D186" s="58">
        <f>(D139*D141*D182)*D100+(D131*D49)</f>
        <v>520539.73013493256</v>
      </c>
      <c r="E186" s="2" t="s">
        <v>118</v>
      </c>
    </row>
    <row r="187" spans="3:5" x14ac:dyDescent="0.25">
      <c r="C187" s="2" t="s">
        <v>133</v>
      </c>
      <c r="D187" s="58">
        <f>(D132+D133)*D49</f>
        <v>520539.73013493256</v>
      </c>
      <c r="E187" s="2" t="s">
        <v>118</v>
      </c>
    </row>
    <row r="189" spans="3:5" x14ac:dyDescent="0.25">
      <c r="C189" s="2" t="s">
        <v>132</v>
      </c>
      <c r="D189" s="46">
        <f>D186*D184/1000000</f>
        <v>117.49949416544378</v>
      </c>
      <c r="E189" s="2" t="s">
        <v>77</v>
      </c>
    </row>
    <row r="190" spans="3:5" x14ac:dyDescent="0.25">
      <c r="C190" s="2" t="s">
        <v>134</v>
      </c>
      <c r="D190" s="46">
        <f>D187*D184/1000000</f>
        <v>117.49949416544378</v>
      </c>
      <c r="E190" s="2" t="s">
        <v>77</v>
      </c>
    </row>
    <row r="192" spans="3:5" x14ac:dyDescent="0.25">
      <c r="C192" s="108" t="s">
        <v>206</v>
      </c>
      <c r="D192" s="108"/>
      <c r="E192" s="108"/>
    </row>
    <row r="193" spans="3:5" x14ac:dyDescent="0.25">
      <c r="C193" s="1"/>
      <c r="D193" s="1"/>
      <c r="E193" s="1"/>
    </row>
    <row r="194" spans="3:5" x14ac:dyDescent="0.25">
      <c r="C194" s="2" t="s">
        <v>207</v>
      </c>
      <c r="D194" s="46">
        <f>(((D102-D248))*D129)/1000000</f>
        <v>102.82811670863967</v>
      </c>
      <c r="E194" s="2" t="s">
        <v>77</v>
      </c>
    </row>
    <row r="196" spans="3:5" x14ac:dyDescent="0.25">
      <c r="C196" s="108" t="s">
        <v>153</v>
      </c>
      <c r="D196" s="108"/>
      <c r="E196" s="108"/>
    </row>
    <row r="198" spans="3:5" x14ac:dyDescent="0.25">
      <c r="C198" s="2" t="s">
        <v>155</v>
      </c>
      <c r="D198" s="4">
        <v>3</v>
      </c>
      <c r="E198" s="2" t="s">
        <v>156</v>
      </c>
    </row>
    <row r="199" spans="3:5" x14ac:dyDescent="0.25">
      <c r="C199" s="2" t="s">
        <v>198</v>
      </c>
      <c r="D199" s="4">
        <v>14</v>
      </c>
      <c r="E199" s="2" t="s">
        <v>156</v>
      </c>
    </row>
    <row r="201" spans="3:5" x14ac:dyDescent="0.25">
      <c r="C201" s="2" t="s">
        <v>185</v>
      </c>
      <c r="D201" s="4">
        <v>70</v>
      </c>
      <c r="E201" s="2" t="s">
        <v>75</v>
      </c>
    </row>
    <row r="202" spans="3:5" x14ac:dyDescent="0.25">
      <c r="C202" s="2" t="s">
        <v>154</v>
      </c>
      <c r="D202" s="75">
        <f>VLOOKUP(D38,HelperData!B25:E38,4,FALSE)</f>
        <v>38</v>
      </c>
      <c r="E202" s="76" t="s">
        <v>103</v>
      </c>
    </row>
    <row r="203" spans="3:5" x14ac:dyDescent="0.25">
      <c r="D203" s="59"/>
      <c r="E203" s="1"/>
    </row>
    <row r="204" spans="3:5" x14ac:dyDescent="0.25">
      <c r="C204" s="2" t="s">
        <v>162</v>
      </c>
      <c r="D204" s="75">
        <f>EXP(D107*(1-((28/D198)^0.5)))</f>
        <v>0.59824039000915108</v>
      </c>
      <c r="E204" s="76" t="s">
        <v>3</v>
      </c>
    </row>
    <row r="205" spans="3:5" x14ac:dyDescent="0.25">
      <c r="C205" s="2" t="s">
        <v>163</v>
      </c>
      <c r="D205" s="75">
        <f>D202*D204</f>
        <v>22.73313482034774</v>
      </c>
      <c r="E205" s="76" t="s">
        <v>103</v>
      </c>
    </row>
    <row r="206" spans="3:5" x14ac:dyDescent="0.25">
      <c r="C206" s="2" t="s">
        <v>164</v>
      </c>
      <c r="D206" s="75">
        <f>D205+8</f>
        <v>30.73313482034774</v>
      </c>
      <c r="E206" s="76" t="s">
        <v>103</v>
      </c>
    </row>
    <row r="207" spans="3:5" x14ac:dyDescent="0.25">
      <c r="D207" s="77"/>
      <c r="E207" s="56"/>
    </row>
    <row r="208" spans="3:5" x14ac:dyDescent="0.25">
      <c r="C208" s="2" t="s">
        <v>187</v>
      </c>
      <c r="D208" s="75">
        <f>1200*2+D150*2+VLOOKUP(D34,HelperData!B17:L22,10,FALSE)*VLOOKUP(D34,HelperData!B17:L22,11,FALSE)</f>
        <v>5961.165</v>
      </c>
      <c r="E208" s="76" t="s">
        <v>90</v>
      </c>
    </row>
    <row r="209" spans="3:5" x14ac:dyDescent="0.25">
      <c r="C209" s="2" t="s">
        <v>186</v>
      </c>
      <c r="D209" s="75">
        <f>(2*D120)/D208</f>
        <v>55.220414130459396</v>
      </c>
      <c r="E209" s="76" t="s">
        <v>3</v>
      </c>
    </row>
    <row r="210" spans="3:5" x14ac:dyDescent="0.25">
      <c r="D210" s="77"/>
      <c r="E210" s="56"/>
    </row>
    <row r="211" spans="3:5" x14ac:dyDescent="0.25">
      <c r="C211" s="80" t="s">
        <v>190</v>
      </c>
      <c r="D211" s="75">
        <f>(35/D205)^0.7</f>
        <v>1.3526520708996153</v>
      </c>
      <c r="E211" s="76" t="s">
        <v>3</v>
      </c>
    </row>
    <row r="212" spans="3:5" x14ac:dyDescent="0.25">
      <c r="C212" s="80" t="s">
        <v>196</v>
      </c>
      <c r="D212" s="75">
        <f>(35/D205)^0.2</f>
        <v>1.0901386647510509</v>
      </c>
      <c r="E212" s="76" t="s">
        <v>3</v>
      </c>
    </row>
    <row r="213" spans="3:5" x14ac:dyDescent="0.25">
      <c r="C213" s="80" t="s">
        <v>197</v>
      </c>
      <c r="D213" s="75">
        <f>(35/D205)^0.5</f>
        <v>1.2408073528962604</v>
      </c>
      <c r="E213" s="76" t="s">
        <v>3</v>
      </c>
    </row>
    <row r="215" spans="3:5" x14ac:dyDescent="0.25">
      <c r="C215" s="2" t="s">
        <v>184</v>
      </c>
      <c r="D215" s="75">
        <f>IF(D205&lt;35,1+((1-(D201/100))/(0.1*(D209)^(0.5*2/3))),(1+((1-(D201/100))/(0.1*(D209)^(0.5*2/3)))*D211)*D212)</f>
        <v>1.7878097806555662</v>
      </c>
      <c r="E215" s="76" t="s">
        <v>3</v>
      </c>
    </row>
    <row r="216" spans="3:5" x14ac:dyDescent="0.25">
      <c r="C216" s="2" t="s">
        <v>191</v>
      </c>
      <c r="D216" s="75">
        <f>16.8/((D205)^0.5)</f>
        <v>3.5235433416916404</v>
      </c>
      <c r="E216" s="76" t="s">
        <v>3</v>
      </c>
    </row>
    <row r="217" spans="3:5" x14ac:dyDescent="0.25">
      <c r="C217" s="2" t="s">
        <v>192</v>
      </c>
      <c r="D217" s="75">
        <f>1/(0.1+(D198^0.2))</f>
        <v>0.74309059156037938</v>
      </c>
      <c r="E217" s="76" t="s">
        <v>3</v>
      </c>
    </row>
    <row r="218" spans="3:5" x14ac:dyDescent="0.25">
      <c r="D218" s="77"/>
      <c r="E218" s="56"/>
    </row>
    <row r="219" spans="3:5" x14ac:dyDescent="0.25">
      <c r="C219" s="78" t="s">
        <v>193</v>
      </c>
      <c r="D219" s="75">
        <f>D215*D216*D217</f>
        <v>4.6810436346509894</v>
      </c>
      <c r="E219" s="76" t="s">
        <v>3</v>
      </c>
    </row>
    <row r="221" spans="3:5" x14ac:dyDescent="0.25">
      <c r="C221" s="2" t="s">
        <v>195</v>
      </c>
      <c r="D221" s="75">
        <f>IF(D205&lt;35,1.5*(1+(0.012*D201)^18)*D209+250,1.5*(1+(0.012*D201)^18)*D209+250*D213)</f>
        <v>336.42164320994482</v>
      </c>
      <c r="E221" s="76" t="s">
        <v>3</v>
      </c>
    </row>
    <row r="222" spans="3:5" x14ac:dyDescent="0.25">
      <c r="C222" s="2" t="s">
        <v>194</v>
      </c>
      <c r="D222" s="75">
        <f>((D199-D198)/(D221+(D199)-D198))^0.3</f>
        <v>0.3549447398973129</v>
      </c>
      <c r="E222" s="76" t="s">
        <v>3</v>
      </c>
    </row>
    <row r="223" spans="3:5" x14ac:dyDescent="0.25">
      <c r="D223" s="77"/>
      <c r="E223" s="56"/>
    </row>
    <row r="224" spans="3:5" x14ac:dyDescent="0.25">
      <c r="C224" s="78" t="s">
        <v>199</v>
      </c>
      <c r="D224" s="75">
        <f>D219*D222</f>
        <v>1.6615118153491677</v>
      </c>
      <c r="E224" s="76" t="s">
        <v>3</v>
      </c>
    </row>
    <row r="225" spans="3:5" x14ac:dyDescent="0.25">
      <c r="E225" s="56"/>
    </row>
    <row r="226" spans="3:5" x14ac:dyDescent="0.25">
      <c r="C226" s="2" t="s">
        <v>165</v>
      </c>
      <c r="D226" s="75">
        <f>(22*(D206/10)^0.3)*1000</f>
        <v>30810.925165825734</v>
      </c>
      <c r="E226" s="2" t="s">
        <v>103</v>
      </c>
    </row>
    <row r="227" spans="3:5" x14ac:dyDescent="0.25">
      <c r="C227" s="2" t="s">
        <v>166</v>
      </c>
      <c r="D227" s="75">
        <f>D226/(1+D231)</f>
        <v>11576.475065087623</v>
      </c>
      <c r="E227" s="2" t="s">
        <v>103</v>
      </c>
    </row>
    <row r="228" spans="3:5" x14ac:dyDescent="0.25">
      <c r="D228" s="77"/>
    </row>
    <row r="229" spans="3:5" x14ac:dyDescent="0.25">
      <c r="C229" s="80" t="s">
        <v>171</v>
      </c>
      <c r="D229" s="75">
        <f>(-(D135+D136+D137)/D120)-(((D136+D137)*D157)/D129)+((D135*D156)/D128)</f>
        <v>-8.1439887883145694</v>
      </c>
      <c r="E229" s="2" t="s">
        <v>103</v>
      </c>
    </row>
    <row r="230" spans="3:5" x14ac:dyDescent="0.25">
      <c r="C230" s="84"/>
      <c r="D230" s="77"/>
    </row>
    <row r="231" spans="3:5" x14ac:dyDescent="0.25">
      <c r="C231" s="86" t="s">
        <v>222</v>
      </c>
      <c r="D231" s="87">
        <f>IF((-1*D229)&lt;0.45*D206,D224,D224*(EXP(1.5*((-1*D229)/D206-0.45))))</f>
        <v>1.6615118153491677</v>
      </c>
      <c r="E231" s="88" t="s">
        <v>224</v>
      </c>
    </row>
    <row r="232" spans="3:5" x14ac:dyDescent="0.25">
      <c r="C232" s="85"/>
      <c r="D232" s="77"/>
      <c r="E232" s="56"/>
    </row>
    <row r="233" spans="3:5" x14ac:dyDescent="0.25">
      <c r="C233" s="78" t="s">
        <v>215</v>
      </c>
      <c r="D233" s="75">
        <f>VLOOKUP(D41,HelperData!B58:D60,3,FALSE)</f>
        <v>4</v>
      </c>
      <c r="E233" s="76" t="s">
        <v>3</v>
      </c>
    </row>
    <row r="234" spans="3:5" x14ac:dyDescent="0.25">
      <c r="C234" s="78" t="s">
        <v>217</v>
      </c>
      <c r="D234" s="75">
        <f>VLOOKUP(D41,HelperData!B58:E60,4,FALSE)</f>
        <v>0.12</v>
      </c>
      <c r="E234" s="76" t="s">
        <v>3</v>
      </c>
    </row>
    <row r="235" spans="3:5" x14ac:dyDescent="0.25">
      <c r="C235" s="78" t="s">
        <v>218</v>
      </c>
      <c r="D235" s="75">
        <v>10</v>
      </c>
      <c r="E235" s="76" t="s">
        <v>103</v>
      </c>
    </row>
    <row r="236" spans="3:5" x14ac:dyDescent="0.25">
      <c r="C236" s="2" t="s">
        <v>219</v>
      </c>
      <c r="D236" s="75">
        <f>1.55*(1-((D201/100)^3))</f>
        <v>1.0183500000000001</v>
      </c>
      <c r="E236" s="76" t="s">
        <v>3</v>
      </c>
    </row>
    <row r="237" spans="3:5" x14ac:dyDescent="0.25">
      <c r="C237" s="85"/>
      <c r="D237" s="77"/>
      <c r="E237" s="56"/>
    </row>
    <row r="238" spans="3:5" x14ac:dyDescent="0.25">
      <c r="C238" s="78" t="s">
        <v>213</v>
      </c>
      <c r="D238" s="75">
        <f>0.85*((220+(110*D233))*(EXP(-D234*(D205/D235))))*(10^-6)*D236*1000</f>
        <v>0.43489601568562364</v>
      </c>
      <c r="E238" s="76" t="s">
        <v>3</v>
      </c>
    </row>
    <row r="239" spans="3:5" x14ac:dyDescent="0.25">
      <c r="C239" s="78" t="s">
        <v>220</v>
      </c>
      <c r="D239" s="75">
        <f>IF(D209&lt;500,IF(D209&lt;300,IF(D209&lt;200,IF(D209&lt;100,1,0.85),0.85),0.75),0.7)</f>
        <v>1</v>
      </c>
      <c r="E239" s="76" t="s">
        <v>3</v>
      </c>
    </row>
    <row r="240" spans="3:5" x14ac:dyDescent="0.25">
      <c r="C240" s="2" t="s">
        <v>221</v>
      </c>
      <c r="D240" s="75">
        <f>(D199-D198)/((D199-D198)+(0.04*(D209^3)^0.5))</f>
        <v>0.40125757091669889</v>
      </c>
      <c r="E240" s="76" t="s">
        <v>3</v>
      </c>
    </row>
    <row r="241" spans="3:5" x14ac:dyDescent="0.25">
      <c r="C241" s="85"/>
      <c r="D241" s="77"/>
      <c r="E241" s="56"/>
    </row>
    <row r="242" spans="3:5" x14ac:dyDescent="0.25">
      <c r="C242" s="86" t="s">
        <v>223</v>
      </c>
      <c r="D242" s="87">
        <f>D238*D239*D240</f>
        <v>0.17450531885536391</v>
      </c>
      <c r="E242" s="88" t="s">
        <v>225</v>
      </c>
    </row>
    <row r="243" spans="3:5" x14ac:dyDescent="0.25">
      <c r="C243" s="90"/>
      <c r="D243" s="91"/>
      <c r="E243" s="92"/>
    </row>
    <row r="244" spans="3:5" x14ac:dyDescent="0.25">
      <c r="C244" s="79" t="s">
        <v>231</v>
      </c>
      <c r="D244" s="5">
        <f>D135*(100-$D$168)/100</f>
        <v>135903.55658601853</v>
      </c>
      <c r="E244" s="5" t="s">
        <v>118</v>
      </c>
    </row>
    <row r="245" spans="3:5" x14ac:dyDescent="0.25">
      <c r="C245" s="2" t="s">
        <v>232</v>
      </c>
      <c r="D245" s="5">
        <f>D136*(100-$D$168)/100</f>
        <v>0</v>
      </c>
      <c r="E245" s="5" t="s">
        <v>118</v>
      </c>
    </row>
    <row r="246" spans="3:5" x14ac:dyDescent="0.25">
      <c r="C246" s="2" t="s">
        <v>233</v>
      </c>
      <c r="D246" s="5">
        <f>D137*(100-$D$168)/100</f>
        <v>317108.29870070989</v>
      </c>
      <c r="E246" s="5" t="s">
        <v>118</v>
      </c>
    </row>
    <row r="247" spans="3:5" x14ac:dyDescent="0.25">
      <c r="D247" s="1"/>
      <c r="E247" s="1"/>
    </row>
    <row r="248" spans="3:5" x14ac:dyDescent="0.25">
      <c r="C248" s="80" t="s">
        <v>234</v>
      </c>
      <c r="D248" s="75">
        <f>(-(D244+D245+D246)/D120)-(((D245+D246)*D157)/D129)+((D244*D156)/D128)</f>
        <v>-6.7570026930928542</v>
      </c>
      <c r="E248" s="2" t="s">
        <v>103</v>
      </c>
    </row>
    <row r="249" spans="3:5" x14ac:dyDescent="0.25">
      <c r="C249" s="84"/>
      <c r="D249" s="77"/>
    </row>
    <row r="250" spans="3:5" x14ac:dyDescent="0.25">
      <c r="C250" s="2" t="s">
        <v>271</v>
      </c>
      <c r="D250" s="46">
        <f>(((D30*1000)^2)/(D226*D122))*(1/8)*((-D104*(D245+D246)*D157)+(D104*D244*D156))</f>
        <v>-5.7855443511419145</v>
      </c>
      <c r="E250" s="2" t="s">
        <v>90</v>
      </c>
    </row>
    <row r="252" spans="3:5" x14ac:dyDescent="0.25">
      <c r="C252" s="2" t="s">
        <v>272</v>
      </c>
      <c r="D252" s="46">
        <f>(((D30*1000)^2)/(D226*D122))*(5/48)*(D91*1000000)</f>
        <v>2.7837266494006063</v>
      </c>
      <c r="E252" s="2" t="s">
        <v>90</v>
      </c>
    </row>
    <row r="253" spans="3:5" x14ac:dyDescent="0.25">
      <c r="C253" s="84"/>
      <c r="D253" s="77"/>
    </row>
    <row r="254" spans="3:5" x14ac:dyDescent="0.25">
      <c r="C254" s="86" t="s">
        <v>267</v>
      </c>
      <c r="D254" s="98">
        <f>D250+D252</f>
        <v>-3.0018177017413081</v>
      </c>
      <c r="E254" s="12" t="s">
        <v>90</v>
      </c>
    </row>
    <row r="255" spans="3:5" x14ac:dyDescent="0.25">
      <c r="C255" s="84"/>
      <c r="D255" s="77"/>
    </row>
    <row r="257" spans="3:5" x14ac:dyDescent="0.25">
      <c r="C257" s="108" t="s">
        <v>152</v>
      </c>
      <c r="D257" s="108"/>
      <c r="E257" s="108"/>
    </row>
    <row r="259" spans="3:5" x14ac:dyDescent="0.25">
      <c r="C259" s="2" t="s">
        <v>212</v>
      </c>
      <c r="D259" s="4">
        <v>28</v>
      </c>
      <c r="E259" s="2" t="s">
        <v>156</v>
      </c>
    </row>
    <row r="260" spans="3:5" x14ac:dyDescent="0.25">
      <c r="C260" s="2" t="s">
        <v>243</v>
      </c>
      <c r="D260" s="4">
        <v>50</v>
      </c>
      <c r="E260" s="2" t="s">
        <v>244</v>
      </c>
    </row>
    <row r="262" spans="3:5" x14ac:dyDescent="0.25">
      <c r="C262" s="2" t="s">
        <v>185</v>
      </c>
      <c r="D262" s="4">
        <v>40</v>
      </c>
      <c r="E262" s="2" t="s">
        <v>75</v>
      </c>
    </row>
    <row r="263" spans="3:5" x14ac:dyDescent="0.25">
      <c r="C263" s="2" t="s">
        <v>154</v>
      </c>
      <c r="D263" s="75">
        <f>VLOOKUP(D39,HelperData!B25:E38,4,FALSE)</f>
        <v>53</v>
      </c>
      <c r="E263" s="76" t="s">
        <v>103</v>
      </c>
    </row>
    <row r="265" spans="3:5" x14ac:dyDescent="0.25">
      <c r="C265" s="2" t="s">
        <v>162</v>
      </c>
      <c r="D265" s="75">
        <f>EXP(D107*(1-((28/D259)^0.5)))</f>
        <v>1</v>
      </c>
      <c r="E265" s="76" t="s">
        <v>3</v>
      </c>
    </row>
    <row r="266" spans="3:5" x14ac:dyDescent="0.25">
      <c r="C266" s="2" t="s">
        <v>163</v>
      </c>
      <c r="D266" s="75">
        <f>D263*D265</f>
        <v>53</v>
      </c>
      <c r="E266" s="76" t="s">
        <v>103</v>
      </c>
    </row>
    <row r="267" spans="3:5" x14ac:dyDescent="0.25">
      <c r="C267" s="2" t="s">
        <v>164</v>
      </c>
      <c r="D267" s="75">
        <f>D266+8</f>
        <v>61</v>
      </c>
      <c r="E267" s="76" t="s">
        <v>103</v>
      </c>
    </row>
    <row r="268" spans="3:5" x14ac:dyDescent="0.25">
      <c r="D268" s="77"/>
      <c r="E268" s="56"/>
    </row>
    <row r="269" spans="3:5" x14ac:dyDescent="0.25">
      <c r="C269" s="2" t="s">
        <v>241</v>
      </c>
      <c r="D269" s="75">
        <f>2*1200</f>
        <v>2400</v>
      </c>
      <c r="E269" s="76" t="s">
        <v>90</v>
      </c>
    </row>
    <row r="270" spans="3:5" x14ac:dyDescent="0.25">
      <c r="C270" s="2" t="s">
        <v>186</v>
      </c>
      <c r="D270" s="75">
        <f>2*D120/D269</f>
        <v>137.1575</v>
      </c>
      <c r="E270" s="76" t="s">
        <v>3</v>
      </c>
    </row>
    <row r="271" spans="3:5" x14ac:dyDescent="0.25">
      <c r="D271" s="77"/>
      <c r="E271" s="56"/>
    </row>
    <row r="272" spans="3:5" x14ac:dyDescent="0.25">
      <c r="C272" s="80" t="s">
        <v>190</v>
      </c>
      <c r="D272" s="75">
        <f>(35/D266)^0.7</f>
        <v>0.74791892460787612</v>
      </c>
      <c r="E272" s="76" t="s">
        <v>3</v>
      </c>
    </row>
    <row r="273" spans="3:5" x14ac:dyDescent="0.25">
      <c r="C273" s="80" t="s">
        <v>196</v>
      </c>
      <c r="D273" s="75">
        <f>(35/D266)^0.2</f>
        <v>0.92036148244185478</v>
      </c>
      <c r="E273" s="76" t="s">
        <v>3</v>
      </c>
    </row>
    <row r="274" spans="3:5" x14ac:dyDescent="0.25">
      <c r="C274" s="80" t="s">
        <v>197</v>
      </c>
      <c r="D274" s="75">
        <f>(35/D266)^0.5</f>
        <v>0.81263605537200112</v>
      </c>
      <c r="E274" s="76" t="s">
        <v>3</v>
      </c>
    </row>
    <row r="275" spans="3:5" x14ac:dyDescent="0.25">
      <c r="D275" s="77"/>
      <c r="E275" s="56"/>
    </row>
    <row r="276" spans="3:5" x14ac:dyDescent="0.25">
      <c r="C276" s="2" t="s">
        <v>184</v>
      </c>
      <c r="D276" s="75">
        <f>IF(D266&lt;35,1+((1-(D262/100))/(0.1*(D270)^(0.5*2/3))),(1+((1-(D262/100))/(0.1*(D270)^(0.5*2/3)))*D272)*D273)</f>
        <v>1.7212234826491659</v>
      </c>
      <c r="E276" s="76" t="s">
        <v>3</v>
      </c>
    </row>
    <row r="277" spans="3:5" x14ac:dyDescent="0.25">
      <c r="C277" s="2" t="s">
        <v>191</v>
      </c>
      <c r="D277" s="75">
        <f>16.8/((D266)^0.5)</f>
        <v>2.3076574743379759</v>
      </c>
      <c r="E277" s="76" t="s">
        <v>3</v>
      </c>
    </row>
    <row r="278" spans="3:5" x14ac:dyDescent="0.25">
      <c r="C278" s="2" t="s">
        <v>250</v>
      </c>
      <c r="D278" s="75">
        <f>1/(0.1+(D259^0.2))</f>
        <v>0.48844954537902541</v>
      </c>
      <c r="E278" s="76" t="s">
        <v>3</v>
      </c>
    </row>
    <row r="280" spans="3:5" x14ac:dyDescent="0.25">
      <c r="C280" s="78" t="s">
        <v>242</v>
      </c>
      <c r="D280" s="75">
        <f>D276*D277*D278</f>
        <v>1.9401187782075413</v>
      </c>
      <c r="E280" s="76" t="s">
        <v>3</v>
      </c>
    </row>
    <row r="282" spans="3:5" x14ac:dyDescent="0.25">
      <c r="C282" s="2" t="s">
        <v>195</v>
      </c>
      <c r="D282" s="75">
        <f>IF(D266&lt;35,1.5*(1+(0.012*D262)^18)*D270+250,1.5*(1+(0.012*D262)^18)*D270+250*D274)</f>
        <v>408.8956402460143</v>
      </c>
      <c r="E282" s="76" t="s">
        <v>3</v>
      </c>
    </row>
    <row r="283" spans="3:5" x14ac:dyDescent="0.25">
      <c r="C283" s="2" t="s">
        <v>249</v>
      </c>
      <c r="D283" s="75">
        <f>(((D260*365)-D259)/(D282+(D260*365)-D259))^0.3</f>
        <v>0.99336463093136995</v>
      </c>
      <c r="E283" s="76" t="s">
        <v>3</v>
      </c>
    </row>
    <row r="285" spans="3:5" x14ac:dyDescent="0.25">
      <c r="C285" s="78" t="s">
        <v>248</v>
      </c>
      <c r="D285" s="75">
        <f>D283*D280</f>
        <v>1.9272453740771547</v>
      </c>
      <c r="E285" s="76" t="s">
        <v>3</v>
      </c>
    </row>
    <row r="286" spans="3:5" x14ac:dyDescent="0.25">
      <c r="D286" s="77"/>
      <c r="E286" s="56"/>
    </row>
    <row r="287" spans="3:5" x14ac:dyDescent="0.25">
      <c r="C287" s="2" t="s">
        <v>165</v>
      </c>
      <c r="D287" s="75">
        <f>22*((D267/10)^0.3)*1000</f>
        <v>37846.143464248453</v>
      </c>
      <c r="E287" s="2" t="s">
        <v>103</v>
      </c>
    </row>
    <row r="288" spans="3:5" x14ac:dyDescent="0.25">
      <c r="C288" s="96" t="s">
        <v>251</v>
      </c>
      <c r="D288" s="97">
        <f>D287/(1+D292)</f>
        <v>12928.927584753585</v>
      </c>
      <c r="E288" s="96" t="s">
        <v>103</v>
      </c>
    </row>
    <row r="289" spans="3:5" x14ac:dyDescent="0.25">
      <c r="C289" s="94"/>
      <c r="D289" s="95"/>
      <c r="E289" s="94"/>
    </row>
    <row r="290" spans="3:5" x14ac:dyDescent="0.25">
      <c r="C290" s="80" t="s">
        <v>171</v>
      </c>
      <c r="D290" s="75">
        <f>(-(D135+D136+D137)/D120)-(((D136+D137)*D157)/D129)+((D135*D156)/D128)+((D92*1000000)/D129)</f>
        <v>-4.4265185299577681</v>
      </c>
      <c r="E290" s="2" t="s">
        <v>103</v>
      </c>
    </row>
    <row r="291" spans="3:5" x14ac:dyDescent="0.25">
      <c r="C291" s="94"/>
      <c r="D291" s="95"/>
      <c r="E291" s="94"/>
    </row>
    <row r="292" spans="3:5" x14ac:dyDescent="0.25">
      <c r="C292" s="86" t="s">
        <v>240</v>
      </c>
      <c r="D292" s="87">
        <f>IF((-1*D290)&lt;0.45*D206,D285,D285*(EXP(1.5*(((-1*D290)/D206)-0.45))))</f>
        <v>1.9272453740771547</v>
      </c>
      <c r="E292" s="88" t="s">
        <v>224</v>
      </c>
    </row>
    <row r="293" spans="3:5" x14ac:dyDescent="0.25">
      <c r="C293" s="94"/>
      <c r="D293" s="95"/>
      <c r="E293" s="94"/>
    </row>
    <row r="294" spans="3:5" x14ac:dyDescent="0.25">
      <c r="C294" s="78" t="s">
        <v>258</v>
      </c>
      <c r="D294" s="75">
        <f>IF(D270&lt;500,IF(D270&lt;300,IF(D270&lt;200,IF(D270&lt;100,1,0.85),0.85),0.75),0.7)</f>
        <v>0.85</v>
      </c>
      <c r="E294" s="76" t="s">
        <v>3</v>
      </c>
    </row>
    <row r="295" spans="3:5" x14ac:dyDescent="0.25">
      <c r="C295" s="2" t="s">
        <v>259</v>
      </c>
      <c r="D295" s="75">
        <f>(D260*365-D198)/((D260*365-D198)+(0.04*(D270^3)^0.5))</f>
        <v>0.99649109764220856</v>
      </c>
      <c r="E295" s="76" t="s">
        <v>3</v>
      </c>
    </row>
    <row r="296" spans="3:5" x14ac:dyDescent="0.25">
      <c r="C296" s="84"/>
      <c r="D296" s="77"/>
      <c r="E296" s="56"/>
    </row>
    <row r="297" spans="3:5" x14ac:dyDescent="0.25">
      <c r="C297" s="86" t="s">
        <v>260</v>
      </c>
      <c r="D297" s="87">
        <f>D238*D294*D295</f>
        <v>0.36836450682617172</v>
      </c>
      <c r="E297" s="88" t="s">
        <v>225</v>
      </c>
    </row>
    <row r="298" spans="3:5" x14ac:dyDescent="0.25">
      <c r="C298" s="84"/>
      <c r="D298" s="77"/>
      <c r="E298" s="56"/>
    </row>
    <row r="299" spans="3:5" x14ac:dyDescent="0.25">
      <c r="C299" s="79" t="s">
        <v>231</v>
      </c>
      <c r="D299" s="5">
        <f>D135*(100-$D$173)/100</f>
        <v>128266.87324108668</v>
      </c>
      <c r="E299" s="5" t="s">
        <v>118</v>
      </c>
    </row>
    <row r="300" spans="3:5" x14ac:dyDescent="0.25">
      <c r="C300" s="2" t="s">
        <v>232</v>
      </c>
      <c r="D300" s="5">
        <f t="shared" ref="D300:D301" si="0">D136*(100-$D$173)/100</f>
        <v>0</v>
      </c>
      <c r="E300" s="5" t="s">
        <v>118</v>
      </c>
    </row>
    <row r="301" spans="3:5" x14ac:dyDescent="0.25">
      <c r="C301" s="2" t="s">
        <v>233</v>
      </c>
      <c r="D301" s="61">
        <f t="shared" si="0"/>
        <v>299289.37089586892</v>
      </c>
      <c r="E301" s="5" t="s">
        <v>118</v>
      </c>
    </row>
    <row r="302" spans="3:5" x14ac:dyDescent="0.25">
      <c r="C302" s="84"/>
      <c r="D302" s="77"/>
      <c r="E302" s="56"/>
    </row>
    <row r="303" spans="3:5" x14ac:dyDescent="0.25">
      <c r="C303" s="2" t="s">
        <v>150</v>
      </c>
      <c r="D303" s="2">
        <f>(D28*1000)/VLOOKUP(D9,HelperData!B49:C55,2,FALSE)</f>
        <v>28</v>
      </c>
      <c r="E303" s="2" t="s">
        <v>90</v>
      </c>
    </row>
    <row r="305" spans="3:5" x14ac:dyDescent="0.25">
      <c r="C305" s="2" t="s">
        <v>270</v>
      </c>
      <c r="D305" s="2">
        <f>(((D30*1000)^2)/(D227*D122))*(1/8)*((-D104*(D300+D301)*D157)+(D104*D299*D156))</f>
        <v>-14.533034730369604</v>
      </c>
      <c r="E305" s="2" t="s">
        <v>90</v>
      </c>
    </row>
    <row r="307" spans="3:5" x14ac:dyDescent="0.25">
      <c r="C307" s="2" t="s">
        <v>268</v>
      </c>
      <c r="D307" s="46">
        <f>(((D30*1000)^2)/(D288*D122))*(5/48)*(D92*1000000)</f>
        <v>10.547153253521367</v>
      </c>
      <c r="E307" s="2" t="s">
        <v>90</v>
      </c>
    </row>
    <row r="308" spans="3:5" x14ac:dyDescent="0.25">
      <c r="C308" s="2" t="s">
        <v>269</v>
      </c>
      <c r="D308" s="46">
        <f>(((D30*1000)^2)/(D287*D122))*(5/48)*(D93*1000000)</f>
        <v>3.182949155772107</v>
      </c>
      <c r="E308" s="2" t="s">
        <v>90</v>
      </c>
    </row>
    <row r="310" spans="3:5" x14ac:dyDescent="0.25">
      <c r="C310" s="86" t="s">
        <v>264</v>
      </c>
      <c r="D310" s="98">
        <f>D305+D307+D308</f>
        <v>-0.80293232107612944</v>
      </c>
      <c r="E310" s="12" t="s">
        <v>90</v>
      </c>
    </row>
  </sheetData>
  <mergeCells count="23">
    <mergeCell ref="C43:E43"/>
    <mergeCell ref="C51:E51"/>
    <mergeCell ref="C59:E59"/>
    <mergeCell ref="C67:E67"/>
    <mergeCell ref="C75:E75"/>
    <mergeCell ref="C257:E257"/>
    <mergeCell ref="C196:E196"/>
    <mergeCell ref="C192:E192"/>
    <mergeCell ref="C159:E159"/>
    <mergeCell ref="C77:E77"/>
    <mergeCell ref="C87:E87"/>
    <mergeCell ref="C97:E97"/>
    <mergeCell ref="C118:E118"/>
    <mergeCell ref="C175:E175"/>
    <mergeCell ref="C36:E36"/>
    <mergeCell ref="I5:N5"/>
    <mergeCell ref="C3:E3"/>
    <mergeCell ref="D14:E14"/>
    <mergeCell ref="C12:E12"/>
    <mergeCell ref="C26:E26"/>
    <mergeCell ref="I3:N3"/>
    <mergeCell ref="I15:N15"/>
    <mergeCell ref="I25:N2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showInputMessage="1" showErrorMessage="1" xr:uid="{072590BB-9EC9-4F6C-A9E6-50EF0FADDA62}">
          <x14:formula1>
            <xm:f>HelperData!$B$3:$B$12</xm:f>
          </x14:formula1>
          <xm:sqref>D14:E14</xm:sqref>
        </x14:dataValidation>
        <x14:dataValidation type="list" showInputMessage="1" showErrorMessage="1" xr:uid="{018DB4ED-3123-447C-804A-FDEB1200DB55}">
          <x14:formula1>
            <xm:f>HelperData!$B$17:$B$22</xm:f>
          </x14:formula1>
          <xm:sqref>D34</xm:sqref>
        </x14:dataValidation>
        <x14:dataValidation type="list" showInputMessage="1" showErrorMessage="1" xr:uid="{3B4E81F0-735B-49D5-9FBB-188CF401013C}">
          <x14:formula1>
            <xm:f>HelperData!$B$41</xm:f>
          </x14:formula1>
          <xm:sqref>D45</xm:sqref>
        </x14:dataValidation>
        <x14:dataValidation type="list" showInputMessage="1" showErrorMessage="1" xr:uid="{2B825CAB-4754-4F50-BDBB-0E975A8FAFEA}">
          <x14:formula1>
            <xm:f>HelperData!$B$45:$B$46</xm:f>
          </x14:formula1>
          <xm:sqref>D62 D54 D70</xm:sqref>
        </x14:dataValidation>
        <x14:dataValidation type="list" showInputMessage="1" showErrorMessage="1" xr:uid="{E984337B-02EF-4B27-836F-43A2EC50805B}">
          <x14:formula1>
            <xm:f>HelperData!$B$25:$B$38</xm:f>
          </x14:formula1>
          <xm:sqref>D38:D39</xm:sqref>
        </x14:dataValidation>
        <x14:dataValidation type="list" showInputMessage="1" showErrorMessage="1" xr:uid="{C41FD9AF-F1C3-45C6-BB8E-A3019EC870BF}">
          <x14:formula1>
            <xm:f>HelperData!$B$49:$B$55</xm:f>
          </x14:formula1>
          <xm:sqref>D9</xm:sqref>
        </x14:dataValidation>
        <x14:dataValidation type="list" showInputMessage="1" showErrorMessage="1" xr:uid="{F77EF24A-6BF9-4AFF-A9D3-E4CDCC831A1F}">
          <x14:formula1>
            <xm:f>HelperData!$B$58:$B$60</xm:f>
          </x14:formula1>
          <xm:sqref>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8404-9211-45C6-928E-2536BA2A73D4}">
  <dimension ref="B2:M60"/>
  <sheetViews>
    <sheetView workbookViewId="0">
      <selection activeCell="B3" sqref="B3:B12"/>
    </sheetView>
  </sheetViews>
  <sheetFormatPr defaultRowHeight="15" x14ac:dyDescent="0.25"/>
  <cols>
    <col min="2" max="2" width="53.28515625" customWidth="1"/>
    <col min="3" max="3" width="16.42578125" customWidth="1"/>
    <col min="6" max="6" width="16.5703125" customWidth="1"/>
    <col min="7" max="7" width="9.140625" customWidth="1"/>
    <col min="8" max="8" width="14.28515625" customWidth="1"/>
    <col min="9" max="9" width="16.5703125" customWidth="1"/>
    <col min="10" max="10" width="17.28515625" customWidth="1"/>
    <col min="11" max="11" width="13.5703125" customWidth="1"/>
    <col min="12" max="12" width="22.5703125" customWidth="1"/>
    <col min="13" max="13" width="9.140625" customWidth="1"/>
  </cols>
  <sheetData>
    <row r="2" spans="2:13" x14ac:dyDescent="0.25">
      <c r="B2" s="12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3" spans="2:13" x14ac:dyDescent="0.25">
      <c r="B3" s="3" t="s">
        <v>274</v>
      </c>
      <c r="C3" s="2">
        <v>0.7</v>
      </c>
      <c r="D3" s="2">
        <v>0.5</v>
      </c>
      <c r="E3" s="2">
        <v>0.2</v>
      </c>
      <c r="F3" s="2">
        <v>1</v>
      </c>
    </row>
    <row r="4" spans="2:13" ht="26.25" x14ac:dyDescent="0.25">
      <c r="B4" s="7" t="s">
        <v>275</v>
      </c>
      <c r="C4" s="2">
        <v>0.7</v>
      </c>
      <c r="D4" s="2">
        <v>0.4</v>
      </c>
      <c r="E4" s="2">
        <v>0.2</v>
      </c>
      <c r="F4" s="2">
        <v>1</v>
      </c>
    </row>
    <row r="5" spans="2:13" ht="26.25" x14ac:dyDescent="0.25">
      <c r="B5" s="7" t="s">
        <v>276</v>
      </c>
      <c r="C5" s="2">
        <v>0.8</v>
      </c>
      <c r="D5" s="2">
        <v>0.6</v>
      </c>
      <c r="E5" s="2">
        <v>0.2</v>
      </c>
      <c r="F5" s="2">
        <v>1</v>
      </c>
    </row>
    <row r="6" spans="2:13" x14ac:dyDescent="0.25">
      <c r="B6" s="3" t="s">
        <v>277</v>
      </c>
      <c r="C6" s="2">
        <v>0.7</v>
      </c>
      <c r="D6" s="2">
        <v>0.5</v>
      </c>
      <c r="E6" s="2">
        <v>0.3</v>
      </c>
      <c r="F6" s="2">
        <v>1</v>
      </c>
    </row>
    <row r="7" spans="2:13" x14ac:dyDescent="0.25">
      <c r="B7" s="3" t="s">
        <v>10</v>
      </c>
      <c r="C7" s="2">
        <v>0.7</v>
      </c>
      <c r="D7" s="2">
        <v>0.5</v>
      </c>
      <c r="E7" s="2">
        <v>0.3</v>
      </c>
      <c r="F7" s="2">
        <v>1</v>
      </c>
    </row>
    <row r="8" spans="2:13" x14ac:dyDescent="0.25">
      <c r="B8" s="3" t="s">
        <v>11</v>
      </c>
      <c r="C8" s="2">
        <v>0.7</v>
      </c>
      <c r="D8" s="2">
        <v>0.7</v>
      </c>
      <c r="E8" s="2">
        <v>0.6</v>
      </c>
      <c r="F8" s="2">
        <v>1</v>
      </c>
    </row>
    <row r="9" spans="2:13" x14ac:dyDescent="0.25">
      <c r="B9" s="3" t="s">
        <v>12</v>
      </c>
      <c r="C9" s="2">
        <v>0.7</v>
      </c>
      <c r="D9" s="2">
        <v>0.7</v>
      </c>
      <c r="E9" s="2">
        <v>0.6</v>
      </c>
      <c r="F9" s="2">
        <v>1</v>
      </c>
    </row>
    <row r="10" spans="2:13" x14ac:dyDescent="0.25">
      <c r="B10" s="3" t="s">
        <v>13</v>
      </c>
      <c r="C10" s="2">
        <v>1</v>
      </c>
      <c r="D10" s="2">
        <v>0.9</v>
      </c>
      <c r="E10" s="2">
        <v>0.8</v>
      </c>
      <c r="F10" s="2">
        <v>1</v>
      </c>
    </row>
    <row r="11" spans="2:13" x14ac:dyDescent="0.25">
      <c r="B11" s="3" t="s">
        <v>279</v>
      </c>
      <c r="C11" s="2">
        <v>0.7</v>
      </c>
      <c r="D11" s="2">
        <v>0.7</v>
      </c>
      <c r="E11" s="2">
        <v>0.6</v>
      </c>
      <c r="F11" s="2">
        <v>1</v>
      </c>
    </row>
    <row r="12" spans="2:13" x14ac:dyDescent="0.25">
      <c r="B12" s="3" t="s">
        <v>278</v>
      </c>
      <c r="C12" s="2">
        <v>0.7</v>
      </c>
      <c r="D12" s="2">
        <v>0.5</v>
      </c>
      <c r="E12" s="2">
        <v>0.3</v>
      </c>
      <c r="F12" s="2">
        <v>1</v>
      </c>
      <c r="L12" s="6"/>
    </row>
    <row r="15" spans="2:13" ht="15" customHeight="1" x14ac:dyDescent="0.25"/>
    <row r="16" spans="2:13" ht="15.75" customHeight="1" thickBot="1" x14ac:dyDescent="0.3">
      <c r="B16" s="44" t="s">
        <v>29</v>
      </c>
      <c r="C16" s="45" t="s">
        <v>65</v>
      </c>
      <c r="D16" s="45" t="s">
        <v>92</v>
      </c>
      <c r="E16" s="45" t="s">
        <v>88</v>
      </c>
      <c r="F16" s="45" t="s">
        <v>172</v>
      </c>
      <c r="G16" s="45" t="s">
        <v>174</v>
      </c>
      <c r="H16" s="45" t="s">
        <v>179</v>
      </c>
      <c r="I16" s="45" t="s">
        <v>177</v>
      </c>
      <c r="J16" s="45" t="s">
        <v>178</v>
      </c>
      <c r="K16" s="83" t="s">
        <v>188</v>
      </c>
      <c r="L16" s="83" t="s">
        <v>189</v>
      </c>
      <c r="M16" s="45" t="s">
        <v>238</v>
      </c>
    </row>
    <row r="17" spans="2:13" x14ac:dyDescent="0.25">
      <c r="B17" s="43" t="s">
        <v>30</v>
      </c>
      <c r="C17" s="43">
        <v>2.75</v>
      </c>
      <c r="D17" s="43">
        <v>200</v>
      </c>
      <c r="E17" s="2">
        <f>1184.79*100</f>
        <v>118479</v>
      </c>
      <c r="F17" s="43">
        <v>100.7</v>
      </c>
      <c r="G17" s="43">
        <f t="shared" ref="G17:G22" si="0">D17-F17</f>
        <v>99.3</v>
      </c>
      <c r="H17" s="82">
        <f>61059.65*10000</f>
        <v>610596500</v>
      </c>
      <c r="I17" s="82">
        <f t="shared" ref="I17:I22" si="1">H17/G17</f>
        <v>6149008.0563947633</v>
      </c>
      <c r="J17" s="82">
        <f t="shared" ref="J17:J22" si="2">H17/F17</f>
        <v>6063520.357497517</v>
      </c>
      <c r="K17" s="43">
        <v>6</v>
      </c>
      <c r="L17" s="81">
        <f>49.31709*10</f>
        <v>493.17090000000002</v>
      </c>
      <c r="M17" s="82">
        <f t="shared" ref="M17:M22" si="3">(12*H17)/((D17)^3)</f>
        <v>915.89475000000004</v>
      </c>
    </row>
    <row r="18" spans="2:13" x14ac:dyDescent="0.25">
      <c r="B18" s="2" t="s">
        <v>31</v>
      </c>
      <c r="C18" s="2">
        <v>3.17</v>
      </c>
      <c r="D18" s="2">
        <v>220</v>
      </c>
      <c r="E18" s="2">
        <f>1418.61*100</f>
        <v>141861</v>
      </c>
      <c r="F18" s="2">
        <v>102.3</v>
      </c>
      <c r="G18" s="43">
        <f t="shared" si="0"/>
        <v>117.7</v>
      </c>
      <c r="H18" s="55">
        <f>85313.15*10000</f>
        <v>853131500</v>
      </c>
      <c r="I18" s="82">
        <f t="shared" si="1"/>
        <v>7248355.9898045873</v>
      </c>
      <c r="J18" s="82">
        <f t="shared" si="2"/>
        <v>8339506.3538611932</v>
      </c>
      <c r="K18" s="2">
        <v>6</v>
      </c>
      <c r="L18" s="46">
        <f>49.31709*10</f>
        <v>493.17090000000002</v>
      </c>
      <c r="M18" s="82">
        <f t="shared" si="3"/>
        <v>961.45548459804661</v>
      </c>
    </row>
    <row r="19" spans="2:13" x14ac:dyDescent="0.25">
      <c r="B19" s="2" t="s">
        <v>32</v>
      </c>
      <c r="C19" s="2">
        <v>3.56</v>
      </c>
      <c r="D19" s="2">
        <v>265</v>
      </c>
      <c r="E19" s="2">
        <f>1645.89*100</f>
        <v>164589</v>
      </c>
      <c r="F19" s="2">
        <v>135.19999999999999</v>
      </c>
      <c r="G19" s="43">
        <f t="shared" si="0"/>
        <v>129.80000000000001</v>
      </c>
      <c r="H19" s="2">
        <f>147006*10000</f>
        <v>1470060000</v>
      </c>
      <c r="I19" s="82">
        <f t="shared" si="1"/>
        <v>11325577.812018489</v>
      </c>
      <c r="J19" s="82">
        <f t="shared" si="2"/>
        <v>10873224.852071008</v>
      </c>
      <c r="K19" s="2">
        <v>5</v>
      </c>
      <c r="L19" s="46">
        <f>60.6233*10</f>
        <v>606.23299999999995</v>
      </c>
      <c r="M19" s="82">
        <f t="shared" si="3"/>
        <v>947.93527542870959</v>
      </c>
    </row>
    <row r="20" spans="2:13" x14ac:dyDescent="0.25">
      <c r="B20" s="2" t="s">
        <v>33</v>
      </c>
      <c r="C20" s="2">
        <v>4.08</v>
      </c>
      <c r="D20" s="2">
        <v>320</v>
      </c>
      <c r="E20" s="2">
        <f>1852.77*100</f>
        <v>185277</v>
      </c>
      <c r="F20" s="2">
        <v>158.6</v>
      </c>
      <c r="G20" s="43">
        <f t="shared" si="0"/>
        <v>161.4</v>
      </c>
      <c r="H20" s="55">
        <f>243522.55*10000</f>
        <v>2435225500</v>
      </c>
      <c r="I20" s="82">
        <f t="shared" si="1"/>
        <v>15088138.166047087</v>
      </c>
      <c r="J20" s="82">
        <f t="shared" si="2"/>
        <v>15354511.349306433</v>
      </c>
      <c r="K20" s="2">
        <v>4</v>
      </c>
      <c r="L20" s="46">
        <f>78.10383*10</f>
        <v>781.03830000000005</v>
      </c>
      <c r="M20" s="82">
        <f t="shared" si="3"/>
        <v>891.80621337890625</v>
      </c>
    </row>
    <row r="21" spans="2:13" x14ac:dyDescent="0.25">
      <c r="B21" s="2" t="s">
        <v>34</v>
      </c>
      <c r="C21" s="2">
        <v>4.78</v>
      </c>
      <c r="D21" s="2">
        <v>400</v>
      </c>
      <c r="E21" s="2">
        <f>2048.55*100</f>
        <v>204855.00000000003</v>
      </c>
      <c r="F21" s="2">
        <v>198.1</v>
      </c>
      <c r="G21" s="43">
        <f t="shared" si="0"/>
        <v>201.9</v>
      </c>
      <c r="H21" s="55">
        <f>428994.59*10000</f>
        <v>4289945900.0000005</v>
      </c>
      <c r="I21" s="82">
        <f t="shared" si="1"/>
        <v>21247874.690440815</v>
      </c>
      <c r="J21" s="82">
        <f t="shared" si="2"/>
        <v>21655456.335184254</v>
      </c>
      <c r="K21" s="2">
        <v>4</v>
      </c>
      <c r="L21" s="46">
        <f>94.50383*10</f>
        <v>945.03829999999994</v>
      </c>
      <c r="M21" s="82">
        <f t="shared" si="3"/>
        <v>804.36485625000012</v>
      </c>
    </row>
    <row r="22" spans="2:13" x14ac:dyDescent="0.25">
      <c r="B22" s="2" t="s">
        <v>35</v>
      </c>
      <c r="C22" s="2">
        <v>7</v>
      </c>
      <c r="D22" s="2">
        <v>500</v>
      </c>
      <c r="E22" s="2">
        <f>3289.74*100</f>
        <v>328974</v>
      </c>
      <c r="F22" s="2">
        <v>248.4</v>
      </c>
      <c r="G22" s="43">
        <f t="shared" si="0"/>
        <v>251.6</v>
      </c>
      <c r="H22" s="55">
        <f>965152*10000</f>
        <v>9651520000</v>
      </c>
      <c r="I22" s="82">
        <f t="shared" si="1"/>
        <v>38360572.337042928</v>
      </c>
      <c r="J22" s="82">
        <f t="shared" si="2"/>
        <v>38854750.402576491</v>
      </c>
      <c r="K22" s="2">
        <v>4</v>
      </c>
      <c r="L22" s="2">
        <f>100.2*10</f>
        <v>1002</v>
      </c>
      <c r="M22" s="82">
        <f t="shared" si="3"/>
        <v>926.54592000000002</v>
      </c>
    </row>
    <row r="23" spans="2:13" ht="15.75" thickBot="1" x14ac:dyDescent="0.3"/>
    <row r="24" spans="2:13" ht="15.75" thickBot="1" x14ac:dyDescent="0.3">
      <c r="B24" s="14" t="s">
        <v>37</v>
      </c>
      <c r="C24" s="15" t="s">
        <v>52</v>
      </c>
      <c r="D24" s="16" t="s">
        <v>53</v>
      </c>
      <c r="E24" s="16" t="s">
        <v>54</v>
      </c>
      <c r="F24" s="16" t="s">
        <v>55</v>
      </c>
      <c r="G24" s="16" t="s">
        <v>56</v>
      </c>
      <c r="H24" s="16" t="s">
        <v>57</v>
      </c>
      <c r="I24" s="16" t="s">
        <v>58</v>
      </c>
      <c r="J24" s="16" t="s">
        <v>59</v>
      </c>
      <c r="K24" s="16" t="s">
        <v>60</v>
      </c>
      <c r="L24" s="16" t="s">
        <v>61</v>
      </c>
      <c r="M24" s="17" t="s">
        <v>62</v>
      </c>
    </row>
    <row r="25" spans="2:13" x14ac:dyDescent="0.25">
      <c r="B25" s="18" t="s">
        <v>38</v>
      </c>
      <c r="C25" s="19">
        <v>12</v>
      </c>
      <c r="D25" s="20">
        <v>15</v>
      </c>
      <c r="E25" s="20">
        <f>C25+8</f>
        <v>20</v>
      </c>
      <c r="F25" s="21">
        <v>1.6</v>
      </c>
      <c r="G25" s="21">
        <v>1.1000000000000001</v>
      </c>
      <c r="H25" s="21">
        <v>2</v>
      </c>
      <c r="I25" s="21">
        <v>3.2</v>
      </c>
      <c r="J25" s="22">
        <v>0.27</v>
      </c>
      <c r="K25" s="22">
        <v>26</v>
      </c>
      <c r="L25" s="22">
        <v>11</v>
      </c>
      <c r="M25" s="23">
        <v>25</v>
      </c>
    </row>
    <row r="26" spans="2:13" x14ac:dyDescent="0.25">
      <c r="B26" s="24" t="s">
        <v>39</v>
      </c>
      <c r="C26" s="25">
        <v>16</v>
      </c>
      <c r="D26" s="26">
        <v>20</v>
      </c>
      <c r="E26" s="26">
        <f t="shared" ref="E26:E38" si="4">C26+8</f>
        <v>24</v>
      </c>
      <c r="F26" s="27">
        <v>1.9</v>
      </c>
      <c r="G26" s="27">
        <v>1.3</v>
      </c>
      <c r="H26" s="27">
        <v>2.5</v>
      </c>
      <c r="I26" s="27">
        <v>5</v>
      </c>
      <c r="J26" s="28">
        <v>0.33</v>
      </c>
      <c r="K26" s="28">
        <v>28</v>
      </c>
      <c r="L26" s="28">
        <v>12</v>
      </c>
      <c r="M26" s="29">
        <v>25</v>
      </c>
    </row>
    <row r="27" spans="2:13" x14ac:dyDescent="0.25">
      <c r="B27" s="30" t="s">
        <v>40</v>
      </c>
      <c r="C27" s="31">
        <v>20</v>
      </c>
      <c r="D27" s="32">
        <v>25</v>
      </c>
      <c r="E27" s="32">
        <f t="shared" si="4"/>
        <v>28</v>
      </c>
      <c r="F27" s="33">
        <v>2.2000000000000002</v>
      </c>
      <c r="G27" s="33">
        <v>1.5</v>
      </c>
      <c r="H27" s="33">
        <v>2.9</v>
      </c>
      <c r="I27" s="33">
        <v>5.8</v>
      </c>
      <c r="J27" s="34">
        <v>0.39</v>
      </c>
      <c r="K27" s="34">
        <v>29</v>
      </c>
      <c r="L27" s="34">
        <v>13</v>
      </c>
      <c r="M27" s="35">
        <v>25</v>
      </c>
    </row>
    <row r="28" spans="2:13" x14ac:dyDescent="0.25">
      <c r="B28" s="24" t="s">
        <v>41</v>
      </c>
      <c r="C28" s="25">
        <v>25</v>
      </c>
      <c r="D28" s="26">
        <v>30</v>
      </c>
      <c r="E28" s="26">
        <f t="shared" si="4"/>
        <v>33</v>
      </c>
      <c r="F28" s="27">
        <v>2.6</v>
      </c>
      <c r="G28" s="27">
        <v>1.8</v>
      </c>
      <c r="H28" s="27">
        <v>3.3</v>
      </c>
      <c r="I28" s="27">
        <v>6.6</v>
      </c>
      <c r="J28" s="28">
        <v>0.45</v>
      </c>
      <c r="K28" s="28">
        <v>31</v>
      </c>
      <c r="L28" s="28">
        <v>13</v>
      </c>
      <c r="M28" s="29">
        <v>25</v>
      </c>
    </row>
    <row r="29" spans="2:13" x14ac:dyDescent="0.25">
      <c r="B29" s="30" t="s">
        <v>42</v>
      </c>
      <c r="C29" s="31">
        <v>30</v>
      </c>
      <c r="D29" s="32">
        <v>37</v>
      </c>
      <c r="E29" s="32">
        <f t="shared" si="4"/>
        <v>38</v>
      </c>
      <c r="F29" s="33">
        <v>2.9</v>
      </c>
      <c r="G29" s="33">
        <v>2</v>
      </c>
      <c r="H29" s="33">
        <v>3.8</v>
      </c>
      <c r="I29" s="33">
        <v>7.8</v>
      </c>
      <c r="J29" s="34">
        <v>0.45</v>
      </c>
      <c r="K29" s="34">
        <v>32</v>
      </c>
      <c r="L29" s="34">
        <v>14</v>
      </c>
      <c r="M29" s="35">
        <v>25</v>
      </c>
    </row>
    <row r="30" spans="2:13" x14ac:dyDescent="0.25">
      <c r="B30" s="24" t="s">
        <v>43</v>
      </c>
      <c r="C30" s="25">
        <v>35</v>
      </c>
      <c r="D30" s="26">
        <v>45</v>
      </c>
      <c r="E30" s="26">
        <f t="shared" si="4"/>
        <v>43</v>
      </c>
      <c r="F30" s="27">
        <v>3.2</v>
      </c>
      <c r="G30" s="27">
        <v>2.2000000000000002</v>
      </c>
      <c r="H30" s="27">
        <v>4.2</v>
      </c>
      <c r="I30" s="27">
        <v>8.4</v>
      </c>
      <c r="J30" s="28">
        <v>0.45</v>
      </c>
      <c r="K30" s="28">
        <v>34</v>
      </c>
      <c r="L30" s="28">
        <v>15</v>
      </c>
      <c r="M30" s="29">
        <v>25</v>
      </c>
    </row>
    <row r="31" spans="2:13" x14ac:dyDescent="0.25">
      <c r="B31" s="30" t="s">
        <v>44</v>
      </c>
      <c r="C31" s="31">
        <v>40</v>
      </c>
      <c r="D31" s="32">
        <v>50</v>
      </c>
      <c r="E31" s="32">
        <f t="shared" si="4"/>
        <v>48</v>
      </c>
      <c r="F31" s="33">
        <v>3.5</v>
      </c>
      <c r="G31" s="33">
        <v>2.5</v>
      </c>
      <c r="H31" s="33">
        <v>4.5999999999999996</v>
      </c>
      <c r="I31" s="33">
        <v>9.1999999999999993</v>
      </c>
      <c r="J31" s="34">
        <v>0.45</v>
      </c>
      <c r="K31" s="34">
        <v>35</v>
      </c>
      <c r="L31" s="34">
        <v>15</v>
      </c>
      <c r="M31" s="35">
        <v>25</v>
      </c>
    </row>
    <row r="32" spans="2:13" x14ac:dyDescent="0.25">
      <c r="B32" s="24" t="s">
        <v>45</v>
      </c>
      <c r="C32" s="25">
        <v>45</v>
      </c>
      <c r="D32" s="26">
        <v>55</v>
      </c>
      <c r="E32" s="26">
        <f t="shared" si="4"/>
        <v>53</v>
      </c>
      <c r="F32" s="27">
        <v>3.8</v>
      </c>
      <c r="G32" s="27">
        <v>2.7</v>
      </c>
      <c r="H32" s="27">
        <v>4.9000000000000004</v>
      </c>
      <c r="I32" s="27">
        <v>9.6</v>
      </c>
      <c r="J32" s="28">
        <v>0.45</v>
      </c>
      <c r="K32" s="28">
        <v>36</v>
      </c>
      <c r="L32" s="28">
        <v>16</v>
      </c>
      <c r="M32" s="29">
        <v>25</v>
      </c>
    </row>
    <row r="33" spans="2:13" x14ac:dyDescent="0.25">
      <c r="B33" s="30" t="s">
        <v>46</v>
      </c>
      <c r="C33" s="31">
        <v>50</v>
      </c>
      <c r="D33" s="32">
        <v>60</v>
      </c>
      <c r="E33" s="32">
        <f t="shared" si="4"/>
        <v>58</v>
      </c>
      <c r="F33" s="33">
        <v>4.0999999999999996</v>
      </c>
      <c r="G33" s="33">
        <v>2.9</v>
      </c>
      <c r="H33" s="33">
        <v>5.3</v>
      </c>
      <c r="I33" s="33">
        <v>10.4</v>
      </c>
      <c r="J33" s="34">
        <v>0.45</v>
      </c>
      <c r="K33" s="34">
        <v>37</v>
      </c>
      <c r="L33" s="34">
        <v>16</v>
      </c>
      <c r="M33" s="35">
        <v>25</v>
      </c>
    </row>
    <row r="34" spans="2:13" x14ac:dyDescent="0.25">
      <c r="B34" s="24" t="s">
        <v>47</v>
      </c>
      <c r="C34" s="25">
        <v>55</v>
      </c>
      <c r="D34" s="26">
        <v>67</v>
      </c>
      <c r="E34" s="26">
        <f t="shared" si="4"/>
        <v>63</v>
      </c>
      <c r="F34" s="27">
        <v>4.2</v>
      </c>
      <c r="G34" s="27">
        <v>3</v>
      </c>
      <c r="H34" s="27">
        <v>5.5</v>
      </c>
      <c r="I34" s="27">
        <v>10.4</v>
      </c>
      <c r="J34" s="28">
        <v>0.45</v>
      </c>
      <c r="K34" s="28">
        <v>38</v>
      </c>
      <c r="L34" s="28">
        <v>16</v>
      </c>
      <c r="M34" s="29">
        <v>25</v>
      </c>
    </row>
    <row r="35" spans="2:13" x14ac:dyDescent="0.25">
      <c r="B35" s="30" t="s">
        <v>48</v>
      </c>
      <c r="C35" s="31">
        <v>60</v>
      </c>
      <c r="D35" s="32">
        <v>75</v>
      </c>
      <c r="E35" s="32">
        <f t="shared" si="4"/>
        <v>68</v>
      </c>
      <c r="F35" s="33">
        <v>4.4000000000000004</v>
      </c>
      <c r="G35" s="33">
        <v>3.1</v>
      </c>
      <c r="H35" s="33">
        <v>5.7</v>
      </c>
      <c r="I35" s="33">
        <v>10.4</v>
      </c>
      <c r="J35" s="34">
        <v>0.45</v>
      </c>
      <c r="K35" s="34">
        <v>37</v>
      </c>
      <c r="L35" s="34">
        <v>16</v>
      </c>
      <c r="M35" s="35">
        <v>25</v>
      </c>
    </row>
    <row r="36" spans="2:13" x14ac:dyDescent="0.25">
      <c r="B36" s="24" t="s">
        <v>49</v>
      </c>
      <c r="C36" s="25">
        <v>70</v>
      </c>
      <c r="D36" s="26">
        <v>85</v>
      </c>
      <c r="E36" s="26">
        <f t="shared" si="4"/>
        <v>78</v>
      </c>
      <c r="F36" s="27">
        <v>4.5999999999999996</v>
      </c>
      <c r="G36" s="27">
        <v>3.2</v>
      </c>
      <c r="H36" s="27">
        <v>6</v>
      </c>
      <c r="I36" s="27">
        <v>10.4</v>
      </c>
      <c r="J36" s="28">
        <v>0.45</v>
      </c>
      <c r="K36" s="28">
        <v>37</v>
      </c>
      <c r="L36" s="28">
        <v>16</v>
      </c>
      <c r="M36" s="29">
        <v>25</v>
      </c>
    </row>
    <row r="37" spans="2:13" x14ac:dyDescent="0.25">
      <c r="B37" s="30" t="s">
        <v>50</v>
      </c>
      <c r="C37" s="31">
        <v>80</v>
      </c>
      <c r="D37" s="32">
        <v>95</v>
      </c>
      <c r="E37" s="32">
        <f t="shared" si="4"/>
        <v>88</v>
      </c>
      <c r="F37" s="33">
        <v>4.8</v>
      </c>
      <c r="G37" s="33">
        <v>3.4</v>
      </c>
      <c r="H37" s="33">
        <v>6.3</v>
      </c>
      <c r="I37" s="33">
        <v>10.4</v>
      </c>
      <c r="J37" s="34">
        <v>0.45</v>
      </c>
      <c r="K37" s="34">
        <v>37</v>
      </c>
      <c r="L37" s="34">
        <v>16</v>
      </c>
      <c r="M37" s="35">
        <v>25</v>
      </c>
    </row>
    <row r="38" spans="2:13" ht="15.75" thickBot="1" x14ac:dyDescent="0.3">
      <c r="B38" s="36" t="s">
        <v>51</v>
      </c>
      <c r="C38" s="37">
        <v>90</v>
      </c>
      <c r="D38" s="38">
        <v>105</v>
      </c>
      <c r="E38" s="38">
        <f t="shared" si="4"/>
        <v>98</v>
      </c>
      <c r="F38" s="39">
        <v>5</v>
      </c>
      <c r="G38" s="39">
        <v>3.5</v>
      </c>
      <c r="H38" s="39">
        <v>6.6</v>
      </c>
      <c r="I38" s="39">
        <v>10.4</v>
      </c>
      <c r="J38" s="40">
        <v>0.45</v>
      </c>
      <c r="K38" s="40">
        <v>37</v>
      </c>
      <c r="L38" s="40">
        <v>16</v>
      </c>
      <c r="M38" s="41">
        <v>25</v>
      </c>
    </row>
    <row r="39" spans="2:13" ht="15.75" thickBot="1" x14ac:dyDescent="0.3"/>
    <row r="40" spans="2:13" ht="15.75" thickBot="1" x14ac:dyDescent="0.3">
      <c r="B40" s="14" t="s">
        <v>37</v>
      </c>
      <c r="C40" s="15" t="s">
        <v>105</v>
      </c>
    </row>
    <row r="41" spans="2:13" ht="15.75" thickBot="1" x14ac:dyDescent="0.3">
      <c r="B41" s="42" t="s">
        <v>64</v>
      </c>
      <c r="C41" s="19">
        <v>1860</v>
      </c>
    </row>
    <row r="43" spans="2:13" ht="15.75" thickBot="1" x14ac:dyDescent="0.3"/>
    <row r="44" spans="2:13" ht="15.75" thickBot="1" x14ac:dyDescent="0.3">
      <c r="B44" s="52" t="s">
        <v>87</v>
      </c>
      <c r="C44" s="53" t="s">
        <v>88</v>
      </c>
      <c r="D44" s="54"/>
    </row>
    <row r="45" spans="2:13" x14ac:dyDescent="0.25">
      <c r="B45" s="47">
        <v>9.3000000000000007</v>
      </c>
      <c r="C45" s="46">
        <f>0.52*100</f>
        <v>52</v>
      </c>
      <c r="D45" s="48" t="s">
        <v>86</v>
      </c>
    </row>
    <row r="46" spans="2:13" ht="15.75" thickBot="1" x14ac:dyDescent="0.3">
      <c r="B46" s="49">
        <v>12.5</v>
      </c>
      <c r="C46" s="50">
        <f>0.93*100</f>
        <v>93</v>
      </c>
      <c r="D46" s="51" t="s">
        <v>86</v>
      </c>
    </row>
    <row r="47" spans="2:13" ht="15.75" thickBot="1" x14ac:dyDescent="0.3"/>
    <row r="48" spans="2:13" ht="15.75" thickBot="1" x14ac:dyDescent="0.3">
      <c r="B48" s="73" t="s">
        <v>141</v>
      </c>
      <c r="C48" s="73" t="s">
        <v>149</v>
      </c>
    </row>
    <row r="49" spans="2:5" x14ac:dyDescent="0.25">
      <c r="B49" s="43" t="s">
        <v>142</v>
      </c>
      <c r="C49" s="43">
        <v>200</v>
      </c>
    </row>
    <row r="50" spans="2:5" x14ac:dyDescent="0.25">
      <c r="B50" s="2" t="s">
        <v>143</v>
      </c>
      <c r="C50" s="2">
        <v>250</v>
      </c>
    </row>
    <row r="51" spans="2:5" x14ac:dyDescent="0.25">
      <c r="B51" s="2" t="s">
        <v>144</v>
      </c>
      <c r="C51" s="2">
        <v>300</v>
      </c>
    </row>
    <row r="52" spans="2:5" x14ac:dyDescent="0.25">
      <c r="B52" s="2" t="s">
        <v>145</v>
      </c>
      <c r="C52" s="2">
        <v>350</v>
      </c>
    </row>
    <row r="53" spans="2:5" x14ac:dyDescent="0.25">
      <c r="B53" s="2" t="s">
        <v>146</v>
      </c>
      <c r="C53" s="2">
        <v>400</v>
      </c>
    </row>
    <row r="54" spans="2:5" x14ac:dyDescent="0.25">
      <c r="B54" s="2" t="s">
        <v>147</v>
      </c>
      <c r="C54" s="2">
        <v>450</v>
      </c>
    </row>
    <row r="55" spans="2:5" x14ac:dyDescent="0.25">
      <c r="B55" s="2" t="s">
        <v>148</v>
      </c>
      <c r="C55" s="2">
        <v>500</v>
      </c>
    </row>
    <row r="57" spans="2:5" x14ac:dyDescent="0.25">
      <c r="B57" s="2" t="s">
        <v>157</v>
      </c>
      <c r="C57" s="2" t="s">
        <v>158</v>
      </c>
      <c r="D57" s="2" t="s">
        <v>214</v>
      </c>
      <c r="E57" s="2" t="s">
        <v>216</v>
      </c>
    </row>
    <row r="58" spans="2:5" x14ac:dyDescent="0.25">
      <c r="B58" s="43" t="s">
        <v>159</v>
      </c>
      <c r="C58" s="43">
        <v>0.2</v>
      </c>
      <c r="D58" s="43">
        <v>3</v>
      </c>
      <c r="E58" s="43">
        <v>0.13</v>
      </c>
    </row>
    <row r="59" spans="2:5" x14ac:dyDescent="0.25">
      <c r="B59" s="2" t="s">
        <v>118</v>
      </c>
      <c r="C59" s="2">
        <v>0.25</v>
      </c>
      <c r="D59" s="2">
        <v>4</v>
      </c>
      <c r="E59" s="2">
        <v>0.12</v>
      </c>
    </row>
    <row r="60" spans="2:5" x14ac:dyDescent="0.25">
      <c r="B60" s="2" t="s">
        <v>160</v>
      </c>
      <c r="C60" s="2">
        <v>0.38</v>
      </c>
      <c r="D60" s="2">
        <v>6</v>
      </c>
      <c r="E60" s="2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HelperData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Valters Sejans</dc:creator>
  <cp:lastModifiedBy>Valters Sejans</cp:lastModifiedBy>
  <dcterms:created xsi:type="dcterms:W3CDTF">2023-05-18T04:41:39Z</dcterms:created>
  <dcterms:modified xsi:type="dcterms:W3CDTF">2023-05-29T19:31:34Z</dcterms:modified>
</cp:coreProperties>
</file>