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atriainvest-my.sharepoint.com/personal/fabricio_gomes_patria_com/Documents/Documents/Maquina Virtual/"/>
    </mc:Choice>
  </mc:AlternateContent>
  <xr:revisionPtr revIDLastSave="11" documentId="8_{531B2B24-5C1C-46C2-A8F0-6685A4E83F69}" xr6:coauthVersionLast="47" xr6:coauthVersionMax="47" xr10:uidLastSave="{28DE701B-9269-42B8-9E15-664E1C546784}"/>
  <bookViews>
    <workbookView xWindow="-120" yWindow="330" windowWidth="29040" windowHeight="15990" tabRatio="694" firstSheet="2" activeTab="2" xr2:uid="{7C97692F-3DAE-441B-AF6C-CFEA1567EB4B}"/>
  </bookViews>
  <sheets>
    <sheet name="Sheet1" sheetId="2" state="hidden" r:id="rId1"/>
    <sheet name="Hoja1" sheetId="1" state="hidden" r:id="rId2"/>
    <sheet name="Pipeline Database" sheetId="3" r:id="rId3"/>
    <sheet name="Data Validation" sheetId="4" r:id="rId4"/>
  </sheets>
  <definedNames>
    <definedName name="_xlnm._FilterDatabase" localSheetId="2" hidden="1">'Pipeline Database'!$A$1:$AF$33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6" i="3" l="1"/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U6" i="3"/>
  <c r="J6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5" i="3"/>
  <c r="J4" i="3"/>
  <c r="J3" i="3"/>
  <c r="J2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U32" i="3"/>
  <c r="U31" i="3"/>
  <c r="U30" i="3"/>
  <c r="U29" i="3"/>
  <c r="U28" i="3"/>
  <c r="U27" i="3"/>
  <c r="U26" i="3"/>
  <c r="U25" i="3"/>
  <c r="U24" i="3"/>
  <c r="U23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4" i="3" l="1"/>
  <c r="U5" i="3"/>
  <c r="U7" i="3"/>
  <c r="H7" i="3" l="1"/>
  <c r="H5" i="3" l="1"/>
  <c r="H4" i="3"/>
  <c r="U2" i="3"/>
  <c r="U3" i="3"/>
  <c r="H2" i="3"/>
  <c r="H3" i="3"/>
  <c r="H8" i="3"/>
  <c r="I11" i="1"/>
  <c r="I6" i="1" l="1"/>
  <c r="I3" i="1"/>
  <c r="N34" i="1"/>
  <c r="N31" i="1"/>
  <c r="N29" i="1"/>
  <c r="N25" i="1"/>
  <c r="R33" i="1"/>
  <c r="S33" i="1" s="1"/>
  <c r="H30" i="1" l="1"/>
  <c r="N30" i="1" s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l="1"/>
  <c r="B31" i="1" s="1"/>
  <c r="B32" i="1" s="1"/>
  <c r="B33" i="1" s="1"/>
  <c r="B34" i="1" s="1"/>
  <c r="H10" i="1"/>
  <c r="H7" i="1"/>
  <c r="H24" i="1"/>
  <c r="H5" i="1"/>
  <c r="G33" i="1"/>
  <c r="H33" i="1" s="1"/>
  <c r="N33" i="1" s="1"/>
  <c r="H20" i="1"/>
  <c r="H4" i="1"/>
  <c r="H27" i="1"/>
  <c r="N27" i="1" s="1"/>
  <c r="H28" i="1"/>
  <c r="N28" i="1" s="1"/>
  <c r="H32" i="1"/>
  <c r="N32" i="1" s="1"/>
  <c r="H17" i="1"/>
  <c r="H3" i="1"/>
  <c r="H26" i="1"/>
  <c r="N12" i="1" l="1"/>
  <c r="N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Javier Quintana</author>
  </authors>
  <commentList>
    <comment ref="V1" authorId="0" shapeId="0" xr:uid="{356B84CE-3868-4C19-A932-387F0A174371}">
      <text>
        <r>
          <rPr>
            <b/>
            <sz val="9"/>
            <color indexed="81"/>
            <rFont val="Tahoma"/>
            <family val="2"/>
          </rPr>
          <t>Javier Quintana:</t>
        </r>
        <r>
          <rPr>
            <sz val="9"/>
            <color indexed="81"/>
            <rFont val="Tahoma"/>
            <family val="2"/>
          </rPr>
          <t xml:space="preserve">
Detección Oportunida</t>
        </r>
      </text>
    </comment>
    <comment ref="W1" authorId="0" shapeId="0" xr:uid="{7F972FC2-2924-4AFF-AC54-6CCF30FA85F0}">
      <text>
        <r>
          <rPr>
            <b/>
            <sz val="9"/>
            <color indexed="81"/>
            <rFont val="Tahoma"/>
            <family val="2"/>
          </rPr>
          <t>Javier Quintana:</t>
        </r>
        <r>
          <rPr>
            <sz val="9"/>
            <color indexed="81"/>
            <rFont val="Tahoma"/>
            <family val="2"/>
          </rPr>
          <t xml:space="preserve">
Fecha esperada de cierre de acuerdo</t>
        </r>
      </text>
    </comment>
    <comment ref="X1" authorId="0" shapeId="0" xr:uid="{F939F716-816C-4A85-B9B9-079AAD516688}">
      <text>
        <r>
          <rPr>
            <b/>
            <sz val="9"/>
            <color indexed="81"/>
            <rFont val="Tahoma"/>
            <family val="2"/>
          </rPr>
          <t>Javier Quintana:</t>
        </r>
        <r>
          <rPr>
            <sz val="9"/>
            <color indexed="81"/>
            <rFont val="Tahoma"/>
            <family val="2"/>
          </rPr>
          <t xml:space="preserve">
Inicio Real Operación</t>
        </r>
      </text>
    </comment>
    <comment ref="X30" authorId="0" shapeId="0" xr:uid="{F8DDD4E8-20A6-4037-B7D9-96D0F6B11A85}">
      <text>
        <r>
          <rPr>
            <b/>
            <sz val="9"/>
            <color indexed="81"/>
            <rFont val="Tahoma"/>
            <family val="2"/>
          </rPr>
          <t>Javier Quintana:</t>
        </r>
        <r>
          <rPr>
            <sz val="9"/>
            <color indexed="81"/>
            <rFont val="Tahoma"/>
            <family val="2"/>
          </rPr>
          <t xml:space="preserve">
Inicio Real Operación</t>
        </r>
      </text>
    </comment>
  </commentList>
</comments>
</file>

<file path=xl/sharedStrings.xml><?xml version="1.0" encoding="utf-8"?>
<sst xmlns="http://schemas.openxmlformats.org/spreadsheetml/2006/main" count="619" uniqueCount="183">
  <si>
    <t>FOOD SERVICE</t>
  </si>
  <si>
    <t xml:space="preserve">DAIRY PRODUCTS </t>
  </si>
  <si>
    <t>RETAIL</t>
  </si>
  <si>
    <t>PROTEINS</t>
  </si>
  <si>
    <t>Data Scouting</t>
  </si>
  <si>
    <t>Quilicura</t>
  </si>
  <si>
    <t>Quotation Delivered</t>
  </si>
  <si>
    <t>Service Agreement</t>
  </si>
  <si>
    <t>Status</t>
  </si>
  <si>
    <t>#</t>
  </si>
  <si>
    <t>Facility</t>
  </si>
  <si>
    <t>Client</t>
  </si>
  <si>
    <t>Segment</t>
  </si>
  <si>
    <t>Pallet Positions</t>
  </si>
  <si>
    <t>QUINTASA - Storage</t>
  </si>
  <si>
    <t>AXIONLOG - Storage</t>
  </si>
  <si>
    <t>PANESCO FOOD - Storage</t>
  </si>
  <si>
    <t>MAHUIDA GROUP - Storage</t>
  </si>
  <si>
    <t>FYC - Storage, Picking</t>
  </si>
  <si>
    <t>RICH PRODUCTS - Storage, Picking, Labeling</t>
  </si>
  <si>
    <t>FRIGORÍFICO CONCEPCIÓN- Storage</t>
  </si>
  <si>
    <t>ACONCAGUA FOODS - Storage</t>
  </si>
  <si>
    <t>WALMART CHILE - Storage</t>
  </si>
  <si>
    <t>TOTTUS - Storage</t>
  </si>
  <si>
    <t>SADIA - Storage, Other Services</t>
  </si>
  <si>
    <t>CIAL - Storage</t>
  </si>
  <si>
    <t>AGROSUPER (NONE MEAT EXPORTS) - Storage</t>
  </si>
  <si>
    <t>NESTLÉ - Storage, Picking</t>
  </si>
  <si>
    <t>SMU - Storage</t>
  </si>
  <si>
    <t>LACTALIS - Storage</t>
  </si>
  <si>
    <t>JBS - Storage, Picking, Labeling</t>
  </si>
  <si>
    <t>AASA - Storage, Picking, Labeling</t>
  </si>
  <si>
    <t>SEA GARDEN S.A. - Storage</t>
  </si>
  <si>
    <t>ALIACE - Storage, Picking</t>
  </si>
  <si>
    <t>MARINE FARM - Storage, Picking, Case Tracking</t>
  </si>
  <si>
    <t>SALMONES ANTÁRTICA - Storage, Picking, Case Tracking</t>
  </si>
  <si>
    <t>AQUACHILE - Storage, Picking, Case Tracking</t>
  </si>
  <si>
    <t xml:space="preserve">AGROMARÍN - Storage </t>
  </si>
  <si>
    <t>MTALMAC - Storage</t>
  </si>
  <si>
    <t>SALMONES ANTÁRTICA - Storage</t>
  </si>
  <si>
    <t>WORLD FOOD - Storage</t>
  </si>
  <si>
    <t>NESTLÉ CHILE - Storage Chilled</t>
  </si>
  <si>
    <t>Lost</t>
  </si>
  <si>
    <t>Won</t>
  </si>
  <si>
    <t>EURODELI - Storage, Picking</t>
  </si>
  <si>
    <t>Quotation Analysis</t>
  </si>
  <si>
    <t>Quotation under Negotiation</t>
  </si>
  <si>
    <t>VALLE FRÍO - Storage</t>
  </si>
  <si>
    <t>Lost - No space available</t>
  </si>
  <si>
    <t>MINERVA - Storage, Picking, Labeling</t>
  </si>
  <si>
    <t>Lost - Did not go through with requirement</t>
  </si>
  <si>
    <t>Lost - Volumes have decayed due to contingencies</t>
  </si>
  <si>
    <t>BREDENMASTER - Storage</t>
  </si>
  <si>
    <t xml:space="preserve"> Estimated 12 Month Value (CLP$M)</t>
  </si>
  <si>
    <t>Lost - Better price rates w/competitors</t>
  </si>
  <si>
    <t>Lost - Client did not go through with requirement</t>
  </si>
  <si>
    <t>Expected Stages</t>
  </si>
  <si>
    <t>ARIZTÍA - Storage, Blast Freeze, Picking, Others</t>
  </si>
  <si>
    <t>Projeto Icestar | Sales Excellence</t>
  </si>
  <si>
    <t>Data: 09.05</t>
  </si>
  <si>
    <t>Fase Funil</t>
  </si>
  <si>
    <t>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'</t>
  </si>
  <si>
    <t>Ultimos 12 meses</t>
  </si>
  <si>
    <t>100 oportunidades</t>
  </si>
  <si>
    <t>Abiertas</t>
  </si>
  <si>
    <t>Trabajadas en los últimos 12 meses</t>
  </si>
  <si>
    <t>Fecha Cerre</t>
  </si>
  <si>
    <t>Início Operacion Previsto</t>
  </si>
  <si>
    <t>Início Operacion Realizado</t>
  </si>
  <si>
    <t>% Almacenaje</t>
  </si>
  <si>
    <t>% Túneles</t>
  </si>
  <si>
    <t>% Car/Des</t>
  </si>
  <si>
    <t>% Otros Servicios</t>
  </si>
  <si>
    <t>EUROPASTRY - Storage, Picking</t>
  </si>
  <si>
    <t>Sales Pipeline Stages</t>
  </si>
  <si>
    <t>Operation Type</t>
  </si>
  <si>
    <t>1. Data gathering</t>
  </si>
  <si>
    <t xml:space="preserve">2. Proposal Elaboration </t>
  </si>
  <si>
    <t>3. Proposal Sent</t>
  </si>
  <si>
    <t>4. In Negotiation</t>
  </si>
  <si>
    <t>Opportunity Name</t>
  </si>
  <si>
    <t>Account Name (Client)</t>
  </si>
  <si>
    <t>General Warehouse</t>
  </si>
  <si>
    <t>Crossdocking</t>
  </si>
  <si>
    <t>Transportation</t>
  </si>
  <si>
    <t>Freezing Tunnel</t>
  </si>
  <si>
    <t>Total Opportunity</t>
  </si>
  <si>
    <t>Opportunity Opening Date</t>
  </si>
  <si>
    <t>Operation Beginning Date</t>
  </si>
  <si>
    <t>Probability</t>
  </si>
  <si>
    <t>5. Accepted</t>
  </si>
  <si>
    <t>6. Closed - Won</t>
  </si>
  <si>
    <t>7. Closed - Lost</t>
  </si>
  <si>
    <t>Opp Estimated Closing Date</t>
  </si>
  <si>
    <t>Type of Opportunity</t>
  </si>
  <si>
    <t>New Client</t>
  </si>
  <si>
    <t>Client Expansion (same services)</t>
  </si>
  <si>
    <t>Added Services</t>
  </si>
  <si>
    <t>Client Maintenance/Readjustment</t>
  </si>
  <si>
    <t>Loss Reason</t>
  </si>
  <si>
    <t>Operation Internalization</t>
  </si>
  <si>
    <t>Price</t>
  </si>
  <si>
    <t>Warehouse Location</t>
  </si>
  <si>
    <t>Certifications Necessity</t>
  </si>
  <si>
    <t>Capacity Availability</t>
  </si>
  <si>
    <t>Client deprioritization</t>
  </si>
  <si>
    <t>Client Segment</t>
  </si>
  <si>
    <t>Contact 1</t>
  </si>
  <si>
    <t>Contact 2</t>
  </si>
  <si>
    <t>E-mail Contact 1</t>
  </si>
  <si>
    <t>Mobile Contact 1</t>
  </si>
  <si>
    <t>E-mail Contact 2</t>
  </si>
  <si>
    <t>Mobile Contact 2</t>
  </si>
  <si>
    <t>Company Position Contact 1</t>
  </si>
  <si>
    <t>Client Location</t>
  </si>
  <si>
    <t>Contract Duration (Months)</t>
  </si>
  <si>
    <t>Contract Type</t>
  </si>
  <si>
    <t>Regular</t>
  </si>
  <si>
    <t>Spot</t>
  </si>
  <si>
    <t>Take or Pay</t>
  </si>
  <si>
    <t>Santiago</t>
  </si>
  <si>
    <t>Buin</t>
  </si>
  <si>
    <t>6. Closed - Lost</t>
  </si>
  <si>
    <t>Monthly Estimated Revenue (CLP$)</t>
  </si>
  <si>
    <t>%HANDLING</t>
  </si>
  <si>
    <t>%OTHERS</t>
  </si>
  <si>
    <t>Services</t>
  </si>
  <si>
    <t>STORAGE</t>
  </si>
  <si>
    <t>HANDLING</t>
  </si>
  <si>
    <t>BLASTFREEZING</t>
  </si>
  <si>
    <t>OTHERS</t>
  </si>
  <si>
    <t>%STORAGE</t>
  </si>
  <si>
    <t>%BLASTFREEZING</t>
  </si>
  <si>
    <t>First Contact with Client</t>
  </si>
  <si>
    <t>1. Data Gathering</t>
  </si>
  <si>
    <t>-</t>
  </si>
  <si>
    <t>Probability (edit)</t>
  </si>
  <si>
    <t>Pallet per Day</t>
  </si>
  <si>
    <t>PROCHILE</t>
  </si>
  <si>
    <t>SASPA</t>
  </si>
  <si>
    <t>IMPORFRUT</t>
  </si>
  <si>
    <t>SANCO</t>
  </si>
  <si>
    <t>ÑUBLE ALIMENTOS</t>
  </si>
  <si>
    <t>CUGAT</t>
  </si>
  <si>
    <t>MAHUIDA</t>
  </si>
  <si>
    <t>LEAN LOGISTICS</t>
  </si>
  <si>
    <t>CARLOS PÉREZ</t>
  </si>
  <si>
    <t>CECINAS SOLER</t>
  </si>
  <si>
    <t>WORLDFOOD</t>
  </si>
  <si>
    <t>CHILEMPRENDE</t>
  </si>
  <si>
    <t>OSTIONES DEL NORTE</t>
  </si>
  <si>
    <t>FRUTOS DEL MAIPO/WATT'S</t>
  </si>
  <si>
    <t>NOBLE CORRAL</t>
  </si>
  <si>
    <t>SADIA</t>
  </si>
  <si>
    <t>FRIGOSORNO</t>
  </si>
  <si>
    <t>QUINTA SA</t>
  </si>
  <si>
    <t>GRIN GROUP</t>
  </si>
  <si>
    <t>FBS FOODS</t>
  </si>
  <si>
    <t>VITAL JUGOS</t>
  </si>
  <si>
    <t>SALMONES AYSÉN</t>
  </si>
  <si>
    <t xml:space="preserve">NESTLÉ </t>
  </si>
  <si>
    <t>TRENDY</t>
  </si>
  <si>
    <t>FRUTÍCOLA OLMUÉ</t>
  </si>
  <si>
    <t>SURFOODS</t>
  </si>
  <si>
    <t>CIAL</t>
  </si>
  <si>
    <t>AXIONLOG</t>
  </si>
  <si>
    <t>WALMART CHILE SA</t>
  </si>
  <si>
    <t>VALLE FRÍO (IMPORTS)</t>
  </si>
  <si>
    <t>Pallet per day</t>
  </si>
  <si>
    <t>Other</t>
  </si>
  <si>
    <t>Fruits and Vegetables</t>
  </si>
  <si>
    <t>Protein</t>
  </si>
  <si>
    <t>MEATS</t>
  </si>
  <si>
    <t>FISH</t>
  </si>
  <si>
    <t>FRUITS</t>
  </si>
  <si>
    <t>Dairy</t>
  </si>
  <si>
    <t>Food Service</t>
  </si>
  <si>
    <t>Retail</t>
  </si>
  <si>
    <t>BARRY CALBAUT</t>
  </si>
  <si>
    <t>Food Industry</t>
  </si>
  <si>
    <t>BARRY CALBAUT - General Wareshouse</t>
  </si>
  <si>
    <t>Client_Code</t>
  </si>
  <si>
    <t>GroupCode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</si>
</sst>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_ &quot;$&quot;* #,##0_ ;_ &quot;$&quot;* \-#,##0_ ;_ &quot;$&quot;* &quot;-&quot;_ ;_ @_ "/>
    <numFmt numFmtId="165" formatCode="_ * #,##0_ ;_ * \-#,##0_ ;_ * &quot;-&quot;_ ;_ @_ "/>
    <numFmt numFmtId="166" formatCode="_ &quot;$&quot;* #,##0_ ;_ &quot;$&quot;* \-#,##0_ ;_ &quot;$&quot;* &quot;-&quot;??_ ;_ @_ "/>
    <numFmt numFmtId="167" formatCode="&quot;$&quot;#,##0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rgb="FF0070C0"/>
      <name val="Calibri Light"/>
      <family val="2"/>
    </font>
    <font>
      <sz val="12"/>
      <name val="+mj-lt"/>
    </font>
    <font>
      <b/>
      <sz val="16"/>
      <color rgb="FFFFFFFF"/>
      <name val="Calibri Light"/>
      <family val="2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5">
    <xf numFmtId="0" fontId="0" fillId="0" borderId="0" xfId="0"/>
    <xf numFmtId="0" fontId="2" fillId="2" borderId="1" xfId="3" applyFill="1" applyBorder="1" applyAlignment="1">
      <alignment horizontal="left"/>
    </xf>
    <xf numFmtId="0" fontId="2" fillId="2" borderId="1" xfId="3" applyFill="1" applyBorder="1" applyAlignment="1">
      <alignment horizontal="center"/>
    </xf>
    <xf numFmtId="0" fontId="2" fillId="2" borderId="2" xfId="3" applyFill="1" applyBorder="1" applyAlignment="1">
      <alignment horizontal="center"/>
    </xf>
    <xf numFmtId="0" fontId="0" fillId="2" borderId="1" xfId="0" applyFill="1" applyBorder="1"/>
    <xf numFmtId="165" fontId="0" fillId="2" borderId="1" xfId="1" applyFont="1" applyFill="1" applyBorder="1"/>
    <xf numFmtId="0" fontId="0" fillId="2" borderId="0" xfId="0" applyFill="1"/>
    <xf numFmtId="0" fontId="0" fillId="0" borderId="1" xfId="0" applyBorder="1"/>
    <xf numFmtId="0" fontId="4" fillId="0" borderId="1" xfId="0" applyFont="1" applyBorder="1" applyAlignment="1">
      <alignment horizontal="center" vertical="center" wrapText="1" readingOrder="1"/>
    </xf>
    <xf numFmtId="0" fontId="0" fillId="2" borderId="1" xfId="0" applyFill="1" applyBorder="1" applyAlignment="1">
      <alignment horizontal="center"/>
    </xf>
    <xf numFmtId="0" fontId="4" fillId="0" borderId="2" xfId="0" applyFont="1" applyBorder="1" applyAlignment="1">
      <alignment horizontal="center" vertical="center" wrapText="1" readingOrder="1"/>
    </xf>
    <xf numFmtId="0" fontId="2" fillId="2" borderId="2" xfId="3" applyFill="1" applyBorder="1" applyAlignment="1">
      <alignment horizontal="left"/>
    </xf>
    <xf numFmtId="0" fontId="3" fillId="2" borderId="4" xfId="0" applyFont="1" applyFill="1" applyBorder="1" applyAlignment="1">
      <alignment horizontal="center" vertical="center" wrapText="1" readingOrder="1"/>
    </xf>
    <xf numFmtId="0" fontId="0" fillId="2" borderId="5" xfId="0" applyFill="1" applyBorder="1"/>
    <xf numFmtId="0" fontId="4" fillId="0" borderId="5" xfId="0" applyFont="1" applyBorder="1" applyAlignment="1">
      <alignment horizontal="center" vertical="center" wrapText="1" readingOrder="1"/>
    </xf>
    <xf numFmtId="0" fontId="2" fillId="2" borderId="5" xfId="3" applyFill="1" applyBorder="1" applyAlignment="1">
      <alignment horizontal="left"/>
    </xf>
    <xf numFmtId="0" fontId="2" fillId="2" borderId="5" xfId="3" applyFill="1" applyBorder="1" applyAlignment="1">
      <alignment horizontal="center"/>
    </xf>
    <xf numFmtId="0" fontId="0" fillId="0" borderId="5" xfId="0" applyBorder="1"/>
    <xf numFmtId="0" fontId="0" fillId="0" borderId="2" xfId="0" applyBorder="1"/>
    <xf numFmtId="0" fontId="3" fillId="2" borderId="6" xfId="0" applyFont="1" applyFill="1" applyBorder="1" applyAlignment="1">
      <alignment horizontal="center" vertical="center" wrapText="1" readingOrder="1"/>
    </xf>
    <xf numFmtId="0" fontId="0" fillId="2" borderId="7" xfId="0" applyFill="1" applyBorder="1"/>
    <xf numFmtId="0" fontId="4" fillId="0" borderId="7" xfId="0" applyFont="1" applyBorder="1" applyAlignment="1">
      <alignment horizontal="center" vertical="center" wrapText="1" readingOrder="1"/>
    </xf>
    <xf numFmtId="0" fontId="2" fillId="2" borderId="7" xfId="3" applyFill="1" applyBorder="1" applyAlignment="1">
      <alignment horizontal="left"/>
    </xf>
    <xf numFmtId="0" fontId="2" fillId="2" borderId="7" xfId="3" applyFill="1" applyBorder="1" applyAlignment="1">
      <alignment horizontal="center"/>
    </xf>
    <xf numFmtId="165" fontId="0" fillId="2" borderId="7" xfId="1" applyFont="1" applyFill="1" applyBorder="1"/>
    <xf numFmtId="0" fontId="3" fillId="2" borderId="8" xfId="0" applyFont="1" applyFill="1" applyBorder="1" applyAlignment="1">
      <alignment horizontal="center" vertical="center" wrapText="1" readingOrder="1"/>
    </xf>
    <xf numFmtId="0" fontId="3" fillId="2" borderId="9" xfId="0" applyFont="1" applyFill="1" applyBorder="1" applyAlignment="1">
      <alignment horizontal="center" vertical="center" wrapText="1" readingOrder="1"/>
    </xf>
    <xf numFmtId="0" fontId="0" fillId="2" borderId="10" xfId="0" applyFill="1" applyBorder="1"/>
    <xf numFmtId="0" fontId="4" fillId="0" borderId="10" xfId="0" applyFont="1" applyBorder="1" applyAlignment="1">
      <alignment horizontal="center" vertical="center" wrapText="1" readingOrder="1"/>
    </xf>
    <xf numFmtId="0" fontId="2" fillId="2" borderId="10" xfId="3" applyFill="1" applyBorder="1" applyAlignment="1">
      <alignment horizontal="left"/>
    </xf>
    <xf numFmtId="0" fontId="2" fillId="2" borderId="10" xfId="3" applyFill="1" applyBorder="1" applyAlignment="1">
      <alignment horizontal="center"/>
    </xf>
    <xf numFmtId="165" fontId="0" fillId="2" borderId="10" xfId="1" applyFont="1" applyFill="1" applyBorder="1"/>
    <xf numFmtId="164" fontId="0" fillId="2" borderId="11" xfId="2" applyFont="1" applyFill="1" applyBorder="1" applyAlignment="1">
      <alignment horizontal="center"/>
    </xf>
    <xf numFmtId="164" fontId="0" fillId="2" borderId="12" xfId="2" applyFont="1" applyFill="1" applyBorder="1" applyAlignment="1">
      <alignment horizontal="center"/>
    </xf>
    <xf numFmtId="166" fontId="0" fillId="0" borderId="12" xfId="0" applyNumberFormat="1" applyBorder="1"/>
    <xf numFmtId="164" fontId="0" fillId="2" borderId="13" xfId="2" applyFont="1" applyFill="1" applyBorder="1" applyAlignment="1">
      <alignment horizontal="center"/>
    </xf>
    <xf numFmtId="0" fontId="0" fillId="0" borderId="7" xfId="0" applyBorder="1"/>
    <xf numFmtId="0" fontId="0" fillId="0" borderId="10" xfId="0" applyBorder="1"/>
    <xf numFmtId="166" fontId="0" fillId="0" borderId="11" xfId="0" applyNumberFormat="1" applyBorder="1"/>
    <xf numFmtId="166" fontId="0" fillId="0" borderId="13" xfId="0" applyNumberFormat="1" applyBorder="1"/>
    <xf numFmtId="164" fontId="0" fillId="2" borderId="12" xfId="2" applyFont="1" applyFill="1" applyBorder="1"/>
    <xf numFmtId="164" fontId="0" fillId="2" borderId="12" xfId="0" applyNumberFormat="1" applyFill="1" applyBorder="1"/>
    <xf numFmtId="164" fontId="0" fillId="2" borderId="13" xfId="0" applyNumberFormat="1" applyFill="1" applyBorder="1"/>
    <xf numFmtId="0" fontId="3" fillId="2" borderId="14" xfId="0" applyFont="1" applyFill="1" applyBorder="1" applyAlignment="1">
      <alignment horizontal="center" vertical="center" wrapText="1" readingOrder="1"/>
    </xf>
    <xf numFmtId="166" fontId="0" fillId="0" borderId="15" xfId="0" applyNumberFormat="1" applyBorder="1"/>
    <xf numFmtId="166" fontId="0" fillId="0" borderId="16" xfId="0" applyNumberFormat="1" applyBorder="1"/>
    <xf numFmtId="0" fontId="5" fillId="3" borderId="17" xfId="0" applyFont="1" applyFill="1" applyBorder="1" applyAlignment="1">
      <alignment horizontal="center" vertical="center" wrapText="1" readingOrder="1"/>
    </xf>
    <xf numFmtId="0" fontId="5" fillId="3" borderId="18" xfId="0" applyFont="1" applyFill="1" applyBorder="1" applyAlignment="1">
      <alignment horizontal="center" vertical="center" wrapText="1" readingOrder="1"/>
    </xf>
    <xf numFmtId="0" fontId="5" fillId="3" borderId="19" xfId="0" applyFont="1" applyFill="1" applyBorder="1" applyAlignment="1">
      <alignment horizontal="center" vertical="center" wrapText="1" readingOrder="1"/>
    </xf>
    <xf numFmtId="0" fontId="5" fillId="3" borderId="3" xfId="0" applyFont="1" applyFill="1" applyBorder="1" applyAlignment="1">
      <alignment horizontal="center" vertical="center" wrapText="1" readingOrder="1"/>
    </xf>
    <xf numFmtId="0" fontId="0" fillId="2" borderId="20" xfId="0" applyFill="1" applyBorder="1"/>
    <xf numFmtId="0" fontId="0" fillId="2" borderId="21" xfId="0" applyFill="1" applyBorder="1"/>
    <xf numFmtId="0" fontId="0" fillId="2" borderId="23" xfId="0" applyFill="1" applyBorder="1"/>
    <xf numFmtId="0" fontId="0" fillId="0" borderId="20" xfId="0" applyBorder="1"/>
    <xf numFmtId="0" fontId="0" fillId="0" borderId="22" xfId="0" applyBorder="1"/>
    <xf numFmtId="3" fontId="0" fillId="0" borderId="2" xfId="0" applyNumberFormat="1" applyBorder="1"/>
    <xf numFmtId="0" fontId="0" fillId="4" borderId="0" xfId="0" applyFill="1"/>
    <xf numFmtId="0" fontId="8" fillId="4" borderId="0" xfId="0" applyFont="1" applyFill="1" applyAlignment="1">
      <alignment vertical="center"/>
    </xf>
    <xf numFmtId="0" fontId="7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6" fillId="4" borderId="0" xfId="0" applyFont="1" applyFill="1"/>
    <xf numFmtId="0" fontId="7" fillId="4" borderId="0" xfId="0" applyFont="1" applyFill="1"/>
    <xf numFmtId="0" fontId="7" fillId="4" borderId="0" xfId="0" quotePrefix="1" applyFont="1" applyFill="1" applyAlignment="1">
      <alignment horizontal="center"/>
    </xf>
    <xf numFmtId="9" fontId="0" fillId="0" borderId="0" xfId="4" applyFont="1"/>
    <xf numFmtId="16" fontId="0" fillId="0" borderId="0" xfId="0" applyNumberFormat="1"/>
    <xf numFmtId="44" fontId="0" fillId="0" borderId="0" xfId="0" applyNumberFormat="1"/>
    <xf numFmtId="164" fontId="0" fillId="5" borderId="11" xfId="2" applyFont="1" applyFill="1" applyBorder="1" applyAlignment="1">
      <alignment horizontal="center"/>
    </xf>
    <xf numFmtId="164" fontId="0" fillId="5" borderId="12" xfId="2" applyFont="1" applyFill="1" applyBorder="1" applyAlignment="1">
      <alignment horizontal="center"/>
    </xf>
    <xf numFmtId="164" fontId="0" fillId="5" borderId="13" xfId="2" applyFont="1" applyFill="1" applyBorder="1" applyAlignment="1">
      <alignment horizontal="center"/>
    </xf>
    <xf numFmtId="0" fontId="5" fillId="6" borderId="19" xfId="0" applyFont="1" applyFill="1" applyBorder="1" applyAlignment="1">
      <alignment horizontal="center" vertical="center" wrapText="1" readingOrder="1"/>
    </xf>
    <xf numFmtId="9" fontId="0" fillId="5" borderId="11" xfId="4" applyFont="1" applyFill="1" applyBorder="1" applyAlignment="1">
      <alignment horizontal="center"/>
    </xf>
    <xf numFmtId="9" fontId="0" fillId="5" borderId="11" xfId="2" applyNumberFormat="1" applyFont="1" applyFill="1" applyBorder="1" applyAlignment="1">
      <alignment horizontal="center"/>
    </xf>
    <xf numFmtId="9" fontId="0" fillId="5" borderId="15" xfId="4" applyFont="1" applyFill="1" applyBorder="1" applyAlignment="1">
      <alignment horizontal="center"/>
    </xf>
    <xf numFmtId="9" fontId="0" fillId="5" borderId="15" xfId="2" applyNumberFormat="1" applyFont="1" applyFill="1" applyBorder="1" applyAlignment="1">
      <alignment horizontal="center"/>
    </xf>
    <xf numFmtId="9" fontId="0" fillId="5" borderId="21" xfId="4" applyFont="1" applyFill="1" applyBorder="1" applyAlignment="1">
      <alignment horizontal="center"/>
    </xf>
    <xf numFmtId="9" fontId="0" fillId="5" borderId="12" xfId="2" applyNumberFormat="1" applyFont="1" applyFill="1" applyBorder="1" applyAlignment="1">
      <alignment horizontal="center"/>
    </xf>
    <xf numFmtId="9" fontId="0" fillId="5" borderId="12" xfId="4" applyFont="1" applyFill="1" applyBorder="1" applyAlignment="1">
      <alignment horizontal="center"/>
    </xf>
    <xf numFmtId="9" fontId="0" fillId="5" borderId="13" xfId="4" applyFont="1" applyFill="1" applyBorder="1" applyAlignment="1">
      <alignment horizontal="center"/>
    </xf>
    <xf numFmtId="166" fontId="0" fillId="5" borderId="12" xfId="0" applyNumberFormat="1" applyFill="1" applyBorder="1" applyAlignment="1">
      <alignment horizontal="center"/>
    </xf>
    <xf numFmtId="9" fontId="0" fillId="5" borderId="12" xfId="0" applyNumberFormat="1" applyFill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  <xf numFmtId="9" fontId="0" fillId="5" borderId="16" xfId="4" applyFont="1" applyFill="1" applyBorder="1" applyAlignment="1">
      <alignment horizontal="center"/>
    </xf>
    <xf numFmtId="166" fontId="0" fillId="5" borderId="16" xfId="0" applyNumberFormat="1" applyFill="1" applyBorder="1" applyAlignment="1">
      <alignment horizontal="center"/>
    </xf>
    <xf numFmtId="9" fontId="0" fillId="5" borderId="13" xfId="0" applyNumberFormat="1" applyFill="1" applyBorder="1" applyAlignment="1">
      <alignment horizontal="center"/>
    </xf>
    <xf numFmtId="164" fontId="0" fillId="5" borderId="13" xfId="0" applyNumberFormat="1" applyFill="1" applyBorder="1" applyAlignment="1">
      <alignment horizontal="center"/>
    </xf>
    <xf numFmtId="9" fontId="0" fillId="5" borderId="21" xfId="0" applyNumberFormat="1" applyFill="1" applyBorder="1" applyAlignment="1">
      <alignment horizontal="center"/>
    </xf>
    <xf numFmtId="9" fontId="0" fillId="5" borderId="21" xfId="2" applyNumberFormat="1" applyFont="1" applyFill="1" applyBorder="1" applyAlignment="1">
      <alignment horizontal="center"/>
    </xf>
    <xf numFmtId="9" fontId="0" fillId="5" borderId="22" xfId="2" applyNumberFormat="1" applyFont="1" applyFill="1" applyBorder="1" applyAlignment="1">
      <alignment horizontal="center"/>
    </xf>
    <xf numFmtId="9" fontId="0" fillId="5" borderId="13" xfId="2" applyNumberFormat="1" applyFont="1" applyFill="1" applyBorder="1" applyAlignment="1">
      <alignment horizontal="center"/>
    </xf>
    <xf numFmtId="9" fontId="0" fillId="5" borderId="20" xfId="4" applyFont="1" applyFill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8" borderId="0" xfId="0" applyFill="1"/>
    <xf numFmtId="4" fontId="0" fillId="0" borderId="0" xfId="0" applyNumberFormat="1"/>
    <xf numFmtId="3" fontId="0" fillId="0" borderId="0" xfId="0" applyNumberFormat="1" applyAlignment="1">
      <alignment horizontal="center"/>
    </xf>
    <xf numFmtId="14" fontId="0" fillId="0" borderId="0" xfId="0" applyNumberFormat="1" applyAlignment="1">
      <alignment horizontal="left"/>
    </xf>
    <xf numFmtId="14" fontId="0" fillId="0" borderId="0" xfId="0" applyNumberFormat="1"/>
    <xf numFmtId="0" fontId="12" fillId="7" borderId="24" xfId="0" applyFont="1" applyFill="1" applyBorder="1" applyAlignment="1">
      <alignment horizontal="center" vertical="center"/>
    </xf>
    <xf numFmtId="14" fontId="12" fillId="7" borderId="24" xfId="0" applyNumberFormat="1" applyFont="1" applyFill="1" applyBorder="1" applyAlignment="1">
      <alignment horizontal="center" vertical="center"/>
    </xf>
    <xf numFmtId="9" fontId="0" fillId="8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9" fontId="0" fillId="0" borderId="0" xfId="4" applyFont="1" applyFill="1" applyAlignment="1">
      <alignment horizontal="left"/>
    </xf>
    <xf numFmtId="0" fontId="0" fillId="2" borderId="0" xfId="0" applyFill="1" applyAlignment="1">
      <alignment horizontal="center"/>
    </xf>
    <xf numFmtId="9" fontId="0" fillId="8" borderId="0" xfId="4" applyFont="1" applyFill="1" applyAlignment="1">
      <alignment horizontal="left" vertical="center"/>
    </xf>
    <xf numFmtId="4" fontId="0" fillId="2" borderId="0" xfId="0" applyNumberFormat="1" applyFill="1"/>
    <xf numFmtId="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left"/>
    </xf>
    <xf numFmtId="167" fontId="0" fillId="2" borderId="0" xfId="0" applyNumberFormat="1" applyFill="1" applyAlignment="1">
      <alignment horizontal="left"/>
    </xf>
    <xf numFmtId="9" fontId="0" fillId="2" borderId="0" xfId="4" applyFont="1" applyFill="1" applyAlignment="1">
      <alignment horizontal="center"/>
    </xf>
    <xf numFmtId="14" fontId="0" fillId="2" borderId="0" xfId="0" applyNumberFormat="1" applyFill="1" applyAlignment="1">
      <alignment horizontal="left"/>
    </xf>
    <xf numFmtId="14" fontId="0" fillId="2" borderId="0" xfId="0" applyNumberFormat="1" applyFill="1"/>
    <xf numFmtId="0" fontId="12" fillId="7" borderId="24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8" borderId="0" xfId="4" applyNumberFormat="1" applyFont="1" applyFill="1" applyAlignment="1">
      <alignment horizontal="center" vertical="center"/>
    </xf>
  </cellXfs>
  <cellStyles count="7">
    <cellStyle name="Comma [0]" xfId="1" builtinId="6"/>
    <cellStyle name="Currency [0]" xfId="2" builtinId="7"/>
    <cellStyle name="Millares [0] 2" xfId="5" xr:uid="{86C0DACF-0B00-4D0D-AAA8-56F9985121BE}"/>
    <cellStyle name="Moneda [0] 2" xfId="6" xr:uid="{27EC6B45-B5C8-400D-A0EC-93211FB71790}"/>
    <cellStyle name="Normal" xfId="0" builtinId="0"/>
    <cellStyle name="Normal 2 2" xfId="3" xr:uid="{9677E618-02C5-40FB-B099-EBE7727D9AED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FF0FF-EC5D-4C38-8E29-FE5A4937801B}">
  <dimension ref="B1:J36"/>
  <sheetViews>
    <sheetView showGridLines="0" workbookViewId="0">
      <selection activeCell="B3" sqref="B3"/>
    </sheetView>
  </sheetViews>
  <sheetFormatPr defaultColWidth="9.140625" defaultRowHeight="15"/>
  <cols>
    <col min="1" max="1" width="2.85546875" customWidth="1"/>
    <col min="2" max="2" width="7.7109375" customWidth="1"/>
    <col min="3" max="3" width="46.7109375" bestFit="1" customWidth="1"/>
    <col min="4" max="4" width="10.5703125" bestFit="1" customWidth="1"/>
    <col min="5" max="5" width="51.140625" bestFit="1" customWidth="1"/>
    <col min="6" max="8" width="9.42578125" customWidth="1"/>
  </cols>
  <sheetData>
    <row r="1" spans="2:10" s="56" customFormat="1" ht="55.5" customHeight="1">
      <c r="B1" s="57" t="s">
        <v>58</v>
      </c>
      <c r="C1" s="58"/>
      <c r="D1" s="58" t="s">
        <v>59</v>
      </c>
      <c r="E1" s="59"/>
      <c r="I1" s="58" t="s">
        <v>59</v>
      </c>
    </row>
    <row r="3" spans="2:10">
      <c r="B3" s="63" t="s">
        <v>61</v>
      </c>
      <c r="C3" s="61" t="s">
        <v>60</v>
      </c>
      <c r="D3" s="62" t="s">
        <v>10</v>
      </c>
      <c r="E3" s="62" t="s">
        <v>11</v>
      </c>
      <c r="F3" s="62" t="s">
        <v>12</v>
      </c>
      <c r="G3" s="62" t="s">
        <v>13</v>
      </c>
      <c r="H3" s="62" t="s">
        <v>53</v>
      </c>
      <c r="I3" s="62"/>
      <c r="J3" s="62"/>
    </row>
    <row r="4" spans="2:10">
      <c r="B4" s="60">
        <v>1</v>
      </c>
      <c r="C4" t="s">
        <v>45</v>
      </c>
      <c r="D4" t="s">
        <v>5</v>
      </c>
      <c r="E4" t="s">
        <v>15</v>
      </c>
      <c r="F4" t="s">
        <v>0</v>
      </c>
      <c r="G4">
        <v>750</v>
      </c>
      <c r="H4">
        <v>178.94400040594263</v>
      </c>
    </row>
    <row r="5" spans="2:10">
      <c r="B5" s="60">
        <v>2</v>
      </c>
      <c r="C5" t="s">
        <v>6</v>
      </c>
      <c r="D5" t="s">
        <v>5</v>
      </c>
      <c r="E5" t="s">
        <v>32</v>
      </c>
      <c r="F5" t="s">
        <v>0</v>
      </c>
      <c r="G5">
        <v>400</v>
      </c>
      <c r="H5">
        <v>137.42799600000001</v>
      </c>
    </row>
    <row r="6" spans="2:10">
      <c r="B6" s="60">
        <v>3</v>
      </c>
      <c r="C6" t="s">
        <v>6</v>
      </c>
      <c r="D6" t="s">
        <v>5</v>
      </c>
      <c r="E6" t="s">
        <v>37</v>
      </c>
      <c r="F6" t="s">
        <v>3</v>
      </c>
      <c r="G6">
        <v>192</v>
      </c>
      <c r="H6">
        <v>86.322323999999995</v>
      </c>
    </row>
    <row r="7" spans="2:10">
      <c r="B7" s="60">
        <v>4</v>
      </c>
      <c r="C7" t="s">
        <v>6</v>
      </c>
      <c r="D7" t="s">
        <v>5</v>
      </c>
      <c r="E7" t="s">
        <v>40</v>
      </c>
      <c r="F7" t="s">
        <v>0</v>
      </c>
      <c r="G7">
        <v>120</v>
      </c>
      <c r="H7">
        <v>33.273359999999997</v>
      </c>
    </row>
    <row r="8" spans="2:10">
      <c r="B8" s="60">
        <v>5</v>
      </c>
      <c r="C8" t="s">
        <v>6</v>
      </c>
      <c r="D8" t="s">
        <v>5</v>
      </c>
      <c r="E8" t="s">
        <v>18</v>
      </c>
      <c r="F8" t="s">
        <v>0</v>
      </c>
      <c r="G8">
        <v>100</v>
      </c>
      <c r="H8">
        <v>28.807413231206656</v>
      </c>
    </row>
    <row r="9" spans="2:10">
      <c r="B9" s="60">
        <v>6</v>
      </c>
      <c r="C9" t="s">
        <v>6</v>
      </c>
      <c r="D9" t="s">
        <v>5</v>
      </c>
      <c r="E9" t="s">
        <v>44</v>
      </c>
      <c r="F9" t="s">
        <v>2</v>
      </c>
      <c r="G9">
        <v>40</v>
      </c>
      <c r="H9">
        <v>9.7527000000000008</v>
      </c>
    </row>
    <row r="10" spans="2:10">
      <c r="B10" s="60">
        <v>7</v>
      </c>
      <c r="C10" t="s">
        <v>46</v>
      </c>
      <c r="D10" t="s">
        <v>5</v>
      </c>
      <c r="E10" t="s">
        <v>22</v>
      </c>
      <c r="F10" t="s">
        <v>2</v>
      </c>
      <c r="G10">
        <v>500</v>
      </c>
      <c r="H10">
        <v>120.27457415261097</v>
      </c>
    </row>
    <row r="11" spans="2:10">
      <c r="B11" s="60">
        <v>8</v>
      </c>
      <c r="C11" t="s">
        <v>46</v>
      </c>
      <c r="D11" t="s">
        <v>5</v>
      </c>
      <c r="E11" t="s">
        <v>19</v>
      </c>
      <c r="F11" t="s">
        <v>1</v>
      </c>
      <c r="G11">
        <v>400</v>
      </c>
      <c r="H11">
        <v>27.369003540057353</v>
      </c>
    </row>
    <row r="12" spans="2:10">
      <c r="B12" s="60">
        <v>9</v>
      </c>
      <c r="C12" t="s">
        <v>7</v>
      </c>
      <c r="D12" t="s">
        <v>5</v>
      </c>
      <c r="E12" t="s">
        <v>41</v>
      </c>
      <c r="F12" t="s">
        <v>2</v>
      </c>
      <c r="G12">
        <v>250</v>
      </c>
      <c r="H12">
        <v>168.26991000000001</v>
      </c>
    </row>
    <row r="13" spans="2:10">
      <c r="B13" s="60">
        <v>10</v>
      </c>
      <c r="C13" t="s">
        <v>7</v>
      </c>
      <c r="D13" t="s">
        <v>5</v>
      </c>
      <c r="E13" t="s">
        <v>20</v>
      </c>
      <c r="F13" t="s">
        <v>0</v>
      </c>
      <c r="G13">
        <v>150</v>
      </c>
      <c r="H13">
        <v>30.211391444934524</v>
      </c>
    </row>
    <row r="14" spans="2:10">
      <c r="B14" s="60">
        <v>11</v>
      </c>
      <c r="C14" t="s">
        <v>55</v>
      </c>
      <c r="D14" t="s">
        <v>5</v>
      </c>
      <c r="E14" t="s">
        <v>27</v>
      </c>
      <c r="F14" t="s">
        <v>2</v>
      </c>
      <c r="G14">
        <v>1500</v>
      </c>
      <c r="H14">
        <v>524.89173836940301</v>
      </c>
    </row>
    <row r="15" spans="2:10">
      <c r="B15" s="60">
        <v>12</v>
      </c>
      <c r="C15" t="s">
        <v>54</v>
      </c>
      <c r="D15" t="s">
        <v>5</v>
      </c>
      <c r="E15" t="s">
        <v>25</v>
      </c>
      <c r="F15" t="s">
        <v>3</v>
      </c>
      <c r="G15">
        <v>1500</v>
      </c>
      <c r="H15">
        <v>164.50513398430169</v>
      </c>
    </row>
    <row r="16" spans="2:10">
      <c r="B16" s="60">
        <v>13</v>
      </c>
      <c r="C16" t="s">
        <v>48</v>
      </c>
      <c r="D16" t="s">
        <v>5</v>
      </c>
      <c r="E16" t="s">
        <v>31</v>
      </c>
      <c r="F16" t="s">
        <v>0</v>
      </c>
      <c r="G16">
        <v>800</v>
      </c>
      <c r="H16">
        <v>251.172128265597</v>
      </c>
    </row>
    <row r="17" spans="2:8">
      <c r="B17" s="60">
        <v>14</v>
      </c>
      <c r="C17" t="s">
        <v>50</v>
      </c>
      <c r="D17" t="s">
        <v>5</v>
      </c>
      <c r="E17" t="s">
        <v>28</v>
      </c>
      <c r="F17" t="s">
        <v>2</v>
      </c>
      <c r="G17">
        <v>500</v>
      </c>
      <c r="H17">
        <v>135.35907349295027</v>
      </c>
    </row>
    <row r="18" spans="2:8">
      <c r="B18" s="60">
        <v>15</v>
      </c>
      <c r="C18" t="s">
        <v>54</v>
      </c>
      <c r="D18" t="s">
        <v>5</v>
      </c>
      <c r="E18" t="s">
        <v>21</v>
      </c>
      <c r="F18" t="s">
        <v>2</v>
      </c>
      <c r="G18">
        <v>500</v>
      </c>
      <c r="H18">
        <v>103.64419802042075</v>
      </c>
    </row>
    <row r="19" spans="2:8">
      <c r="B19" s="60">
        <v>16</v>
      </c>
      <c r="C19" t="s">
        <v>48</v>
      </c>
      <c r="D19" t="s">
        <v>5</v>
      </c>
      <c r="E19" t="s">
        <v>33</v>
      </c>
      <c r="F19" t="s">
        <v>0</v>
      </c>
      <c r="G19">
        <v>400</v>
      </c>
      <c r="H19">
        <v>103.64</v>
      </c>
    </row>
    <row r="20" spans="2:8">
      <c r="B20" s="60">
        <v>17</v>
      </c>
      <c r="C20" t="s">
        <v>48</v>
      </c>
      <c r="D20" t="s">
        <v>5</v>
      </c>
      <c r="E20" t="s">
        <v>30</v>
      </c>
      <c r="F20" t="s">
        <v>0</v>
      </c>
      <c r="G20">
        <v>350</v>
      </c>
      <c r="H20">
        <v>183.422359398976</v>
      </c>
    </row>
    <row r="21" spans="2:8">
      <c r="B21" s="60">
        <v>18</v>
      </c>
      <c r="C21" t="s">
        <v>51</v>
      </c>
      <c r="D21" t="s">
        <v>5</v>
      </c>
      <c r="E21" t="s">
        <v>26</v>
      </c>
      <c r="F21" t="s">
        <v>3</v>
      </c>
      <c r="G21">
        <v>300</v>
      </c>
      <c r="H21">
        <v>87.702105538540494</v>
      </c>
    </row>
    <row r="22" spans="2:8">
      <c r="B22" s="60">
        <v>19</v>
      </c>
      <c r="C22" t="s">
        <v>48</v>
      </c>
      <c r="D22" t="s">
        <v>5</v>
      </c>
      <c r="E22" t="s">
        <v>38</v>
      </c>
      <c r="F22" t="s">
        <v>0</v>
      </c>
      <c r="G22">
        <v>200</v>
      </c>
      <c r="H22">
        <v>70.298004000000006</v>
      </c>
    </row>
    <row r="23" spans="2:8">
      <c r="B23" s="60">
        <v>20</v>
      </c>
      <c r="C23" t="s">
        <v>48</v>
      </c>
      <c r="D23" t="s">
        <v>5</v>
      </c>
      <c r="E23" t="s">
        <v>52</v>
      </c>
      <c r="F23" t="s">
        <v>2</v>
      </c>
      <c r="G23">
        <v>200</v>
      </c>
      <c r="H23">
        <v>58.033197221079618</v>
      </c>
    </row>
    <row r="24" spans="2:8">
      <c r="B24" s="60">
        <v>21</v>
      </c>
      <c r="C24" t="s">
        <v>48</v>
      </c>
      <c r="D24" t="s">
        <v>5</v>
      </c>
      <c r="E24" t="s">
        <v>16</v>
      </c>
      <c r="F24" t="s">
        <v>2</v>
      </c>
      <c r="G24">
        <v>60</v>
      </c>
      <c r="H24">
        <v>14.508299305269905</v>
      </c>
    </row>
    <row r="25" spans="2:8">
      <c r="B25" s="60">
        <v>22</v>
      </c>
      <c r="C25" t="s">
        <v>48</v>
      </c>
      <c r="D25" t="s">
        <v>5</v>
      </c>
      <c r="E25" t="s">
        <v>14</v>
      </c>
      <c r="F25" t="s">
        <v>0</v>
      </c>
      <c r="G25">
        <v>60</v>
      </c>
      <c r="H25">
        <v>14.976860355912727</v>
      </c>
    </row>
    <row r="26" spans="2:8">
      <c r="B26" s="60">
        <v>23</v>
      </c>
      <c r="C26" t="s">
        <v>48</v>
      </c>
      <c r="D26" t="s">
        <v>5</v>
      </c>
      <c r="E26" t="s">
        <v>17</v>
      </c>
      <c r="F26" t="s">
        <v>3</v>
      </c>
      <c r="G26">
        <v>50</v>
      </c>
      <c r="H26">
        <v>17.574497999999998</v>
      </c>
    </row>
    <row r="27" spans="2:8">
      <c r="B27" s="60">
        <v>24</v>
      </c>
      <c r="C27" t="s">
        <v>43</v>
      </c>
      <c r="D27" t="s">
        <v>5</v>
      </c>
      <c r="E27" t="s">
        <v>24</v>
      </c>
      <c r="F27" t="s">
        <v>2</v>
      </c>
      <c r="G27">
        <v>1800</v>
      </c>
      <c r="H27">
        <v>273.21252032788436</v>
      </c>
    </row>
    <row r="28" spans="2:8">
      <c r="B28" s="60">
        <v>25</v>
      </c>
      <c r="C28" t="s">
        <v>43</v>
      </c>
      <c r="D28" t="s">
        <v>5</v>
      </c>
      <c r="E28" t="s">
        <v>47</v>
      </c>
      <c r="F28" t="s">
        <v>2</v>
      </c>
      <c r="G28">
        <v>1000</v>
      </c>
      <c r="H28">
        <v>147</v>
      </c>
    </row>
    <row r="29" spans="2:8">
      <c r="B29" s="60">
        <v>26</v>
      </c>
      <c r="C29" t="s">
        <v>43</v>
      </c>
      <c r="D29" t="s">
        <v>5</v>
      </c>
      <c r="E29" t="s">
        <v>36</v>
      </c>
      <c r="F29" t="s">
        <v>2</v>
      </c>
      <c r="G29">
        <v>800</v>
      </c>
      <c r="H29">
        <v>93.823611111111106</v>
      </c>
    </row>
    <row r="30" spans="2:8">
      <c r="B30" s="60">
        <v>27</v>
      </c>
      <c r="C30" t="s">
        <v>43</v>
      </c>
      <c r="D30" t="s">
        <v>5</v>
      </c>
      <c r="E30" t="s">
        <v>35</v>
      </c>
      <c r="F30" t="s">
        <v>2</v>
      </c>
      <c r="G30">
        <v>700</v>
      </c>
      <c r="H30">
        <v>93.823611111111106</v>
      </c>
    </row>
    <row r="31" spans="2:8">
      <c r="B31" s="60">
        <v>28</v>
      </c>
      <c r="C31" t="s">
        <v>43</v>
      </c>
      <c r="D31" t="s">
        <v>5</v>
      </c>
      <c r="E31" t="s">
        <v>23</v>
      </c>
      <c r="F31" t="s">
        <v>2</v>
      </c>
      <c r="G31">
        <v>550</v>
      </c>
      <c r="H31">
        <v>148.78511915803711</v>
      </c>
    </row>
    <row r="32" spans="2:8">
      <c r="B32" s="60">
        <v>29</v>
      </c>
      <c r="C32" t="s">
        <v>43</v>
      </c>
      <c r="D32" t="s">
        <v>5</v>
      </c>
      <c r="E32" t="s">
        <v>57</v>
      </c>
      <c r="F32" t="s">
        <v>2</v>
      </c>
      <c r="G32">
        <v>500</v>
      </c>
      <c r="H32">
        <v>396</v>
      </c>
    </row>
    <row r="33" spans="2:8">
      <c r="B33" s="60">
        <v>30</v>
      </c>
      <c r="C33" t="s">
        <v>43</v>
      </c>
      <c r="D33" t="s">
        <v>5</v>
      </c>
      <c r="E33" t="s">
        <v>29</v>
      </c>
      <c r="F33" t="s">
        <v>1</v>
      </c>
      <c r="G33">
        <v>500</v>
      </c>
      <c r="H33">
        <v>113.877725907517</v>
      </c>
    </row>
    <row r="34" spans="2:8">
      <c r="B34" s="60">
        <v>31</v>
      </c>
      <c r="C34" t="s">
        <v>43</v>
      </c>
      <c r="D34" t="s">
        <v>5</v>
      </c>
      <c r="E34" t="s">
        <v>34</v>
      </c>
      <c r="F34" t="s">
        <v>2</v>
      </c>
      <c r="G34">
        <v>500</v>
      </c>
      <c r="H34">
        <v>93.823611111111106</v>
      </c>
    </row>
    <row r="35" spans="2:8">
      <c r="B35" s="60">
        <v>32</v>
      </c>
      <c r="C35" t="s">
        <v>43</v>
      </c>
      <c r="D35" t="s">
        <v>5</v>
      </c>
      <c r="E35" t="s">
        <v>39</v>
      </c>
      <c r="F35" t="s">
        <v>2</v>
      </c>
      <c r="G35">
        <v>470.58823529411768</v>
      </c>
      <c r="H35">
        <v>45.529411764705884</v>
      </c>
    </row>
    <row r="36" spans="2:8">
      <c r="B36" s="60">
        <v>33</v>
      </c>
      <c r="C36" t="s">
        <v>43</v>
      </c>
      <c r="D36" t="s">
        <v>5</v>
      </c>
      <c r="E36" t="s">
        <v>49</v>
      </c>
      <c r="F36" t="s">
        <v>0</v>
      </c>
      <c r="G36">
        <v>400</v>
      </c>
      <c r="H36">
        <v>136.98578302559801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D295-29FE-4F41-BB5F-FBD1C44EEB0F}">
  <dimension ref="B1:U34"/>
  <sheetViews>
    <sheetView topLeftCell="D8" zoomScale="80" zoomScaleNormal="80" workbookViewId="0">
      <selection activeCell="E21" sqref="E21"/>
    </sheetView>
  </sheetViews>
  <sheetFormatPr defaultColWidth="11.42578125" defaultRowHeight="15"/>
  <cols>
    <col min="1" max="1" width="2.7109375" customWidth="1"/>
    <col min="3" max="3" width="50.140625" customWidth="1"/>
    <col min="4" max="4" width="13.7109375" customWidth="1"/>
    <col min="5" max="5" width="53.140625" customWidth="1"/>
    <col min="6" max="6" width="18.28515625" bestFit="1" customWidth="1"/>
    <col min="7" max="7" width="14.42578125" customWidth="1"/>
    <col min="8" max="12" width="22.42578125" customWidth="1"/>
    <col min="13" max="13" width="4.140625" customWidth="1"/>
    <col min="14" max="14" width="30.5703125" customWidth="1"/>
    <col min="17" max="17" width="18" customWidth="1"/>
    <col min="18" max="18" width="23.85546875" customWidth="1"/>
    <col min="19" max="19" width="28.140625" bestFit="1" customWidth="1"/>
  </cols>
  <sheetData>
    <row r="1" spans="2:19" s="6" customFormat="1" ht="81" customHeight="1" thickBot="1">
      <c r="B1" s="46" t="s">
        <v>9</v>
      </c>
      <c r="C1" s="49" t="s">
        <v>8</v>
      </c>
      <c r="D1" s="47" t="s">
        <v>10</v>
      </c>
      <c r="E1" s="49" t="s">
        <v>11</v>
      </c>
      <c r="F1" s="47" t="s">
        <v>12</v>
      </c>
      <c r="G1" s="49" t="s">
        <v>13</v>
      </c>
      <c r="H1" s="48" t="s">
        <v>53</v>
      </c>
      <c r="I1" s="70" t="s">
        <v>69</v>
      </c>
      <c r="J1" s="70" t="s">
        <v>71</v>
      </c>
      <c r="K1" s="70" t="s">
        <v>70</v>
      </c>
      <c r="L1" s="70" t="s">
        <v>72</v>
      </c>
      <c r="N1" s="49" t="s">
        <v>56</v>
      </c>
    </row>
    <row r="2" spans="2:19" ht="21.75" thickBot="1">
      <c r="B2" s="12">
        <v>1</v>
      </c>
      <c r="C2" s="13" t="s">
        <v>45</v>
      </c>
      <c r="D2" s="14" t="s">
        <v>5</v>
      </c>
      <c r="E2" s="15" t="s">
        <v>15</v>
      </c>
      <c r="F2" s="16" t="s">
        <v>0</v>
      </c>
      <c r="G2" s="17">
        <v>750</v>
      </c>
      <c r="H2" s="45">
        <v>178.94400040594263</v>
      </c>
      <c r="I2" s="82">
        <v>0.88</v>
      </c>
      <c r="J2" s="82">
        <v>0.12</v>
      </c>
      <c r="K2" s="83"/>
      <c r="L2" s="83"/>
      <c r="N2" s="50" t="s">
        <v>4</v>
      </c>
    </row>
    <row r="3" spans="2:19" ht="18" customHeight="1">
      <c r="B3" s="19">
        <f>B2+1</f>
        <v>2</v>
      </c>
      <c r="C3" s="20" t="s">
        <v>6</v>
      </c>
      <c r="D3" s="21" t="s">
        <v>5</v>
      </c>
      <c r="E3" s="22" t="s">
        <v>32</v>
      </c>
      <c r="F3" s="23" t="s">
        <v>0</v>
      </c>
      <c r="G3" s="24">
        <v>400</v>
      </c>
      <c r="H3" s="32">
        <f>12*11452333/1000000</f>
        <v>137.42799600000001</v>
      </c>
      <c r="I3" s="71">
        <f>72%</f>
        <v>0.72</v>
      </c>
      <c r="J3" s="72">
        <v>0.1</v>
      </c>
      <c r="K3" s="72">
        <v>0</v>
      </c>
      <c r="L3" s="72">
        <v>0.18</v>
      </c>
      <c r="N3" s="51" t="s">
        <v>45</v>
      </c>
    </row>
    <row r="4" spans="2:19" ht="18" customHeight="1">
      <c r="B4" s="25">
        <f t="shared" ref="B4:B34" si="0">B3+1</f>
        <v>3</v>
      </c>
      <c r="C4" s="4" t="s">
        <v>6</v>
      </c>
      <c r="D4" s="8" t="s">
        <v>5</v>
      </c>
      <c r="E4" s="1" t="s">
        <v>37</v>
      </c>
      <c r="F4" s="2" t="s">
        <v>3</v>
      </c>
      <c r="G4" s="5">
        <v>192</v>
      </c>
      <c r="H4" s="33">
        <f>12*7193527/1000000</f>
        <v>86.322323999999995</v>
      </c>
      <c r="I4" s="87">
        <v>0.7</v>
      </c>
      <c r="J4" s="76">
        <v>0.12</v>
      </c>
      <c r="K4" s="68"/>
      <c r="L4" s="76">
        <v>0.18</v>
      </c>
      <c r="N4" s="51" t="s">
        <v>6</v>
      </c>
    </row>
    <row r="5" spans="2:19" ht="21">
      <c r="B5" s="25">
        <f t="shared" si="0"/>
        <v>4</v>
      </c>
      <c r="C5" s="4" t="s">
        <v>6</v>
      </c>
      <c r="D5" s="8" t="s">
        <v>5</v>
      </c>
      <c r="E5" s="1" t="s">
        <v>40</v>
      </c>
      <c r="F5" s="2" t="s">
        <v>0</v>
      </c>
      <c r="G5" s="5">
        <v>120</v>
      </c>
      <c r="H5" s="33">
        <f>12*2772780/1000000</f>
        <v>33.273359999999997</v>
      </c>
      <c r="I5" s="87">
        <v>0.7</v>
      </c>
      <c r="J5" s="76">
        <v>0.12</v>
      </c>
      <c r="K5" s="68"/>
      <c r="L5" s="76">
        <v>0.18</v>
      </c>
      <c r="N5" s="51" t="s">
        <v>46</v>
      </c>
    </row>
    <row r="6" spans="2:19" ht="18" customHeight="1" thickBot="1">
      <c r="B6" s="25">
        <f t="shared" si="0"/>
        <v>5</v>
      </c>
      <c r="C6" s="4" t="s">
        <v>6</v>
      </c>
      <c r="D6" s="8" t="s">
        <v>5</v>
      </c>
      <c r="E6" s="1" t="s">
        <v>18</v>
      </c>
      <c r="F6" s="2" t="s">
        <v>0</v>
      </c>
      <c r="G6" s="7">
        <v>100</v>
      </c>
      <c r="H6" s="34">
        <v>28.807413231206656</v>
      </c>
      <c r="I6" s="75">
        <f>72%</f>
        <v>0.72</v>
      </c>
      <c r="J6" s="76">
        <v>0.1</v>
      </c>
      <c r="K6" s="76">
        <v>0</v>
      </c>
      <c r="L6" s="76">
        <v>0.18</v>
      </c>
      <c r="N6" s="52" t="s">
        <v>7</v>
      </c>
    </row>
    <row r="7" spans="2:19" ht="18" customHeight="1" thickBot="1">
      <c r="B7" s="26">
        <f t="shared" si="0"/>
        <v>6</v>
      </c>
      <c r="C7" s="27" t="s">
        <v>6</v>
      </c>
      <c r="D7" s="28" t="s">
        <v>5</v>
      </c>
      <c r="E7" s="29" t="s">
        <v>73</v>
      </c>
      <c r="F7" s="30" t="s">
        <v>2</v>
      </c>
      <c r="G7" s="31">
        <v>40</v>
      </c>
      <c r="H7" s="35">
        <f>12*812725/1000000</f>
        <v>9.7527000000000008</v>
      </c>
      <c r="I7" s="73">
        <v>0.79</v>
      </c>
      <c r="J7" s="74">
        <v>0.11</v>
      </c>
      <c r="K7" s="74">
        <v>0</v>
      </c>
      <c r="L7" s="74">
        <v>0.1</v>
      </c>
      <c r="N7" s="53" t="s">
        <v>42</v>
      </c>
    </row>
    <row r="8" spans="2:19" ht="15.75" customHeight="1" thickBot="1">
      <c r="B8" s="19">
        <f t="shared" si="0"/>
        <v>7</v>
      </c>
      <c r="C8" s="20" t="s">
        <v>46</v>
      </c>
      <c r="D8" s="21" t="s">
        <v>5</v>
      </c>
      <c r="E8" s="22" t="s">
        <v>22</v>
      </c>
      <c r="F8" s="23" t="s">
        <v>2</v>
      </c>
      <c r="G8" s="36">
        <v>500</v>
      </c>
      <c r="H8" s="38">
        <v>120.27457415261097</v>
      </c>
      <c r="I8" s="71">
        <v>0.76</v>
      </c>
      <c r="J8" s="71">
        <v>0.2</v>
      </c>
      <c r="K8" s="71"/>
      <c r="L8" s="71">
        <v>0.04</v>
      </c>
      <c r="N8" s="54" t="s">
        <v>43</v>
      </c>
    </row>
    <row r="9" spans="2:19" ht="15.75" customHeight="1" thickBot="1">
      <c r="B9" s="26">
        <f t="shared" si="0"/>
        <v>8</v>
      </c>
      <c r="C9" s="27" t="s">
        <v>46</v>
      </c>
      <c r="D9" s="28" t="s">
        <v>5</v>
      </c>
      <c r="E9" s="29" t="s">
        <v>19</v>
      </c>
      <c r="F9" s="30" t="s">
        <v>1</v>
      </c>
      <c r="G9" s="37">
        <v>400</v>
      </c>
      <c r="H9" s="39">
        <v>27.369003540057353</v>
      </c>
      <c r="I9" s="78">
        <v>0.73</v>
      </c>
      <c r="J9" s="78">
        <v>0.1</v>
      </c>
      <c r="K9" s="78"/>
      <c r="L9" s="78">
        <v>0.17</v>
      </c>
    </row>
    <row r="10" spans="2:19" ht="15.75" customHeight="1">
      <c r="B10" s="19">
        <f t="shared" si="0"/>
        <v>9</v>
      </c>
      <c r="C10" s="20" t="s">
        <v>7</v>
      </c>
      <c r="D10" s="21" t="s">
        <v>5</v>
      </c>
      <c r="E10" s="22" t="s">
        <v>41</v>
      </c>
      <c r="F10" s="23" t="s">
        <v>2</v>
      </c>
      <c r="G10" s="24">
        <v>250</v>
      </c>
      <c r="H10" s="32">
        <f>12*8248525*1.7/1000000</f>
        <v>168.26991000000001</v>
      </c>
      <c r="I10" s="72">
        <v>0.33</v>
      </c>
      <c r="J10" s="72">
        <v>0.41</v>
      </c>
      <c r="K10" s="67"/>
      <c r="L10" s="72">
        <v>0.26</v>
      </c>
    </row>
    <row r="11" spans="2:19" ht="15.75" customHeight="1" thickBot="1">
      <c r="B11" s="26">
        <f t="shared" si="0"/>
        <v>10</v>
      </c>
      <c r="C11" s="27" t="s">
        <v>7</v>
      </c>
      <c r="D11" s="28" t="s">
        <v>5</v>
      </c>
      <c r="E11" s="29" t="s">
        <v>20</v>
      </c>
      <c r="F11" s="30" t="s">
        <v>0</v>
      </c>
      <c r="G11" s="37">
        <v>150</v>
      </c>
      <c r="H11" s="39">
        <v>30.211391444934524</v>
      </c>
      <c r="I11" s="75">
        <f>72%</f>
        <v>0.72</v>
      </c>
      <c r="J11" s="76">
        <v>0.1</v>
      </c>
      <c r="K11" s="76">
        <v>0</v>
      </c>
      <c r="L11" s="76">
        <v>0.18</v>
      </c>
    </row>
    <row r="12" spans="2:19" ht="21">
      <c r="B12" s="19">
        <f t="shared" si="0"/>
        <v>11</v>
      </c>
      <c r="C12" s="36" t="s">
        <v>55</v>
      </c>
      <c r="D12" s="21" t="s">
        <v>5</v>
      </c>
      <c r="E12" s="22" t="s">
        <v>27</v>
      </c>
      <c r="F12" s="23" t="s">
        <v>2</v>
      </c>
      <c r="G12" s="36">
        <v>1500</v>
      </c>
      <c r="H12" s="38">
        <v>524.89173836940301</v>
      </c>
      <c r="I12" s="90">
        <v>0.82</v>
      </c>
      <c r="J12" s="71"/>
      <c r="K12" s="71"/>
      <c r="L12" s="71">
        <v>0.18</v>
      </c>
      <c r="N12" s="64">
        <f>SUM(H25:H34)/SUM(H12:H34)</f>
        <v>0.47144979051193575</v>
      </c>
    </row>
    <row r="13" spans="2:19" ht="18" customHeight="1">
      <c r="B13" s="25">
        <f t="shared" si="0"/>
        <v>12</v>
      </c>
      <c r="C13" s="7" t="s">
        <v>54</v>
      </c>
      <c r="D13" s="8" t="s">
        <v>5</v>
      </c>
      <c r="E13" s="1" t="s">
        <v>25</v>
      </c>
      <c r="F13" s="2" t="s">
        <v>3</v>
      </c>
      <c r="G13" s="7">
        <v>1500</v>
      </c>
      <c r="H13" s="34">
        <v>164.50513398430169</v>
      </c>
      <c r="I13" s="75">
        <v>0.72</v>
      </c>
      <c r="J13" s="77">
        <v>0.08</v>
      </c>
      <c r="K13" s="77"/>
      <c r="L13" s="77">
        <v>0.2</v>
      </c>
    </row>
    <row r="14" spans="2:19" ht="18" customHeight="1">
      <c r="B14" s="25">
        <f t="shared" si="0"/>
        <v>13</v>
      </c>
      <c r="C14" s="7" t="s">
        <v>48</v>
      </c>
      <c r="D14" s="8" t="s">
        <v>5</v>
      </c>
      <c r="E14" s="1" t="s">
        <v>31</v>
      </c>
      <c r="F14" s="2" t="s">
        <v>0</v>
      </c>
      <c r="G14" s="7">
        <v>800</v>
      </c>
      <c r="H14" s="41">
        <v>251.172128265597</v>
      </c>
      <c r="I14" s="86">
        <v>0.64</v>
      </c>
      <c r="J14" s="80">
        <v>0.11</v>
      </c>
      <c r="K14" s="81"/>
      <c r="L14" s="80">
        <v>0.25</v>
      </c>
      <c r="S14" t="s">
        <v>62</v>
      </c>
    </row>
    <row r="15" spans="2:19" ht="21">
      <c r="B15" s="25">
        <f t="shared" si="0"/>
        <v>14</v>
      </c>
      <c r="C15" s="7" t="s">
        <v>50</v>
      </c>
      <c r="D15" s="8" t="s">
        <v>5</v>
      </c>
      <c r="E15" s="1" t="s">
        <v>28</v>
      </c>
      <c r="F15" s="2" t="s">
        <v>2</v>
      </c>
      <c r="G15" s="7">
        <v>500</v>
      </c>
      <c r="H15" s="34">
        <v>135.35907349295027</v>
      </c>
      <c r="I15" s="75">
        <v>0.71</v>
      </c>
      <c r="J15" s="77">
        <v>0.13</v>
      </c>
      <c r="K15" s="77"/>
      <c r="L15" s="77">
        <v>0.15</v>
      </c>
    </row>
    <row r="16" spans="2:19" ht="21">
      <c r="B16" s="25">
        <f t="shared" si="0"/>
        <v>15</v>
      </c>
      <c r="C16" s="7" t="s">
        <v>54</v>
      </c>
      <c r="D16" s="8" t="s">
        <v>5</v>
      </c>
      <c r="E16" s="1" t="s">
        <v>21</v>
      </c>
      <c r="F16" s="2" t="s">
        <v>2</v>
      </c>
      <c r="G16" s="7">
        <v>500</v>
      </c>
      <c r="H16" s="34">
        <v>103.64419802042075</v>
      </c>
      <c r="I16" s="75">
        <v>0.8</v>
      </c>
      <c r="J16" s="77">
        <v>0.2</v>
      </c>
      <c r="K16" s="79"/>
      <c r="L16" s="79"/>
      <c r="S16" t="s">
        <v>63</v>
      </c>
    </row>
    <row r="17" spans="2:21" ht="21">
      <c r="B17" s="25">
        <f t="shared" si="0"/>
        <v>16</v>
      </c>
      <c r="C17" s="7" t="s">
        <v>48</v>
      </c>
      <c r="D17" s="8" t="s">
        <v>5</v>
      </c>
      <c r="E17" s="1" t="s">
        <v>33</v>
      </c>
      <c r="F17" s="9" t="s">
        <v>0</v>
      </c>
      <c r="G17" s="4">
        <v>400</v>
      </c>
      <c r="H17" s="40">
        <f>((400*700*365)+(240*1000*30%*20))/1000000</f>
        <v>103.64</v>
      </c>
      <c r="I17" s="87">
        <v>0.7</v>
      </c>
      <c r="J17" s="76">
        <v>0.12</v>
      </c>
      <c r="K17" s="68"/>
      <c r="L17" s="76">
        <v>0.18</v>
      </c>
      <c r="P17" t="s">
        <v>65</v>
      </c>
    </row>
    <row r="18" spans="2:21" ht="21">
      <c r="B18" s="25">
        <f t="shared" si="0"/>
        <v>17</v>
      </c>
      <c r="C18" s="7" t="s">
        <v>48</v>
      </c>
      <c r="D18" s="8" t="s">
        <v>5</v>
      </c>
      <c r="E18" s="1" t="s">
        <v>30</v>
      </c>
      <c r="F18" s="2" t="s">
        <v>0</v>
      </c>
      <c r="G18" s="7">
        <v>350</v>
      </c>
      <c r="H18" s="41">
        <v>183.422359398976</v>
      </c>
      <c r="I18" s="86">
        <v>0.38</v>
      </c>
      <c r="J18" s="80">
        <v>0.12</v>
      </c>
      <c r="K18" s="81"/>
      <c r="L18" s="80">
        <v>0.49</v>
      </c>
      <c r="R18" t="s">
        <v>43</v>
      </c>
      <c r="S18">
        <v>30</v>
      </c>
      <c r="U18" s="64"/>
    </row>
    <row r="19" spans="2:21" ht="18" customHeight="1">
      <c r="B19" s="25">
        <f t="shared" si="0"/>
        <v>18</v>
      </c>
      <c r="C19" s="7" t="s">
        <v>51</v>
      </c>
      <c r="D19" s="8" t="s">
        <v>5</v>
      </c>
      <c r="E19" s="1" t="s">
        <v>26</v>
      </c>
      <c r="F19" s="2" t="s">
        <v>3</v>
      </c>
      <c r="G19" s="7">
        <v>300</v>
      </c>
      <c r="H19" s="34">
        <v>87.702105538540494</v>
      </c>
      <c r="I19" s="75">
        <v>0.67</v>
      </c>
      <c r="J19" s="77">
        <v>0.1</v>
      </c>
      <c r="K19" s="77"/>
      <c r="L19" s="77">
        <v>0.23</v>
      </c>
      <c r="R19" t="s">
        <v>42</v>
      </c>
      <c r="S19">
        <v>20</v>
      </c>
    </row>
    <row r="20" spans="2:21" ht="21">
      <c r="B20" s="25">
        <f t="shared" si="0"/>
        <v>19</v>
      </c>
      <c r="C20" s="7" t="s">
        <v>48</v>
      </c>
      <c r="D20" s="8" t="s">
        <v>5</v>
      </c>
      <c r="E20" s="1" t="s">
        <v>38</v>
      </c>
      <c r="F20" s="2" t="s">
        <v>0</v>
      </c>
      <c r="G20" s="5">
        <v>200</v>
      </c>
      <c r="H20" s="33">
        <f>12*5858167/1000000</f>
        <v>70.298004000000006</v>
      </c>
      <c r="I20" s="87">
        <v>0.7</v>
      </c>
      <c r="J20" s="76">
        <v>0.12</v>
      </c>
      <c r="K20" s="68"/>
      <c r="L20" s="76">
        <v>0.18</v>
      </c>
      <c r="R20" t="s">
        <v>64</v>
      </c>
      <c r="S20">
        <v>50</v>
      </c>
    </row>
    <row r="21" spans="2:21" ht="21">
      <c r="B21" s="25">
        <f t="shared" si="0"/>
        <v>20</v>
      </c>
      <c r="C21" s="4" t="s">
        <v>48</v>
      </c>
      <c r="D21" s="8" t="s">
        <v>5</v>
      </c>
      <c r="E21" s="1" t="s">
        <v>52</v>
      </c>
      <c r="F21" s="2" t="s">
        <v>2</v>
      </c>
      <c r="G21" s="7">
        <v>200</v>
      </c>
      <c r="H21" s="34">
        <v>58.033197221079618</v>
      </c>
      <c r="I21" s="75">
        <v>0.8</v>
      </c>
      <c r="J21" s="77">
        <v>0.2</v>
      </c>
      <c r="K21" s="79"/>
      <c r="L21" s="79"/>
    </row>
    <row r="22" spans="2:21" ht="21">
      <c r="B22" s="25">
        <f t="shared" si="0"/>
        <v>21</v>
      </c>
      <c r="C22" s="4" t="s">
        <v>48</v>
      </c>
      <c r="D22" s="8" t="s">
        <v>5</v>
      </c>
      <c r="E22" s="1" t="s">
        <v>16</v>
      </c>
      <c r="F22" s="2" t="s">
        <v>2</v>
      </c>
      <c r="G22" s="7">
        <v>60</v>
      </c>
      <c r="H22" s="34">
        <v>14.508299305269905</v>
      </c>
      <c r="I22" s="87">
        <v>0.7</v>
      </c>
      <c r="J22" s="76">
        <v>0.12</v>
      </c>
      <c r="K22" s="68"/>
      <c r="L22" s="76">
        <v>0.18</v>
      </c>
    </row>
    <row r="23" spans="2:21" ht="21">
      <c r="B23" s="25">
        <f t="shared" si="0"/>
        <v>22</v>
      </c>
      <c r="C23" s="4" t="s">
        <v>48</v>
      </c>
      <c r="D23" s="8" t="s">
        <v>5</v>
      </c>
      <c r="E23" s="1" t="s">
        <v>14</v>
      </c>
      <c r="F23" s="2" t="s">
        <v>0</v>
      </c>
      <c r="G23" s="7">
        <v>60</v>
      </c>
      <c r="H23" s="34">
        <v>14.976860355912727</v>
      </c>
      <c r="I23" s="87">
        <v>0.7</v>
      </c>
      <c r="J23" s="76">
        <v>0.12</v>
      </c>
      <c r="K23" s="68"/>
      <c r="L23" s="76">
        <v>0.18</v>
      </c>
    </row>
    <row r="24" spans="2:21" ht="21.75" thickBot="1">
      <c r="B24" s="26">
        <f t="shared" si="0"/>
        <v>23</v>
      </c>
      <c r="C24" s="27" t="s">
        <v>48</v>
      </c>
      <c r="D24" s="28" t="s">
        <v>5</v>
      </c>
      <c r="E24" s="29" t="s">
        <v>17</v>
      </c>
      <c r="F24" s="30" t="s">
        <v>3</v>
      </c>
      <c r="G24" s="31">
        <v>50</v>
      </c>
      <c r="H24" s="35">
        <f>12*2929083/1000000/2</f>
        <v>17.574497999999998</v>
      </c>
      <c r="I24" s="88">
        <v>0.7</v>
      </c>
      <c r="J24" s="89">
        <v>0.12</v>
      </c>
      <c r="K24" s="69"/>
      <c r="L24" s="89">
        <v>0.18</v>
      </c>
    </row>
    <row r="25" spans="2:21" ht="15.75" customHeight="1">
      <c r="B25" s="43">
        <f t="shared" si="0"/>
        <v>24</v>
      </c>
      <c r="C25" s="18" t="s">
        <v>43</v>
      </c>
      <c r="D25" s="10" t="s">
        <v>5</v>
      </c>
      <c r="E25" s="11" t="s">
        <v>24</v>
      </c>
      <c r="F25" s="3" t="s">
        <v>2</v>
      </c>
      <c r="G25" s="55">
        <v>1800</v>
      </c>
      <c r="H25" s="44">
        <v>273.21252032788436</v>
      </c>
      <c r="I25" s="73">
        <v>0.75</v>
      </c>
      <c r="J25" s="73">
        <v>0.09</v>
      </c>
      <c r="K25" s="73"/>
      <c r="L25" s="73">
        <v>0.16</v>
      </c>
      <c r="N25" s="66">
        <f>H25/12</f>
        <v>22.767710027323698</v>
      </c>
    </row>
    <row r="26" spans="2:21" ht="15.75" customHeight="1">
      <c r="B26" s="25">
        <f t="shared" si="0"/>
        <v>25</v>
      </c>
      <c r="C26" s="4" t="s">
        <v>43</v>
      </c>
      <c r="D26" s="8" t="s">
        <v>5</v>
      </c>
      <c r="E26" s="1" t="s">
        <v>47</v>
      </c>
      <c r="F26" s="2" t="s">
        <v>2</v>
      </c>
      <c r="G26" s="5">
        <v>1000</v>
      </c>
      <c r="H26" s="40">
        <f>((1000*700*5*30)+(1000*12*3500))/1000000</f>
        <v>147</v>
      </c>
      <c r="I26" s="76">
        <v>0.77</v>
      </c>
      <c r="J26" s="76">
        <v>0.08</v>
      </c>
      <c r="K26" s="68"/>
      <c r="L26" s="76">
        <v>0.15</v>
      </c>
      <c r="N26" s="66">
        <f t="shared" ref="N26:N34" si="1">H26/12</f>
        <v>12.25</v>
      </c>
    </row>
    <row r="27" spans="2:21" ht="15.75" customHeight="1">
      <c r="B27" s="25">
        <f t="shared" si="0"/>
        <v>26</v>
      </c>
      <c r="C27" s="7" t="s">
        <v>43</v>
      </c>
      <c r="D27" s="8" t="s">
        <v>5</v>
      </c>
      <c r="E27" s="1" t="s">
        <v>36</v>
      </c>
      <c r="F27" s="2" t="s">
        <v>2</v>
      </c>
      <c r="G27" s="5">
        <v>800</v>
      </c>
      <c r="H27" s="33">
        <f>(750*1000*3*30.4+1000*3300*2+1000*3300*50%+1000*6500*50%/0.9+1000/0.02*85+1000/0.02*245*25%+1000/0.02*25%*500)/1000000</f>
        <v>93.823611111111106</v>
      </c>
      <c r="I27" s="76">
        <v>0.45</v>
      </c>
      <c r="J27" s="76">
        <v>0.19</v>
      </c>
      <c r="K27" s="68"/>
      <c r="L27" s="76">
        <v>0.36</v>
      </c>
      <c r="N27" s="66">
        <f t="shared" si="1"/>
        <v>7.8186342592592588</v>
      </c>
    </row>
    <row r="28" spans="2:21" ht="15.75" customHeight="1">
      <c r="B28" s="25">
        <f t="shared" si="0"/>
        <v>27</v>
      </c>
      <c r="C28" s="7" t="s">
        <v>43</v>
      </c>
      <c r="D28" s="8" t="s">
        <v>5</v>
      </c>
      <c r="E28" s="1" t="s">
        <v>35</v>
      </c>
      <c r="F28" s="2" t="s">
        <v>2</v>
      </c>
      <c r="G28" s="5">
        <v>700</v>
      </c>
      <c r="H28" s="33">
        <f>(750*1000*3*30.4+1000*3300*2+1000*3300*50%+1000*6500*50%/0.9+1000/0.02*85+1000/0.02*245*25%+1000/0.02*25%*500)/1000000</f>
        <v>93.823611111111106</v>
      </c>
      <c r="I28" s="76">
        <v>0.45</v>
      </c>
      <c r="J28" s="76">
        <v>0.19</v>
      </c>
      <c r="K28" s="68"/>
      <c r="L28" s="76">
        <v>0.36</v>
      </c>
      <c r="N28" s="66">
        <f t="shared" si="1"/>
        <v>7.8186342592592588</v>
      </c>
    </row>
    <row r="29" spans="2:21" ht="15.75" customHeight="1">
      <c r="B29" s="25">
        <f t="shared" si="0"/>
        <v>28</v>
      </c>
      <c r="C29" s="7" t="s">
        <v>43</v>
      </c>
      <c r="D29" s="8" t="s">
        <v>5</v>
      </c>
      <c r="E29" s="1" t="s">
        <v>23</v>
      </c>
      <c r="F29" s="2" t="s">
        <v>2</v>
      </c>
      <c r="G29" s="7">
        <v>550</v>
      </c>
      <c r="H29" s="34">
        <v>148.78511915803711</v>
      </c>
      <c r="I29" s="77">
        <v>0.89</v>
      </c>
      <c r="J29" s="77">
        <v>7.0000000000000007E-2</v>
      </c>
      <c r="K29" s="77"/>
      <c r="L29" s="77">
        <v>0.04</v>
      </c>
      <c r="N29" s="66">
        <f t="shared" si="1"/>
        <v>12.398759929836425</v>
      </c>
    </row>
    <row r="30" spans="2:21" ht="15.75" customHeight="1">
      <c r="B30" s="25">
        <f t="shared" ref="B30:B33" si="2">B29+1</f>
        <v>29</v>
      </c>
      <c r="C30" s="7" t="s">
        <v>43</v>
      </c>
      <c r="D30" s="8" t="s">
        <v>5</v>
      </c>
      <c r="E30" s="1" t="s">
        <v>57</v>
      </c>
      <c r="F30" s="2" t="s">
        <v>2</v>
      </c>
      <c r="G30" s="7">
        <v>500</v>
      </c>
      <c r="H30" s="34">
        <f>33*12</f>
        <v>396</v>
      </c>
      <c r="I30" s="77">
        <v>0.28000000000000003</v>
      </c>
      <c r="J30" s="77">
        <v>7.0000000000000007E-2</v>
      </c>
      <c r="K30" s="77">
        <v>0.46</v>
      </c>
      <c r="L30" s="77">
        <v>0.19</v>
      </c>
      <c r="N30" s="66">
        <f t="shared" si="1"/>
        <v>33</v>
      </c>
    </row>
    <row r="31" spans="2:21" ht="15.75" customHeight="1">
      <c r="B31" s="25">
        <f t="shared" si="2"/>
        <v>30</v>
      </c>
      <c r="C31" s="7" t="s">
        <v>43</v>
      </c>
      <c r="D31" s="8" t="s">
        <v>5</v>
      </c>
      <c r="E31" s="1" t="s">
        <v>29</v>
      </c>
      <c r="F31" s="2" t="s">
        <v>1</v>
      </c>
      <c r="G31" s="7">
        <v>500</v>
      </c>
      <c r="H31" s="41">
        <v>113.877725907517</v>
      </c>
      <c r="I31" s="80">
        <v>0.33</v>
      </c>
      <c r="J31" s="80">
        <v>0.16</v>
      </c>
      <c r="K31" s="81"/>
      <c r="L31" s="80">
        <v>0.51</v>
      </c>
      <c r="N31" s="66">
        <f t="shared" si="1"/>
        <v>9.489810492293083</v>
      </c>
    </row>
    <row r="32" spans="2:21" ht="15.75" customHeight="1">
      <c r="B32" s="25">
        <f t="shared" si="2"/>
        <v>31</v>
      </c>
      <c r="C32" s="7" t="s">
        <v>43</v>
      </c>
      <c r="D32" s="8" t="s">
        <v>5</v>
      </c>
      <c r="E32" s="1" t="s">
        <v>34</v>
      </c>
      <c r="F32" s="2" t="s">
        <v>2</v>
      </c>
      <c r="G32" s="5">
        <v>500</v>
      </c>
      <c r="H32" s="33">
        <f>(750*1000*3*30.4+1000*3300*2+1000*3300*50%+1000*6500*50%/0.9+1000/0.02*85+1000/0.02*245*25%+1000/0.02*25%*500)/1000000</f>
        <v>93.823611111111106</v>
      </c>
      <c r="I32" s="76">
        <v>0.45</v>
      </c>
      <c r="J32" s="76">
        <v>0.19</v>
      </c>
      <c r="K32" s="68"/>
      <c r="L32" s="76">
        <v>0.36</v>
      </c>
      <c r="N32" s="66">
        <f t="shared" si="1"/>
        <v>7.8186342592592588</v>
      </c>
      <c r="Q32" t="s">
        <v>66</v>
      </c>
      <c r="R32" t="s">
        <v>67</v>
      </c>
      <c r="S32" t="s">
        <v>68</v>
      </c>
    </row>
    <row r="33" spans="2:19" ht="15.75" customHeight="1">
      <c r="B33" s="25">
        <f t="shared" si="2"/>
        <v>32</v>
      </c>
      <c r="C33" s="7" t="s">
        <v>43</v>
      </c>
      <c r="D33" s="8" t="s">
        <v>5</v>
      </c>
      <c r="E33" s="1" t="s">
        <v>39</v>
      </c>
      <c r="F33" s="2" t="s">
        <v>2</v>
      </c>
      <c r="G33" s="5">
        <f>400/0.85</f>
        <v>470.58823529411768</v>
      </c>
      <c r="H33" s="33">
        <f>(G33*700*4*30+400*2*7500)/1000000</f>
        <v>45.529411764705884</v>
      </c>
      <c r="I33" s="76">
        <v>0.45</v>
      </c>
      <c r="J33" s="76">
        <v>0.19</v>
      </c>
      <c r="K33" s="68"/>
      <c r="L33" s="76">
        <v>0.36</v>
      </c>
      <c r="N33" s="66">
        <f t="shared" si="1"/>
        <v>3.7941176470588238</v>
      </c>
      <c r="Q33" s="65">
        <v>45051</v>
      </c>
      <c r="R33" s="65">
        <f>Q33+30</f>
        <v>45081</v>
      </c>
      <c r="S33" s="65">
        <f>R33+30</f>
        <v>45111</v>
      </c>
    </row>
    <row r="34" spans="2:19" ht="21.75" thickBot="1">
      <c r="B34" s="26">
        <f t="shared" si="0"/>
        <v>33</v>
      </c>
      <c r="C34" s="37" t="s">
        <v>43</v>
      </c>
      <c r="D34" s="28" t="s">
        <v>5</v>
      </c>
      <c r="E34" s="29" t="s">
        <v>49</v>
      </c>
      <c r="F34" s="30" t="s">
        <v>0</v>
      </c>
      <c r="G34" s="37">
        <v>400</v>
      </c>
      <c r="H34" s="42">
        <v>136.98578302559801</v>
      </c>
      <c r="I34" s="84">
        <v>0.63</v>
      </c>
      <c r="J34" s="84">
        <v>0.17</v>
      </c>
      <c r="K34" s="85"/>
      <c r="L34" s="84">
        <v>0.2</v>
      </c>
      <c r="N34" s="66">
        <f t="shared" si="1"/>
        <v>11.415481918799834</v>
      </c>
    </row>
  </sheetData>
  <sortState xmlns:xlrd2="http://schemas.microsoft.com/office/spreadsheetml/2017/richdata2" ref="C26:H33">
    <sortCondition descending="1" ref="G25:G3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28E10-6282-4462-B9EC-FB1BEAB18D43}">
  <dimension ref="A1:AF33"/>
  <sheetViews>
    <sheetView showGridLines="0" tabSelected="1" zoomScaleNormal="100" workbookViewId="0">
      <pane ySplit="1" topLeftCell="A2" activePane="bottomLeft" state="frozen"/>
      <selection pane="bottomLeft" activeCell="A7" sqref="A7"/>
    </sheetView>
  </sheetViews>
  <sheetFormatPr defaultColWidth="9.140625" defaultRowHeight="15"/>
  <cols>
    <col min="1" max="1" width="6.5703125" style="60" bestFit="1" customWidth="1"/>
    <col min="2" max="2" width="27.28515625" bestFit="1" customWidth="1"/>
    <col min="3" max="3" width="16.28515625" style="113" bestFit="1" customWidth="1"/>
    <col min="4" max="4" width="16.7109375" style="113" bestFit="1" customWidth="1"/>
    <col min="5" max="5" width="12.140625" bestFit="1" customWidth="1"/>
    <col min="6" max="6" width="20.42578125" bestFit="1" customWidth="1"/>
    <col min="7" max="7" width="19.85546875" bestFit="1" customWidth="1"/>
    <col min="8" max="8" width="43.42578125" bestFit="1" customWidth="1"/>
    <col min="9" max="9" width="25.42578125" style="93" bestFit="1" customWidth="1"/>
    <col min="10" max="10" width="21.85546875" style="60" bestFit="1" customWidth="1"/>
    <col min="11" max="11" width="16.7109375" style="60" bestFit="1" customWidth="1"/>
    <col min="12" max="12" width="19.7109375" bestFit="1" customWidth="1"/>
    <col min="13" max="13" width="32.42578125" style="93" bestFit="1" customWidth="1"/>
    <col min="14" max="14" width="18.85546875" bestFit="1" customWidth="1"/>
    <col min="15" max="15" width="31.28515625" style="100" bestFit="1" customWidth="1"/>
    <col min="16" max="16" width="39.5703125" style="94" bestFit="1" customWidth="1"/>
    <col min="17" max="17" width="16" style="60" bestFit="1" customWidth="1"/>
    <col min="18" max="18" width="22.28515625" style="60" bestFit="1" customWidth="1"/>
    <col min="19" max="19" width="17.28515625" style="60" bestFit="1" customWidth="1"/>
    <col min="20" max="20" width="14.5703125" style="60" bestFit="1" customWidth="1"/>
    <col min="21" max="21" width="23" style="60" bestFit="1" customWidth="1"/>
    <col min="22" max="22" width="31.5703125" style="95" bestFit="1" customWidth="1"/>
    <col min="23" max="23" width="32.28515625" style="95" bestFit="1" customWidth="1"/>
    <col min="24" max="24" width="30.7109375" style="96" bestFit="1" customWidth="1"/>
    <col min="25" max="25" width="16.28515625" style="60" bestFit="1" customWidth="1"/>
    <col min="26" max="26" width="27.28515625" style="60" bestFit="1" customWidth="1"/>
    <col min="27" max="27" width="21.85546875" style="60" bestFit="1" customWidth="1"/>
    <col min="28" max="28" width="36" style="60" bestFit="1" customWidth="1"/>
    <col min="29" max="29" width="14.42578125" style="60" bestFit="1" customWidth="1"/>
    <col min="30" max="30" width="21" style="60" bestFit="1" customWidth="1"/>
    <col min="31" max="31" width="21.85546875" style="60" bestFit="1" customWidth="1"/>
    <col min="32" max="32" width="32.7109375" style="60" bestFit="1" customWidth="1"/>
  </cols>
  <sheetData>
    <row r="1" spans="1:32" s="101" customFormat="1" ht="33" customHeight="1">
      <c r="A1" s="97" t="s">
        <v>9</v>
      </c>
      <c r="B1" s="97" t="s">
        <v>81</v>
      </c>
      <c r="C1" s="112" t="s">
        <v>181</v>
      </c>
      <c r="D1" s="112" t="s">
        <v>182</v>
      </c>
      <c r="E1" s="97" t="s">
        <v>10</v>
      </c>
      <c r="F1" s="97" t="s">
        <v>75</v>
      </c>
      <c r="G1" s="97" t="s">
        <v>106</v>
      </c>
      <c r="H1" s="97" t="s">
        <v>80</v>
      </c>
      <c r="I1" s="97" t="s">
        <v>74</v>
      </c>
      <c r="J1" s="97" t="s">
        <v>136</v>
      </c>
      <c r="K1" s="97" t="s">
        <v>99</v>
      </c>
      <c r="L1" s="97" t="s">
        <v>114</v>
      </c>
      <c r="M1" s="97" t="s">
        <v>115</v>
      </c>
      <c r="N1" s="97" t="s">
        <v>116</v>
      </c>
      <c r="O1" s="97" t="s">
        <v>94</v>
      </c>
      <c r="P1" s="97" t="s">
        <v>123</v>
      </c>
      <c r="Q1" s="97" t="s">
        <v>131</v>
      </c>
      <c r="R1" s="97" t="s">
        <v>132</v>
      </c>
      <c r="S1" s="97" t="s">
        <v>124</v>
      </c>
      <c r="T1" s="97" t="s">
        <v>125</v>
      </c>
      <c r="U1" s="97" t="s">
        <v>86</v>
      </c>
      <c r="V1" s="98" t="s">
        <v>87</v>
      </c>
      <c r="W1" s="98" t="s">
        <v>93</v>
      </c>
      <c r="X1" s="98" t="s">
        <v>88</v>
      </c>
      <c r="Y1" s="97" t="s">
        <v>107</v>
      </c>
      <c r="Z1" s="97" t="s">
        <v>109</v>
      </c>
      <c r="AA1" s="97" t="s">
        <v>110</v>
      </c>
      <c r="AB1" s="97" t="s">
        <v>113</v>
      </c>
      <c r="AC1" s="97" t="s">
        <v>108</v>
      </c>
      <c r="AD1" s="97" t="s">
        <v>111</v>
      </c>
      <c r="AE1" s="97" t="s">
        <v>112</v>
      </c>
      <c r="AF1" s="97" t="s">
        <v>113</v>
      </c>
    </row>
    <row r="2" spans="1:32" s="6" customFormat="1">
      <c r="A2" s="103">
        <v>1</v>
      </c>
      <c r="B2" s="6" t="s">
        <v>138</v>
      </c>
      <c r="C2" s="104"/>
      <c r="D2" s="104"/>
      <c r="E2" s="6" t="s">
        <v>5</v>
      </c>
      <c r="F2" s="6" t="s">
        <v>82</v>
      </c>
      <c r="G2" s="6" t="s">
        <v>169</v>
      </c>
      <c r="H2" s="100" t="str">
        <f t="shared" ref="H2:H32" si="0">_xlfn.CONCAT(B2," - ",E2," - ",F2)</f>
        <v>PROCHILE - Quilicura - General Warehouse</v>
      </c>
      <c r="I2" s="105" t="s">
        <v>76</v>
      </c>
      <c r="J2" s="106">
        <f>IFERROR(VLOOKUP(I2,'Data Validation'!$B$2:$C$8,2,FALSE),)</f>
        <v>0.1</v>
      </c>
      <c r="K2" s="100"/>
      <c r="L2" s="100" t="s">
        <v>120</v>
      </c>
      <c r="M2" s="107">
        <v>12</v>
      </c>
      <c r="N2" s="6" t="s">
        <v>168</v>
      </c>
      <c r="O2" s="100"/>
      <c r="P2" s="108">
        <v>1500000</v>
      </c>
      <c r="Q2" s="106">
        <v>0.75</v>
      </c>
      <c r="R2" s="106">
        <v>0</v>
      </c>
      <c r="S2" s="106">
        <v>0.2</v>
      </c>
      <c r="T2" s="106">
        <v>0.05</v>
      </c>
      <c r="U2" s="102">
        <f t="shared" ref="U2:U32" si="1">SUM(Q2:T2)</f>
        <v>1</v>
      </c>
      <c r="V2" s="110">
        <v>45293</v>
      </c>
      <c r="W2" s="110">
        <v>45474</v>
      </c>
      <c r="X2" s="111">
        <v>45536</v>
      </c>
      <c r="Y2" s="100"/>
      <c r="Z2" s="100"/>
      <c r="AA2" s="100"/>
      <c r="AB2" s="100"/>
      <c r="AC2" s="100"/>
      <c r="AD2" s="100"/>
      <c r="AE2" s="100"/>
      <c r="AF2" s="100"/>
    </row>
    <row r="3" spans="1:32" s="6" customFormat="1">
      <c r="A3" s="103">
        <f>A2+1</f>
        <v>2</v>
      </c>
      <c r="B3" s="6" t="s">
        <v>139</v>
      </c>
      <c r="C3" s="104"/>
      <c r="D3" s="104"/>
      <c r="E3" s="6" t="s">
        <v>5</v>
      </c>
      <c r="F3" s="6" t="s">
        <v>82</v>
      </c>
      <c r="G3" s="6" t="s">
        <v>170</v>
      </c>
      <c r="H3" s="100" t="str">
        <f t="shared" si="0"/>
        <v>SASPA - Quilicura - General Warehouse</v>
      </c>
      <c r="I3" s="105" t="s">
        <v>76</v>
      </c>
      <c r="J3" s="106">
        <f>IFERROR(VLOOKUP(I3,'Data Validation'!$B$2:$C$8,2,FALSE),)</f>
        <v>0.1</v>
      </c>
      <c r="K3" s="100"/>
      <c r="L3" s="100" t="s">
        <v>120</v>
      </c>
      <c r="M3" s="107">
        <v>12</v>
      </c>
      <c r="N3" s="6" t="s">
        <v>168</v>
      </c>
      <c r="O3" s="100"/>
      <c r="P3" s="108">
        <v>1500000</v>
      </c>
      <c r="Q3" s="109">
        <v>0.75</v>
      </c>
      <c r="R3" s="106">
        <v>0</v>
      </c>
      <c r="S3" s="106">
        <v>0.2</v>
      </c>
      <c r="T3" s="106">
        <v>0.05</v>
      </c>
      <c r="U3" s="102">
        <f t="shared" si="1"/>
        <v>1</v>
      </c>
      <c r="V3" s="110">
        <v>45293</v>
      </c>
      <c r="W3" s="110">
        <v>45413</v>
      </c>
      <c r="X3" s="111">
        <v>45444</v>
      </c>
      <c r="Y3" s="100"/>
      <c r="Z3" s="100"/>
      <c r="AA3" s="100"/>
      <c r="AB3" s="100"/>
      <c r="AC3" s="100"/>
      <c r="AD3" s="100"/>
      <c r="AE3" s="100"/>
      <c r="AF3" s="100"/>
    </row>
    <row r="4" spans="1:32" s="6" customFormat="1">
      <c r="A4" s="103">
        <f t="shared" ref="A4:A32" si="2">A3+1</f>
        <v>3</v>
      </c>
      <c r="B4" s="6" t="s">
        <v>140</v>
      </c>
      <c r="C4" s="104"/>
      <c r="D4" s="104"/>
      <c r="E4" s="6" t="s">
        <v>121</v>
      </c>
      <c r="F4" s="6" t="s">
        <v>82</v>
      </c>
      <c r="G4" s="6" t="s">
        <v>170</v>
      </c>
      <c r="H4" s="100" t="str">
        <f t="shared" si="0"/>
        <v>IMPORFRUT - Buin - General Warehouse</v>
      </c>
      <c r="I4" s="105" t="s">
        <v>76</v>
      </c>
      <c r="J4" s="106">
        <f>IFERROR(VLOOKUP(I4,'Data Validation'!$B$2:$C$8,2,FALSE),)</f>
        <v>0.1</v>
      </c>
      <c r="K4" s="100"/>
      <c r="L4" s="100" t="s">
        <v>120</v>
      </c>
      <c r="M4" s="107">
        <v>12</v>
      </c>
      <c r="N4" s="6" t="s">
        <v>168</v>
      </c>
      <c r="O4" s="100"/>
      <c r="P4" s="108">
        <v>1500000</v>
      </c>
      <c r="Q4" s="109">
        <v>0.75</v>
      </c>
      <c r="R4" s="106">
        <v>0</v>
      </c>
      <c r="S4" s="106">
        <v>0.2</v>
      </c>
      <c r="T4" s="106">
        <v>0.05</v>
      </c>
      <c r="U4" s="102">
        <f t="shared" si="1"/>
        <v>1</v>
      </c>
      <c r="V4" s="110">
        <v>45293</v>
      </c>
      <c r="W4" s="110">
        <v>45427</v>
      </c>
      <c r="X4" s="111">
        <v>45444</v>
      </c>
      <c r="Y4" s="100"/>
      <c r="Z4" s="100"/>
      <c r="AA4" s="100"/>
      <c r="AB4" s="100"/>
      <c r="AC4" s="100"/>
      <c r="AD4" s="100"/>
      <c r="AE4" s="100"/>
      <c r="AF4" s="100"/>
    </row>
    <row r="5" spans="1:32" s="6" customFormat="1">
      <c r="A5" s="103">
        <f t="shared" si="2"/>
        <v>4</v>
      </c>
      <c r="B5" s="6" t="s">
        <v>141</v>
      </c>
      <c r="C5" s="104"/>
      <c r="D5" s="104"/>
      <c r="E5" s="6" t="s">
        <v>121</v>
      </c>
      <c r="F5" s="6" t="s">
        <v>82</v>
      </c>
      <c r="G5" s="6" t="s">
        <v>170</v>
      </c>
      <c r="H5" s="100" t="str">
        <f t="shared" si="0"/>
        <v>SANCO - Buin - General Warehouse</v>
      </c>
      <c r="I5" s="105" t="s">
        <v>76</v>
      </c>
      <c r="J5" s="106">
        <f>IFERROR(VLOOKUP(I5,'Data Validation'!$B$2:$C$8,2,FALSE),)</f>
        <v>0.1</v>
      </c>
      <c r="K5" s="100"/>
      <c r="L5" s="100" t="s">
        <v>120</v>
      </c>
      <c r="M5" s="107">
        <v>12</v>
      </c>
      <c r="N5" s="6" t="s">
        <v>168</v>
      </c>
      <c r="O5" s="100"/>
      <c r="P5" s="108">
        <v>248678.39999999999</v>
      </c>
      <c r="Q5" s="109">
        <v>0.7</v>
      </c>
      <c r="R5" s="106">
        <v>0</v>
      </c>
      <c r="S5" s="106">
        <v>0.2</v>
      </c>
      <c r="T5" s="106">
        <v>0.1</v>
      </c>
      <c r="U5" s="102">
        <f t="shared" si="1"/>
        <v>0.99999999999999989</v>
      </c>
      <c r="V5" s="110">
        <v>45293</v>
      </c>
      <c r="W5" s="110">
        <v>45383</v>
      </c>
      <c r="X5" s="111">
        <v>45536</v>
      </c>
      <c r="Y5" s="100"/>
      <c r="Z5" s="100"/>
      <c r="AA5" s="100"/>
      <c r="AB5" s="100"/>
      <c r="AC5" s="100"/>
      <c r="AD5" s="100"/>
      <c r="AE5" s="100"/>
      <c r="AF5" s="100"/>
    </row>
    <row r="6" spans="1:32" s="6" customFormat="1">
      <c r="A6" s="103">
        <f t="shared" si="2"/>
        <v>5</v>
      </c>
      <c r="B6" s="6" t="s">
        <v>178</v>
      </c>
      <c r="C6" s="104"/>
      <c r="D6" s="104"/>
      <c r="E6" s="6" t="s">
        <v>121</v>
      </c>
      <c r="F6" s="6" t="s">
        <v>82</v>
      </c>
      <c r="G6" s="6" t="s">
        <v>179</v>
      </c>
      <c r="H6" s="100" t="s">
        <v>180</v>
      </c>
      <c r="I6" s="105" t="s">
        <v>76</v>
      </c>
      <c r="J6" s="106">
        <f>IFERROR(VLOOKUP(I6,'Data Validation'!$B$2:$C$8,2,FALSE),)</f>
        <v>0.1</v>
      </c>
      <c r="K6" s="100"/>
      <c r="L6" s="100" t="s">
        <v>120</v>
      </c>
      <c r="M6" s="107">
        <v>3</v>
      </c>
      <c r="N6" s="6" t="s">
        <v>119</v>
      </c>
      <c r="O6" s="100"/>
      <c r="P6" s="108">
        <v>10890000</v>
      </c>
      <c r="Q6" s="109">
        <v>0.92</v>
      </c>
      <c r="R6" s="106">
        <v>0</v>
      </c>
      <c r="S6" s="106">
        <v>0.08</v>
      </c>
      <c r="T6" s="106">
        <v>0</v>
      </c>
      <c r="U6" s="102">
        <f t="shared" si="1"/>
        <v>1</v>
      </c>
      <c r="V6" s="110">
        <v>45363</v>
      </c>
      <c r="W6" s="110">
        <v>45381</v>
      </c>
      <c r="X6" s="111">
        <v>45383</v>
      </c>
      <c r="Y6" s="100"/>
      <c r="Z6" s="100"/>
      <c r="AA6" s="100"/>
      <c r="AB6" s="100"/>
      <c r="AC6" s="100"/>
      <c r="AD6" s="100"/>
      <c r="AE6" s="100"/>
      <c r="AF6" s="100"/>
    </row>
    <row r="7" spans="1:32" s="6" customFormat="1">
      <c r="A7" s="103">
        <f t="shared" si="2"/>
        <v>6</v>
      </c>
      <c r="B7" s="6" t="s">
        <v>142</v>
      </c>
      <c r="C7" s="104"/>
      <c r="D7" s="104"/>
      <c r="E7" s="6" t="s">
        <v>121</v>
      </c>
      <c r="F7" s="6" t="s">
        <v>82</v>
      </c>
      <c r="G7" s="6" t="s">
        <v>171</v>
      </c>
      <c r="H7" s="100" t="str">
        <f t="shared" si="0"/>
        <v>ÑUBLE ALIMENTOS - Buin - General Warehouse</v>
      </c>
      <c r="I7" s="105" t="s">
        <v>76</v>
      </c>
      <c r="J7" s="106">
        <f>IFERROR(VLOOKUP(I7,'Data Validation'!$B$2:$C$8,2,FALSE),)</f>
        <v>0.1</v>
      </c>
      <c r="K7" s="100"/>
      <c r="L7" s="100" t="s">
        <v>120</v>
      </c>
      <c r="M7" s="107">
        <v>12</v>
      </c>
      <c r="N7" s="6" t="s">
        <v>168</v>
      </c>
      <c r="O7" s="100"/>
      <c r="P7" s="108">
        <v>22497016.875</v>
      </c>
      <c r="Q7" s="109">
        <v>0.75</v>
      </c>
      <c r="R7" s="106">
        <v>0</v>
      </c>
      <c r="S7" s="106">
        <v>0.2</v>
      </c>
      <c r="T7" s="106">
        <v>0.05</v>
      </c>
      <c r="U7" s="102">
        <f t="shared" si="1"/>
        <v>1</v>
      </c>
      <c r="V7" s="110">
        <v>45293</v>
      </c>
      <c r="W7" s="110">
        <v>45387</v>
      </c>
      <c r="X7" s="111">
        <v>45397</v>
      </c>
      <c r="Y7" s="100"/>
      <c r="Z7" s="100"/>
      <c r="AA7" s="100"/>
      <c r="AB7" s="100"/>
      <c r="AC7" s="100"/>
      <c r="AD7" s="100"/>
      <c r="AE7" s="100"/>
      <c r="AF7" s="100"/>
    </row>
    <row r="8" spans="1:32" s="6" customFormat="1">
      <c r="A8" s="103">
        <f t="shared" si="2"/>
        <v>7</v>
      </c>
      <c r="B8" s="6" t="s">
        <v>143</v>
      </c>
      <c r="C8" s="104"/>
      <c r="D8" s="104"/>
      <c r="E8" s="6" t="s">
        <v>5</v>
      </c>
      <c r="F8" s="6" t="s">
        <v>82</v>
      </c>
      <c r="G8" s="6" t="s">
        <v>171</v>
      </c>
      <c r="H8" s="100" t="str">
        <f t="shared" si="0"/>
        <v>CUGAT - Quilicura - General Warehouse</v>
      </c>
      <c r="I8" s="105" t="s">
        <v>77</v>
      </c>
      <c r="J8" s="106">
        <f>IFERROR(VLOOKUP(I8,'Data Validation'!$B$2:$C$8,2,FALSE),)</f>
        <v>0.25</v>
      </c>
      <c r="K8" s="100"/>
      <c r="L8" s="100" t="s">
        <v>120</v>
      </c>
      <c r="M8" s="107">
        <v>12</v>
      </c>
      <c r="N8" s="6" t="s">
        <v>168</v>
      </c>
      <c r="O8" s="100"/>
      <c r="P8" s="108">
        <v>1419346.4462861733</v>
      </c>
      <c r="Q8" s="109">
        <v>0.75</v>
      </c>
      <c r="R8" s="106">
        <v>0</v>
      </c>
      <c r="S8" s="106">
        <v>0.2</v>
      </c>
      <c r="T8" s="106">
        <v>0.05</v>
      </c>
      <c r="U8" s="102">
        <f t="shared" si="1"/>
        <v>1</v>
      </c>
      <c r="V8" s="110">
        <v>45293</v>
      </c>
      <c r="W8" s="110">
        <v>45413</v>
      </c>
      <c r="X8" s="111">
        <v>45444</v>
      </c>
      <c r="Y8" s="100"/>
      <c r="Z8" s="100"/>
      <c r="AA8" s="100"/>
      <c r="AB8" s="100"/>
      <c r="AC8" s="100"/>
      <c r="AD8" s="100"/>
      <c r="AE8" s="100"/>
      <c r="AF8" s="100"/>
    </row>
    <row r="9" spans="1:32">
      <c r="A9" s="103">
        <f t="shared" si="2"/>
        <v>8</v>
      </c>
      <c r="B9" s="6" t="s">
        <v>144</v>
      </c>
      <c r="C9" s="104"/>
      <c r="D9" s="104"/>
      <c r="E9" s="6" t="s">
        <v>121</v>
      </c>
      <c r="F9" s="6" t="s">
        <v>82</v>
      </c>
      <c r="G9" s="6" t="s">
        <v>171</v>
      </c>
      <c r="H9" s="100" t="str">
        <f t="shared" si="0"/>
        <v>MAHUIDA - Buin - General Warehouse</v>
      </c>
      <c r="I9" s="105" t="s">
        <v>77</v>
      </c>
      <c r="J9" s="106">
        <f>IFERROR(VLOOKUP(I9,'Data Validation'!$B$2:$C$8,2,FALSE),)</f>
        <v>0.25</v>
      </c>
      <c r="L9" s="100" t="s">
        <v>120</v>
      </c>
      <c r="M9" s="107">
        <v>12</v>
      </c>
      <c r="N9" s="6" t="s">
        <v>168</v>
      </c>
      <c r="P9" s="108">
        <v>1362838.2222222222</v>
      </c>
      <c r="Q9" s="109">
        <v>0.75</v>
      </c>
      <c r="R9" s="106">
        <v>0</v>
      </c>
      <c r="S9" s="106">
        <v>0.2</v>
      </c>
      <c r="T9" s="106">
        <v>0.05</v>
      </c>
      <c r="U9" s="102">
        <f t="shared" si="1"/>
        <v>1</v>
      </c>
      <c r="V9" s="110">
        <v>45293</v>
      </c>
      <c r="W9" s="110">
        <v>45412</v>
      </c>
      <c r="X9" s="111">
        <v>45474</v>
      </c>
    </row>
    <row r="10" spans="1:32">
      <c r="A10" s="103">
        <f t="shared" si="2"/>
        <v>9</v>
      </c>
      <c r="B10" s="6" t="s">
        <v>145</v>
      </c>
      <c r="C10" s="104"/>
      <c r="D10" s="104"/>
      <c r="E10" s="6" t="s">
        <v>5</v>
      </c>
      <c r="F10" s="6" t="s">
        <v>82</v>
      </c>
      <c r="G10" s="6" t="s">
        <v>171</v>
      </c>
      <c r="H10" s="100" t="str">
        <f t="shared" si="0"/>
        <v>LEAN LOGISTICS - Quilicura - General Warehouse</v>
      </c>
      <c r="I10" s="105" t="s">
        <v>77</v>
      </c>
      <c r="J10" s="106">
        <f>IFERROR(VLOOKUP(I10,'Data Validation'!$B$2:$C$8,2,FALSE),)</f>
        <v>0.25</v>
      </c>
      <c r="L10" s="100" t="s">
        <v>120</v>
      </c>
      <c r="M10" s="107">
        <v>12</v>
      </c>
      <c r="N10" s="6" t="s">
        <v>168</v>
      </c>
      <c r="P10" s="108">
        <v>2472392.6781673394</v>
      </c>
      <c r="Q10" s="109">
        <v>0.75</v>
      </c>
      <c r="R10" s="106">
        <v>0</v>
      </c>
      <c r="S10" s="106">
        <v>0.2</v>
      </c>
      <c r="T10" s="106">
        <v>0.05</v>
      </c>
      <c r="U10" s="102">
        <f t="shared" si="1"/>
        <v>1</v>
      </c>
      <c r="V10" s="110">
        <v>45293</v>
      </c>
      <c r="W10" s="110">
        <v>45503</v>
      </c>
      <c r="X10" s="111">
        <v>45505</v>
      </c>
    </row>
    <row r="11" spans="1:32">
      <c r="A11" s="103">
        <f t="shared" si="2"/>
        <v>10</v>
      </c>
      <c r="B11" s="6" t="s">
        <v>146</v>
      </c>
      <c r="C11" s="104"/>
      <c r="D11" s="104"/>
      <c r="E11" s="6" t="s">
        <v>5</v>
      </c>
      <c r="F11" s="6" t="s">
        <v>82</v>
      </c>
      <c r="G11" s="6" t="s">
        <v>171</v>
      </c>
      <c r="H11" s="100" t="str">
        <f t="shared" si="0"/>
        <v>CARLOS PÉREZ - Quilicura - General Warehouse</v>
      </c>
      <c r="I11" s="105" t="s">
        <v>78</v>
      </c>
      <c r="J11" s="106">
        <f>IFERROR(VLOOKUP(I11,'Data Validation'!$B$2:$C$8,2,FALSE),)</f>
        <v>0.5</v>
      </c>
      <c r="L11" s="100" t="s">
        <v>120</v>
      </c>
      <c r="M11" s="107">
        <v>12</v>
      </c>
      <c r="N11" s="6" t="s">
        <v>168</v>
      </c>
      <c r="P11" s="108">
        <v>4419455.2092204764</v>
      </c>
      <c r="Q11" s="109">
        <v>0.75</v>
      </c>
      <c r="R11" s="106">
        <v>0</v>
      </c>
      <c r="S11" s="106">
        <v>0.2</v>
      </c>
      <c r="T11" s="106">
        <v>0.05</v>
      </c>
      <c r="U11" s="102">
        <f t="shared" si="1"/>
        <v>1</v>
      </c>
      <c r="V11" s="110">
        <v>45293</v>
      </c>
      <c r="W11" s="110">
        <v>45503</v>
      </c>
      <c r="X11" s="111">
        <v>45505</v>
      </c>
    </row>
    <row r="12" spans="1:32">
      <c r="A12" s="103">
        <f t="shared" si="2"/>
        <v>11</v>
      </c>
      <c r="B12" s="6" t="s">
        <v>147</v>
      </c>
      <c r="C12" s="114"/>
      <c r="D12" s="114"/>
      <c r="E12" s="6" t="s">
        <v>121</v>
      </c>
      <c r="F12" s="6" t="s">
        <v>82</v>
      </c>
      <c r="G12" s="6" t="s">
        <v>172</v>
      </c>
      <c r="H12" s="100" t="str">
        <f t="shared" si="0"/>
        <v>CECINAS SOLER - Buin - General Warehouse</v>
      </c>
      <c r="I12" s="105" t="s">
        <v>91</v>
      </c>
      <c r="J12" s="106">
        <f>IFERROR(VLOOKUP(I12,'Data Validation'!$B$2:$C$8,2,FALSE),)</f>
        <v>1</v>
      </c>
      <c r="L12" s="100" t="s">
        <v>120</v>
      </c>
      <c r="M12" s="107">
        <v>12</v>
      </c>
      <c r="N12" s="6" t="s">
        <v>168</v>
      </c>
      <c r="P12" s="108">
        <v>155959.72878645835</v>
      </c>
      <c r="Q12" s="109">
        <v>0.8</v>
      </c>
      <c r="R12" s="106">
        <v>0</v>
      </c>
      <c r="S12" s="106">
        <v>0.1</v>
      </c>
      <c r="T12" s="106">
        <v>0.1</v>
      </c>
      <c r="U12" s="102">
        <f t="shared" si="1"/>
        <v>1</v>
      </c>
      <c r="V12" s="110">
        <v>45293</v>
      </c>
      <c r="W12" s="110">
        <v>45359</v>
      </c>
      <c r="X12" s="111">
        <v>45366</v>
      </c>
    </row>
    <row r="13" spans="1:32">
      <c r="A13" s="103">
        <f t="shared" si="2"/>
        <v>12</v>
      </c>
      <c r="B13" s="6" t="s">
        <v>148</v>
      </c>
      <c r="C13" s="104"/>
      <c r="D13" s="104"/>
      <c r="E13" s="6" t="s">
        <v>5</v>
      </c>
      <c r="F13" s="6" t="s">
        <v>82</v>
      </c>
      <c r="G13" s="6" t="s">
        <v>130</v>
      </c>
      <c r="H13" s="100" t="str">
        <f t="shared" si="0"/>
        <v>WORLDFOOD - Quilicura - General Warehouse</v>
      </c>
      <c r="I13" s="105" t="s">
        <v>78</v>
      </c>
      <c r="J13" s="106">
        <f>IFERROR(VLOOKUP(I13,'Data Validation'!$B$2:$C$8,2,FALSE),)</f>
        <v>0.5</v>
      </c>
      <c r="L13" s="100" t="s">
        <v>120</v>
      </c>
      <c r="M13" s="107">
        <v>12</v>
      </c>
      <c r="N13" s="6" t="s">
        <v>168</v>
      </c>
      <c r="P13" s="108">
        <v>3438695.1936192648</v>
      </c>
      <c r="Q13" s="109">
        <v>0.75</v>
      </c>
      <c r="R13" s="106">
        <v>0</v>
      </c>
      <c r="S13" s="106">
        <v>0.2</v>
      </c>
      <c r="T13" s="106">
        <v>0.05</v>
      </c>
      <c r="U13" s="102">
        <f t="shared" si="1"/>
        <v>1</v>
      </c>
      <c r="V13" s="110">
        <v>45293</v>
      </c>
      <c r="W13" s="110">
        <v>45383</v>
      </c>
      <c r="X13" s="111">
        <v>45413</v>
      </c>
    </row>
    <row r="14" spans="1:32">
      <c r="A14" s="103">
        <f t="shared" si="2"/>
        <v>13</v>
      </c>
      <c r="B14" s="6" t="s">
        <v>149</v>
      </c>
      <c r="C14" s="104"/>
      <c r="D14" s="104"/>
      <c r="E14" s="6" t="s">
        <v>5</v>
      </c>
      <c r="F14" s="6" t="s">
        <v>82</v>
      </c>
      <c r="G14" s="6" t="s">
        <v>171</v>
      </c>
      <c r="H14" s="100" t="str">
        <f t="shared" si="0"/>
        <v>CHILEMPRENDE - Quilicura - General Warehouse</v>
      </c>
      <c r="I14" s="105" t="s">
        <v>78</v>
      </c>
      <c r="J14" s="106">
        <f>IFERROR(VLOOKUP(I14,'Data Validation'!$B$2:$C$8,2,FALSE),)</f>
        <v>0.5</v>
      </c>
      <c r="L14" s="100" t="s">
        <v>120</v>
      </c>
      <c r="M14" s="107">
        <v>12</v>
      </c>
      <c r="N14" s="6" t="s">
        <v>168</v>
      </c>
      <c r="P14" s="108">
        <v>10454467.05652477</v>
      </c>
      <c r="Q14" s="109">
        <v>0.7</v>
      </c>
      <c r="R14" s="106">
        <v>0</v>
      </c>
      <c r="S14" s="106">
        <v>0.15</v>
      </c>
      <c r="T14" s="106">
        <v>0.15</v>
      </c>
      <c r="U14" s="102">
        <f t="shared" si="1"/>
        <v>1</v>
      </c>
      <c r="V14" s="110">
        <v>45293</v>
      </c>
      <c r="W14" s="110">
        <v>45382</v>
      </c>
      <c r="X14" s="111">
        <v>45397</v>
      </c>
    </row>
    <row r="15" spans="1:32">
      <c r="A15" s="103">
        <f t="shared" si="2"/>
        <v>14</v>
      </c>
      <c r="B15" s="6" t="s">
        <v>150</v>
      </c>
      <c r="C15" s="104"/>
      <c r="D15" s="104"/>
      <c r="E15" s="6" t="s">
        <v>5</v>
      </c>
      <c r="F15" s="6" t="s">
        <v>82</v>
      </c>
      <c r="G15" s="6" t="s">
        <v>173</v>
      </c>
      <c r="H15" s="100" t="str">
        <f t="shared" si="0"/>
        <v>OSTIONES DEL NORTE - Quilicura - General Warehouse</v>
      </c>
      <c r="I15" s="105" t="s">
        <v>78</v>
      </c>
      <c r="J15" s="106">
        <f>IFERROR(VLOOKUP(I15,'Data Validation'!$B$2:$C$8,2,FALSE),)</f>
        <v>0.5</v>
      </c>
      <c r="L15" s="100" t="s">
        <v>120</v>
      </c>
      <c r="M15" s="107">
        <v>12</v>
      </c>
      <c r="N15" s="6" t="s">
        <v>168</v>
      </c>
      <c r="P15" s="108">
        <v>1236196.3390836697</v>
      </c>
      <c r="Q15" s="109">
        <v>0.75</v>
      </c>
      <c r="R15" s="106">
        <v>0</v>
      </c>
      <c r="S15" s="106">
        <v>0.2</v>
      </c>
      <c r="T15" s="106">
        <v>0.05</v>
      </c>
      <c r="U15" s="102">
        <f t="shared" si="1"/>
        <v>1</v>
      </c>
      <c r="V15" s="110">
        <v>45293</v>
      </c>
      <c r="W15" s="110">
        <v>45383</v>
      </c>
      <c r="X15" s="111">
        <v>45444</v>
      </c>
    </row>
    <row r="16" spans="1:32">
      <c r="A16" s="103">
        <f t="shared" si="2"/>
        <v>15</v>
      </c>
      <c r="B16" s="6" t="s">
        <v>151</v>
      </c>
      <c r="C16" s="104"/>
      <c r="D16" s="104"/>
      <c r="E16" s="6" t="s">
        <v>121</v>
      </c>
      <c r="F16" s="6" t="s">
        <v>82</v>
      </c>
      <c r="G16" s="6" t="s">
        <v>174</v>
      </c>
      <c r="H16" s="100" t="str">
        <f t="shared" si="0"/>
        <v>FRUTOS DEL MAIPO/WATT'S - Buin - General Warehouse</v>
      </c>
      <c r="I16" s="105" t="s">
        <v>78</v>
      </c>
      <c r="J16" s="106">
        <f>IFERROR(VLOOKUP(I16,'Data Validation'!$B$2:$C$8,2,FALSE),)</f>
        <v>0.5</v>
      </c>
      <c r="L16" s="100" t="s">
        <v>120</v>
      </c>
      <c r="M16" s="107">
        <v>12</v>
      </c>
      <c r="N16" s="6" t="s">
        <v>168</v>
      </c>
      <c r="P16" s="108">
        <f>520*750*30</f>
        <v>11700000</v>
      </c>
      <c r="Q16" s="109">
        <v>0.75</v>
      </c>
      <c r="R16" s="106">
        <v>0</v>
      </c>
      <c r="S16" s="106">
        <v>0.2</v>
      </c>
      <c r="T16" s="106">
        <v>0.05</v>
      </c>
      <c r="U16" s="102">
        <f t="shared" si="1"/>
        <v>1</v>
      </c>
      <c r="V16" s="110">
        <v>45293</v>
      </c>
      <c r="W16" s="110">
        <v>45376</v>
      </c>
      <c r="X16" s="111">
        <v>45378</v>
      </c>
    </row>
    <row r="17" spans="1:24">
      <c r="A17" s="103">
        <f t="shared" si="2"/>
        <v>16</v>
      </c>
      <c r="B17" s="6" t="s">
        <v>152</v>
      </c>
      <c r="C17" s="104"/>
      <c r="D17" s="104"/>
      <c r="E17" s="6" t="s">
        <v>121</v>
      </c>
      <c r="F17" s="6" t="s">
        <v>82</v>
      </c>
      <c r="G17" s="6" t="s">
        <v>171</v>
      </c>
      <c r="H17" s="100" t="str">
        <f t="shared" si="0"/>
        <v>NOBLE CORRAL - Buin - General Warehouse</v>
      </c>
      <c r="I17" s="105" t="s">
        <v>78</v>
      </c>
      <c r="J17" s="106">
        <f>IFERROR(VLOOKUP(I17,'Data Validation'!$B$2:$C$8,2,FALSE),)</f>
        <v>0.5</v>
      </c>
      <c r="L17" s="100" t="s">
        <v>120</v>
      </c>
      <c r="M17" s="107">
        <v>12</v>
      </c>
      <c r="N17" s="6" t="s">
        <v>168</v>
      </c>
      <c r="P17" s="108">
        <v>882112.15</v>
      </c>
      <c r="Q17" s="109">
        <v>0.75</v>
      </c>
      <c r="R17" s="106">
        <v>0</v>
      </c>
      <c r="S17" s="106">
        <v>0.2</v>
      </c>
      <c r="T17" s="106">
        <v>0.05</v>
      </c>
      <c r="U17" s="102">
        <f t="shared" si="1"/>
        <v>1</v>
      </c>
      <c r="V17" s="110">
        <v>45293</v>
      </c>
      <c r="W17" s="110">
        <v>45407</v>
      </c>
      <c r="X17" s="111">
        <v>45413</v>
      </c>
    </row>
    <row r="18" spans="1:24">
      <c r="A18" s="103">
        <f t="shared" si="2"/>
        <v>17</v>
      </c>
      <c r="B18" s="6" t="s">
        <v>153</v>
      </c>
      <c r="C18" s="104"/>
      <c r="D18" s="104"/>
      <c r="E18" s="6" t="s">
        <v>5</v>
      </c>
      <c r="F18" s="6" t="s">
        <v>82</v>
      </c>
      <c r="G18" s="6" t="s">
        <v>171</v>
      </c>
      <c r="H18" s="100" t="str">
        <f t="shared" si="0"/>
        <v>SADIA - Quilicura - General Warehouse</v>
      </c>
      <c r="I18" s="105" t="s">
        <v>78</v>
      </c>
      <c r="J18" s="106">
        <f>IFERROR(VLOOKUP(I18,'Data Validation'!$B$2:$C$8,2,FALSE),)</f>
        <v>0.5</v>
      </c>
      <c r="L18" s="100" t="s">
        <v>120</v>
      </c>
      <c r="M18" s="107">
        <v>12</v>
      </c>
      <c r="N18" s="6" t="s">
        <v>168</v>
      </c>
      <c r="P18" s="108">
        <v>297092114.07761878</v>
      </c>
      <c r="Q18" s="109">
        <v>0.75</v>
      </c>
      <c r="R18" s="106">
        <v>0</v>
      </c>
      <c r="S18" s="106">
        <v>0.2</v>
      </c>
      <c r="T18" s="106">
        <v>0.05</v>
      </c>
      <c r="U18" s="102">
        <f t="shared" si="1"/>
        <v>1</v>
      </c>
      <c r="V18" s="110">
        <v>45293</v>
      </c>
      <c r="W18" s="110">
        <v>45412</v>
      </c>
      <c r="X18" s="111">
        <v>45474</v>
      </c>
    </row>
    <row r="19" spans="1:24">
      <c r="A19" s="103">
        <f t="shared" si="2"/>
        <v>18</v>
      </c>
      <c r="B19" s="6" t="s">
        <v>154</v>
      </c>
      <c r="C19" s="104"/>
      <c r="D19" s="104"/>
      <c r="E19" s="6" t="s">
        <v>5</v>
      </c>
      <c r="F19" s="6" t="s">
        <v>82</v>
      </c>
      <c r="G19" s="6" t="s">
        <v>171</v>
      </c>
      <c r="H19" s="100" t="str">
        <f t="shared" si="0"/>
        <v>FRIGOSORNO - Quilicura - General Warehouse</v>
      </c>
      <c r="I19" s="105" t="s">
        <v>79</v>
      </c>
      <c r="J19" s="106">
        <f>IFERROR(VLOOKUP(I19,'Data Validation'!$B$2:$C$8,2,FALSE),)</f>
        <v>0.7</v>
      </c>
      <c r="L19" s="100" t="s">
        <v>120</v>
      </c>
      <c r="M19" s="107">
        <v>12</v>
      </c>
      <c r="N19" s="6" t="s">
        <v>168</v>
      </c>
      <c r="P19" s="108">
        <v>4623814.9847077401</v>
      </c>
      <c r="Q19" s="109">
        <v>0.75</v>
      </c>
      <c r="R19" s="106">
        <v>0</v>
      </c>
      <c r="S19" s="106">
        <v>0.2</v>
      </c>
      <c r="T19" s="106">
        <v>0.05</v>
      </c>
      <c r="U19" s="102">
        <f t="shared" si="1"/>
        <v>1</v>
      </c>
      <c r="V19" s="110">
        <v>45293</v>
      </c>
      <c r="W19" s="110">
        <v>45383</v>
      </c>
      <c r="X19" s="111">
        <v>45397</v>
      </c>
    </row>
    <row r="20" spans="1:24">
      <c r="A20" s="103">
        <f t="shared" si="2"/>
        <v>19</v>
      </c>
      <c r="B20" s="6" t="s">
        <v>155</v>
      </c>
      <c r="C20" s="104"/>
      <c r="D20" s="104"/>
      <c r="E20" s="6" t="s">
        <v>5</v>
      </c>
      <c r="F20" s="6" t="s">
        <v>82</v>
      </c>
      <c r="G20" s="6" t="s">
        <v>169</v>
      </c>
      <c r="H20" s="100" t="str">
        <f t="shared" si="0"/>
        <v>QUINTA SA - Quilicura - General Warehouse</v>
      </c>
      <c r="I20" s="105" t="s">
        <v>78</v>
      </c>
      <c r="J20" s="106">
        <f>IFERROR(VLOOKUP(I20,'Data Validation'!$B$2:$C$8,2,FALSE),)</f>
        <v>0.5</v>
      </c>
      <c r="L20" s="100" t="s">
        <v>120</v>
      </c>
      <c r="M20" s="107">
        <v>12</v>
      </c>
      <c r="N20" s="6" t="s">
        <v>168</v>
      </c>
      <c r="P20" s="108">
        <v>618098.16954183485</v>
      </c>
      <c r="Q20" s="109">
        <v>0.75</v>
      </c>
      <c r="R20" s="106">
        <v>0</v>
      </c>
      <c r="S20" s="106">
        <v>0.2</v>
      </c>
      <c r="T20" s="106">
        <v>0.05</v>
      </c>
      <c r="U20" s="102">
        <f t="shared" si="1"/>
        <v>1</v>
      </c>
      <c r="V20" s="110">
        <v>45293</v>
      </c>
      <c r="W20" s="110">
        <v>45383</v>
      </c>
      <c r="X20" s="111">
        <v>45383</v>
      </c>
    </row>
    <row r="21" spans="1:24">
      <c r="A21" s="103">
        <f t="shared" si="2"/>
        <v>20</v>
      </c>
      <c r="B21" s="6" t="s">
        <v>156</v>
      </c>
      <c r="C21" s="104"/>
      <c r="D21" s="104"/>
      <c r="E21" s="6" t="s">
        <v>121</v>
      </c>
      <c r="F21" s="6" t="s">
        <v>82</v>
      </c>
      <c r="G21" s="6" t="s">
        <v>174</v>
      </c>
      <c r="H21" s="100" t="str">
        <f t="shared" si="0"/>
        <v>GRIN GROUP - Buin - General Warehouse</v>
      </c>
      <c r="I21" s="105" t="s">
        <v>79</v>
      </c>
      <c r="J21" s="106">
        <f>IFERROR(VLOOKUP(I21,'Data Validation'!$B$2:$C$8,2,FALSE),)</f>
        <v>0.7</v>
      </c>
      <c r="L21" s="100" t="s">
        <v>120</v>
      </c>
      <c r="M21" s="107">
        <v>4</v>
      </c>
      <c r="N21" s="6" t="s">
        <v>168</v>
      </c>
      <c r="P21" s="108">
        <v>655796.1875</v>
      </c>
      <c r="Q21" s="109">
        <v>0.75</v>
      </c>
      <c r="R21" s="106">
        <v>0</v>
      </c>
      <c r="S21" s="106">
        <v>0.2</v>
      </c>
      <c r="T21" s="106">
        <v>0.05</v>
      </c>
      <c r="U21" s="102">
        <f t="shared" si="1"/>
        <v>1</v>
      </c>
      <c r="V21" s="110">
        <v>45293</v>
      </c>
      <c r="W21" s="110">
        <v>45627</v>
      </c>
      <c r="X21" s="111">
        <v>45658</v>
      </c>
    </row>
    <row r="22" spans="1:24">
      <c r="A22" s="103">
        <f t="shared" si="2"/>
        <v>21</v>
      </c>
      <c r="B22" s="6" t="s">
        <v>157</v>
      </c>
      <c r="C22" s="114"/>
      <c r="D22" s="114"/>
      <c r="E22" s="6" t="s">
        <v>121</v>
      </c>
      <c r="F22" s="6" t="s">
        <v>82</v>
      </c>
      <c r="G22" s="6" t="s">
        <v>170</v>
      </c>
      <c r="H22" s="100" t="str">
        <f t="shared" si="0"/>
        <v>FBS FOODS - Buin - General Warehouse</v>
      </c>
      <c r="I22" s="105" t="s">
        <v>91</v>
      </c>
      <c r="J22" s="106">
        <f>IFERROR(VLOOKUP(I22,'Data Validation'!$B$2:$C$8,2,FALSE),)</f>
        <v>1</v>
      </c>
      <c r="L22" s="100" t="s">
        <v>120</v>
      </c>
      <c r="M22" s="107">
        <v>12</v>
      </c>
      <c r="N22" s="6" t="s">
        <v>168</v>
      </c>
      <c r="P22" s="108">
        <v>2694623.125</v>
      </c>
      <c r="Q22" s="109">
        <v>0.75</v>
      </c>
      <c r="R22" s="106">
        <v>0</v>
      </c>
      <c r="S22" s="106">
        <v>0.2</v>
      </c>
      <c r="T22" s="106">
        <v>0.05</v>
      </c>
      <c r="U22" s="102">
        <f t="shared" si="1"/>
        <v>1</v>
      </c>
      <c r="V22" s="110">
        <v>45293</v>
      </c>
      <c r="W22" s="110">
        <v>45337</v>
      </c>
      <c r="X22" s="111">
        <v>45337</v>
      </c>
    </row>
    <row r="23" spans="1:24">
      <c r="A23" s="103">
        <f t="shared" si="2"/>
        <v>22</v>
      </c>
      <c r="B23" s="6" t="s">
        <v>158</v>
      </c>
      <c r="C23" s="104"/>
      <c r="D23" s="104"/>
      <c r="E23" s="6" t="s">
        <v>5</v>
      </c>
      <c r="F23" s="6" t="s">
        <v>82</v>
      </c>
      <c r="G23" s="6" t="s">
        <v>170</v>
      </c>
      <c r="H23" s="100" t="str">
        <f t="shared" si="0"/>
        <v>VITAL JUGOS - Quilicura - General Warehouse</v>
      </c>
      <c r="I23" s="105" t="s">
        <v>79</v>
      </c>
      <c r="J23" s="106">
        <f>IFERROR(VLOOKUP(I23,'Data Validation'!$B$2:$C$8,2,FALSE),)</f>
        <v>0.7</v>
      </c>
      <c r="L23" s="100" t="s">
        <v>120</v>
      </c>
      <c r="M23" s="107">
        <v>12</v>
      </c>
      <c r="N23" s="6" t="s">
        <v>168</v>
      </c>
      <c r="P23" s="108">
        <v>1207585.2506292195</v>
      </c>
      <c r="Q23" s="109">
        <v>0.75</v>
      </c>
      <c r="R23" s="106">
        <v>0</v>
      </c>
      <c r="S23" s="106">
        <v>0.2</v>
      </c>
      <c r="T23" s="106">
        <v>0.05</v>
      </c>
      <c r="U23" s="102">
        <f t="shared" si="1"/>
        <v>1</v>
      </c>
      <c r="V23" s="110">
        <v>45293</v>
      </c>
      <c r="W23" s="95">
        <v>45376</v>
      </c>
      <c r="X23" s="111">
        <v>45383</v>
      </c>
    </row>
    <row r="24" spans="1:24">
      <c r="A24" s="103">
        <f t="shared" si="2"/>
        <v>23</v>
      </c>
      <c r="B24" s="6" t="s">
        <v>159</v>
      </c>
      <c r="C24" s="114"/>
      <c r="D24" s="114"/>
      <c r="E24" s="6" t="s">
        <v>5</v>
      </c>
      <c r="F24" s="6" t="s">
        <v>82</v>
      </c>
      <c r="G24" s="6" t="s">
        <v>173</v>
      </c>
      <c r="H24" s="100" t="str">
        <f t="shared" si="0"/>
        <v>SALMONES AYSÉN - Quilicura - General Warehouse</v>
      </c>
      <c r="I24" s="105" t="s">
        <v>91</v>
      </c>
      <c r="J24" s="106">
        <f>IFERROR(VLOOKUP(I24,'Data Validation'!$B$2:$C$8,2,FALSE),)</f>
        <v>1</v>
      </c>
      <c r="L24" s="100" t="s">
        <v>120</v>
      </c>
      <c r="M24" s="107">
        <v>3</v>
      </c>
      <c r="N24" s="6" t="s">
        <v>168</v>
      </c>
      <c r="P24" s="108">
        <v>11432390.698923023</v>
      </c>
      <c r="Q24" s="109">
        <v>0.75</v>
      </c>
      <c r="R24" s="106">
        <v>0</v>
      </c>
      <c r="S24" s="106">
        <v>0.2</v>
      </c>
      <c r="T24" s="106">
        <v>0.05</v>
      </c>
      <c r="U24" s="102">
        <f t="shared" si="1"/>
        <v>1</v>
      </c>
      <c r="V24" s="110">
        <v>45293</v>
      </c>
      <c r="W24" s="95">
        <v>45331</v>
      </c>
      <c r="X24" s="111">
        <v>45342</v>
      </c>
    </row>
    <row r="25" spans="1:24">
      <c r="A25" s="103">
        <f t="shared" si="2"/>
        <v>24</v>
      </c>
      <c r="B25" s="6" t="s">
        <v>160</v>
      </c>
      <c r="C25" s="104"/>
      <c r="D25" s="104"/>
      <c r="E25" s="6" t="s">
        <v>5</v>
      </c>
      <c r="F25" s="6" t="s">
        <v>82</v>
      </c>
      <c r="G25" s="6" t="s">
        <v>175</v>
      </c>
      <c r="H25" s="100" t="str">
        <f t="shared" si="0"/>
        <v>NESTLÉ  - Quilicura - General Warehouse</v>
      </c>
      <c r="I25" s="105" t="s">
        <v>79</v>
      </c>
      <c r="J25" s="106">
        <f>IFERROR(VLOOKUP(I25,'Data Validation'!$B$2:$C$8,2,FALSE),)</f>
        <v>0.7</v>
      </c>
      <c r="L25" s="100" t="s">
        <v>120</v>
      </c>
      <c r="M25" s="107">
        <v>12</v>
      </c>
      <c r="N25" s="6" t="s">
        <v>168</v>
      </c>
      <c r="P25" s="108">
        <v>105793632.5</v>
      </c>
      <c r="Q25" s="109">
        <v>0.82</v>
      </c>
      <c r="R25" s="106">
        <v>0</v>
      </c>
      <c r="S25" s="106">
        <v>0.18</v>
      </c>
      <c r="T25" s="106">
        <v>0</v>
      </c>
      <c r="U25" s="102">
        <f t="shared" si="1"/>
        <v>1</v>
      </c>
      <c r="V25" s="110">
        <v>45293</v>
      </c>
      <c r="W25" s="95">
        <v>45381</v>
      </c>
      <c r="X25" s="111">
        <v>45458</v>
      </c>
    </row>
    <row r="26" spans="1:24">
      <c r="A26" s="103">
        <f t="shared" si="2"/>
        <v>25</v>
      </c>
      <c r="B26" s="6" t="s">
        <v>161</v>
      </c>
      <c r="C26" s="104"/>
      <c r="D26" s="104"/>
      <c r="E26" s="6" t="s">
        <v>5</v>
      </c>
      <c r="F26" s="6" t="s">
        <v>82</v>
      </c>
      <c r="G26" s="6" t="s">
        <v>175</v>
      </c>
      <c r="H26" s="100" t="str">
        <f t="shared" si="0"/>
        <v>TRENDY - Quilicura - General Warehouse</v>
      </c>
      <c r="I26" s="105" t="s">
        <v>79</v>
      </c>
      <c r="J26" s="106">
        <f>IFERROR(VLOOKUP(I26,'Data Validation'!$B$2:$C$8,2,FALSE),)</f>
        <v>0.7</v>
      </c>
      <c r="L26" s="100" t="s">
        <v>120</v>
      </c>
      <c r="M26" s="107">
        <v>12</v>
      </c>
      <c r="N26" s="6" t="s">
        <v>168</v>
      </c>
      <c r="P26" s="108">
        <v>33654501.751863122</v>
      </c>
      <c r="Q26" s="109">
        <v>0.75</v>
      </c>
      <c r="R26" s="106">
        <v>0</v>
      </c>
      <c r="S26" s="106">
        <v>0.2</v>
      </c>
      <c r="T26" s="106">
        <v>0.05</v>
      </c>
      <c r="U26" s="102">
        <f t="shared" si="1"/>
        <v>1</v>
      </c>
      <c r="V26" s="110">
        <v>45293</v>
      </c>
      <c r="W26" s="95">
        <v>45366</v>
      </c>
      <c r="X26" s="111">
        <v>45369</v>
      </c>
    </row>
    <row r="27" spans="1:24">
      <c r="A27" s="103">
        <f t="shared" si="2"/>
        <v>26</v>
      </c>
      <c r="B27" s="6" t="s">
        <v>162</v>
      </c>
      <c r="C27" s="104"/>
      <c r="D27" s="104"/>
      <c r="E27" s="6" t="s">
        <v>5</v>
      </c>
      <c r="F27" s="6" t="s">
        <v>82</v>
      </c>
      <c r="G27" s="6" t="s">
        <v>170</v>
      </c>
      <c r="H27" s="100" t="str">
        <f t="shared" si="0"/>
        <v>FRUTÍCOLA OLMUÉ - Quilicura - General Warehouse</v>
      </c>
      <c r="I27" s="105" t="s">
        <v>79</v>
      </c>
      <c r="J27" s="106">
        <f>IFERROR(VLOOKUP(I27,'Data Validation'!$B$2:$C$8,2,FALSE),)</f>
        <v>0.7</v>
      </c>
      <c r="L27" s="100" t="s">
        <v>120</v>
      </c>
      <c r="M27" s="107">
        <v>12</v>
      </c>
      <c r="N27" s="6" t="s">
        <v>168</v>
      </c>
      <c r="P27" s="108">
        <v>5097250.3936460465</v>
      </c>
      <c r="Q27" s="109">
        <v>0.75</v>
      </c>
      <c r="R27" s="106">
        <v>0</v>
      </c>
      <c r="S27" s="106">
        <v>0.2</v>
      </c>
      <c r="T27" s="106">
        <v>0.05</v>
      </c>
      <c r="U27" s="102">
        <f t="shared" si="1"/>
        <v>1</v>
      </c>
      <c r="V27" s="110">
        <v>45293</v>
      </c>
      <c r="W27" s="95">
        <v>45373</v>
      </c>
      <c r="X27" s="111">
        <v>45373</v>
      </c>
    </row>
    <row r="28" spans="1:24">
      <c r="A28" s="103">
        <f t="shared" si="2"/>
        <v>27</v>
      </c>
      <c r="B28" s="6" t="s">
        <v>163</v>
      </c>
      <c r="C28" s="104"/>
      <c r="D28" s="104"/>
      <c r="E28" s="6" t="s">
        <v>5</v>
      </c>
      <c r="F28" s="6" t="s">
        <v>82</v>
      </c>
      <c r="G28" s="6" t="s">
        <v>171</v>
      </c>
      <c r="H28" s="100" t="str">
        <f t="shared" si="0"/>
        <v>SURFOODS - Quilicura - General Warehouse</v>
      </c>
      <c r="I28" s="105" t="s">
        <v>79</v>
      </c>
      <c r="J28" s="106">
        <f>IFERROR(VLOOKUP(I28,'Data Validation'!$B$2:$C$8,2,FALSE),)</f>
        <v>0.7</v>
      </c>
      <c r="L28" s="100" t="s">
        <v>120</v>
      </c>
      <c r="M28" s="107">
        <v>12</v>
      </c>
      <c r="N28" s="6" t="s">
        <v>168</v>
      </c>
      <c r="P28" s="108">
        <v>39074678.378511511</v>
      </c>
      <c r="Q28" s="109">
        <v>0.6</v>
      </c>
      <c r="R28" s="106">
        <v>0</v>
      </c>
      <c r="S28" s="106">
        <v>0.1</v>
      </c>
      <c r="T28" s="106">
        <v>0.3</v>
      </c>
      <c r="U28" s="102">
        <f t="shared" si="1"/>
        <v>1</v>
      </c>
      <c r="V28" s="110">
        <v>45293</v>
      </c>
      <c r="W28" s="95">
        <v>45382</v>
      </c>
      <c r="X28" s="111">
        <v>45397</v>
      </c>
    </row>
    <row r="29" spans="1:24">
      <c r="A29" s="103">
        <f t="shared" si="2"/>
        <v>28</v>
      </c>
      <c r="B29" s="6" t="s">
        <v>164</v>
      </c>
      <c r="C29" s="114"/>
      <c r="D29" s="114"/>
      <c r="E29" s="6" t="s">
        <v>5</v>
      </c>
      <c r="F29" s="6" t="s">
        <v>82</v>
      </c>
      <c r="G29" s="6" t="s">
        <v>171</v>
      </c>
      <c r="H29" s="100" t="str">
        <f t="shared" si="0"/>
        <v>CIAL - Quilicura - General Warehouse</v>
      </c>
      <c r="I29" s="105" t="s">
        <v>91</v>
      </c>
      <c r="J29" s="106">
        <f>IFERROR(VLOOKUP(I29,'Data Validation'!$B$2:$C$8,2,FALSE),)</f>
        <v>1</v>
      </c>
      <c r="L29" s="100" t="s">
        <v>120</v>
      </c>
      <c r="M29" s="107">
        <v>12</v>
      </c>
      <c r="N29" s="6" t="s">
        <v>168</v>
      </c>
      <c r="P29" s="108">
        <v>42611126.993883297</v>
      </c>
      <c r="Q29" s="109">
        <v>0.75</v>
      </c>
      <c r="R29" s="106">
        <v>0</v>
      </c>
      <c r="S29" s="106">
        <v>0.2</v>
      </c>
      <c r="T29" s="106">
        <v>0.05</v>
      </c>
      <c r="U29" s="102">
        <f t="shared" si="1"/>
        <v>1</v>
      </c>
      <c r="V29" s="110">
        <v>45293</v>
      </c>
      <c r="W29" s="95">
        <v>45331</v>
      </c>
      <c r="X29" s="111">
        <v>45342</v>
      </c>
    </row>
    <row r="30" spans="1:24">
      <c r="A30" s="103">
        <f t="shared" si="2"/>
        <v>29</v>
      </c>
      <c r="B30" s="6" t="s">
        <v>165</v>
      </c>
      <c r="C30" s="114"/>
      <c r="D30" s="114"/>
      <c r="E30" s="6" t="s">
        <v>5</v>
      </c>
      <c r="F30" s="6" t="s">
        <v>82</v>
      </c>
      <c r="G30" s="6" t="s">
        <v>176</v>
      </c>
      <c r="H30" s="100" t="str">
        <f t="shared" si="0"/>
        <v>AXIONLOG - Quilicura - General Warehouse</v>
      </c>
      <c r="I30" s="105" t="s">
        <v>90</v>
      </c>
      <c r="J30" s="106">
        <f>IFERROR(VLOOKUP(I30,'Data Validation'!$B$2:$C$8,2,FALSE),)</f>
        <v>0.9</v>
      </c>
      <c r="L30" s="100" t="s">
        <v>120</v>
      </c>
      <c r="M30" s="107">
        <v>12</v>
      </c>
      <c r="N30" s="6" t="s">
        <v>168</v>
      </c>
      <c r="P30" s="108">
        <v>16445080.188612467</v>
      </c>
      <c r="Q30" s="109">
        <v>0.75</v>
      </c>
      <c r="R30" s="106">
        <v>0</v>
      </c>
      <c r="S30" s="106">
        <v>0.2</v>
      </c>
      <c r="T30" s="106">
        <v>0.05</v>
      </c>
      <c r="U30" s="102">
        <f t="shared" si="1"/>
        <v>1</v>
      </c>
      <c r="V30" s="110">
        <v>45293</v>
      </c>
      <c r="W30" s="95">
        <v>45369</v>
      </c>
      <c r="X30" s="111">
        <v>45373</v>
      </c>
    </row>
    <row r="31" spans="1:24">
      <c r="A31" s="103">
        <f t="shared" si="2"/>
        <v>30</v>
      </c>
      <c r="B31" s="6" t="s">
        <v>166</v>
      </c>
      <c r="C31" s="114"/>
      <c r="D31" s="114">
        <v>43</v>
      </c>
      <c r="E31" s="6" t="s">
        <v>5</v>
      </c>
      <c r="F31" s="6" t="s">
        <v>82</v>
      </c>
      <c r="G31" s="6" t="s">
        <v>177</v>
      </c>
      <c r="H31" s="100" t="str">
        <f t="shared" si="0"/>
        <v>WALMART CHILE SA - Quilicura - General Warehouse</v>
      </c>
      <c r="I31" s="105" t="s">
        <v>90</v>
      </c>
      <c r="J31" s="106">
        <f>IFERROR(VLOOKUP(I31,'Data Validation'!$B$2:$C$8,2,FALSE),)</f>
        <v>0.9</v>
      </c>
      <c r="L31" s="100" t="s">
        <v>120</v>
      </c>
      <c r="M31" s="107">
        <v>12</v>
      </c>
      <c r="N31" s="6" t="s">
        <v>168</v>
      </c>
      <c r="P31" s="108">
        <v>37455491.172932461</v>
      </c>
      <c r="Q31" s="109">
        <v>0.75</v>
      </c>
      <c r="R31" s="106">
        <v>0</v>
      </c>
      <c r="S31" s="106">
        <v>0.2</v>
      </c>
      <c r="T31" s="106">
        <v>0.05</v>
      </c>
      <c r="U31" s="102">
        <f t="shared" si="1"/>
        <v>1</v>
      </c>
      <c r="V31" s="110">
        <v>45293</v>
      </c>
      <c r="W31" s="95">
        <v>45337</v>
      </c>
      <c r="X31" s="111">
        <v>45369</v>
      </c>
    </row>
    <row r="32" spans="1:24">
      <c r="A32" s="103">
        <f t="shared" si="2"/>
        <v>31</v>
      </c>
      <c r="B32" s="6" t="s">
        <v>167</v>
      </c>
      <c r="C32" s="114"/>
      <c r="D32" s="114"/>
      <c r="E32" s="6" t="s">
        <v>121</v>
      </c>
      <c r="F32" s="6" t="s">
        <v>82</v>
      </c>
      <c r="G32" s="6" t="s">
        <v>170</v>
      </c>
      <c r="H32" s="100" t="str">
        <f t="shared" si="0"/>
        <v>VALLE FRÍO (IMPORTS) - Buin - General Warehouse</v>
      </c>
      <c r="I32" s="105" t="s">
        <v>91</v>
      </c>
      <c r="J32" s="106">
        <f>IFERROR(VLOOKUP(I32,'Data Validation'!$B$2:$C$8,2,FALSE),)</f>
        <v>1</v>
      </c>
      <c r="L32" s="100" t="s">
        <v>120</v>
      </c>
      <c r="M32" s="107">
        <v>12</v>
      </c>
      <c r="N32" s="6" t="s">
        <v>168</v>
      </c>
      <c r="P32" s="108">
        <v>10148377.739525003</v>
      </c>
      <c r="Q32" s="109">
        <v>0.75</v>
      </c>
      <c r="R32" s="106">
        <v>0</v>
      </c>
      <c r="S32" s="106">
        <v>0.2</v>
      </c>
      <c r="T32" s="106">
        <v>0.05</v>
      </c>
      <c r="U32" s="102">
        <f t="shared" si="1"/>
        <v>1</v>
      </c>
      <c r="V32" s="110">
        <v>45293</v>
      </c>
      <c r="W32" s="95">
        <v>45337</v>
      </c>
      <c r="X32" s="111">
        <v>45351</v>
      </c>
    </row>
    <row r="33" spans="3:24">
      <c r="C33" s="60"/>
      <c r="D33" s="60"/>
      <c r="X33" s="111"/>
    </row>
  </sheetData>
  <autoFilter ref="A1:AF33" xr:uid="{21D28E10-6282-4462-B9EC-FB1BEAB18D43}"/>
  <phoneticPr fontId="9" type="noConversion"/>
  <pageMargins left="0.7" right="0.7" top="0.75" bottom="0.75" header="0.3" footer="0.3"/>
  <pageSetup paperSize="9" orientation="portrait" r:id="rId1"/>
  <ignoredErrors>
    <ignoredError sqref="U7 U2:U5" formulaRange="1"/>
  </ignoredErrors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71337287-F6D4-41A1-AF40-4AB5DBDD9809}">
          <x14:formula1>
            <xm:f>'Data Validation'!$D$2:$D$5</xm:f>
          </x14:formula1>
          <xm:sqref>O2:O1048576</xm:sqref>
        </x14:dataValidation>
        <x14:dataValidation type="list" allowBlank="1" showInputMessage="1" showErrorMessage="1" xr:uid="{83425294-7254-44FD-BC1B-F3EC5C3DAC90}">
          <x14:formula1>
            <xm:f>'Data Validation'!$G$2:$G$12</xm:f>
          </x14:formula1>
          <xm:sqref>O2:O8</xm:sqref>
        </x14:dataValidation>
        <x14:dataValidation type="list" allowBlank="1" showInputMessage="1" showErrorMessage="1" xr:uid="{5A218106-6560-44BD-AA85-DFB6C00DD8D1}">
          <x14:formula1>
            <xm:f>'Data Validation'!$E$2:$E$12</xm:f>
          </x14:formula1>
          <xm:sqref>K2:K8</xm:sqref>
        </x14:dataValidation>
        <x14:dataValidation type="list" allowBlank="1" showInputMessage="1" showErrorMessage="1" xr:uid="{49496694-C5B4-4429-A57F-78F97C56852C}">
          <x14:formula1>
            <xm:f>'Data Validation'!$F$2:$F$9</xm:f>
          </x14:formula1>
          <xm:sqref>F2:F1048576</xm:sqref>
        </x14:dataValidation>
        <x14:dataValidation type="list" allowBlank="1" showInputMessage="1" showErrorMessage="1" xr:uid="{D2F2E6DF-DF52-47C5-9FA7-45E5D1BA8FE5}">
          <x14:formula1>
            <xm:f>'Data Validation'!$B$2:$B$8</xm:f>
          </x14:formula1>
          <xm:sqref>I2:I1048576</xm:sqref>
        </x14:dataValidation>
        <x14:dataValidation type="list" allowBlank="1" showInputMessage="1" showErrorMessage="1" xr:uid="{B2A7C1C7-DC38-483D-9066-963AAF0167F0}">
          <x14:formula1>
            <xm:f>'Data Validation'!G3:G8</xm:f>
          </x14:formula1>
          <xm:sqref>C3:C6</xm:sqref>
        </x14:dataValidation>
        <x14:dataValidation type="list" allowBlank="1" showInputMessage="1" showErrorMessage="1" xr:uid="{279F6FE8-149D-4241-853F-A28DD62348A5}">
          <x14:formula1>
            <xm:f>'Data Validation'!G6:G11</xm:f>
          </x14:formula1>
          <xm:sqref>C7:C32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1037D-65E1-4F94-B599-7331C289886D}">
  <dimension ref="A1:J12"/>
  <sheetViews>
    <sheetView showGridLines="0" workbookViewId="0">
      <selection activeCell="A2" sqref="A2"/>
    </sheetView>
  </sheetViews>
  <sheetFormatPr defaultColWidth="9.140625" defaultRowHeight="15"/>
  <cols>
    <col min="1" max="1" width="21.28515625" customWidth="1"/>
    <col min="2" max="2" width="24.7109375" bestFit="1" customWidth="1"/>
    <col min="3" max="3" width="17.5703125" customWidth="1"/>
    <col min="4" max="5" width="35.140625" customWidth="1"/>
    <col min="6" max="7" width="22.140625" customWidth="1"/>
    <col min="8" max="8" width="40.42578125" bestFit="1" customWidth="1"/>
    <col min="9" max="9" width="33.7109375" customWidth="1"/>
    <col min="10" max="10" width="11.28515625" bestFit="1" customWidth="1"/>
  </cols>
  <sheetData>
    <row r="1" spans="1:10" ht="15.75">
      <c r="A1" s="97" t="s">
        <v>126</v>
      </c>
      <c r="B1" s="97" t="s">
        <v>74</v>
      </c>
      <c r="C1" s="97" t="s">
        <v>89</v>
      </c>
      <c r="D1" s="97" t="s">
        <v>94</v>
      </c>
      <c r="E1" s="97" t="s">
        <v>99</v>
      </c>
      <c r="F1" s="97" t="s">
        <v>75</v>
      </c>
      <c r="G1" s="97" t="s">
        <v>116</v>
      </c>
      <c r="H1" s="97" t="s">
        <v>8</v>
      </c>
      <c r="I1" s="97" t="s">
        <v>74</v>
      </c>
      <c r="J1" s="97" t="s">
        <v>89</v>
      </c>
    </row>
    <row r="2" spans="1:10">
      <c r="A2" t="s">
        <v>127</v>
      </c>
      <c r="B2" t="s">
        <v>76</v>
      </c>
      <c r="C2" s="91">
        <v>0.1</v>
      </c>
      <c r="D2" s="92" t="s">
        <v>95</v>
      </c>
      <c r="E2" s="92" t="s">
        <v>100</v>
      </c>
      <c r="F2" t="s">
        <v>82</v>
      </c>
      <c r="G2" s="92" t="s">
        <v>117</v>
      </c>
      <c r="H2" s="92" t="s">
        <v>133</v>
      </c>
      <c r="I2" s="92" t="s">
        <v>134</v>
      </c>
      <c r="J2" s="99">
        <v>0.1</v>
      </c>
    </row>
    <row r="3" spans="1:10">
      <c r="A3" t="s">
        <v>128</v>
      </c>
      <c r="B3" t="s">
        <v>77</v>
      </c>
      <c r="C3" s="91">
        <v>0.25</v>
      </c>
      <c r="D3" s="92" t="s">
        <v>96</v>
      </c>
      <c r="E3" s="92" t="s">
        <v>101</v>
      </c>
      <c r="F3" t="s">
        <v>83</v>
      </c>
      <c r="G3" s="92" t="s">
        <v>118</v>
      </c>
      <c r="H3" s="92" t="s">
        <v>45</v>
      </c>
      <c r="I3" s="92" t="s">
        <v>77</v>
      </c>
      <c r="J3" s="99">
        <v>0.25</v>
      </c>
    </row>
    <row r="4" spans="1:10">
      <c r="A4" t="s">
        <v>129</v>
      </c>
      <c r="B4" t="s">
        <v>78</v>
      </c>
      <c r="C4" s="91">
        <v>0.5</v>
      </c>
      <c r="D4" s="92" t="s">
        <v>97</v>
      </c>
      <c r="E4" s="92" t="s">
        <v>102</v>
      </c>
      <c r="F4" t="s">
        <v>84</v>
      </c>
      <c r="G4" s="92" t="s">
        <v>119</v>
      </c>
      <c r="H4" s="92" t="s">
        <v>6</v>
      </c>
      <c r="I4" s="92" t="s">
        <v>78</v>
      </c>
      <c r="J4" s="99">
        <v>0.5</v>
      </c>
    </row>
    <row r="5" spans="1:10">
      <c r="A5" t="s">
        <v>130</v>
      </c>
      <c r="B5" t="s">
        <v>79</v>
      </c>
      <c r="C5" s="91">
        <v>0.7</v>
      </c>
      <c r="D5" s="92" t="s">
        <v>98</v>
      </c>
      <c r="E5" s="92" t="s">
        <v>103</v>
      </c>
      <c r="F5" t="s">
        <v>85</v>
      </c>
      <c r="G5" s="92" t="s">
        <v>137</v>
      </c>
      <c r="H5" s="92" t="s">
        <v>46</v>
      </c>
      <c r="I5" s="92" t="s">
        <v>79</v>
      </c>
      <c r="J5" s="99">
        <v>0.7</v>
      </c>
    </row>
    <row r="6" spans="1:10">
      <c r="B6" t="s">
        <v>90</v>
      </c>
      <c r="C6" s="91">
        <v>0.9</v>
      </c>
      <c r="D6" s="92"/>
      <c r="E6" s="92" t="s">
        <v>104</v>
      </c>
      <c r="G6" s="92"/>
      <c r="H6" s="92" t="s">
        <v>7</v>
      </c>
      <c r="I6" s="92" t="s">
        <v>90</v>
      </c>
      <c r="J6" s="99">
        <v>0.9</v>
      </c>
    </row>
    <row r="7" spans="1:10">
      <c r="B7" t="s">
        <v>91</v>
      </c>
      <c r="C7" s="91">
        <v>1</v>
      </c>
      <c r="D7" s="92"/>
      <c r="E7" s="92" t="s">
        <v>105</v>
      </c>
      <c r="G7" s="92"/>
      <c r="H7" s="92" t="s">
        <v>55</v>
      </c>
      <c r="I7" s="92" t="s">
        <v>122</v>
      </c>
      <c r="J7" s="99" t="s">
        <v>135</v>
      </c>
    </row>
    <row r="8" spans="1:10">
      <c r="B8" t="s">
        <v>92</v>
      </c>
      <c r="C8" s="91">
        <v>1</v>
      </c>
      <c r="D8" s="92"/>
      <c r="E8" s="92"/>
      <c r="G8" s="92"/>
      <c r="H8" s="92" t="s">
        <v>54</v>
      </c>
      <c r="I8" s="92" t="s">
        <v>122</v>
      </c>
      <c r="J8" s="99" t="s">
        <v>135</v>
      </c>
    </row>
    <row r="9" spans="1:10">
      <c r="D9" s="92"/>
      <c r="E9" s="92"/>
      <c r="G9" s="92"/>
      <c r="H9" s="92" t="s">
        <v>48</v>
      </c>
      <c r="I9" s="92" t="s">
        <v>122</v>
      </c>
      <c r="J9" s="99" t="s">
        <v>135</v>
      </c>
    </row>
    <row r="10" spans="1:10">
      <c r="D10" s="92"/>
      <c r="E10" s="92"/>
      <c r="G10" s="92"/>
      <c r="H10" s="92" t="s">
        <v>50</v>
      </c>
      <c r="I10" s="92" t="s">
        <v>122</v>
      </c>
      <c r="J10" s="99" t="s">
        <v>135</v>
      </c>
    </row>
    <row r="11" spans="1:10">
      <c r="D11" s="92"/>
      <c r="E11" s="92"/>
      <c r="G11" s="92"/>
      <c r="H11" s="92" t="s">
        <v>51</v>
      </c>
      <c r="I11" s="92" t="s">
        <v>122</v>
      </c>
      <c r="J11" s="99" t="s">
        <v>135</v>
      </c>
    </row>
    <row r="12" spans="1:10">
      <c r="D12" s="92"/>
      <c r="E12" s="92"/>
      <c r="G12" s="92"/>
      <c r="H12" s="92" t="s">
        <v>43</v>
      </c>
      <c r="I12" s="92" t="s">
        <v>91</v>
      </c>
      <c r="J12" s="99" t="s">
        <v>135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D2631FCD7BB2B47851F4F2A33ADD5FF" ma:contentTypeVersion="12" ma:contentTypeDescription="Create a new document." ma:contentTypeScope="" ma:versionID="136a4cb3986c49ff9d2753746983a945">
  <xsd:schema xmlns:xsd="http://www.w3.org/2001/XMLSchema" xmlns:xs="http://www.w3.org/2001/XMLSchema" xmlns:p="http://schemas.microsoft.com/office/2006/metadata/properties" xmlns:ns3="b0a18d6b-bf8b-42e2-99c9-e18539683d63" xmlns:ns4="bb776b5b-0d5a-4f64-94d4-c3b6af0c3ddd" targetNamespace="http://schemas.microsoft.com/office/2006/metadata/properties" ma:root="true" ma:fieldsID="8ff8fc1248cbe54e3500d64981c9e02a" ns3:_="" ns4:_="">
    <xsd:import namespace="b0a18d6b-bf8b-42e2-99c9-e18539683d63"/>
    <xsd:import namespace="bb776b5b-0d5a-4f64-94d4-c3b6af0c3dd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a18d6b-bf8b-42e2-99c9-e18539683d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776b5b-0d5a-4f64-94d4-c3b6af0c3ddd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0a18d6b-bf8b-42e2-99c9-e18539683d6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1596671-C5AF-4BCE-B728-9074545D08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a18d6b-bf8b-42e2-99c9-e18539683d63"/>
    <ds:schemaRef ds:uri="bb776b5b-0d5a-4f64-94d4-c3b6af0c3dd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8194485-CFB3-4EC5-9B72-6A78B1F1E523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b0a18d6b-bf8b-42e2-99c9-e18539683d63"/>
    <ds:schemaRef ds:uri="http://schemas.microsoft.com/office/2006/documentManagement/types"/>
    <ds:schemaRef ds:uri="http://schemas.microsoft.com/office/infopath/2007/PartnerControls"/>
    <ds:schemaRef ds:uri="bb776b5b-0d5a-4f64-94d4-c3b6af0c3ddd"/>
    <ds:schemaRef ds:uri="http://purl.org/dc/elements/1.1/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160A5EE-F72E-45CA-B0B5-FA909DF823B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Hoja1</vt:lpstr>
      <vt:lpstr>Pipeline Database</vt:lpstr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Hughes</dc:creator>
  <cp:lastModifiedBy>Gomes, Fabricio</cp:lastModifiedBy>
  <dcterms:created xsi:type="dcterms:W3CDTF">2023-04-28T21:22:21Z</dcterms:created>
  <dcterms:modified xsi:type="dcterms:W3CDTF">2024-03-13T13:05:32Z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0x0101004D2631FCD7BB2B47851F4F2A33ADD5FF</vt:lpwstr>
  </property>
  <property fmtid="{D5CDD505-2E9C-101B-9397-08002B2CF9AE}" pid="3" name="WorkbookGuid">
    <vt:lpwstr>24e8851b-d144-4068-9b8e-20ed6d079b23</vt:lpwstr>
  </property>
</Properties>
</file>