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orvinus-my.sharepoint.com/personal/mridul_bangani_stud_uni-corvinus_hu/Documents/MSc Finance/Complex Exam/My Final/Previous year questions/"/>
    </mc:Choice>
  </mc:AlternateContent>
  <xr:revisionPtr revIDLastSave="84" documentId="13_ncr:1_{45E98CB6-ABCE-1E48-A660-46FDFB4FF0AA}" xr6:coauthVersionLast="47" xr6:coauthVersionMax="47" xr10:uidLastSave="{DAE61C1A-E5D5-C14A-8845-A78FC17DD214}"/>
  <bookViews>
    <workbookView xWindow="-20" yWindow="500" windowWidth="28800" windowHeight="15920" activeTab="7" xr2:uid="{B105DFFA-5B35-4F4B-A0FD-A775111CC883}"/>
  </bookViews>
  <sheets>
    <sheet name="ICF" sheetId="1" r:id="rId1"/>
    <sheet name="ABV" sheetId="2" r:id="rId2"/>
    <sheet name="Bonds" sheetId="3" r:id="rId3"/>
    <sheet name="Futures - Forwards" sheetId="4" r:id="rId4"/>
    <sheet name="Swap" sheetId="5" r:id="rId5"/>
    <sheet name="Option" sheetId="6" r:id="rId6"/>
    <sheet name="Investments" sheetId="7" r:id="rId7"/>
    <sheet name="Risk+Bank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7" i="2" l="1"/>
  <c r="P372" i="1"/>
  <c r="L6" i="1"/>
  <c r="O4" i="2"/>
  <c r="C521" i="8"/>
  <c r="C522" i="8" s="1"/>
  <c r="M455" i="8"/>
  <c r="J232" i="8"/>
  <c r="C201" i="8"/>
  <c r="Q117" i="8"/>
  <c r="Q104" i="8"/>
  <c r="O58" i="8"/>
  <c r="M63" i="8" s="1"/>
  <c r="N63" i="8" s="1"/>
  <c r="O57" i="8"/>
  <c r="T57" i="8" s="1"/>
  <c r="L496" i="6" l="1"/>
  <c r="L495" i="6"/>
  <c r="C489" i="6"/>
  <c r="C486" i="6"/>
  <c r="C487" i="6" s="1"/>
  <c r="C484" i="6"/>
  <c r="C468" i="6"/>
  <c r="C470" i="6" s="1"/>
  <c r="C448" i="6"/>
  <c r="F447" i="6" s="1"/>
  <c r="C435" i="6"/>
  <c r="C434" i="6"/>
  <c r="D417" i="6"/>
  <c r="D393" i="6"/>
  <c r="D391" i="6"/>
  <c r="F175" i="6"/>
  <c r="G176" i="6" s="1"/>
  <c r="G177" i="6" s="1"/>
  <c r="G174" i="6"/>
  <c r="G175" i="6" s="1"/>
  <c r="F173" i="6"/>
  <c r="G172" i="6" s="1"/>
  <c r="G173" i="6" s="1"/>
  <c r="E174" i="6"/>
  <c r="C172" i="6"/>
  <c r="C176" i="6" s="1"/>
  <c r="C178" i="6" s="1"/>
  <c r="C179" i="6" s="1"/>
  <c r="C157" i="6"/>
  <c r="C155" i="6"/>
  <c r="D76" i="6"/>
  <c r="J26" i="6"/>
  <c r="J24" i="6"/>
  <c r="J22" i="6"/>
  <c r="C29" i="6"/>
  <c r="C30" i="6" s="1"/>
  <c r="C28" i="6"/>
  <c r="F24" i="6"/>
  <c r="G23" i="6" s="1"/>
  <c r="G24" i="6" s="1"/>
  <c r="G21" i="6"/>
  <c r="G22" i="6" s="1"/>
  <c r="F23" i="6" s="1"/>
  <c r="F22" i="6"/>
  <c r="E23" i="6"/>
  <c r="G77" i="5"/>
  <c r="F77" i="5"/>
  <c r="E77" i="5"/>
  <c r="E76" i="5"/>
  <c r="F76" i="5" s="1"/>
  <c r="G76" i="5" s="1"/>
  <c r="G78" i="5" s="1"/>
  <c r="D77" i="5"/>
  <c r="D76" i="5"/>
  <c r="H12" i="5"/>
  <c r="H13" i="5" s="1"/>
  <c r="I13" i="5" s="1"/>
  <c r="C212" i="4"/>
  <c r="C218" i="4" s="1"/>
  <c r="I163" i="4"/>
  <c r="C132" i="4"/>
  <c r="C109" i="4"/>
  <c r="C116" i="4" s="1"/>
  <c r="G94" i="4"/>
  <c r="G93" i="4"/>
  <c r="F94" i="4"/>
  <c r="F93" i="4"/>
  <c r="F92" i="4"/>
  <c r="G92" i="4" s="1"/>
  <c r="G95" i="4" s="1"/>
  <c r="C98" i="4" s="1"/>
  <c r="K46" i="4"/>
  <c r="J47" i="4"/>
  <c r="K47" i="4" s="1"/>
  <c r="K48" i="4" s="1"/>
  <c r="G52" i="4" s="1"/>
  <c r="J46" i="4"/>
  <c r="K32" i="4"/>
  <c r="H17" i="4"/>
  <c r="H18" i="4" s="1"/>
  <c r="C20" i="4" s="1"/>
  <c r="H16" i="4"/>
  <c r="C196" i="3"/>
  <c r="L175" i="3"/>
  <c r="G160" i="3"/>
  <c r="G158" i="3"/>
  <c r="K156" i="3"/>
  <c r="M156" i="3" s="1"/>
  <c r="K155" i="3"/>
  <c r="K154" i="3"/>
  <c r="R115" i="3"/>
  <c r="R114" i="3"/>
  <c r="S114" i="3" s="1"/>
  <c r="R113" i="3"/>
  <c r="S113" i="3" s="1"/>
  <c r="R112" i="3"/>
  <c r="S112" i="3" s="1"/>
  <c r="N118" i="3" s="1"/>
  <c r="Q114" i="3"/>
  <c r="Q113" i="3"/>
  <c r="Q112" i="3"/>
  <c r="H105" i="3"/>
  <c r="G105" i="3"/>
  <c r="I105" i="3" s="1"/>
  <c r="G104" i="3"/>
  <c r="H104" i="3" s="1"/>
  <c r="G103" i="3"/>
  <c r="H103" i="3" s="1"/>
  <c r="C103" i="3"/>
  <c r="Q41" i="3"/>
  <c r="S41" i="3" s="1"/>
  <c r="Q40" i="3"/>
  <c r="Q39" i="3"/>
  <c r="M43" i="3"/>
  <c r="P29" i="3"/>
  <c r="P30" i="3"/>
  <c r="R30" i="3" s="1"/>
  <c r="P28" i="3"/>
  <c r="M32" i="3"/>
  <c r="M19" i="3"/>
  <c r="N3" i="3"/>
  <c r="K6" i="3" s="1"/>
  <c r="F564" i="2"/>
  <c r="F565" i="2" s="1"/>
  <c r="F566" i="2" s="1"/>
  <c r="F568" i="2" s="1"/>
  <c r="F569" i="2" s="1"/>
  <c r="L512" i="2"/>
  <c r="M511" i="2"/>
  <c r="M512" i="2" s="1"/>
  <c r="L511" i="2"/>
  <c r="K511" i="2"/>
  <c r="M510" i="2"/>
  <c r="L510" i="2"/>
  <c r="K510" i="2"/>
  <c r="J510" i="2"/>
  <c r="M509" i="2"/>
  <c r="L509" i="2"/>
  <c r="K509" i="2"/>
  <c r="F481" i="2"/>
  <c r="F483" i="2" s="1"/>
  <c r="F484" i="2" s="1"/>
  <c r="F486" i="2" s="1"/>
  <c r="F489" i="2" s="1"/>
  <c r="H453" i="2"/>
  <c r="H452" i="2"/>
  <c r="C452" i="2"/>
  <c r="C434" i="2"/>
  <c r="C430" i="2"/>
  <c r="L376" i="2"/>
  <c r="L373" i="2"/>
  <c r="L374" i="2" s="1"/>
  <c r="L377" i="2" s="1"/>
  <c r="L372" i="2"/>
  <c r="C218" i="2"/>
  <c r="K191" i="2"/>
  <c r="K188" i="2"/>
  <c r="K187" i="2"/>
  <c r="K189" i="2" s="1"/>
  <c r="K192" i="2" s="1"/>
  <c r="K194" i="2" s="1"/>
  <c r="O44" i="2"/>
  <c r="O33" i="2"/>
  <c r="O29" i="2"/>
  <c r="O28" i="2"/>
  <c r="L30" i="2"/>
  <c r="O7" i="2"/>
  <c r="O5" i="2"/>
  <c r="O6" i="2"/>
  <c r="O9" i="2" s="1"/>
  <c r="O11" i="2" s="1"/>
  <c r="O13" i="2" s="1"/>
  <c r="M611" i="1"/>
  <c r="L611" i="1"/>
  <c r="N610" i="1"/>
  <c r="N611" i="1" s="1"/>
  <c r="M610" i="1"/>
  <c r="L610" i="1"/>
  <c r="K610" i="1"/>
  <c r="D586" i="1"/>
  <c r="D585" i="1"/>
  <c r="D584" i="1"/>
  <c r="D583" i="1"/>
  <c r="D582" i="1"/>
  <c r="D581" i="1"/>
  <c r="F564" i="1"/>
  <c r="F563" i="1"/>
  <c r="F566" i="1" s="1"/>
  <c r="F568" i="1" s="1"/>
  <c r="C549" i="1"/>
  <c r="C550" i="1" s="1"/>
  <c r="I520" i="1"/>
  <c r="F523" i="1"/>
  <c r="F525" i="1" s="1"/>
  <c r="F520" i="1"/>
  <c r="M492" i="1"/>
  <c r="M493" i="1" s="1"/>
  <c r="L492" i="1"/>
  <c r="K492" i="1"/>
  <c r="M491" i="1"/>
  <c r="L491" i="1"/>
  <c r="K491" i="1"/>
  <c r="J491" i="1"/>
  <c r="M490" i="1"/>
  <c r="L490" i="1"/>
  <c r="K490" i="1"/>
  <c r="C446" i="1"/>
  <c r="C444" i="1"/>
  <c r="C425" i="1"/>
  <c r="C427" i="1" s="1"/>
  <c r="O375" i="1"/>
  <c r="O377" i="1" s="1"/>
  <c r="O372" i="1"/>
  <c r="L274" i="1"/>
  <c r="L275" i="1" s="1"/>
  <c r="L265" i="1"/>
  <c r="C109" i="1"/>
  <c r="C108" i="1"/>
  <c r="C107" i="1"/>
  <c r="C106" i="1"/>
  <c r="C61" i="1"/>
  <c r="C59" i="1"/>
  <c r="J31" i="1"/>
  <c r="L10" i="1"/>
  <c r="F176" i="6" l="1"/>
  <c r="J176" i="6"/>
  <c r="J104" i="3"/>
  <c r="C490" i="6"/>
  <c r="J103" i="3"/>
  <c r="J106" i="3" s="1"/>
  <c r="F174" i="6"/>
  <c r="J105" i="3"/>
  <c r="O15" i="2"/>
  <c r="O16" i="2"/>
  <c r="O17" i="2" s="1"/>
  <c r="I564" i="2"/>
  <c r="I565" i="2" s="1"/>
  <c r="I567" i="2" s="1"/>
  <c r="I103" i="3"/>
  <c r="G25" i="6"/>
  <c r="G26" i="6" s="1"/>
  <c r="F25" i="6" s="1"/>
  <c r="E24" i="6" s="1"/>
  <c r="O379" i="1"/>
  <c r="I104" i="3"/>
  <c r="I175" i="6" l="1"/>
  <c r="I178" i="6" s="1"/>
  <c r="E175" i="6"/>
  <c r="C491" i="6"/>
  <c r="F489" i="6" s="1"/>
  <c r="F488" i="6"/>
  <c r="F490" i="6" s="1"/>
</calcChain>
</file>

<file path=xl/sharedStrings.xml><?xml version="1.0" encoding="utf-8"?>
<sst xmlns="http://schemas.openxmlformats.org/spreadsheetml/2006/main" count="466" uniqueCount="222">
  <si>
    <t>r</t>
  </si>
  <si>
    <t>t</t>
  </si>
  <si>
    <t>Chance of failure</t>
  </si>
  <si>
    <t>r on failure</t>
  </si>
  <si>
    <t>Chance of success</t>
  </si>
  <si>
    <t>r on success</t>
  </si>
  <si>
    <t>unlevered beta</t>
  </si>
  <si>
    <t>D/V</t>
  </si>
  <si>
    <t>rf</t>
  </si>
  <si>
    <t>prm</t>
  </si>
  <si>
    <t>rD</t>
  </si>
  <si>
    <t>rA</t>
  </si>
  <si>
    <t>E/V</t>
  </si>
  <si>
    <t>WACC</t>
  </si>
  <si>
    <t>Sales</t>
  </si>
  <si>
    <t>EBIT</t>
  </si>
  <si>
    <t>NI</t>
  </si>
  <si>
    <t>BV E</t>
  </si>
  <si>
    <t>Mkt E</t>
  </si>
  <si>
    <t>BV D</t>
  </si>
  <si>
    <t>Mkt D</t>
  </si>
  <si>
    <t>P/BV</t>
  </si>
  <si>
    <t>EV/BV</t>
  </si>
  <si>
    <t>P/E</t>
  </si>
  <si>
    <t>EV/S</t>
  </si>
  <si>
    <t>consistent</t>
  </si>
  <si>
    <t>If there is debt:</t>
  </si>
  <si>
    <t>WACC &gt; rD</t>
  </si>
  <si>
    <t>rA &gt; WACC</t>
  </si>
  <si>
    <t>rE &gt; rA &gt; WACC &gt; rD</t>
  </si>
  <si>
    <t>sigma i</t>
  </si>
  <si>
    <t>cov</t>
  </si>
  <si>
    <t>sigma m</t>
  </si>
  <si>
    <t>beta</t>
  </si>
  <si>
    <t>IC</t>
  </si>
  <si>
    <t>CF</t>
  </si>
  <si>
    <t>PV</t>
  </si>
  <si>
    <t>V</t>
  </si>
  <si>
    <r>
      <rPr>
        <b/>
        <i/>
        <sz val="11"/>
        <color theme="1"/>
        <rFont val="Aptos Narrow"/>
        <family val="2"/>
        <scheme val="minor"/>
      </rPr>
      <t>precautionary balance</t>
    </r>
    <r>
      <rPr>
        <sz val="12"/>
        <color theme="1"/>
        <rFont val="Aptos Narrow"/>
        <family val="2"/>
        <scheme val="minor"/>
      </rPr>
      <t>: to account for the uncertainty associated with its CFs</t>
    </r>
  </si>
  <si>
    <r>
      <rPr>
        <b/>
        <i/>
        <sz val="11"/>
        <color theme="1"/>
        <rFont val="Aptos Narrow"/>
        <family val="2"/>
        <scheme val="minor"/>
      </rPr>
      <t>compensating balance</t>
    </r>
    <r>
      <rPr>
        <sz val="12"/>
        <color theme="1"/>
        <rFont val="Aptos Narrow"/>
        <family val="2"/>
        <scheme val="minor"/>
      </rPr>
      <t>: to satisfy bank requirements</t>
    </r>
  </si>
  <si>
    <t>financial instrument &lt; 20%</t>
  </si>
  <si>
    <t>associate with at least 20%</t>
  </si>
  <si>
    <t>IFRS3: business combinations</t>
  </si>
  <si>
    <t>IFRS9: valuation of financial assets</t>
  </si>
  <si>
    <t>IFRS10: rules of group accounting, consolidated financial statements</t>
  </si>
  <si>
    <t>IFRS11: joint arrangements</t>
  </si>
  <si>
    <t>IFRS 12: Disclosure of Interests in Other Entities</t>
  </si>
  <si>
    <t>IAS 28R: dealing with associates and equity financing</t>
  </si>
  <si>
    <t>Beta U</t>
  </si>
  <si>
    <t>mrp</t>
  </si>
  <si>
    <t>rE</t>
  </si>
  <si>
    <t>discount</t>
  </si>
  <si>
    <t xml:space="preserve">full </t>
  </si>
  <si>
    <t>T</t>
  </si>
  <si>
    <t>EAR</t>
  </si>
  <si>
    <t>Commitment</t>
  </si>
  <si>
    <t>commitment fee</t>
  </si>
  <si>
    <t>borrow</t>
  </si>
  <si>
    <t>stay</t>
  </si>
  <si>
    <t>Total cost</t>
  </si>
  <si>
    <t>dIC</t>
  </si>
  <si>
    <t>NOPLAT</t>
  </si>
  <si>
    <t>dNOPLAT</t>
  </si>
  <si>
    <t>MRP</t>
  </si>
  <si>
    <t>Needs</t>
  </si>
  <si>
    <t>r JPN</t>
  </si>
  <si>
    <t>r US</t>
  </si>
  <si>
    <t>pemium</t>
  </si>
  <si>
    <t>effective rate</t>
  </si>
  <si>
    <t>Borrowed</t>
  </si>
  <si>
    <t>r annual</t>
  </si>
  <si>
    <t>warehouse fee</t>
  </si>
  <si>
    <t>interest/m</t>
  </si>
  <si>
    <t>warehouse/m</t>
  </si>
  <si>
    <t>total</t>
  </si>
  <si>
    <t>Days</t>
  </si>
  <si>
    <t>Outstanding</t>
  </si>
  <si>
    <t>10</t>
  </si>
  <si>
    <t>11-30</t>
  </si>
  <si>
    <t>31-40</t>
  </si>
  <si>
    <t>41-50</t>
  </si>
  <si>
    <t>51-60</t>
  </si>
  <si>
    <t>60</t>
  </si>
  <si>
    <t>weights</t>
  </si>
  <si>
    <t>RONIC</t>
  </si>
  <si>
    <t>g</t>
  </si>
  <si>
    <t xml:space="preserve">Key person discount </t>
  </si>
  <si>
    <t>Liquidity discount</t>
  </si>
  <si>
    <t>K</t>
  </si>
  <si>
    <t>FCFF</t>
  </si>
  <si>
    <t>E</t>
  </si>
  <si>
    <t>E after key person</t>
  </si>
  <si>
    <t>E60%</t>
  </si>
  <si>
    <t>E40%</t>
  </si>
  <si>
    <t>E40%*</t>
  </si>
  <si>
    <t>ROIC</t>
  </si>
  <si>
    <t>D/E</t>
  </si>
  <si>
    <t>Increased volume is operational synergie</t>
  </si>
  <si>
    <t>RONIC = WACC</t>
  </si>
  <si>
    <t>return on new invested capital - the new investments don't create value</t>
  </si>
  <si>
    <t>Exp seller</t>
  </si>
  <si>
    <t>controll premium</t>
  </si>
  <si>
    <t>current op</t>
  </si>
  <si>
    <t>synergies</t>
  </si>
  <si>
    <t>Transaction cost</t>
  </si>
  <si>
    <t>prob of failure</t>
  </si>
  <si>
    <t>return on failure</t>
  </si>
  <si>
    <t>prob of success</t>
  </si>
  <si>
    <t>&lt;</t>
  </si>
  <si>
    <t>creates value</t>
  </si>
  <si>
    <t>D</t>
  </si>
  <si>
    <t>shares</t>
  </si>
  <si>
    <t>P</t>
  </si>
  <si>
    <t>EV</t>
  </si>
  <si>
    <t>Price</t>
  </si>
  <si>
    <t>Cash</t>
  </si>
  <si>
    <t>A shares</t>
  </si>
  <si>
    <t>B</t>
  </si>
  <si>
    <t>Equity A</t>
  </si>
  <si>
    <t>Ewuity B</t>
  </si>
  <si>
    <t>Equity N</t>
  </si>
  <si>
    <t>B stake</t>
  </si>
  <si>
    <t>A stake</t>
  </si>
  <si>
    <t>B shares</t>
  </si>
  <si>
    <t>Fare ratio</t>
  </si>
  <si>
    <t>x</t>
  </si>
  <si>
    <t>Size discount</t>
  </si>
  <si>
    <t>minority discount</t>
  </si>
  <si>
    <t>E size</t>
  </si>
  <si>
    <t>E 40%</t>
  </si>
  <si>
    <t>E 40% disc</t>
  </si>
  <si>
    <t>N</t>
  </si>
  <si>
    <t>PV perpetuity</t>
  </si>
  <si>
    <t>DF1</t>
  </si>
  <si>
    <t>DF2</t>
  </si>
  <si>
    <t>DF3</t>
  </si>
  <si>
    <t>par yield</t>
  </si>
  <si>
    <t>&gt;2%</t>
  </si>
  <si>
    <t>Log1</t>
  </si>
  <si>
    <t>log1</t>
  </si>
  <si>
    <t>log2</t>
  </si>
  <si>
    <t>log3</t>
  </si>
  <si>
    <t>LF</t>
  </si>
  <si>
    <t>LU+SB</t>
  </si>
  <si>
    <t>-&gt;</t>
  </si>
  <si>
    <t>SF</t>
  </si>
  <si>
    <t>SU+LB</t>
  </si>
  <si>
    <t>Short 2 year coupon bond + long 1 year zero coupon bond</t>
  </si>
  <si>
    <t>rF</t>
  </si>
  <si>
    <t>r premium</t>
  </si>
  <si>
    <t>c</t>
  </si>
  <si>
    <t>cf</t>
  </si>
  <si>
    <t>PV rf</t>
  </si>
  <si>
    <t>PV premium</t>
  </si>
  <si>
    <t>w</t>
  </si>
  <si>
    <t>DF</t>
  </si>
  <si>
    <t>Perpetuity</t>
  </si>
  <si>
    <t>S</t>
  </si>
  <si>
    <t>f</t>
  </si>
  <si>
    <t>Mkt V</t>
  </si>
  <si>
    <t>portf</t>
  </si>
  <si>
    <t>-x</t>
  </si>
  <si>
    <t>zero coupon</t>
  </si>
  <si>
    <t>Portf d</t>
  </si>
  <si>
    <t>Short 3 year coupon bond + long 1 year zero coupon bond</t>
  </si>
  <si>
    <t>q</t>
  </si>
  <si>
    <t>F</t>
  </si>
  <si>
    <t>Sigma S</t>
  </si>
  <si>
    <t>Sigma F</t>
  </si>
  <si>
    <t>corr</t>
  </si>
  <si>
    <t>Hedge ratio</t>
  </si>
  <si>
    <t>I</t>
  </si>
  <si>
    <t>long</t>
  </si>
  <si>
    <t>paying fix, receiving forward</t>
  </si>
  <si>
    <t>fix</t>
  </si>
  <si>
    <t>par yield T=2</t>
  </si>
  <si>
    <t>CF fix</t>
  </si>
  <si>
    <t>CF floating</t>
  </si>
  <si>
    <t>diff</t>
  </si>
  <si>
    <t>u</t>
  </si>
  <si>
    <t>d</t>
  </si>
  <si>
    <t>1-q</t>
  </si>
  <si>
    <t>prob</t>
  </si>
  <si>
    <t>p</t>
  </si>
  <si>
    <t>c+PV(K)=p+S</t>
  </si>
  <si>
    <t>bondholder -&gt; short put</t>
  </si>
  <si>
    <t>stockholder -&gt; long call</t>
  </si>
  <si>
    <t>theta</t>
  </si>
  <si>
    <t>delta</t>
  </si>
  <si>
    <t>gamma</t>
  </si>
  <si>
    <t>buy 336</t>
  </si>
  <si>
    <t>Bear</t>
  </si>
  <si>
    <t>SP(K1)+LP(K2)</t>
  </si>
  <si>
    <t>SC(K1)+LC(K2)</t>
  </si>
  <si>
    <t>c delta</t>
  </si>
  <si>
    <t>put delta</t>
  </si>
  <si>
    <t>Siize</t>
  </si>
  <si>
    <t>k</t>
  </si>
  <si>
    <t>df</t>
  </si>
  <si>
    <t>AD1</t>
  </si>
  <si>
    <t>AD2</t>
  </si>
  <si>
    <t>vega</t>
  </si>
  <si>
    <t>Size</t>
  </si>
  <si>
    <t>Delta</t>
  </si>
  <si>
    <t>Delta new</t>
  </si>
  <si>
    <t xml:space="preserve">vol </t>
  </si>
  <si>
    <t>delta t</t>
  </si>
  <si>
    <t>1 day 99%</t>
  </si>
  <si>
    <t>10 day 95%</t>
  </si>
  <si>
    <t>mean</t>
  </si>
  <si>
    <t>sigma</t>
  </si>
  <si>
    <t>95% VaR</t>
  </si>
  <si>
    <t>10 days</t>
  </si>
  <si>
    <t>ES</t>
  </si>
  <si>
    <t>ratio</t>
  </si>
  <si>
    <t>&gt;</t>
  </si>
  <si>
    <t xml:space="preserve">We cannot </t>
  </si>
  <si>
    <t>PD 1y</t>
  </si>
  <si>
    <t>PD 2y</t>
  </si>
  <si>
    <t>Survie</t>
  </si>
  <si>
    <t>PD 2y*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</si>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</sst>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00%"/>
    <numFmt numFmtId="166" formatCode="0.0000%"/>
    <numFmt numFmtId="167" formatCode="0.0000000000000000%"/>
    <numFmt numFmtId="168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2" fillId="0" borderId="0" xfId="0" applyFont="1"/>
    <xf numFmtId="0" fontId="4" fillId="0" borderId="0" xfId="0" applyFont="1"/>
    <xf numFmtId="0" fontId="3" fillId="0" borderId="0" xfId="0" applyFont="1"/>
    <xf numFmtId="165" fontId="0" fillId="0" borderId="0" xfId="2" applyNumberFormat="1" applyFont="1"/>
    <xf numFmtId="167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2" borderId="0" xfId="0" applyFill="1"/>
    <xf numFmtId="10" fontId="0" fillId="2" borderId="0" xfId="2" applyNumberFormat="1" applyFont="1" applyFill="1"/>
    <xf numFmtId="9" fontId="0" fillId="2" borderId="0" xfId="0" applyNumberFormat="1" applyFill="1"/>
    <xf numFmtId="168" fontId="0" fillId="0" borderId="0" xfId="1" applyNumberFormat="1" applyFont="1"/>
    <xf numFmtId="168" fontId="0" fillId="0" borderId="0" xfId="0" applyNumberFormat="1"/>
    <xf numFmtId="0" fontId="0" fillId="0" borderId="1" xfId="0" applyBorder="1"/>
    <xf numFmtId="0" fontId="0" fillId="0" borderId="1" xfId="0" quotePrefix="1" applyBorder="1"/>
    <xf numFmtId="1" fontId="0" fillId="2" borderId="0" xfId="0" applyNumberFormat="1" applyFill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26" Type="http://schemas.openxmlformats.org/officeDocument/2006/relationships/image" Target="../media/image64.png"/><Relationship Id="rId39" Type="http://schemas.openxmlformats.org/officeDocument/2006/relationships/image" Target="../media/image77.png"/><Relationship Id="rId21" Type="http://schemas.openxmlformats.org/officeDocument/2006/relationships/image" Target="../media/image59.png"/><Relationship Id="rId34" Type="http://schemas.openxmlformats.org/officeDocument/2006/relationships/image" Target="../media/image72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2" Type="http://schemas.openxmlformats.org/officeDocument/2006/relationships/image" Target="../media/image40.png"/><Relationship Id="rId16" Type="http://schemas.openxmlformats.org/officeDocument/2006/relationships/image" Target="../media/image54.png"/><Relationship Id="rId20" Type="http://schemas.openxmlformats.org/officeDocument/2006/relationships/image" Target="../media/image58.png"/><Relationship Id="rId29" Type="http://schemas.openxmlformats.org/officeDocument/2006/relationships/image" Target="../media/image67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24" Type="http://schemas.openxmlformats.org/officeDocument/2006/relationships/image" Target="../media/image62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40" Type="http://schemas.openxmlformats.org/officeDocument/2006/relationships/image" Target="../media/image78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31" Type="http://schemas.openxmlformats.org/officeDocument/2006/relationships/image" Target="../media/image6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8" Type="http://schemas.openxmlformats.org/officeDocument/2006/relationships/image" Target="../media/image46.png"/><Relationship Id="rId3" Type="http://schemas.openxmlformats.org/officeDocument/2006/relationships/image" Target="../media/image4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6.png"/><Relationship Id="rId13" Type="http://schemas.openxmlformats.org/officeDocument/2006/relationships/image" Target="../media/image91.png"/><Relationship Id="rId3" Type="http://schemas.openxmlformats.org/officeDocument/2006/relationships/image" Target="../media/image81.png"/><Relationship Id="rId7" Type="http://schemas.openxmlformats.org/officeDocument/2006/relationships/image" Target="../media/image85.png"/><Relationship Id="rId12" Type="http://schemas.openxmlformats.org/officeDocument/2006/relationships/image" Target="../media/image90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Relationship Id="rId6" Type="http://schemas.openxmlformats.org/officeDocument/2006/relationships/image" Target="../media/image84.png"/><Relationship Id="rId11" Type="http://schemas.openxmlformats.org/officeDocument/2006/relationships/image" Target="../media/image89.png"/><Relationship Id="rId5" Type="http://schemas.openxmlformats.org/officeDocument/2006/relationships/image" Target="../media/image83.png"/><Relationship Id="rId10" Type="http://schemas.openxmlformats.org/officeDocument/2006/relationships/image" Target="../media/image88.png"/><Relationship Id="rId4" Type="http://schemas.openxmlformats.org/officeDocument/2006/relationships/image" Target="../media/image82.png"/><Relationship Id="rId9" Type="http://schemas.openxmlformats.org/officeDocument/2006/relationships/image" Target="../media/image8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png"/><Relationship Id="rId13" Type="http://schemas.openxmlformats.org/officeDocument/2006/relationships/image" Target="../media/image104.png"/><Relationship Id="rId3" Type="http://schemas.openxmlformats.org/officeDocument/2006/relationships/image" Target="../media/image94.png"/><Relationship Id="rId7" Type="http://schemas.openxmlformats.org/officeDocument/2006/relationships/image" Target="../media/image98.png"/><Relationship Id="rId12" Type="http://schemas.openxmlformats.org/officeDocument/2006/relationships/image" Target="../media/image103.png"/><Relationship Id="rId2" Type="http://schemas.openxmlformats.org/officeDocument/2006/relationships/image" Target="../media/image93.png"/><Relationship Id="rId1" Type="http://schemas.openxmlformats.org/officeDocument/2006/relationships/image" Target="../media/image92.png"/><Relationship Id="rId6" Type="http://schemas.openxmlformats.org/officeDocument/2006/relationships/image" Target="../media/image97.png"/><Relationship Id="rId11" Type="http://schemas.openxmlformats.org/officeDocument/2006/relationships/image" Target="../media/image102.png"/><Relationship Id="rId5" Type="http://schemas.openxmlformats.org/officeDocument/2006/relationships/image" Target="../media/image96.png"/><Relationship Id="rId10" Type="http://schemas.openxmlformats.org/officeDocument/2006/relationships/image" Target="../media/image101.png"/><Relationship Id="rId4" Type="http://schemas.openxmlformats.org/officeDocument/2006/relationships/image" Target="../media/image95.png"/><Relationship Id="rId9" Type="http://schemas.openxmlformats.org/officeDocument/2006/relationships/image" Target="../media/image100.png"/><Relationship Id="rId14" Type="http://schemas.openxmlformats.org/officeDocument/2006/relationships/image" Target="../media/image10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8.png"/><Relationship Id="rId2" Type="http://schemas.openxmlformats.org/officeDocument/2006/relationships/image" Target="../media/image107.png"/><Relationship Id="rId1" Type="http://schemas.openxmlformats.org/officeDocument/2006/relationships/image" Target="../media/image10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6.png"/><Relationship Id="rId13" Type="http://schemas.openxmlformats.org/officeDocument/2006/relationships/image" Target="../media/image121.png"/><Relationship Id="rId18" Type="http://schemas.openxmlformats.org/officeDocument/2006/relationships/image" Target="../media/image126.png"/><Relationship Id="rId26" Type="http://schemas.openxmlformats.org/officeDocument/2006/relationships/image" Target="../media/image134.png"/><Relationship Id="rId3" Type="http://schemas.openxmlformats.org/officeDocument/2006/relationships/image" Target="../media/image111.png"/><Relationship Id="rId21" Type="http://schemas.openxmlformats.org/officeDocument/2006/relationships/image" Target="../media/image129.png"/><Relationship Id="rId7" Type="http://schemas.openxmlformats.org/officeDocument/2006/relationships/image" Target="../media/image115.png"/><Relationship Id="rId12" Type="http://schemas.openxmlformats.org/officeDocument/2006/relationships/image" Target="../media/image120.png"/><Relationship Id="rId17" Type="http://schemas.openxmlformats.org/officeDocument/2006/relationships/image" Target="../media/image125.png"/><Relationship Id="rId25" Type="http://schemas.openxmlformats.org/officeDocument/2006/relationships/image" Target="../media/image133.png"/><Relationship Id="rId2" Type="http://schemas.openxmlformats.org/officeDocument/2006/relationships/image" Target="../media/image110.png"/><Relationship Id="rId16" Type="http://schemas.openxmlformats.org/officeDocument/2006/relationships/image" Target="../media/image124.png"/><Relationship Id="rId20" Type="http://schemas.openxmlformats.org/officeDocument/2006/relationships/image" Target="../media/image128.png"/><Relationship Id="rId29" Type="http://schemas.openxmlformats.org/officeDocument/2006/relationships/image" Target="../media/image137.png"/><Relationship Id="rId1" Type="http://schemas.openxmlformats.org/officeDocument/2006/relationships/image" Target="../media/image109.png"/><Relationship Id="rId6" Type="http://schemas.openxmlformats.org/officeDocument/2006/relationships/image" Target="../media/image114.png"/><Relationship Id="rId11" Type="http://schemas.openxmlformats.org/officeDocument/2006/relationships/image" Target="../media/image119.png"/><Relationship Id="rId24" Type="http://schemas.openxmlformats.org/officeDocument/2006/relationships/image" Target="../media/image132.png"/><Relationship Id="rId5" Type="http://schemas.openxmlformats.org/officeDocument/2006/relationships/image" Target="../media/image113.png"/><Relationship Id="rId15" Type="http://schemas.openxmlformats.org/officeDocument/2006/relationships/image" Target="../media/image123.png"/><Relationship Id="rId23" Type="http://schemas.openxmlformats.org/officeDocument/2006/relationships/image" Target="../media/image131.png"/><Relationship Id="rId28" Type="http://schemas.openxmlformats.org/officeDocument/2006/relationships/image" Target="../media/image136.png"/><Relationship Id="rId10" Type="http://schemas.openxmlformats.org/officeDocument/2006/relationships/image" Target="../media/image118.png"/><Relationship Id="rId19" Type="http://schemas.openxmlformats.org/officeDocument/2006/relationships/image" Target="../media/image127.png"/><Relationship Id="rId4" Type="http://schemas.openxmlformats.org/officeDocument/2006/relationships/image" Target="../media/image112.png"/><Relationship Id="rId9" Type="http://schemas.openxmlformats.org/officeDocument/2006/relationships/image" Target="../media/image117.png"/><Relationship Id="rId14" Type="http://schemas.openxmlformats.org/officeDocument/2006/relationships/image" Target="../media/image122.png"/><Relationship Id="rId22" Type="http://schemas.openxmlformats.org/officeDocument/2006/relationships/image" Target="../media/image130.png"/><Relationship Id="rId27" Type="http://schemas.openxmlformats.org/officeDocument/2006/relationships/image" Target="../media/image13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5.png"/><Relationship Id="rId13" Type="http://schemas.openxmlformats.org/officeDocument/2006/relationships/image" Target="../media/image150.png"/><Relationship Id="rId3" Type="http://schemas.openxmlformats.org/officeDocument/2006/relationships/image" Target="../media/image140.png"/><Relationship Id="rId7" Type="http://schemas.openxmlformats.org/officeDocument/2006/relationships/image" Target="../media/image144.png"/><Relationship Id="rId12" Type="http://schemas.openxmlformats.org/officeDocument/2006/relationships/image" Target="../media/image149.png"/><Relationship Id="rId2" Type="http://schemas.openxmlformats.org/officeDocument/2006/relationships/image" Target="../media/image139.png"/><Relationship Id="rId1" Type="http://schemas.openxmlformats.org/officeDocument/2006/relationships/image" Target="../media/image138.png"/><Relationship Id="rId6" Type="http://schemas.openxmlformats.org/officeDocument/2006/relationships/image" Target="../media/image143.png"/><Relationship Id="rId11" Type="http://schemas.openxmlformats.org/officeDocument/2006/relationships/image" Target="../media/image148.png"/><Relationship Id="rId5" Type="http://schemas.openxmlformats.org/officeDocument/2006/relationships/image" Target="../media/image142.png"/><Relationship Id="rId15" Type="http://schemas.openxmlformats.org/officeDocument/2006/relationships/image" Target="../media/image152.png"/><Relationship Id="rId10" Type="http://schemas.openxmlformats.org/officeDocument/2006/relationships/image" Target="../media/image147.png"/><Relationship Id="rId4" Type="http://schemas.openxmlformats.org/officeDocument/2006/relationships/image" Target="../media/image141.png"/><Relationship Id="rId9" Type="http://schemas.openxmlformats.org/officeDocument/2006/relationships/image" Target="../media/image146.png"/><Relationship Id="rId14" Type="http://schemas.openxmlformats.org/officeDocument/2006/relationships/image" Target="../media/image151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5.png"/><Relationship Id="rId18" Type="http://schemas.openxmlformats.org/officeDocument/2006/relationships/image" Target="../media/image170.png"/><Relationship Id="rId26" Type="http://schemas.openxmlformats.org/officeDocument/2006/relationships/image" Target="../media/image178.png"/><Relationship Id="rId39" Type="http://schemas.openxmlformats.org/officeDocument/2006/relationships/image" Target="../media/image189.png"/><Relationship Id="rId21" Type="http://schemas.openxmlformats.org/officeDocument/2006/relationships/image" Target="../media/image173.png"/><Relationship Id="rId34" Type="http://schemas.openxmlformats.org/officeDocument/2006/relationships/image" Target="../media/image185.png"/><Relationship Id="rId42" Type="http://schemas.openxmlformats.org/officeDocument/2006/relationships/image" Target="../media/image192.png"/><Relationship Id="rId47" Type="http://schemas.openxmlformats.org/officeDocument/2006/relationships/image" Target="../media/image197.png"/><Relationship Id="rId50" Type="http://schemas.openxmlformats.org/officeDocument/2006/relationships/image" Target="../media/image200.png"/><Relationship Id="rId55" Type="http://schemas.openxmlformats.org/officeDocument/2006/relationships/image" Target="../media/image205.png"/><Relationship Id="rId7" Type="http://schemas.openxmlformats.org/officeDocument/2006/relationships/image" Target="../media/image159.png"/><Relationship Id="rId2" Type="http://schemas.openxmlformats.org/officeDocument/2006/relationships/image" Target="../media/image154.png"/><Relationship Id="rId16" Type="http://schemas.openxmlformats.org/officeDocument/2006/relationships/image" Target="../media/image168.png"/><Relationship Id="rId29" Type="http://schemas.openxmlformats.org/officeDocument/2006/relationships/image" Target="../media/image181.png"/><Relationship Id="rId11" Type="http://schemas.openxmlformats.org/officeDocument/2006/relationships/image" Target="../media/image163.png"/><Relationship Id="rId24" Type="http://schemas.openxmlformats.org/officeDocument/2006/relationships/image" Target="../media/image176.png"/><Relationship Id="rId32" Type="http://schemas.openxmlformats.org/officeDocument/2006/relationships/image" Target="../media/image184.png"/><Relationship Id="rId37" Type="http://schemas.openxmlformats.org/officeDocument/2006/relationships/image" Target="../media/image187.png"/><Relationship Id="rId40" Type="http://schemas.openxmlformats.org/officeDocument/2006/relationships/image" Target="../media/image190.png"/><Relationship Id="rId45" Type="http://schemas.openxmlformats.org/officeDocument/2006/relationships/image" Target="../media/image195.png"/><Relationship Id="rId53" Type="http://schemas.openxmlformats.org/officeDocument/2006/relationships/image" Target="../media/image203.png"/><Relationship Id="rId5" Type="http://schemas.openxmlformats.org/officeDocument/2006/relationships/image" Target="../media/image157.png"/><Relationship Id="rId19" Type="http://schemas.openxmlformats.org/officeDocument/2006/relationships/image" Target="../media/image171.png"/><Relationship Id="rId4" Type="http://schemas.openxmlformats.org/officeDocument/2006/relationships/image" Target="../media/image156.png"/><Relationship Id="rId9" Type="http://schemas.openxmlformats.org/officeDocument/2006/relationships/image" Target="../media/image161.png"/><Relationship Id="rId14" Type="http://schemas.openxmlformats.org/officeDocument/2006/relationships/image" Target="../media/image166.png"/><Relationship Id="rId22" Type="http://schemas.openxmlformats.org/officeDocument/2006/relationships/image" Target="../media/image174.png"/><Relationship Id="rId27" Type="http://schemas.openxmlformats.org/officeDocument/2006/relationships/image" Target="../media/image179.png"/><Relationship Id="rId30" Type="http://schemas.openxmlformats.org/officeDocument/2006/relationships/image" Target="../media/image182.png"/><Relationship Id="rId35" Type="http://schemas.openxmlformats.org/officeDocument/2006/relationships/customXml" Target="../ink/ink2.xml"/><Relationship Id="rId43" Type="http://schemas.openxmlformats.org/officeDocument/2006/relationships/image" Target="../media/image193.png"/><Relationship Id="rId48" Type="http://schemas.openxmlformats.org/officeDocument/2006/relationships/image" Target="../media/image198.png"/><Relationship Id="rId56" Type="http://schemas.openxmlformats.org/officeDocument/2006/relationships/image" Target="../media/image206.png"/><Relationship Id="rId8" Type="http://schemas.openxmlformats.org/officeDocument/2006/relationships/image" Target="../media/image160.png"/><Relationship Id="rId51" Type="http://schemas.openxmlformats.org/officeDocument/2006/relationships/image" Target="../media/image201.png"/><Relationship Id="rId3" Type="http://schemas.openxmlformats.org/officeDocument/2006/relationships/image" Target="../media/image155.png"/><Relationship Id="rId12" Type="http://schemas.openxmlformats.org/officeDocument/2006/relationships/image" Target="../media/image164.png"/><Relationship Id="rId17" Type="http://schemas.openxmlformats.org/officeDocument/2006/relationships/image" Target="../media/image169.png"/><Relationship Id="rId25" Type="http://schemas.openxmlformats.org/officeDocument/2006/relationships/image" Target="../media/image177.png"/><Relationship Id="rId33" Type="http://schemas.openxmlformats.org/officeDocument/2006/relationships/customXml" Target="../ink/ink1.xml"/><Relationship Id="rId38" Type="http://schemas.openxmlformats.org/officeDocument/2006/relationships/image" Target="../media/image188.png"/><Relationship Id="rId46" Type="http://schemas.openxmlformats.org/officeDocument/2006/relationships/image" Target="../media/image196.png"/><Relationship Id="rId20" Type="http://schemas.openxmlformats.org/officeDocument/2006/relationships/image" Target="../media/image172.png"/><Relationship Id="rId41" Type="http://schemas.openxmlformats.org/officeDocument/2006/relationships/image" Target="../media/image191.png"/><Relationship Id="rId54" Type="http://schemas.openxmlformats.org/officeDocument/2006/relationships/image" Target="../media/image204.png"/><Relationship Id="rId1" Type="http://schemas.openxmlformats.org/officeDocument/2006/relationships/image" Target="../media/image153.png"/><Relationship Id="rId6" Type="http://schemas.openxmlformats.org/officeDocument/2006/relationships/image" Target="../media/image158.png"/><Relationship Id="rId15" Type="http://schemas.openxmlformats.org/officeDocument/2006/relationships/image" Target="../media/image167.png"/><Relationship Id="rId23" Type="http://schemas.openxmlformats.org/officeDocument/2006/relationships/image" Target="../media/image175.png"/><Relationship Id="rId28" Type="http://schemas.openxmlformats.org/officeDocument/2006/relationships/image" Target="../media/image180.png"/><Relationship Id="rId36" Type="http://schemas.openxmlformats.org/officeDocument/2006/relationships/image" Target="../media/image186.png"/><Relationship Id="rId49" Type="http://schemas.openxmlformats.org/officeDocument/2006/relationships/image" Target="../media/image199.png"/><Relationship Id="rId57" Type="http://schemas.openxmlformats.org/officeDocument/2006/relationships/image" Target="../media/image207.png"/><Relationship Id="rId10" Type="http://schemas.openxmlformats.org/officeDocument/2006/relationships/image" Target="../media/image162.png"/><Relationship Id="rId31" Type="http://schemas.openxmlformats.org/officeDocument/2006/relationships/image" Target="../media/image183.png"/><Relationship Id="rId44" Type="http://schemas.openxmlformats.org/officeDocument/2006/relationships/image" Target="../media/image194.png"/><Relationship Id="rId52" Type="http://schemas.openxmlformats.org/officeDocument/2006/relationships/image" Target="../media/image20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38100</xdr:rowOff>
    </xdr:from>
    <xdr:to>
      <xdr:col>8</xdr:col>
      <xdr:colOff>149442</xdr:colOff>
      <xdr:row>19</xdr:row>
      <xdr:rowOff>192907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CE92F-7CA2-5842-98AB-3D16945E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44500"/>
          <a:ext cx="7094033" cy="3609207"/>
        </a:xfrm>
        <a:prstGeom prst="rect">
          <a:avLst/>
        </a:prstGeom>
      </xdr:spPr>
    </xdr:pic>
    <xdr:clientData/>
  </xdr:twoCellAnchor>
  <xdr:twoCellAnchor>
    <xdr:from>
      <xdr:col>0</xdr:col>
      <xdr:colOff>689089</xdr:colOff>
      <xdr:row>12</xdr:row>
      <xdr:rowOff>47114</xdr:rowOff>
    </xdr:from>
    <xdr:to>
      <xdr:col>1</xdr:col>
      <xdr:colOff>26722</xdr:colOff>
      <xdr:row>13</xdr:row>
      <xdr:rowOff>1599</xdr:rowOff>
    </xdr:to>
    <xdr:sp macro="" textlink="">
      <xdr:nvSpPr>
        <xdr:cNvPr id="3" name="Multiplication Sign 25">
          <a:extLst>
            <a:ext uri="{FF2B5EF4-FFF2-40B4-BE49-F238E27FC236}">
              <a16:creationId xmlns:a16="http://schemas.microsoft.com/office/drawing/2014/main" id="{592A35D8-E420-3948-A02E-84859D64C8AE}"/>
            </a:ext>
          </a:extLst>
        </xdr:cNvPr>
        <xdr:cNvSpPr/>
      </xdr:nvSpPr>
      <xdr:spPr>
        <a:xfrm>
          <a:off x="689089" y="2485514"/>
          <a:ext cx="163133" cy="157685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533400</xdr:colOff>
      <xdr:row>22</xdr:row>
      <xdr:rowOff>101600</xdr:rowOff>
    </xdr:from>
    <xdr:to>
      <xdr:col>5</xdr:col>
      <xdr:colOff>575641</xdr:colOff>
      <xdr:row>39</xdr:row>
      <xdr:rowOff>98047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E68586-BF8B-7B4B-BD4D-A350F361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572000"/>
          <a:ext cx="4889408" cy="3450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41</xdr:row>
      <xdr:rowOff>12700</xdr:rowOff>
    </xdr:from>
    <xdr:to>
      <xdr:col>13</xdr:col>
      <xdr:colOff>375079</xdr:colOff>
      <xdr:row>51</xdr:row>
      <xdr:rowOff>164692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0FB88C-D728-944B-9ECE-0FAD80638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8343900"/>
          <a:ext cx="11936312" cy="2183992"/>
        </a:xfrm>
        <a:prstGeom prst="rect">
          <a:avLst/>
        </a:prstGeom>
      </xdr:spPr>
    </xdr:pic>
    <xdr:clientData/>
  </xdr:twoCellAnchor>
  <xdr:twoCellAnchor editAs="oneCell">
    <xdr:from>
      <xdr:col>0</xdr:col>
      <xdr:colOff>557017</xdr:colOff>
      <xdr:row>62</xdr:row>
      <xdr:rowOff>144824</xdr:rowOff>
    </xdr:from>
    <xdr:to>
      <xdr:col>10</xdr:col>
      <xdr:colOff>642511</xdr:colOff>
      <xdr:row>78</xdr:row>
      <xdr:rowOff>111025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43667A-F190-F94E-8459-415AF15F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017" y="12577456"/>
          <a:ext cx="9415537" cy="3174622"/>
        </a:xfrm>
        <a:prstGeom prst="rect">
          <a:avLst/>
        </a:prstGeom>
      </xdr:spPr>
    </xdr:pic>
    <xdr:clientData/>
  </xdr:twoCellAnchor>
  <xdr:twoCellAnchor editAs="oneCell">
    <xdr:from>
      <xdr:col>0</xdr:col>
      <xdr:colOff>512456</xdr:colOff>
      <xdr:row>80</xdr:row>
      <xdr:rowOff>11141</xdr:rowOff>
    </xdr:from>
    <xdr:to>
      <xdr:col>13</xdr:col>
      <xdr:colOff>216893</xdr:colOff>
      <xdr:row>96</xdr:row>
      <xdr:rowOff>177847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EF47FA-CC91-E848-8B3A-9D2149521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2456" y="16053246"/>
          <a:ext cx="11820905" cy="3375127"/>
        </a:xfrm>
        <a:prstGeom prst="rect">
          <a:avLst/>
        </a:prstGeom>
      </xdr:spPr>
    </xdr:pic>
    <xdr:clientData/>
  </xdr:twoCellAnchor>
  <xdr:twoCellAnchor editAs="oneCell">
    <xdr:from>
      <xdr:col>0</xdr:col>
      <xdr:colOff>412194</xdr:colOff>
      <xdr:row>109</xdr:row>
      <xdr:rowOff>178245</xdr:rowOff>
    </xdr:from>
    <xdr:to>
      <xdr:col>11</xdr:col>
      <xdr:colOff>124198</xdr:colOff>
      <xdr:row>120</xdr:row>
      <xdr:rowOff>189483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17DF53-0F11-764A-9947-9DED85D35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194" y="22035613"/>
          <a:ext cx="10179701" cy="2217028"/>
        </a:xfrm>
        <a:prstGeom prst="rect">
          <a:avLst/>
        </a:prstGeom>
      </xdr:spPr>
    </xdr:pic>
    <xdr:clientData/>
  </xdr:twoCellAnchor>
  <xdr:twoCellAnchor editAs="oneCell">
    <xdr:from>
      <xdr:col>0</xdr:col>
      <xdr:colOff>568158</xdr:colOff>
      <xdr:row>121</xdr:row>
      <xdr:rowOff>167106</xdr:rowOff>
    </xdr:from>
    <xdr:to>
      <xdr:col>10</xdr:col>
      <xdr:colOff>460124</xdr:colOff>
      <xdr:row>131</xdr:row>
      <xdr:rowOff>147498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DF2744-F3C9-C243-A9ED-F6561212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8158" y="24430790"/>
          <a:ext cx="9222009" cy="1985655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133</xdr:row>
      <xdr:rowOff>0</xdr:rowOff>
    </xdr:from>
    <xdr:to>
      <xdr:col>11</xdr:col>
      <xdr:colOff>198858</xdr:colOff>
      <xdr:row>143</xdr:row>
      <xdr:rowOff>174132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CDBCA0-2561-3947-92A5-E18E291CE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" y="27025600"/>
          <a:ext cx="10231012" cy="2206132"/>
        </a:xfrm>
        <a:prstGeom prst="rect">
          <a:avLst/>
        </a:prstGeom>
      </xdr:spPr>
    </xdr:pic>
    <xdr:clientData/>
  </xdr:twoCellAnchor>
  <xdr:twoCellAnchor editAs="oneCell">
    <xdr:from>
      <xdr:col>0</xdr:col>
      <xdr:colOff>650240</xdr:colOff>
      <xdr:row>145</xdr:row>
      <xdr:rowOff>30480</xdr:rowOff>
    </xdr:from>
    <xdr:to>
      <xdr:col>8</xdr:col>
      <xdr:colOff>296275</xdr:colOff>
      <xdr:row>150</xdr:row>
      <xdr:rowOff>50176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13584F-0F7B-474C-B31B-690BBAE1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0240" y="29494480"/>
          <a:ext cx="6951306" cy="1035696"/>
        </a:xfrm>
        <a:prstGeom prst="rect">
          <a:avLst/>
        </a:prstGeom>
      </xdr:spPr>
    </xdr:pic>
    <xdr:clientData/>
  </xdr:twoCellAnchor>
  <xdr:twoCellAnchor editAs="oneCell">
    <xdr:from>
      <xdr:col>0</xdr:col>
      <xdr:colOff>660400</xdr:colOff>
      <xdr:row>152</xdr:row>
      <xdr:rowOff>101600</xdr:rowOff>
    </xdr:from>
    <xdr:to>
      <xdr:col>8</xdr:col>
      <xdr:colOff>306435</xdr:colOff>
      <xdr:row>161</xdr:row>
      <xdr:rowOff>114190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BAD38E8-BAF8-8445-8F0E-2306528F5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400" y="30988000"/>
          <a:ext cx="6951306" cy="1841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20320</xdr:rowOff>
    </xdr:from>
    <xdr:to>
      <xdr:col>6</xdr:col>
      <xdr:colOff>419088</xdr:colOff>
      <xdr:row>189</xdr:row>
      <xdr:rowOff>1952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2AAB93-B1E2-F944-B6AB-662749EE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2960" y="33141920"/>
          <a:ext cx="5251014" cy="5264832"/>
        </a:xfrm>
        <a:prstGeom prst="rect">
          <a:avLst/>
        </a:prstGeom>
      </xdr:spPr>
    </xdr:pic>
    <xdr:clientData/>
  </xdr:twoCellAnchor>
  <xdr:twoCellAnchor editAs="oneCell">
    <xdr:from>
      <xdr:col>0</xdr:col>
      <xdr:colOff>345440</xdr:colOff>
      <xdr:row>191</xdr:row>
      <xdr:rowOff>30480</xdr:rowOff>
    </xdr:from>
    <xdr:to>
      <xdr:col>8</xdr:col>
      <xdr:colOff>96265</xdr:colOff>
      <xdr:row>217</xdr:row>
      <xdr:rowOff>52343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D260D1E-28F0-D04A-9965-27ED1CFED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5440" y="38841680"/>
          <a:ext cx="7056096" cy="5305063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219</xdr:row>
      <xdr:rowOff>193040</xdr:rowOff>
    </xdr:from>
    <xdr:to>
      <xdr:col>3</xdr:col>
      <xdr:colOff>658011</xdr:colOff>
      <xdr:row>246</xdr:row>
      <xdr:rowOff>30018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A79701-123D-6948-86FE-89BA89D8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44693840"/>
          <a:ext cx="3264898" cy="5323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792480</xdr:colOff>
      <xdr:row>222</xdr:row>
      <xdr:rowOff>193040</xdr:rowOff>
    </xdr:from>
    <xdr:to>
      <xdr:col>9</xdr:col>
      <xdr:colOff>364485</xdr:colOff>
      <xdr:row>243</xdr:row>
      <xdr:rowOff>136095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56B6F-F84F-0C4C-8863-E4057225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45303440"/>
          <a:ext cx="3239765" cy="421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174920</xdr:colOff>
      <xdr:row>238</xdr:row>
      <xdr:rowOff>18475</xdr:rowOff>
    </xdr:from>
    <xdr:to>
      <xdr:col>6</xdr:col>
      <xdr:colOff>338053</xdr:colOff>
      <xdr:row>238</xdr:row>
      <xdr:rowOff>181608</xdr:rowOff>
    </xdr:to>
    <xdr:sp macro="" textlink="">
      <xdr:nvSpPr>
        <xdr:cNvPr id="17" name="Multiplication Sign 22">
          <a:extLst>
            <a:ext uri="{FF2B5EF4-FFF2-40B4-BE49-F238E27FC236}">
              <a16:creationId xmlns:a16="http://schemas.microsoft.com/office/drawing/2014/main" id="{1441FC36-C1BE-2D41-8CD5-CB123A8D78C0}"/>
            </a:ext>
          </a:extLst>
        </xdr:cNvPr>
        <xdr:cNvSpPr/>
      </xdr:nvSpPr>
      <xdr:spPr>
        <a:xfrm>
          <a:off x="5112680" y="48380075"/>
          <a:ext cx="163133" cy="163133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538480</xdr:colOff>
      <xdr:row>247</xdr:row>
      <xdr:rowOff>152400</xdr:rowOff>
    </xdr:from>
    <xdr:to>
      <xdr:col>8</xdr:col>
      <xdr:colOff>903771</xdr:colOff>
      <xdr:row>257</xdr:row>
      <xdr:rowOff>104991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4EE5ED1-33A6-9349-9FC2-78AB633D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8480" y="50342800"/>
          <a:ext cx="7676412" cy="1984591"/>
        </a:xfrm>
        <a:prstGeom prst="rect">
          <a:avLst/>
        </a:prstGeom>
      </xdr:spPr>
    </xdr:pic>
    <xdr:clientData/>
  </xdr:twoCellAnchor>
  <xdr:twoCellAnchor editAs="oneCell">
    <xdr:from>
      <xdr:col>0</xdr:col>
      <xdr:colOff>497840</xdr:colOff>
      <xdr:row>258</xdr:row>
      <xdr:rowOff>162560</xdr:rowOff>
    </xdr:from>
    <xdr:to>
      <xdr:col>8</xdr:col>
      <xdr:colOff>464428</xdr:colOff>
      <xdr:row>266</xdr:row>
      <xdr:rowOff>146109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30CD140-0569-8C4D-A5CC-022B21003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7840" y="52588160"/>
          <a:ext cx="7271859" cy="1609149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268</xdr:row>
      <xdr:rowOff>71120</xdr:rowOff>
    </xdr:from>
    <xdr:to>
      <xdr:col>8</xdr:col>
      <xdr:colOff>494637</xdr:colOff>
      <xdr:row>277</xdr:row>
      <xdr:rowOff>122870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C4D2BE-C1E9-174D-9029-08F45FA8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4480" y="54528720"/>
          <a:ext cx="7521278" cy="1880550"/>
        </a:xfrm>
        <a:prstGeom prst="rect">
          <a:avLst/>
        </a:prstGeom>
      </xdr:spPr>
    </xdr:pic>
    <xdr:clientData/>
  </xdr:twoCellAnchor>
  <xdr:twoCellAnchor editAs="oneCell">
    <xdr:from>
      <xdr:col>0</xdr:col>
      <xdr:colOff>640080</xdr:colOff>
      <xdr:row>278</xdr:row>
      <xdr:rowOff>20320</xdr:rowOff>
    </xdr:from>
    <xdr:to>
      <xdr:col>5</xdr:col>
      <xdr:colOff>643675</xdr:colOff>
      <xdr:row>289</xdr:row>
      <xdr:rowOff>56048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C949E7-DCE3-174B-B99B-8B75AFFF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40080" y="56509920"/>
          <a:ext cx="4835522" cy="2270928"/>
        </a:xfrm>
        <a:prstGeom prst="rect">
          <a:avLst/>
        </a:prstGeom>
      </xdr:spPr>
    </xdr:pic>
    <xdr:clientData/>
  </xdr:twoCellAnchor>
  <xdr:twoCellAnchor editAs="oneCell">
    <xdr:from>
      <xdr:col>0</xdr:col>
      <xdr:colOff>711200</xdr:colOff>
      <xdr:row>291</xdr:row>
      <xdr:rowOff>20320</xdr:rowOff>
    </xdr:from>
    <xdr:to>
      <xdr:col>3</xdr:col>
      <xdr:colOff>486935</xdr:colOff>
      <xdr:row>302</xdr:row>
      <xdr:rowOff>97411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899C65-603E-4649-8648-0BE67CD8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1200" y="59151520"/>
          <a:ext cx="2961742" cy="2312291"/>
        </a:xfrm>
        <a:prstGeom prst="rect">
          <a:avLst/>
        </a:prstGeom>
      </xdr:spPr>
    </xdr:pic>
    <xdr:clientData/>
  </xdr:twoCellAnchor>
  <xdr:twoCellAnchor editAs="oneCell">
    <xdr:from>
      <xdr:col>0</xdr:col>
      <xdr:colOff>650240</xdr:colOff>
      <xdr:row>304</xdr:row>
      <xdr:rowOff>111760</xdr:rowOff>
    </xdr:from>
    <xdr:to>
      <xdr:col>7</xdr:col>
      <xdr:colOff>567848</xdr:colOff>
      <xdr:row>318</xdr:row>
      <xdr:rowOff>96414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48BFDE0-5F73-7E48-A5B5-8FA18C2D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50240" y="61884560"/>
          <a:ext cx="6395455" cy="2829454"/>
        </a:xfrm>
        <a:prstGeom prst="rect">
          <a:avLst/>
        </a:prstGeom>
      </xdr:spPr>
    </xdr:pic>
    <xdr:clientData/>
  </xdr:twoCellAnchor>
  <xdr:twoCellAnchor editAs="oneCell">
    <xdr:from>
      <xdr:col>0</xdr:col>
      <xdr:colOff>75340</xdr:colOff>
      <xdr:row>320</xdr:row>
      <xdr:rowOff>139915</xdr:rowOff>
    </xdr:from>
    <xdr:to>
      <xdr:col>15</xdr:col>
      <xdr:colOff>345332</xdr:colOff>
      <xdr:row>335</xdr:row>
      <xdr:rowOff>78957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997C440-41C1-CF48-A2DD-55D18520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340" y="65577203"/>
          <a:ext cx="14103019" cy="3006415"/>
        </a:xfrm>
        <a:prstGeom prst="rect">
          <a:avLst/>
        </a:prstGeom>
      </xdr:spPr>
    </xdr:pic>
    <xdr:clientData/>
  </xdr:twoCellAnchor>
  <xdr:twoCellAnchor>
    <xdr:from>
      <xdr:col>0</xdr:col>
      <xdr:colOff>401579</xdr:colOff>
      <xdr:row>325</xdr:row>
      <xdr:rowOff>28634</xdr:rowOff>
    </xdr:from>
    <xdr:to>
      <xdr:col>0</xdr:col>
      <xdr:colOff>622510</xdr:colOff>
      <xdr:row>326</xdr:row>
      <xdr:rowOff>46876</xdr:rowOff>
    </xdr:to>
    <xdr:sp macro="" textlink="">
      <xdr:nvSpPr>
        <xdr:cNvPr id="26" name="Multiplication Sign 16">
          <a:extLst>
            <a:ext uri="{FF2B5EF4-FFF2-40B4-BE49-F238E27FC236}">
              <a16:creationId xmlns:a16="http://schemas.microsoft.com/office/drawing/2014/main" id="{2612B765-76B6-2F45-99BA-148578BF174E}"/>
            </a:ext>
          </a:extLst>
        </xdr:cNvPr>
        <xdr:cNvSpPr/>
      </xdr:nvSpPr>
      <xdr:spPr>
        <a:xfrm>
          <a:off x="401579" y="66488380"/>
          <a:ext cx="220931" cy="222733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215254</xdr:colOff>
      <xdr:row>336</xdr:row>
      <xdr:rowOff>182965</xdr:rowOff>
    </xdr:from>
    <xdr:to>
      <xdr:col>8</xdr:col>
      <xdr:colOff>80598</xdr:colOff>
      <xdr:row>351</xdr:row>
      <xdr:rowOff>194791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3756D48-4A73-6147-BBB3-7A5824373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5254" y="68892118"/>
          <a:ext cx="7216766" cy="3079198"/>
        </a:xfrm>
        <a:prstGeom prst="rect">
          <a:avLst/>
        </a:prstGeom>
      </xdr:spPr>
    </xdr:pic>
    <xdr:clientData/>
  </xdr:twoCellAnchor>
  <xdr:twoCellAnchor>
    <xdr:from>
      <xdr:col>0</xdr:col>
      <xdr:colOff>565729</xdr:colOff>
      <xdr:row>342</xdr:row>
      <xdr:rowOff>136067</xdr:rowOff>
    </xdr:from>
    <xdr:to>
      <xdr:col>0</xdr:col>
      <xdr:colOff>782372</xdr:colOff>
      <xdr:row>343</xdr:row>
      <xdr:rowOff>153017</xdr:rowOff>
    </xdr:to>
    <xdr:sp macro="" textlink="">
      <xdr:nvSpPr>
        <xdr:cNvPr id="28" name="Multiplication Sign 16">
          <a:extLst>
            <a:ext uri="{FF2B5EF4-FFF2-40B4-BE49-F238E27FC236}">
              <a16:creationId xmlns:a16="http://schemas.microsoft.com/office/drawing/2014/main" id="{7726104B-004C-8244-9827-04A6C49CEEEC}"/>
            </a:ext>
          </a:extLst>
        </xdr:cNvPr>
        <xdr:cNvSpPr/>
      </xdr:nvSpPr>
      <xdr:spPr>
        <a:xfrm>
          <a:off x="565729" y="70072169"/>
          <a:ext cx="216643" cy="221441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408983</xdr:colOff>
      <xdr:row>352</xdr:row>
      <xdr:rowOff>204491</xdr:rowOff>
    </xdr:from>
    <xdr:to>
      <xdr:col>7</xdr:col>
      <xdr:colOff>217559</xdr:colOff>
      <xdr:row>362</xdr:row>
      <xdr:rowOff>186971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7F2ACEC-C45B-6340-9C37-6A62CEEAE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8983" y="72185508"/>
          <a:ext cx="6332574" cy="2027395"/>
        </a:xfrm>
        <a:prstGeom prst="rect">
          <a:avLst/>
        </a:prstGeom>
      </xdr:spPr>
    </xdr:pic>
    <xdr:clientData/>
  </xdr:twoCellAnchor>
  <xdr:twoCellAnchor editAs="oneCell">
    <xdr:from>
      <xdr:col>0</xdr:col>
      <xdr:colOff>402096</xdr:colOff>
      <xdr:row>362</xdr:row>
      <xdr:rowOff>165315</xdr:rowOff>
    </xdr:from>
    <xdr:to>
      <xdr:col>10</xdr:col>
      <xdr:colOff>930664</xdr:colOff>
      <xdr:row>376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F03BF4D-20CB-B94F-943B-ADE176600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2096" y="73723715"/>
          <a:ext cx="9875768" cy="2793785"/>
        </a:xfrm>
        <a:prstGeom prst="rect">
          <a:avLst/>
        </a:prstGeom>
      </xdr:spPr>
    </xdr:pic>
    <xdr:clientData/>
  </xdr:twoCellAnchor>
  <xdr:twoCellAnchor editAs="oneCell">
    <xdr:from>
      <xdr:col>0</xdr:col>
      <xdr:colOff>742627</xdr:colOff>
      <xdr:row>427</xdr:row>
      <xdr:rowOff>161440</xdr:rowOff>
    </xdr:from>
    <xdr:to>
      <xdr:col>8</xdr:col>
      <xdr:colOff>1002982</xdr:colOff>
      <xdr:row>436</xdr:row>
      <xdr:rowOff>146220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7D3725-45C8-BA4D-AB94-DA42AECC7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2627" y="87479321"/>
          <a:ext cx="7613408" cy="1825204"/>
        </a:xfrm>
        <a:prstGeom prst="rect">
          <a:avLst/>
        </a:prstGeom>
      </xdr:spPr>
    </xdr:pic>
    <xdr:clientData/>
  </xdr:twoCellAnchor>
  <xdr:twoCellAnchor>
    <xdr:from>
      <xdr:col>0</xdr:col>
      <xdr:colOff>702348</xdr:colOff>
      <xdr:row>447</xdr:row>
      <xdr:rowOff>67349</xdr:rowOff>
    </xdr:from>
    <xdr:to>
      <xdr:col>11</xdr:col>
      <xdr:colOff>83465</xdr:colOff>
      <xdr:row>455</xdr:row>
      <xdr:rowOff>190983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D3692D88-AF6E-9442-84C4-ED4C24DC3FD6}"/>
            </a:ext>
          </a:extLst>
        </xdr:cNvPr>
        <xdr:cNvGrpSpPr/>
      </xdr:nvGrpSpPr>
      <xdr:grpSpPr>
        <a:xfrm>
          <a:off x="702348" y="88374682"/>
          <a:ext cx="9936228" cy="1704079"/>
          <a:chOff x="830841" y="92211495"/>
          <a:chExt cx="7055862" cy="1728604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66FC4652-7143-D602-BFA8-8597DDF89D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830841" y="92211495"/>
            <a:ext cx="7055862" cy="905635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5668201D-ECE3-46E0-E954-F8D0A838C8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997528" y="92965240"/>
            <a:ext cx="3777259" cy="974859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457</xdr:row>
      <xdr:rowOff>0</xdr:rowOff>
    </xdr:from>
    <xdr:to>
      <xdr:col>8</xdr:col>
      <xdr:colOff>984819</xdr:colOff>
      <xdr:row>479</xdr:row>
      <xdr:rowOff>33637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D1F77A0-7935-D045-88E3-1D43DF5A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27424" y="92334773"/>
          <a:ext cx="7498380" cy="4478637"/>
        </a:xfrm>
        <a:prstGeom prst="rect">
          <a:avLst/>
        </a:prstGeom>
      </xdr:spPr>
    </xdr:pic>
    <xdr:clientData/>
  </xdr:twoCellAnchor>
  <xdr:twoCellAnchor editAs="oneCell">
    <xdr:from>
      <xdr:col>0</xdr:col>
      <xdr:colOff>731212</xdr:colOff>
      <xdr:row>482</xdr:row>
      <xdr:rowOff>96213</xdr:rowOff>
    </xdr:from>
    <xdr:to>
      <xdr:col>6</xdr:col>
      <xdr:colOff>648508</xdr:colOff>
      <xdr:row>493</xdr:row>
      <xdr:rowOff>121288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9DCE505-7941-9948-A376-C2E5180D2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212" y="97482122"/>
          <a:ext cx="5603432" cy="2247575"/>
        </a:xfrm>
        <a:prstGeom prst="rect">
          <a:avLst/>
        </a:prstGeom>
      </xdr:spPr>
    </xdr:pic>
    <xdr:clientData/>
  </xdr:twoCellAnchor>
  <xdr:oneCellAnchor>
    <xdr:from>
      <xdr:col>8</xdr:col>
      <xdr:colOff>615566</xdr:colOff>
      <xdr:row>481</xdr:row>
      <xdr:rowOff>76776</xdr:rowOff>
    </xdr:from>
    <xdr:ext cx="1763240" cy="439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CD16330-E97A-9C5B-81CD-7F8C6BF31A82}"/>
                </a:ext>
              </a:extLst>
            </xdr:cNvPr>
            <xdr:cNvSpPr txBox="1"/>
          </xdr:nvSpPr>
          <xdr:spPr>
            <a:xfrm>
              <a:off x="7234960" y="97260640"/>
              <a:ext cx="1763240" cy="439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 kern="1200">
                        <a:latin typeface="Cambria Math" panose="02040503050406030204" pitchFamily="18" charset="0"/>
                      </a:rPr>
                      <m:t>𝑅𝑂𝑁𝐼𝐶</m:t>
                    </m:r>
                    <m:r>
                      <a:rPr lang="en-US" sz="1400" b="0" i="1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4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sSub>
                          <m:sSubPr>
                            <m:ctrlPr>
                              <a:rPr lang="el-GR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𝑁𝑂𝑃𝐿𝐴𝑇</m:t>
                            </m:r>
                          </m:e>
                          <m:sub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sz="1400" b="0" i="1" kern="1200">
                            <a:latin typeface="Cambria Math" panose="02040503050406030204" pitchFamily="18" charset="0"/>
                          </a:rPr>
                          <m:t> 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4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sSub>
                          <m:sSubPr>
                            <m:ctrlPr>
                              <a:rPr lang="el-GR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𝐼𝐶</m:t>
                            </m:r>
                          </m:e>
                          <m:sub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kern="12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CD16330-E97A-9C5B-81CD-7F8C6BF31A82}"/>
                </a:ext>
              </a:extLst>
            </xdr:cNvPr>
            <xdr:cNvSpPr txBox="1"/>
          </xdr:nvSpPr>
          <xdr:spPr>
            <a:xfrm>
              <a:off x="7234960" y="97260640"/>
              <a:ext cx="1763240" cy="439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 kern="1200">
                  <a:latin typeface="Cambria Math" panose="02040503050406030204" pitchFamily="18" charset="0"/>
                </a:rPr>
                <a:t>𝑅𝑂𝑁𝐼𝐶= 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Δ〖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𝑁𝑂𝑃𝐿𝐴𝑇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 </a:t>
              </a:r>
              <a:r>
                <a:rPr lang="en-US" sz="1400" b="0" i="0" kern="1200">
                  <a:latin typeface="Cambria Math" panose="02040503050406030204" pitchFamily="18" charset="0"/>
                </a:rPr>
                <a:t> )/(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Δ〖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𝐼𝐶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〗_(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𝑇−1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)</a:t>
              </a:r>
              <a:endParaRPr lang="en-US" sz="1400" kern="12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495</xdr:row>
      <xdr:rowOff>202045</xdr:rowOff>
    </xdr:from>
    <xdr:to>
      <xdr:col>8</xdr:col>
      <xdr:colOff>761407</xdr:colOff>
      <xdr:row>508</xdr:row>
      <xdr:rowOff>25622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BE327F9-A9FE-6C44-B6AB-AE4AABEF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27424" y="100214545"/>
          <a:ext cx="7274968" cy="2450168"/>
        </a:xfrm>
        <a:prstGeom prst="rect">
          <a:avLst/>
        </a:prstGeom>
      </xdr:spPr>
    </xdr:pic>
    <xdr:clientData/>
  </xdr:twoCellAnchor>
  <xdr:twoCellAnchor editAs="oneCell">
    <xdr:from>
      <xdr:col>0</xdr:col>
      <xdr:colOff>808182</xdr:colOff>
      <xdr:row>510</xdr:row>
      <xdr:rowOff>86590</xdr:rowOff>
    </xdr:from>
    <xdr:to>
      <xdr:col>8</xdr:col>
      <xdr:colOff>936998</xdr:colOff>
      <xdr:row>517</xdr:row>
      <xdr:rowOff>31490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A3D5E30-9928-D144-8EEA-FF909F2FA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rcRect b="50242"/>
        <a:stretch/>
      </xdr:blipFill>
      <xdr:spPr>
        <a:xfrm>
          <a:off x="808182" y="103129772"/>
          <a:ext cx="7469801" cy="1359218"/>
        </a:xfrm>
        <a:prstGeom prst="rect">
          <a:avLst/>
        </a:prstGeom>
      </xdr:spPr>
    </xdr:pic>
    <xdr:clientData/>
  </xdr:twoCellAnchor>
  <xdr:twoCellAnchor editAs="oneCell">
    <xdr:from>
      <xdr:col>0</xdr:col>
      <xdr:colOff>442576</xdr:colOff>
      <xdr:row>526</xdr:row>
      <xdr:rowOff>67348</xdr:rowOff>
    </xdr:from>
    <xdr:to>
      <xdr:col>8</xdr:col>
      <xdr:colOff>1023671</xdr:colOff>
      <xdr:row>542</xdr:row>
      <xdr:rowOff>25262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5892A57-D1A1-7347-BD89-86E9410D5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-335" t="34061"/>
        <a:stretch/>
      </xdr:blipFill>
      <xdr:spPr>
        <a:xfrm>
          <a:off x="442576" y="106343257"/>
          <a:ext cx="7922080" cy="3190641"/>
        </a:xfrm>
        <a:prstGeom prst="rect">
          <a:avLst/>
        </a:prstGeom>
      </xdr:spPr>
    </xdr:pic>
    <xdr:clientData/>
  </xdr:twoCellAnchor>
  <xdr:twoCellAnchor editAs="oneCell">
    <xdr:from>
      <xdr:col>0</xdr:col>
      <xdr:colOff>596515</xdr:colOff>
      <xdr:row>551</xdr:row>
      <xdr:rowOff>182803</xdr:rowOff>
    </xdr:from>
    <xdr:to>
      <xdr:col>9</xdr:col>
      <xdr:colOff>459648</xdr:colOff>
      <xdr:row>560</xdr:row>
      <xdr:rowOff>70873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F38F440-D92C-A74B-A92E-BEA0D90A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6515" y="111509848"/>
          <a:ext cx="8397148" cy="1706480"/>
        </a:xfrm>
        <a:prstGeom prst="rect">
          <a:avLst/>
        </a:prstGeom>
      </xdr:spPr>
    </xdr:pic>
    <xdr:clientData/>
  </xdr:twoCellAnchor>
  <xdr:twoCellAnchor editAs="oneCell">
    <xdr:from>
      <xdr:col>0</xdr:col>
      <xdr:colOff>760076</xdr:colOff>
      <xdr:row>569</xdr:row>
      <xdr:rowOff>192424</xdr:rowOff>
    </xdr:from>
    <xdr:to>
      <xdr:col>9</xdr:col>
      <xdr:colOff>377617</xdr:colOff>
      <xdr:row>577</xdr:row>
      <xdr:rowOff>130120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7017D6B-F150-F24A-AD90-8CECB5C4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60076" y="115156288"/>
          <a:ext cx="8151556" cy="1554059"/>
        </a:xfrm>
        <a:prstGeom prst="rect">
          <a:avLst/>
        </a:prstGeom>
      </xdr:spPr>
    </xdr:pic>
    <xdr:clientData/>
  </xdr:twoCellAnchor>
  <xdr:twoCellAnchor editAs="oneCell">
    <xdr:from>
      <xdr:col>0</xdr:col>
      <xdr:colOff>701608</xdr:colOff>
      <xdr:row>588</xdr:row>
      <xdr:rowOff>177622</xdr:rowOff>
    </xdr:from>
    <xdr:to>
      <xdr:col>9</xdr:col>
      <xdr:colOff>720966</xdr:colOff>
      <xdr:row>595</xdr:row>
      <xdr:rowOff>120304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041783C-544C-B943-B086-5B1A40786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103" t="42098" b="39422"/>
        <a:stretch/>
      </xdr:blipFill>
      <xdr:spPr>
        <a:xfrm>
          <a:off x="701608" y="120285874"/>
          <a:ext cx="8536351" cy="1372542"/>
        </a:xfrm>
        <a:prstGeom prst="rect">
          <a:avLst/>
        </a:prstGeom>
      </xdr:spPr>
    </xdr:pic>
    <xdr:clientData/>
  </xdr:twoCellAnchor>
  <xdr:twoCellAnchor editAs="oneCell">
    <xdr:from>
      <xdr:col>0</xdr:col>
      <xdr:colOff>552110</xdr:colOff>
      <xdr:row>597</xdr:row>
      <xdr:rowOff>26644</xdr:rowOff>
    </xdr:from>
    <xdr:to>
      <xdr:col>8</xdr:col>
      <xdr:colOff>985914</xdr:colOff>
      <xdr:row>617</xdr:row>
      <xdr:rowOff>1838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82DB188-4541-B642-85BD-2A207C5BBF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b="23711"/>
        <a:stretch/>
      </xdr:blipFill>
      <xdr:spPr>
        <a:xfrm>
          <a:off x="552110" y="121973287"/>
          <a:ext cx="7760727" cy="4053799"/>
        </a:xfrm>
        <a:prstGeom prst="rect">
          <a:avLst/>
        </a:prstGeom>
      </xdr:spPr>
    </xdr:pic>
    <xdr:clientData/>
  </xdr:twoCellAnchor>
  <xdr:oneCellAnchor>
    <xdr:from>
      <xdr:col>9</xdr:col>
      <xdr:colOff>538788</xdr:colOff>
      <xdr:row>600</xdr:row>
      <xdr:rowOff>134697</xdr:rowOff>
    </xdr:from>
    <xdr:ext cx="1524776" cy="439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B49A6267-E8FA-5743-B14D-72FD8CC81F9B}"/>
                </a:ext>
              </a:extLst>
            </xdr:cNvPr>
            <xdr:cNvSpPr txBox="1"/>
          </xdr:nvSpPr>
          <xdr:spPr>
            <a:xfrm>
              <a:off x="9072803" y="121361970"/>
              <a:ext cx="1524776" cy="439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 kern="1200">
                        <a:latin typeface="Cambria Math" panose="02040503050406030204" pitchFamily="18" charset="0"/>
                      </a:rPr>
                      <m:t>𝑅𝑂𝐼𝐶</m:t>
                    </m:r>
                    <m:r>
                      <a:rPr lang="en-US" sz="1400" b="0" i="1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l-GR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𝑁𝑂𝑃𝐿𝐴𝑇</m:t>
                            </m:r>
                          </m:e>
                          <m:sub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sz="1400" b="0" i="1" kern="1200">
                            <a:latin typeface="Cambria Math" panose="02040503050406030204" pitchFamily="18" charset="0"/>
                          </a:rPr>
                          <m:t> </m:t>
                        </m:r>
                      </m:num>
                      <m:den>
                        <m:sSub>
                          <m:sSubPr>
                            <m:ctrlPr>
                              <a:rPr lang="el-GR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𝐼𝐶</m:t>
                            </m:r>
                          </m:e>
                          <m:sub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US" sz="14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 kern="12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B49A6267-E8FA-5743-B14D-72FD8CC81F9B}"/>
                </a:ext>
              </a:extLst>
            </xdr:cNvPr>
            <xdr:cNvSpPr txBox="1"/>
          </xdr:nvSpPr>
          <xdr:spPr>
            <a:xfrm>
              <a:off x="9072803" y="121361970"/>
              <a:ext cx="1524776" cy="439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 i="0" kern="1200">
                  <a:latin typeface="Cambria Math" panose="02040503050406030204" pitchFamily="18" charset="0"/>
                </a:rPr>
                <a:t>𝑅𝑂𝐼𝐶= 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𝑁𝑂𝑃𝐿𝐴𝑇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〗_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 </a:t>
              </a:r>
              <a:r>
                <a:rPr lang="en-US" sz="1400" b="0" i="0" kern="1200">
                  <a:latin typeface="Cambria Math" panose="02040503050406030204" pitchFamily="18" charset="0"/>
                </a:rPr>
                <a:t> )/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𝐼𝐶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〗_(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𝑇−1</a:t>
              </a:r>
              <a:r>
                <a:rPr lang="el-GR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4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en-US" sz="1400" kern="1200"/>
            </a:p>
          </xdr:txBody>
        </xdr:sp>
      </mc:Fallback>
    </mc:AlternateContent>
    <xdr:clientData/>
  </xdr:oneCellAnchor>
  <xdr:twoCellAnchor editAs="oneCell">
    <xdr:from>
      <xdr:col>0</xdr:col>
      <xdr:colOff>541130</xdr:colOff>
      <xdr:row>620</xdr:row>
      <xdr:rowOff>55217</xdr:rowOff>
    </xdr:from>
    <xdr:to>
      <xdr:col>6</xdr:col>
      <xdr:colOff>571487</xdr:colOff>
      <xdr:row>634</xdr:row>
      <xdr:rowOff>196838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A27A7EB-9F57-8844-BCA3-7CCE9E02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1130" y="123300434"/>
          <a:ext cx="5717748" cy="2924578"/>
        </a:xfrm>
        <a:prstGeom prst="rect">
          <a:avLst/>
        </a:prstGeom>
      </xdr:spPr>
    </xdr:pic>
    <xdr:clientData/>
  </xdr:twoCellAnchor>
  <xdr:twoCellAnchor editAs="oneCell">
    <xdr:from>
      <xdr:col>0</xdr:col>
      <xdr:colOff>431800</xdr:colOff>
      <xdr:row>377</xdr:row>
      <xdr:rowOff>88900</xdr:rowOff>
    </xdr:from>
    <xdr:to>
      <xdr:col>8</xdr:col>
      <xdr:colOff>648459</xdr:colOff>
      <xdr:row>416</xdr:row>
      <xdr:rowOff>11699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70F2AB-3FBD-0538-9581-3729F723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31800" y="76695300"/>
          <a:ext cx="7544559" cy="7847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50800</xdr:rowOff>
    </xdr:from>
    <xdr:to>
      <xdr:col>8</xdr:col>
      <xdr:colOff>137515</xdr:colOff>
      <xdr:row>20</xdr:row>
      <xdr:rowOff>186620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3CFAC-1212-5740-AE73-1A0A328BE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57200"/>
          <a:ext cx="7308613" cy="37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50800</xdr:rowOff>
    </xdr:from>
    <xdr:to>
      <xdr:col>8</xdr:col>
      <xdr:colOff>159597</xdr:colOff>
      <xdr:row>36</xdr:row>
      <xdr:rowOff>57500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A0485-C6B7-9D4D-83DB-1EE60C50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521200"/>
          <a:ext cx="7368795" cy="2851500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38</xdr:row>
      <xdr:rowOff>139700</xdr:rowOff>
    </xdr:from>
    <xdr:to>
      <xdr:col>10</xdr:col>
      <xdr:colOff>922956</xdr:colOff>
      <xdr:row>50</xdr:row>
      <xdr:rowOff>103499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4530FF-4368-7842-8A5E-4964CEF51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00" y="7861300"/>
          <a:ext cx="9811567" cy="2402199"/>
        </a:xfrm>
        <a:prstGeom prst="rect">
          <a:avLst/>
        </a:prstGeom>
      </xdr:spPr>
    </xdr:pic>
    <xdr:clientData/>
  </xdr:twoCellAnchor>
  <xdr:twoCellAnchor editAs="oneCell">
    <xdr:from>
      <xdr:col>0</xdr:col>
      <xdr:colOff>406400</xdr:colOff>
      <xdr:row>52</xdr:row>
      <xdr:rowOff>88900</xdr:rowOff>
    </xdr:from>
    <xdr:to>
      <xdr:col>10</xdr:col>
      <xdr:colOff>1299621</xdr:colOff>
      <xdr:row>64</xdr:row>
      <xdr:rowOff>22173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95508A-7D4F-344E-8D2E-55B00F6CD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400" y="10655300"/>
          <a:ext cx="9985248" cy="2371673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584200</xdr:colOff>
      <xdr:row>66</xdr:row>
      <xdr:rowOff>101600</xdr:rowOff>
    </xdr:from>
    <xdr:to>
      <xdr:col>11</xdr:col>
      <xdr:colOff>60191</xdr:colOff>
      <xdr:row>76</xdr:row>
      <xdr:rowOff>113107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EB901B-DCA4-2746-A1FF-9810BD71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4200" y="13512800"/>
          <a:ext cx="9974489" cy="204350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78</xdr:row>
      <xdr:rowOff>101600</xdr:rowOff>
    </xdr:from>
    <xdr:to>
      <xdr:col>13</xdr:col>
      <xdr:colOff>203201</xdr:colOff>
      <xdr:row>90</xdr:row>
      <xdr:rowOff>55874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7FCB95-4A47-B647-B5CB-DEEC0F5A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951200"/>
          <a:ext cx="11743098" cy="2392674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584200</xdr:colOff>
      <xdr:row>91</xdr:row>
      <xdr:rowOff>101600</xdr:rowOff>
    </xdr:from>
    <xdr:to>
      <xdr:col>12</xdr:col>
      <xdr:colOff>787180</xdr:colOff>
      <xdr:row>107</xdr:row>
      <xdr:rowOff>60604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0673DD-EDCA-834C-B745-036D1E02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4200" y="18592800"/>
          <a:ext cx="11530206" cy="3210204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108</xdr:row>
      <xdr:rowOff>190500</xdr:rowOff>
    </xdr:from>
    <xdr:to>
      <xdr:col>12</xdr:col>
      <xdr:colOff>628406</xdr:colOff>
      <xdr:row>122</xdr:row>
      <xdr:rowOff>16586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903A00-7D1A-ED44-830B-3CE7F5BE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6900" y="22136100"/>
          <a:ext cx="11358732" cy="26708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13</xdr:col>
      <xdr:colOff>206209</xdr:colOff>
      <xdr:row>144</xdr:row>
      <xdr:rowOff>62146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FBAC0F-FD89-2345-B67C-444F7462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5400000"/>
          <a:ext cx="11530206" cy="3922946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146</xdr:row>
      <xdr:rowOff>177800</xdr:rowOff>
    </xdr:from>
    <xdr:to>
      <xdr:col>12</xdr:col>
      <xdr:colOff>383284</xdr:colOff>
      <xdr:row>155</xdr:row>
      <xdr:rowOff>109851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3561D7-E4DA-EA41-8225-6F0A9CED8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6300" y="29845000"/>
          <a:ext cx="10834753" cy="1760851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157</xdr:row>
      <xdr:rowOff>63500</xdr:rowOff>
    </xdr:from>
    <xdr:to>
      <xdr:col>13</xdr:col>
      <xdr:colOff>133188</xdr:colOff>
      <xdr:row>166</xdr:row>
      <xdr:rowOff>52710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BA158F-7015-0A4F-BA3A-60189DC7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3900" y="31965900"/>
          <a:ext cx="11558785" cy="1818010"/>
        </a:xfrm>
        <a:prstGeom prst="rect">
          <a:avLst/>
        </a:prstGeom>
      </xdr:spPr>
    </xdr:pic>
    <xdr:clientData/>
  </xdr:twoCellAnchor>
  <xdr:twoCellAnchor editAs="oneCell">
    <xdr:from>
      <xdr:col>0</xdr:col>
      <xdr:colOff>622300</xdr:colOff>
      <xdr:row>168</xdr:row>
      <xdr:rowOff>101600</xdr:rowOff>
    </xdr:from>
    <xdr:to>
      <xdr:col>8</xdr:col>
      <xdr:colOff>473491</xdr:colOff>
      <xdr:row>175</xdr:row>
      <xdr:rowOff>187440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5A77C2-E5BB-F44E-9B23-900AB799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34239200"/>
          <a:ext cx="7292761" cy="15082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177</xdr:row>
      <xdr:rowOff>12700</xdr:rowOff>
    </xdr:from>
    <xdr:to>
      <xdr:col>9</xdr:col>
      <xdr:colOff>551370</xdr:colOff>
      <xdr:row>183</xdr:row>
      <xdr:rowOff>12273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4580B4-1FE2-E444-947F-512E84EAB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2000" y="35979100"/>
          <a:ext cx="8056439" cy="12187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</xdr:col>
      <xdr:colOff>351591</xdr:colOff>
      <xdr:row>199</xdr:row>
      <xdr:rowOff>101110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481C6D-D7A9-6B4E-B5F2-EBEDB8BB8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7592000"/>
          <a:ext cx="3353614" cy="2945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365933</xdr:colOff>
      <xdr:row>200</xdr:row>
      <xdr:rowOff>172204</xdr:rowOff>
    </xdr:from>
    <xdr:to>
      <xdr:col>12</xdr:col>
      <xdr:colOff>500830</xdr:colOff>
      <xdr:row>210</xdr:row>
      <xdr:rowOff>163591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F2C955-6C6F-9B47-A38C-12105CB52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5933" y="41070509"/>
          <a:ext cx="11501627" cy="2036302"/>
        </a:xfrm>
        <a:prstGeom prst="rect">
          <a:avLst/>
        </a:prstGeom>
      </xdr:spPr>
    </xdr:pic>
    <xdr:clientData/>
  </xdr:twoCellAnchor>
  <xdr:twoCellAnchor editAs="oneCell">
    <xdr:from>
      <xdr:col>3</xdr:col>
      <xdr:colOff>441271</xdr:colOff>
      <xdr:row>211</xdr:row>
      <xdr:rowOff>129153</xdr:rowOff>
    </xdr:from>
    <xdr:to>
      <xdr:col>8</xdr:col>
      <xdr:colOff>206176</xdr:colOff>
      <xdr:row>219</xdr:row>
      <xdr:rowOff>153473</xdr:rowOff>
    </xdr:to>
    <xdr:pic>
      <xdr:nvPicPr>
        <xdr:cNvPr id="17" name="Picture 16" descr="A diagram of a price range&#10;&#10;Description automatically generated">
          <a:extLst>
            <a:ext uri="{FF2B5EF4-FFF2-40B4-BE49-F238E27FC236}">
              <a16:creationId xmlns:a16="http://schemas.microsoft.com/office/drawing/2014/main" id="{3176AC9E-4478-EA45-A838-C895D7ABF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93390" y="43276865"/>
          <a:ext cx="4216823" cy="1660252"/>
        </a:xfrm>
        <a:prstGeom prst="rect">
          <a:avLst/>
        </a:prstGeom>
      </xdr:spPr>
    </xdr:pic>
    <xdr:clientData/>
  </xdr:twoCellAnchor>
  <xdr:twoCellAnchor editAs="oneCell">
    <xdr:from>
      <xdr:col>0</xdr:col>
      <xdr:colOff>129153</xdr:colOff>
      <xdr:row>224</xdr:row>
      <xdr:rowOff>10762</xdr:rowOff>
    </xdr:from>
    <xdr:to>
      <xdr:col>11</xdr:col>
      <xdr:colOff>755865</xdr:colOff>
      <xdr:row>232</xdr:row>
      <xdr:rowOff>65244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5C20C07-B188-4E4E-A849-B4CF03F00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153" y="45816864"/>
          <a:ext cx="11164170" cy="1690414"/>
        </a:xfrm>
        <a:prstGeom prst="rect">
          <a:avLst/>
        </a:prstGeom>
      </xdr:spPr>
    </xdr:pic>
    <xdr:clientData/>
  </xdr:twoCellAnchor>
  <xdr:twoCellAnchor editAs="oneCell">
    <xdr:from>
      <xdr:col>12</xdr:col>
      <xdr:colOff>817966</xdr:colOff>
      <xdr:row>222</xdr:row>
      <xdr:rowOff>161441</xdr:rowOff>
    </xdr:from>
    <xdr:to>
      <xdr:col>19</xdr:col>
      <xdr:colOff>67535</xdr:colOff>
      <xdr:row>228</xdr:row>
      <xdr:rowOff>106991</xdr:rowOff>
    </xdr:to>
    <xdr:pic>
      <xdr:nvPicPr>
        <xdr:cNvPr id="19" name="Picture 18" descr="Open photo">
          <a:extLst>
            <a:ext uri="{FF2B5EF4-FFF2-40B4-BE49-F238E27FC236}">
              <a16:creationId xmlns:a16="http://schemas.microsoft.com/office/drawing/2014/main" id="{D4741A01-5D82-7149-9F83-4FECF074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9830" y="45558560"/>
          <a:ext cx="5373552" cy="1172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72339</xdr:colOff>
      <xdr:row>229</xdr:row>
      <xdr:rowOff>10073</xdr:rowOff>
    </xdr:from>
    <xdr:to>
      <xdr:col>18</xdr:col>
      <xdr:colOff>772438</xdr:colOff>
      <xdr:row>231</xdr:row>
      <xdr:rowOff>78967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20B1ACB-7AFC-5E49-A9BF-0009EA14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792932" y="46838632"/>
          <a:ext cx="5166625" cy="477877"/>
        </a:xfrm>
        <a:prstGeom prst="rect">
          <a:avLst/>
        </a:prstGeom>
      </xdr:spPr>
    </xdr:pic>
    <xdr:clientData/>
  </xdr:twoCellAnchor>
  <xdr:twoCellAnchor editAs="oneCell">
    <xdr:from>
      <xdr:col>13</xdr:col>
      <xdr:colOff>81864</xdr:colOff>
      <xdr:row>231</xdr:row>
      <xdr:rowOff>183711</xdr:rowOff>
    </xdr:from>
    <xdr:to>
      <xdr:col>18</xdr:col>
      <xdr:colOff>781963</xdr:colOff>
      <xdr:row>234</xdr:row>
      <xdr:rowOff>26082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95F3F28-08E1-1C49-9FA9-633ABE8BB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02457" y="47421253"/>
          <a:ext cx="5166625" cy="455846"/>
        </a:xfrm>
        <a:prstGeom prst="rect">
          <a:avLst/>
        </a:prstGeom>
      </xdr:spPr>
    </xdr:pic>
    <xdr:clientData/>
  </xdr:twoCellAnchor>
  <xdr:twoCellAnchor editAs="oneCell">
    <xdr:from>
      <xdr:col>0</xdr:col>
      <xdr:colOff>548899</xdr:colOff>
      <xdr:row>234</xdr:row>
      <xdr:rowOff>21525</xdr:rowOff>
    </xdr:from>
    <xdr:to>
      <xdr:col>5</xdr:col>
      <xdr:colOff>757097</xdr:colOff>
      <xdr:row>251</xdr:row>
      <xdr:rowOff>36399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4071C82-D51C-6743-9380-56CA4E26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8899" y="47872542"/>
          <a:ext cx="4884367" cy="3491230"/>
        </a:xfrm>
        <a:prstGeom prst="rect">
          <a:avLst/>
        </a:prstGeom>
      </xdr:spPr>
    </xdr:pic>
    <xdr:clientData/>
  </xdr:twoCellAnchor>
  <xdr:twoCellAnchor editAs="oneCell">
    <xdr:from>
      <xdr:col>0</xdr:col>
      <xdr:colOff>473560</xdr:colOff>
      <xdr:row>252</xdr:row>
      <xdr:rowOff>161440</xdr:rowOff>
    </xdr:from>
    <xdr:to>
      <xdr:col>5</xdr:col>
      <xdr:colOff>878949</xdr:colOff>
      <xdr:row>276</xdr:row>
      <xdr:rowOff>175490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B7413A5-E2AE-1A4B-8A63-29081F9DE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73560" y="51693304"/>
          <a:ext cx="5084488" cy="4921847"/>
        </a:xfrm>
        <a:prstGeom prst="rect">
          <a:avLst/>
        </a:prstGeom>
      </xdr:spPr>
    </xdr:pic>
    <xdr:clientData/>
  </xdr:twoCellAnchor>
  <xdr:twoCellAnchor editAs="oneCell">
    <xdr:from>
      <xdr:col>0</xdr:col>
      <xdr:colOff>355169</xdr:colOff>
      <xdr:row>277</xdr:row>
      <xdr:rowOff>96864</xdr:rowOff>
    </xdr:from>
    <xdr:to>
      <xdr:col>8</xdr:col>
      <xdr:colOff>161736</xdr:colOff>
      <xdr:row>305</xdr:row>
      <xdr:rowOff>96833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7CED2F2-8806-2F42-A838-14474E56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5169" y="56741017"/>
          <a:ext cx="7273424" cy="5725731"/>
        </a:xfrm>
        <a:prstGeom prst="rect">
          <a:avLst/>
        </a:prstGeom>
      </xdr:spPr>
    </xdr:pic>
    <xdr:clientData/>
  </xdr:twoCellAnchor>
  <xdr:twoCellAnchor editAs="oneCell">
    <xdr:from>
      <xdr:col>0</xdr:col>
      <xdr:colOff>370884</xdr:colOff>
      <xdr:row>306</xdr:row>
      <xdr:rowOff>123629</xdr:rowOff>
    </xdr:from>
    <xdr:to>
      <xdr:col>7</xdr:col>
      <xdr:colOff>234161</xdr:colOff>
      <xdr:row>336</xdr:row>
      <xdr:rowOff>99606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EF4E0B1-2751-9B48-AB49-B9CDA931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0884" y="62027700"/>
          <a:ext cx="6448353" cy="6045003"/>
        </a:xfrm>
        <a:prstGeom prst="rect">
          <a:avLst/>
        </a:prstGeom>
      </xdr:spPr>
    </xdr:pic>
    <xdr:clientData/>
  </xdr:twoCellAnchor>
  <xdr:twoCellAnchor editAs="oneCell">
    <xdr:from>
      <xdr:col>0</xdr:col>
      <xdr:colOff>404601</xdr:colOff>
      <xdr:row>337</xdr:row>
      <xdr:rowOff>157346</xdr:rowOff>
    </xdr:from>
    <xdr:to>
      <xdr:col>3</xdr:col>
      <xdr:colOff>746865</xdr:colOff>
      <xdr:row>359</xdr:row>
      <xdr:rowOff>110282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AD88752-AFFF-CB42-86DD-832CB4908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01" y="68332744"/>
          <a:ext cx="3332782" cy="4403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644887</xdr:colOff>
      <xdr:row>353</xdr:row>
      <xdr:rowOff>73679</xdr:rowOff>
    </xdr:from>
    <xdr:to>
      <xdr:col>0</xdr:col>
      <xdr:colOff>818821</xdr:colOff>
      <xdr:row>354</xdr:row>
      <xdr:rowOff>41989</xdr:rowOff>
    </xdr:to>
    <xdr:sp macro="" textlink="">
      <xdr:nvSpPr>
        <xdr:cNvPr id="27" name="Multiplication Sign 44">
          <a:extLst>
            <a:ext uri="{FF2B5EF4-FFF2-40B4-BE49-F238E27FC236}">
              <a16:creationId xmlns:a16="http://schemas.microsoft.com/office/drawing/2014/main" id="{CA3643D8-7918-1647-B27A-4DC074E8B7E3}"/>
            </a:ext>
          </a:extLst>
        </xdr:cNvPr>
        <xdr:cNvSpPr/>
      </xdr:nvSpPr>
      <xdr:spPr>
        <a:xfrm>
          <a:off x="644887" y="71485891"/>
          <a:ext cx="173934" cy="170611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635000</xdr:colOff>
      <xdr:row>337</xdr:row>
      <xdr:rowOff>94776</xdr:rowOff>
    </xdr:from>
    <xdr:to>
      <xdr:col>8</xdr:col>
      <xdr:colOff>332249</xdr:colOff>
      <xdr:row>360</xdr:row>
      <xdr:rowOff>52134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3CE2DAA-51C0-1D42-B301-9C7025FE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836" y="67167836"/>
          <a:ext cx="3303732" cy="4535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34080</xdr:colOff>
      <xdr:row>347</xdr:row>
      <xdr:rowOff>105917</xdr:rowOff>
    </xdr:from>
    <xdr:to>
      <xdr:col>5</xdr:col>
      <xdr:colOff>208014</xdr:colOff>
      <xdr:row>348</xdr:row>
      <xdr:rowOff>77498</xdr:rowOff>
    </xdr:to>
    <xdr:sp macro="" textlink="">
      <xdr:nvSpPr>
        <xdr:cNvPr id="29" name="Multiplication Sign 43">
          <a:extLst>
            <a:ext uri="{FF2B5EF4-FFF2-40B4-BE49-F238E27FC236}">
              <a16:creationId xmlns:a16="http://schemas.microsoft.com/office/drawing/2014/main" id="{4A47DF29-CF87-DD40-AABA-4E776B15B338}"/>
            </a:ext>
          </a:extLst>
        </xdr:cNvPr>
        <xdr:cNvSpPr/>
      </xdr:nvSpPr>
      <xdr:spPr>
        <a:xfrm>
          <a:off x="4526468" y="69169275"/>
          <a:ext cx="173934" cy="170611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369627</xdr:colOff>
      <xdr:row>341</xdr:row>
      <xdr:rowOff>1</xdr:rowOff>
    </xdr:from>
    <xdr:to>
      <xdr:col>12</xdr:col>
      <xdr:colOff>751835</xdr:colOff>
      <xdr:row>355</xdr:row>
      <xdr:rowOff>188834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D68FC40-9E10-D54A-B37E-C0009E84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0224" y="67869180"/>
          <a:ext cx="3443477" cy="2975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590774</xdr:colOff>
      <xdr:row>344</xdr:row>
      <xdr:rowOff>170020</xdr:rowOff>
    </xdr:from>
    <xdr:to>
      <xdr:col>9</xdr:col>
      <xdr:colOff>764708</xdr:colOff>
      <xdr:row>345</xdr:row>
      <xdr:rowOff>140702</xdr:rowOff>
    </xdr:to>
    <xdr:sp macro="" textlink="">
      <xdr:nvSpPr>
        <xdr:cNvPr id="31" name="Multiplication Sign 45">
          <a:extLst>
            <a:ext uri="{FF2B5EF4-FFF2-40B4-BE49-F238E27FC236}">
              <a16:creationId xmlns:a16="http://schemas.microsoft.com/office/drawing/2014/main" id="{BEE17AAA-B45F-434E-95E4-FFF3CF31FAAE}"/>
            </a:ext>
          </a:extLst>
        </xdr:cNvPr>
        <xdr:cNvSpPr/>
      </xdr:nvSpPr>
      <xdr:spPr>
        <a:xfrm>
          <a:off x="8381371" y="68636289"/>
          <a:ext cx="173934" cy="169712"/>
        </a:xfrm>
        <a:prstGeom prst="mathMultiply">
          <a:avLst/>
        </a:prstGeom>
        <a:solidFill>
          <a:schemeClr val="accent3">
            <a:lumMod val="60000"/>
            <a:lumOff val="40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322239</xdr:colOff>
      <xdr:row>362</xdr:row>
      <xdr:rowOff>56866</xdr:rowOff>
    </xdr:from>
    <xdr:to>
      <xdr:col>9</xdr:col>
      <xdr:colOff>6509</xdr:colOff>
      <xdr:row>381</xdr:row>
      <xdr:rowOff>87772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F37A9CD-ACDF-EF48-A76B-A4619D5F3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22239" y="72105672"/>
          <a:ext cx="7945961" cy="3812473"/>
        </a:xfrm>
        <a:prstGeom prst="rect">
          <a:avLst/>
        </a:prstGeom>
      </xdr:spPr>
    </xdr:pic>
    <xdr:clientData/>
  </xdr:twoCellAnchor>
  <xdr:twoCellAnchor editAs="oneCell">
    <xdr:from>
      <xdr:col>0</xdr:col>
      <xdr:colOff>227949</xdr:colOff>
      <xdr:row>384</xdr:row>
      <xdr:rowOff>65128</xdr:rowOff>
    </xdr:from>
    <xdr:to>
      <xdr:col>8</xdr:col>
      <xdr:colOff>357672</xdr:colOff>
      <xdr:row>393</xdr:row>
      <xdr:rowOff>128601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D42184D-F150-134B-BF8A-BE9AC076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7949" y="79261025"/>
          <a:ext cx="7569535" cy="1919627"/>
        </a:xfrm>
        <a:prstGeom prst="rect">
          <a:avLst/>
        </a:prstGeom>
      </xdr:spPr>
    </xdr:pic>
    <xdr:clientData/>
  </xdr:twoCellAnchor>
  <xdr:twoCellAnchor editAs="oneCell">
    <xdr:from>
      <xdr:col>0</xdr:col>
      <xdr:colOff>390769</xdr:colOff>
      <xdr:row>395</xdr:row>
      <xdr:rowOff>10855</xdr:rowOff>
    </xdr:from>
    <xdr:to>
      <xdr:col>6</xdr:col>
      <xdr:colOff>433219</xdr:colOff>
      <xdr:row>401</xdr:row>
      <xdr:rowOff>55011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30346B5-D8DE-6A44-BFA3-2B0D8595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90769" y="81475385"/>
          <a:ext cx="5832347" cy="1281592"/>
        </a:xfrm>
        <a:prstGeom prst="rect">
          <a:avLst/>
        </a:prstGeom>
      </xdr:spPr>
    </xdr:pic>
    <xdr:clientData/>
  </xdr:twoCellAnchor>
  <xdr:twoCellAnchor editAs="oneCell">
    <xdr:from>
      <xdr:col>0</xdr:col>
      <xdr:colOff>325641</xdr:colOff>
      <xdr:row>402</xdr:row>
      <xdr:rowOff>162821</xdr:rowOff>
    </xdr:from>
    <xdr:to>
      <xdr:col>8</xdr:col>
      <xdr:colOff>385366</xdr:colOff>
      <xdr:row>414</xdr:row>
      <xdr:rowOff>82405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610EDDE-DD67-D246-9C71-AEC74D27F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25641" y="83071026"/>
          <a:ext cx="7499537" cy="2394456"/>
        </a:xfrm>
        <a:prstGeom prst="rect">
          <a:avLst/>
        </a:prstGeom>
      </xdr:spPr>
    </xdr:pic>
    <xdr:clientData/>
  </xdr:twoCellAnchor>
  <xdr:twoCellAnchor editAs="oneCell">
    <xdr:from>
      <xdr:col>0</xdr:col>
      <xdr:colOff>184530</xdr:colOff>
      <xdr:row>416</xdr:row>
      <xdr:rowOff>10855</xdr:rowOff>
    </xdr:from>
    <xdr:to>
      <xdr:col>10</xdr:col>
      <xdr:colOff>336755</xdr:colOff>
      <xdr:row>425</xdr:row>
      <xdr:rowOff>36688</xdr:rowOff>
    </xdr:to>
    <xdr:pic>
      <xdr:nvPicPr>
        <xdr:cNvPr id="36" name="Picture 35" descr="No description available.">
          <a:extLst>
            <a:ext uri="{FF2B5EF4-FFF2-40B4-BE49-F238E27FC236}">
              <a16:creationId xmlns:a16="http://schemas.microsoft.com/office/drawing/2014/main" id="{441ACAB0-E207-4442-B3E0-6C0DC36CC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30" y="85806411"/>
          <a:ext cx="9241951" cy="188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390769</xdr:colOff>
      <xdr:row>435</xdr:row>
      <xdr:rowOff>32563</xdr:rowOff>
    </xdr:from>
    <xdr:to>
      <xdr:col>9</xdr:col>
      <xdr:colOff>552184</xdr:colOff>
      <xdr:row>443</xdr:row>
      <xdr:rowOff>116323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719972E-1F10-5E4C-B96F-01E7A22FA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0769" y="89746666"/>
          <a:ext cx="8426184" cy="17336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8</xdr:col>
      <xdr:colOff>263632</xdr:colOff>
      <xdr:row>464</xdr:row>
      <xdr:rowOff>131747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91AAB5F-11C4-724D-8D97-CA9E96746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24957" y="94251368"/>
          <a:ext cx="6878487" cy="1575422"/>
        </a:xfrm>
        <a:prstGeom prst="rect">
          <a:avLst/>
        </a:prstGeom>
      </xdr:spPr>
    </xdr:pic>
    <xdr:clientData/>
  </xdr:twoCellAnchor>
  <xdr:twoCellAnchor editAs="oneCell">
    <xdr:from>
      <xdr:col>0</xdr:col>
      <xdr:colOff>379914</xdr:colOff>
      <xdr:row>466</xdr:row>
      <xdr:rowOff>54274</xdr:rowOff>
    </xdr:from>
    <xdr:to>
      <xdr:col>15</xdr:col>
      <xdr:colOff>279154</xdr:colOff>
      <xdr:row>477</xdr:row>
      <xdr:rowOff>82848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21EFB43-CD35-904F-AB45-6837BA30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9914" y="96161795"/>
          <a:ext cx="14025548" cy="2297207"/>
        </a:xfrm>
        <a:prstGeom prst="rect">
          <a:avLst/>
        </a:prstGeom>
      </xdr:spPr>
    </xdr:pic>
    <xdr:clientData/>
  </xdr:twoCellAnchor>
  <xdr:twoCellAnchor editAs="oneCell">
    <xdr:from>
      <xdr:col>0</xdr:col>
      <xdr:colOff>379914</xdr:colOff>
      <xdr:row>490</xdr:row>
      <xdr:rowOff>130257</xdr:rowOff>
    </xdr:from>
    <xdr:to>
      <xdr:col>9</xdr:col>
      <xdr:colOff>591237</xdr:colOff>
      <xdr:row>500</xdr:row>
      <xdr:rowOff>25598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FEF55DF-A20C-A44E-933D-9D01C5C9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9914" y="101187522"/>
          <a:ext cx="8475549" cy="195773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423333</xdr:colOff>
      <xdr:row>501</xdr:row>
      <xdr:rowOff>65129</xdr:rowOff>
    </xdr:from>
    <xdr:to>
      <xdr:col>6</xdr:col>
      <xdr:colOff>439279</xdr:colOff>
      <xdr:row>518</xdr:row>
      <xdr:rowOff>79927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437B4D6-1DA2-DD45-A3E2-80112E71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3333" y="103391026"/>
          <a:ext cx="5805843" cy="3520867"/>
        </a:xfrm>
        <a:prstGeom prst="rect">
          <a:avLst/>
        </a:prstGeom>
      </xdr:spPr>
    </xdr:pic>
    <xdr:clientData/>
  </xdr:twoCellAnchor>
  <xdr:twoCellAnchor editAs="oneCell">
    <xdr:from>
      <xdr:col>0</xdr:col>
      <xdr:colOff>521026</xdr:colOff>
      <xdr:row>521</xdr:row>
      <xdr:rowOff>54273</xdr:rowOff>
    </xdr:from>
    <xdr:to>
      <xdr:col>8</xdr:col>
      <xdr:colOff>767269</xdr:colOff>
      <xdr:row>530</xdr:row>
      <xdr:rowOff>98695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272A951-E089-B04B-A4BA-61F803B1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21026" y="107504957"/>
          <a:ext cx="7685512" cy="1900576"/>
        </a:xfrm>
        <a:prstGeom prst="rect">
          <a:avLst/>
        </a:prstGeom>
      </xdr:spPr>
    </xdr:pic>
    <xdr:clientData/>
  </xdr:twoCellAnchor>
  <xdr:twoCellAnchor editAs="oneCell">
    <xdr:from>
      <xdr:col>0</xdr:col>
      <xdr:colOff>597008</xdr:colOff>
      <xdr:row>531</xdr:row>
      <xdr:rowOff>75984</xdr:rowOff>
    </xdr:from>
    <xdr:to>
      <xdr:col>5</xdr:col>
      <xdr:colOff>1112800</xdr:colOff>
      <xdr:row>545</xdr:row>
      <xdr:rowOff>23835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A681223-402C-AB49-8F54-F31EDFFF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7008" y="109589061"/>
          <a:ext cx="5175389" cy="2835201"/>
        </a:xfrm>
        <a:prstGeom prst="rect">
          <a:avLst/>
        </a:prstGeom>
      </xdr:spPr>
    </xdr:pic>
    <xdr:clientData/>
  </xdr:twoCellAnchor>
  <xdr:twoCellAnchor editAs="oneCell">
    <xdr:from>
      <xdr:col>0</xdr:col>
      <xdr:colOff>227949</xdr:colOff>
      <xdr:row>546</xdr:row>
      <xdr:rowOff>151965</xdr:rowOff>
    </xdr:from>
    <xdr:to>
      <xdr:col>16</xdr:col>
      <xdr:colOff>663723</xdr:colOff>
      <xdr:row>561</xdr:row>
      <xdr:rowOff>11358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14B1ACF-1006-6943-B4E6-0D6E8249C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7949" y="112758632"/>
          <a:ext cx="15386496" cy="29372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0</xdr:rowOff>
    </xdr:from>
    <xdr:to>
      <xdr:col>6</xdr:col>
      <xdr:colOff>1213682</xdr:colOff>
      <xdr:row>12</xdr:row>
      <xdr:rowOff>188787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FE964-806E-EE44-975E-D8F8B91DA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03200"/>
          <a:ext cx="6609384" cy="2423987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14</xdr:row>
      <xdr:rowOff>127000</xdr:rowOff>
    </xdr:from>
    <xdr:to>
      <xdr:col>8</xdr:col>
      <xdr:colOff>283742</xdr:colOff>
      <xdr:row>24</xdr:row>
      <xdr:rowOff>133370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38EAE7-42E1-474D-8967-CA53180DF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700" y="2971800"/>
          <a:ext cx="8055130" cy="2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431800</xdr:colOff>
      <xdr:row>25</xdr:row>
      <xdr:rowOff>177800</xdr:rowOff>
    </xdr:from>
    <xdr:to>
      <xdr:col>8</xdr:col>
      <xdr:colOff>328176</xdr:colOff>
      <xdr:row>35</xdr:row>
      <xdr:rowOff>178607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46D22F-DD98-414B-AA66-FE66104FA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800" y="5257800"/>
          <a:ext cx="8061464" cy="2032807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685800</xdr:colOff>
      <xdr:row>37</xdr:row>
      <xdr:rowOff>88900</xdr:rowOff>
    </xdr:from>
    <xdr:to>
      <xdr:col>8</xdr:col>
      <xdr:colOff>285659</xdr:colOff>
      <xdr:row>45</xdr:row>
      <xdr:rowOff>134139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46FD57-8695-534B-B366-1AEE0263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607300"/>
          <a:ext cx="7764947" cy="1670839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546100</xdr:colOff>
      <xdr:row>49</xdr:row>
      <xdr:rowOff>139700</xdr:rowOff>
    </xdr:from>
    <xdr:to>
      <xdr:col>9</xdr:col>
      <xdr:colOff>751630</xdr:colOff>
      <xdr:row>59</xdr:row>
      <xdr:rowOff>59634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8537CF-E011-8045-9422-9A1A2B25D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100" y="10096500"/>
          <a:ext cx="9196119" cy="1951934"/>
        </a:xfrm>
        <a:prstGeom prst="rect">
          <a:avLst/>
        </a:prstGeom>
      </xdr:spPr>
    </xdr:pic>
    <xdr:clientData/>
  </xdr:twoCellAnchor>
  <xdr:twoCellAnchor editAs="oneCell">
    <xdr:from>
      <xdr:col>0</xdr:col>
      <xdr:colOff>820442</xdr:colOff>
      <xdr:row>62</xdr:row>
      <xdr:rowOff>0</xdr:rowOff>
    </xdr:from>
    <xdr:to>
      <xdr:col>4</xdr:col>
      <xdr:colOff>57869</xdr:colOff>
      <xdr:row>85</xdr:row>
      <xdr:rowOff>50083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112288-01EB-3A4B-A797-B1F86AC8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442" y="12542655"/>
          <a:ext cx="3294684" cy="47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269734</xdr:colOff>
      <xdr:row>88</xdr:row>
      <xdr:rowOff>56194</xdr:rowOff>
    </xdr:from>
    <xdr:to>
      <xdr:col>8</xdr:col>
      <xdr:colOff>751051</xdr:colOff>
      <xdr:row>99</xdr:row>
      <xdr:rowOff>150429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DBCBC0-7832-8D4E-97E5-1CD22DB2B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734" y="17858672"/>
          <a:ext cx="8595830" cy="2319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393363</xdr:colOff>
      <xdr:row>109</xdr:row>
      <xdr:rowOff>112390</xdr:rowOff>
    </xdr:from>
    <xdr:to>
      <xdr:col>9</xdr:col>
      <xdr:colOff>40553</xdr:colOff>
      <xdr:row>117</xdr:row>
      <xdr:rowOff>15160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E44627-ABE1-2C40-87E2-8AAEA8B0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3363" y="22163186"/>
          <a:ext cx="8582146" cy="1521178"/>
        </a:xfrm>
        <a:prstGeom prst="rect">
          <a:avLst/>
        </a:prstGeom>
      </xdr:spPr>
    </xdr:pic>
    <xdr:clientData/>
  </xdr:twoCellAnchor>
  <xdr:twoCellAnchor editAs="oneCell">
    <xdr:from>
      <xdr:col>0</xdr:col>
      <xdr:colOff>303451</xdr:colOff>
      <xdr:row>120</xdr:row>
      <xdr:rowOff>78673</xdr:rowOff>
    </xdr:from>
    <xdr:to>
      <xdr:col>5</xdr:col>
      <xdr:colOff>707141</xdr:colOff>
      <xdr:row>127</xdr:row>
      <xdr:rowOff>148401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12CB43-CEB8-F648-8E5B-A0EA6651E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3451" y="24354779"/>
          <a:ext cx="5281389" cy="1485834"/>
        </a:xfrm>
        <a:prstGeom prst="rect">
          <a:avLst/>
        </a:prstGeom>
      </xdr:spPr>
    </xdr:pic>
    <xdr:clientData/>
  </xdr:twoCellAnchor>
  <xdr:twoCellAnchor editAs="oneCell">
    <xdr:from>
      <xdr:col>0</xdr:col>
      <xdr:colOff>483274</xdr:colOff>
      <xdr:row>129</xdr:row>
      <xdr:rowOff>44956</xdr:rowOff>
    </xdr:from>
    <xdr:to>
      <xdr:col>5</xdr:col>
      <xdr:colOff>771163</xdr:colOff>
      <xdr:row>148</xdr:row>
      <xdr:rowOff>34811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876804-7063-7E4A-B0AE-083B2C398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274" y="26141770"/>
          <a:ext cx="5165588" cy="3833572"/>
        </a:xfrm>
        <a:prstGeom prst="rect">
          <a:avLst/>
        </a:prstGeom>
      </xdr:spPr>
    </xdr:pic>
    <xdr:clientData/>
  </xdr:twoCellAnchor>
  <xdr:twoCellAnchor editAs="oneCell">
    <xdr:from>
      <xdr:col>0</xdr:col>
      <xdr:colOff>595663</xdr:colOff>
      <xdr:row>150</xdr:row>
      <xdr:rowOff>11239</xdr:rowOff>
    </xdr:from>
    <xdr:to>
      <xdr:col>3</xdr:col>
      <xdr:colOff>539233</xdr:colOff>
      <xdr:row>170</xdr:row>
      <xdr:rowOff>88718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ADB91F-29E1-DB47-9D1C-C24CC43B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63" y="30356372"/>
          <a:ext cx="3180384" cy="4123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719291</xdr:colOff>
      <xdr:row>172</xdr:row>
      <xdr:rowOff>56195</xdr:rowOff>
    </xdr:from>
    <xdr:to>
      <xdr:col>8</xdr:col>
      <xdr:colOff>36603</xdr:colOff>
      <xdr:row>180</xdr:row>
      <xdr:rowOff>63756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A36A0E-4F36-034C-81EE-35D3EED3B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9291" y="34851947"/>
          <a:ext cx="7431825" cy="1625968"/>
        </a:xfrm>
        <a:prstGeom prst="rect">
          <a:avLst/>
        </a:prstGeom>
      </xdr:spPr>
    </xdr:pic>
    <xdr:clientData/>
  </xdr:twoCellAnchor>
  <xdr:twoCellAnchor editAs="oneCell">
    <xdr:from>
      <xdr:col>0</xdr:col>
      <xdr:colOff>820442</xdr:colOff>
      <xdr:row>183</xdr:row>
      <xdr:rowOff>0</xdr:rowOff>
    </xdr:from>
    <xdr:to>
      <xdr:col>9</xdr:col>
      <xdr:colOff>602142</xdr:colOff>
      <xdr:row>189</xdr:row>
      <xdr:rowOff>150065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0E75FD-AB81-8046-8EA7-70480DA73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442" y="37021062"/>
          <a:ext cx="8716656" cy="1363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1</xdr:row>
      <xdr:rowOff>0</xdr:rowOff>
    </xdr:from>
    <xdr:to>
      <xdr:col>9</xdr:col>
      <xdr:colOff>747334</xdr:colOff>
      <xdr:row>13</xdr:row>
      <xdr:rowOff>114392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0FE12-0982-4749-9AFC-FEB92B13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203200"/>
          <a:ext cx="7732334" cy="2552792"/>
        </a:xfrm>
        <a:prstGeom prst="rect">
          <a:avLst/>
        </a:prstGeom>
      </xdr:spPr>
    </xdr:pic>
    <xdr:clientData/>
  </xdr:twoCellAnchor>
  <xdr:twoCellAnchor editAs="oneCell">
    <xdr:from>
      <xdr:col>0</xdr:col>
      <xdr:colOff>531418</xdr:colOff>
      <xdr:row>22</xdr:row>
      <xdr:rowOff>126099</xdr:rowOff>
    </xdr:from>
    <xdr:to>
      <xdr:col>4</xdr:col>
      <xdr:colOff>379361</xdr:colOff>
      <xdr:row>41</xdr:row>
      <xdr:rowOff>102142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95A46-6FA4-2E4B-A732-ED4E0F499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18" y="4683688"/>
          <a:ext cx="3162553" cy="3912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666524</xdr:colOff>
      <xdr:row>43</xdr:row>
      <xdr:rowOff>63049</xdr:rowOff>
    </xdr:from>
    <xdr:to>
      <xdr:col>4</xdr:col>
      <xdr:colOff>514467</xdr:colOff>
      <xdr:row>61</xdr:row>
      <xdr:rowOff>84330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F671CB-D784-D74B-89DA-113517189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524" y="8971063"/>
          <a:ext cx="3162553" cy="3750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171134</xdr:colOff>
      <xdr:row>49</xdr:row>
      <xdr:rowOff>99078</xdr:rowOff>
    </xdr:from>
    <xdr:to>
      <xdr:col>11</xdr:col>
      <xdr:colOff>361005</xdr:colOff>
      <xdr:row>51</xdr:row>
      <xdr:rowOff>167904</xdr:rowOff>
    </xdr:to>
    <xdr:pic>
      <xdr:nvPicPr>
        <xdr:cNvPr id="5" name="image10.png">
          <a:extLst>
            <a:ext uri="{FF2B5EF4-FFF2-40B4-BE49-F238E27FC236}">
              <a16:creationId xmlns:a16="http://schemas.microsoft.com/office/drawing/2014/main" id="{E96F86D1-415C-8143-8FD6-40394D4EDFD9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00354" y="10250071"/>
          <a:ext cx="2675828" cy="483152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243191</xdr:colOff>
      <xdr:row>63</xdr:row>
      <xdr:rowOff>63049</xdr:rowOff>
    </xdr:from>
    <xdr:to>
      <xdr:col>13</xdr:col>
      <xdr:colOff>526387</xdr:colOff>
      <xdr:row>75</xdr:row>
      <xdr:rowOff>2462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E44C18-9D08-7D4D-9086-1C6AE664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191" y="13114326"/>
          <a:ext cx="11055678" cy="2415763"/>
        </a:xfrm>
        <a:prstGeom prst="rect">
          <a:avLst/>
        </a:prstGeom>
      </xdr:spPr>
    </xdr:pic>
    <xdr:clientData/>
  </xdr:twoCellAnchor>
  <xdr:twoCellAnchor editAs="oneCell">
    <xdr:from>
      <xdr:col>0</xdr:col>
      <xdr:colOff>180142</xdr:colOff>
      <xdr:row>80</xdr:row>
      <xdr:rowOff>27021</xdr:rowOff>
    </xdr:from>
    <xdr:to>
      <xdr:col>13</xdr:col>
      <xdr:colOff>711022</xdr:colOff>
      <xdr:row>87</xdr:row>
      <xdr:rowOff>196915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A318F1-2621-A844-88D8-8096F85A1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42" y="16600071"/>
          <a:ext cx="11303362" cy="1620035"/>
        </a:xfrm>
        <a:prstGeom prst="rect">
          <a:avLst/>
        </a:prstGeom>
      </xdr:spPr>
    </xdr:pic>
    <xdr:clientData/>
  </xdr:twoCellAnchor>
  <xdr:twoCellAnchor editAs="oneCell">
    <xdr:from>
      <xdr:col>0</xdr:col>
      <xdr:colOff>90071</xdr:colOff>
      <xdr:row>98</xdr:row>
      <xdr:rowOff>117092</xdr:rowOff>
    </xdr:from>
    <xdr:to>
      <xdr:col>13</xdr:col>
      <xdr:colOff>363740</xdr:colOff>
      <xdr:row>106</xdr:row>
      <xdr:rowOff>117186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9969DE-B3E7-B84C-B29B-FCA764BFF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071" y="20419078"/>
          <a:ext cx="11046151" cy="1657399"/>
        </a:xfrm>
        <a:prstGeom prst="rect">
          <a:avLst/>
        </a:prstGeom>
      </xdr:spPr>
    </xdr:pic>
    <xdr:clientData/>
  </xdr:twoCellAnchor>
  <xdr:twoCellAnchor editAs="oneCell">
    <xdr:from>
      <xdr:col>0</xdr:col>
      <xdr:colOff>189149</xdr:colOff>
      <xdr:row>117</xdr:row>
      <xdr:rowOff>162127</xdr:rowOff>
    </xdr:from>
    <xdr:to>
      <xdr:col>14</xdr:col>
      <xdr:colOff>346734</xdr:colOff>
      <xdr:row>126</xdr:row>
      <xdr:rowOff>18983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AFF820-44BD-6044-B6E3-F9CFE2B1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9149" y="24400212"/>
          <a:ext cx="11758720" cy="1721324"/>
        </a:xfrm>
        <a:prstGeom prst="rect">
          <a:avLst/>
        </a:prstGeom>
      </xdr:spPr>
    </xdr:pic>
    <xdr:clientData/>
  </xdr:twoCellAnchor>
  <xdr:twoCellAnchor editAs="oneCell">
    <xdr:from>
      <xdr:col>0</xdr:col>
      <xdr:colOff>201007</xdr:colOff>
      <xdr:row>133</xdr:row>
      <xdr:rowOff>182734</xdr:rowOff>
    </xdr:from>
    <xdr:to>
      <xdr:col>7</xdr:col>
      <xdr:colOff>526598</xdr:colOff>
      <xdr:row>150</xdr:row>
      <xdr:rowOff>134112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92551B-E5DE-574E-B814-636BB0F4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007" y="26916691"/>
          <a:ext cx="6081706" cy="3368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475108</xdr:colOff>
      <xdr:row>152</xdr:row>
      <xdr:rowOff>91367</xdr:rowOff>
    </xdr:from>
    <xdr:to>
      <xdr:col>5</xdr:col>
      <xdr:colOff>821676</xdr:colOff>
      <xdr:row>174</xdr:row>
      <xdr:rowOff>172663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FBC4B4-7AB9-7247-B4EA-592EF002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08" y="30644461"/>
          <a:ext cx="4458079" cy="4503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365468</xdr:colOff>
      <xdr:row>177</xdr:row>
      <xdr:rowOff>54821</xdr:rowOff>
    </xdr:from>
    <xdr:to>
      <xdr:col>9</xdr:col>
      <xdr:colOff>107568</xdr:colOff>
      <xdr:row>184</xdr:row>
      <xdr:rowOff>154231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787C1F-B2B8-5D4F-A239-942B0261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5468" y="35633094"/>
          <a:ext cx="7142819" cy="1506461"/>
        </a:xfrm>
        <a:prstGeom prst="rect">
          <a:avLst/>
        </a:prstGeom>
      </xdr:spPr>
    </xdr:pic>
    <xdr:clientData/>
  </xdr:twoCellAnchor>
  <xdr:twoCellAnchor editAs="oneCell">
    <xdr:from>
      <xdr:col>0</xdr:col>
      <xdr:colOff>465971</xdr:colOff>
      <xdr:row>186</xdr:row>
      <xdr:rowOff>54820</xdr:rowOff>
    </xdr:from>
    <xdr:to>
      <xdr:col>9</xdr:col>
      <xdr:colOff>459335</xdr:colOff>
      <xdr:row>199</xdr:row>
      <xdr:rowOff>3647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38EC85-AD95-D645-AB6E-FD583E59A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5971" y="37442158"/>
          <a:ext cx="7394083" cy="2561921"/>
        </a:xfrm>
        <a:prstGeom prst="rect">
          <a:avLst/>
        </a:prstGeom>
      </xdr:spPr>
    </xdr:pic>
    <xdr:clientData/>
  </xdr:twoCellAnchor>
  <xdr:twoCellAnchor editAs="oneCell">
    <xdr:from>
      <xdr:col>0</xdr:col>
      <xdr:colOff>255827</xdr:colOff>
      <xdr:row>200</xdr:row>
      <xdr:rowOff>73094</xdr:rowOff>
    </xdr:from>
    <xdr:to>
      <xdr:col>19</xdr:col>
      <xdr:colOff>587840</xdr:colOff>
      <xdr:row>208</xdr:row>
      <xdr:rowOff>85256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980E8A-8DD2-684A-B008-6BA86326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5827" y="40274533"/>
          <a:ext cx="15955754" cy="1620219"/>
        </a:xfrm>
        <a:prstGeom prst="rect">
          <a:avLst/>
        </a:prstGeom>
      </xdr:spPr>
    </xdr:pic>
    <xdr:clientData/>
  </xdr:twoCellAnchor>
  <xdr:twoCellAnchor editAs="oneCell">
    <xdr:from>
      <xdr:col>0</xdr:col>
      <xdr:colOff>264964</xdr:colOff>
      <xdr:row>222</xdr:row>
      <xdr:rowOff>118776</xdr:rowOff>
    </xdr:from>
    <xdr:to>
      <xdr:col>22</xdr:col>
      <xdr:colOff>789777</xdr:colOff>
      <xdr:row>233</xdr:row>
      <xdr:rowOff>569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A7BC4F-5824-F54C-B087-B41B8D6D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4964" y="44742373"/>
          <a:ext cx="18615460" cy="20928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</xdr:row>
      <xdr:rowOff>190500</xdr:rowOff>
    </xdr:from>
    <xdr:to>
      <xdr:col>5</xdr:col>
      <xdr:colOff>24119</xdr:colOff>
      <xdr:row>24</xdr:row>
      <xdr:rowOff>36931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319CA-EA2D-054D-BDC2-2829B0A9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3700"/>
          <a:ext cx="3465819" cy="4520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419100</xdr:colOff>
      <xdr:row>25</xdr:row>
      <xdr:rowOff>114300</xdr:rowOff>
    </xdr:from>
    <xdr:to>
      <xdr:col>8</xdr:col>
      <xdr:colOff>69844</xdr:colOff>
      <xdr:row>55</xdr:row>
      <xdr:rowOff>165635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44BB5-EFCF-934A-8839-60DC55D4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5194300"/>
          <a:ext cx="6978644" cy="6147335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57</xdr:row>
      <xdr:rowOff>63500</xdr:rowOff>
    </xdr:from>
    <xdr:to>
      <xdr:col>14</xdr:col>
      <xdr:colOff>360332</xdr:colOff>
      <xdr:row>71</xdr:row>
      <xdr:rowOff>133757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C3FB1B-A810-BD48-B173-AC98976B1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1645900"/>
          <a:ext cx="12323732" cy="29150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1</xdr:row>
      <xdr:rowOff>177800</xdr:rowOff>
    </xdr:from>
    <xdr:to>
      <xdr:col>13</xdr:col>
      <xdr:colOff>491935</xdr:colOff>
      <xdr:row>16</xdr:row>
      <xdr:rowOff>117337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D6E5D-D68E-CC4B-AF2A-0AC45A45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81000"/>
          <a:ext cx="10867835" cy="2987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529533</xdr:colOff>
      <xdr:row>47</xdr:row>
      <xdr:rowOff>172005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AC44EE-41CF-4945-B538-58F7B535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765" y="7299832"/>
          <a:ext cx="5460121" cy="2402509"/>
        </a:xfrm>
        <a:prstGeom prst="rect">
          <a:avLst/>
        </a:prstGeom>
      </xdr:spPr>
    </xdr:pic>
    <xdr:clientData/>
  </xdr:twoCellAnchor>
  <xdr:twoCellAnchor>
    <xdr:from>
      <xdr:col>9</xdr:col>
      <xdr:colOff>64142</xdr:colOff>
      <xdr:row>34</xdr:row>
      <xdr:rowOff>38484</xdr:rowOff>
    </xdr:from>
    <xdr:to>
      <xdr:col>9</xdr:col>
      <xdr:colOff>64142</xdr:colOff>
      <xdr:row>44</xdr:row>
      <xdr:rowOff>79664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AC3358C-A1BB-C54A-9C79-B26333984E8D}"/>
            </a:ext>
          </a:extLst>
        </xdr:cNvPr>
        <xdr:cNvCxnSpPr/>
      </xdr:nvCxnSpPr>
      <xdr:spPr>
        <a:xfrm flipV="1">
          <a:off x="7453233" y="7017070"/>
          <a:ext cx="0" cy="209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64142</xdr:colOff>
      <xdr:row>44</xdr:row>
      <xdr:rowOff>79664</xdr:rowOff>
    </xdr:from>
    <xdr:to>
      <xdr:col>14</xdr:col>
      <xdr:colOff>347632</xdr:colOff>
      <xdr:row>44</xdr:row>
      <xdr:rowOff>79664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E21AF94-8E21-A947-8664-69C0F4EB897C}"/>
            </a:ext>
          </a:extLst>
        </xdr:cNvPr>
        <xdr:cNvCxnSpPr/>
      </xdr:nvCxnSpPr>
      <xdr:spPr>
        <a:xfrm>
          <a:off x="7453233" y="9110775"/>
          <a:ext cx="43885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64142</xdr:colOff>
      <xdr:row>41</xdr:row>
      <xdr:rowOff>122679</xdr:rowOff>
    </xdr:from>
    <xdr:to>
      <xdr:col>10</xdr:col>
      <xdr:colOff>104744</xdr:colOff>
      <xdr:row>41</xdr:row>
      <xdr:rowOff>122679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F2F7AB4-27AC-074A-8941-9C3FF61637C0}"/>
            </a:ext>
          </a:extLst>
        </xdr:cNvPr>
        <xdr:cNvCxnSpPr/>
      </xdr:nvCxnSpPr>
      <xdr:spPr>
        <a:xfrm>
          <a:off x="7453233" y="8538033"/>
          <a:ext cx="861612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85694</xdr:colOff>
      <xdr:row>41</xdr:row>
      <xdr:rowOff>113154</xdr:rowOff>
    </xdr:from>
    <xdr:to>
      <xdr:col>10</xdr:col>
      <xdr:colOff>816496</xdr:colOff>
      <xdr:row>46</xdr:row>
      <xdr:rowOff>35112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1EC7883-B4FA-6344-906C-57FEDCE0D28B}"/>
            </a:ext>
          </a:extLst>
        </xdr:cNvPr>
        <xdr:cNvCxnSpPr/>
      </xdr:nvCxnSpPr>
      <xdr:spPr>
        <a:xfrm>
          <a:off x="8295795" y="8528508"/>
          <a:ext cx="730802" cy="94822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816496</xdr:colOff>
      <xdr:row>41</xdr:row>
      <xdr:rowOff>122679</xdr:rowOff>
    </xdr:from>
    <xdr:to>
      <xdr:col>11</xdr:col>
      <xdr:colOff>638023</xdr:colOff>
      <xdr:row>46</xdr:row>
      <xdr:rowOff>44637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AE3A56C-8B3E-A34B-9261-9E9F831483A9}"/>
            </a:ext>
          </a:extLst>
        </xdr:cNvPr>
        <xdr:cNvCxnSpPr/>
      </xdr:nvCxnSpPr>
      <xdr:spPr>
        <a:xfrm flipH="1">
          <a:off x="9026597" y="8538033"/>
          <a:ext cx="642537" cy="94822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638023</xdr:colOff>
      <xdr:row>41</xdr:row>
      <xdr:rowOff>122679</xdr:rowOff>
    </xdr:from>
    <xdr:to>
      <xdr:col>12</xdr:col>
      <xdr:colOff>742678</xdr:colOff>
      <xdr:row>41</xdr:row>
      <xdr:rowOff>122679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5262209-29C4-7A40-B74B-8DC9A56A1E22}"/>
            </a:ext>
          </a:extLst>
        </xdr:cNvPr>
        <xdr:cNvCxnSpPr/>
      </xdr:nvCxnSpPr>
      <xdr:spPr>
        <a:xfrm>
          <a:off x="9669134" y="8538033"/>
          <a:ext cx="92566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52</xdr:row>
      <xdr:rowOff>0</xdr:rowOff>
    </xdr:from>
    <xdr:to>
      <xdr:col>15</xdr:col>
      <xdr:colOff>128964</xdr:colOff>
      <xdr:row>68</xdr:row>
      <xdr:rowOff>88976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F442B3-86D8-2D45-97F7-06934DF4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010" y="10673131"/>
          <a:ext cx="11623106" cy="3373017"/>
        </a:xfrm>
        <a:prstGeom prst="rect">
          <a:avLst/>
        </a:prstGeom>
      </xdr:spPr>
    </xdr:pic>
    <xdr:clientData/>
  </xdr:twoCellAnchor>
  <xdr:twoCellAnchor editAs="oneCell">
    <xdr:from>
      <xdr:col>0</xdr:col>
      <xdr:colOff>615757</xdr:colOff>
      <xdr:row>78</xdr:row>
      <xdr:rowOff>12827</xdr:rowOff>
    </xdr:from>
    <xdr:to>
      <xdr:col>10</xdr:col>
      <xdr:colOff>160681</xdr:colOff>
      <xdr:row>89</xdr:row>
      <xdr:rowOff>145252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02B642-BAC2-DD48-98D9-00FB62E33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757" y="16022524"/>
          <a:ext cx="7755025" cy="23902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358462</xdr:colOff>
      <xdr:row>103</xdr:row>
      <xdr:rowOff>14215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16F020B-BD9E-B042-ABBE-ADC40C036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1010" y="18883232"/>
          <a:ext cx="7747553" cy="2271993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692727</xdr:colOff>
      <xdr:row>92</xdr:row>
      <xdr:rowOff>64141</xdr:rowOff>
    </xdr:from>
    <xdr:to>
      <xdr:col>16</xdr:col>
      <xdr:colOff>105987</xdr:colOff>
      <xdr:row>98</xdr:row>
      <xdr:rowOff>3925</xdr:rowOff>
    </xdr:to>
    <xdr:pic>
      <xdr:nvPicPr>
        <xdr:cNvPr id="19" name="Picture 18" descr="A math equations with black text&#10;&#10;Description automatically generated with medium confidence">
          <a:extLst>
            <a:ext uri="{FF2B5EF4-FFF2-40B4-BE49-F238E27FC236}">
              <a16:creationId xmlns:a16="http://schemas.microsoft.com/office/drawing/2014/main" id="{21A8F8DF-DE81-734F-93DF-6BA58C27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02828" y="18947373"/>
          <a:ext cx="4339321" cy="1171299"/>
        </a:xfrm>
        <a:prstGeom prst="rect">
          <a:avLst/>
        </a:prstGeom>
      </xdr:spPr>
    </xdr:pic>
    <xdr:clientData/>
  </xdr:twoCellAnchor>
  <xdr:twoCellAnchor editAs="oneCell">
    <xdr:from>
      <xdr:col>1</xdr:col>
      <xdr:colOff>12828</xdr:colOff>
      <xdr:row>105</xdr:row>
      <xdr:rowOff>179596</xdr:rowOff>
    </xdr:from>
    <xdr:to>
      <xdr:col>7</xdr:col>
      <xdr:colOff>638613</xdr:colOff>
      <xdr:row>113</xdr:row>
      <xdr:rowOff>39702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584DA2E-98DA-DB4A-B825-721E0020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3838" y="21731111"/>
          <a:ext cx="5551846" cy="1502126"/>
        </a:xfrm>
        <a:prstGeom prst="rect">
          <a:avLst/>
        </a:prstGeom>
      </xdr:spPr>
    </xdr:pic>
    <xdr:clientData/>
  </xdr:twoCellAnchor>
  <xdr:twoCellAnchor editAs="oneCell">
    <xdr:from>
      <xdr:col>0</xdr:col>
      <xdr:colOff>782525</xdr:colOff>
      <xdr:row>115</xdr:row>
      <xdr:rowOff>141111</xdr:rowOff>
    </xdr:from>
    <xdr:to>
      <xdr:col>4</xdr:col>
      <xdr:colOff>602669</xdr:colOff>
      <xdr:row>137</xdr:row>
      <xdr:rowOff>76905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1AF1717-5629-134B-B0D5-3ECFDA2F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525" y="23745151"/>
          <a:ext cx="3104184" cy="445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501316</xdr:colOff>
      <xdr:row>139</xdr:row>
      <xdr:rowOff>11140</xdr:rowOff>
    </xdr:from>
    <xdr:to>
      <xdr:col>14</xdr:col>
      <xdr:colOff>156235</xdr:colOff>
      <xdr:row>147</xdr:row>
      <xdr:rowOff>67551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C3B91C2-D7CD-5E4E-AFDC-E16AC004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1316" y="27884298"/>
          <a:ext cx="11196323" cy="1660621"/>
        </a:xfrm>
        <a:prstGeom prst="rect">
          <a:avLst/>
        </a:prstGeom>
      </xdr:spPr>
    </xdr:pic>
    <xdr:clientData/>
  </xdr:twoCellAnchor>
  <xdr:twoCellAnchor editAs="oneCell">
    <xdr:from>
      <xdr:col>0</xdr:col>
      <xdr:colOff>378772</xdr:colOff>
      <xdr:row>158</xdr:row>
      <xdr:rowOff>89123</xdr:rowOff>
    </xdr:from>
    <xdr:to>
      <xdr:col>14</xdr:col>
      <xdr:colOff>124548</xdr:colOff>
      <xdr:row>166</xdr:row>
      <xdr:rowOff>136052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68CE1E-76CE-BB45-8CA6-26FAD313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8772" y="31772281"/>
          <a:ext cx="11287180" cy="1651139"/>
        </a:xfrm>
        <a:prstGeom prst="rect">
          <a:avLst/>
        </a:prstGeom>
      </xdr:spPr>
    </xdr:pic>
    <xdr:clientData/>
  </xdr:twoCellAnchor>
  <xdr:twoCellAnchor editAs="oneCell">
    <xdr:from>
      <xdr:col>0</xdr:col>
      <xdr:colOff>369626</xdr:colOff>
      <xdr:row>183</xdr:row>
      <xdr:rowOff>0</xdr:rowOff>
    </xdr:from>
    <xdr:to>
      <xdr:col>8</xdr:col>
      <xdr:colOff>284581</xdr:colOff>
      <xdr:row>190</xdr:row>
      <xdr:rowOff>25941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B42A43-F549-674C-AD63-4D6868FC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9626" y="36422463"/>
          <a:ext cx="6511373" cy="1419150"/>
        </a:xfrm>
        <a:prstGeom prst="rect">
          <a:avLst/>
        </a:prstGeom>
      </xdr:spPr>
    </xdr:pic>
    <xdr:clientData/>
  </xdr:twoCellAnchor>
  <xdr:twoCellAnchor editAs="oneCell">
    <xdr:from>
      <xdr:col>8</xdr:col>
      <xdr:colOff>653955</xdr:colOff>
      <xdr:row>183</xdr:row>
      <xdr:rowOff>170597</xdr:rowOff>
    </xdr:from>
    <xdr:to>
      <xdr:col>14</xdr:col>
      <xdr:colOff>45963</xdr:colOff>
      <xdr:row>189</xdr:row>
      <xdr:rowOff>147717</xdr:rowOff>
    </xdr:to>
    <xdr:pic>
      <xdr:nvPicPr>
        <xdr:cNvPr id="25" name="Picture 24" descr="A math equations with black text&#10;&#10;Description automatically generated with medium confidence">
          <a:extLst>
            <a:ext uri="{FF2B5EF4-FFF2-40B4-BE49-F238E27FC236}">
              <a16:creationId xmlns:a16="http://schemas.microsoft.com/office/drawing/2014/main" id="{628633E9-3E35-AD46-B4F8-7B023273B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0373" y="36593060"/>
          <a:ext cx="4339321" cy="1171299"/>
        </a:xfrm>
        <a:prstGeom prst="rect">
          <a:avLst/>
        </a:prstGeom>
      </xdr:spPr>
    </xdr:pic>
    <xdr:clientData/>
  </xdr:twoCellAnchor>
  <xdr:twoCellAnchor editAs="oneCell">
    <xdr:from>
      <xdr:col>0</xdr:col>
      <xdr:colOff>331718</xdr:colOff>
      <xdr:row>191</xdr:row>
      <xdr:rowOff>189553</xdr:rowOff>
    </xdr:from>
    <xdr:to>
      <xdr:col>6</xdr:col>
      <xdr:colOff>631066</xdr:colOff>
      <xdr:row>212</xdr:row>
      <xdr:rowOff>133423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4D42D80-4E72-5545-A2E2-0C6EFD4B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1718" y="38204254"/>
          <a:ext cx="5246661" cy="4123497"/>
        </a:xfrm>
        <a:prstGeom prst="rect">
          <a:avLst/>
        </a:prstGeom>
      </xdr:spPr>
    </xdr:pic>
    <xdr:clientData/>
  </xdr:twoCellAnchor>
  <xdr:twoCellAnchor editAs="oneCell">
    <xdr:from>
      <xdr:col>0</xdr:col>
      <xdr:colOff>199030</xdr:colOff>
      <xdr:row>213</xdr:row>
      <xdr:rowOff>161120</xdr:rowOff>
    </xdr:from>
    <xdr:to>
      <xdr:col>8</xdr:col>
      <xdr:colOff>549564</xdr:colOff>
      <xdr:row>240</xdr:row>
      <xdr:rowOff>9410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7F1DF3A-0AA5-0543-B926-3C409BBF5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9030" y="42554478"/>
          <a:ext cx="6946952" cy="5222096"/>
        </a:xfrm>
        <a:prstGeom prst="rect">
          <a:avLst/>
        </a:prstGeom>
      </xdr:spPr>
    </xdr:pic>
    <xdr:clientData/>
  </xdr:twoCellAnchor>
  <xdr:twoCellAnchor editAs="oneCell">
    <xdr:from>
      <xdr:col>0</xdr:col>
      <xdr:colOff>265373</xdr:colOff>
      <xdr:row>241</xdr:row>
      <xdr:rowOff>94776</xdr:rowOff>
    </xdr:from>
    <xdr:to>
      <xdr:col>8</xdr:col>
      <xdr:colOff>530170</xdr:colOff>
      <xdr:row>270</xdr:row>
      <xdr:rowOff>60671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453748A-6C89-E142-92BB-47A265262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5373" y="48060970"/>
          <a:ext cx="6861215" cy="5737761"/>
        </a:xfrm>
        <a:prstGeom prst="rect">
          <a:avLst/>
        </a:prstGeom>
      </xdr:spPr>
    </xdr:pic>
    <xdr:clientData/>
  </xdr:twoCellAnchor>
  <xdr:twoCellAnchor>
    <xdr:from>
      <xdr:col>9</xdr:col>
      <xdr:colOff>161119</xdr:colOff>
      <xdr:row>248</xdr:row>
      <xdr:rowOff>142164</xdr:rowOff>
    </xdr:from>
    <xdr:to>
      <xdr:col>9</xdr:col>
      <xdr:colOff>161119</xdr:colOff>
      <xdr:row>259</xdr:row>
      <xdr:rowOff>46541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F462464-F38C-0947-A813-DCD087D8E619}"/>
            </a:ext>
          </a:extLst>
        </xdr:cNvPr>
        <xdr:cNvCxnSpPr/>
      </xdr:nvCxnSpPr>
      <xdr:spPr>
        <a:xfrm flipV="1">
          <a:off x="7582089" y="49501567"/>
          <a:ext cx="0" cy="209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161119</xdr:colOff>
      <xdr:row>259</xdr:row>
      <xdr:rowOff>46541</xdr:rowOff>
    </xdr:from>
    <xdr:to>
      <xdr:col>14</xdr:col>
      <xdr:colOff>375546</xdr:colOff>
      <xdr:row>259</xdr:row>
      <xdr:rowOff>46541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2909E5C-BDC2-9745-8F42-1350C7056B57}"/>
            </a:ext>
          </a:extLst>
        </xdr:cNvPr>
        <xdr:cNvCxnSpPr/>
      </xdr:nvCxnSpPr>
      <xdr:spPr>
        <a:xfrm>
          <a:off x="7582089" y="51595272"/>
          <a:ext cx="433718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161119</xdr:colOff>
      <xdr:row>252</xdr:row>
      <xdr:rowOff>90237</xdr:rowOff>
    </xdr:from>
    <xdr:to>
      <xdr:col>10</xdr:col>
      <xdr:colOff>600769</xdr:colOff>
      <xdr:row>260</xdr:row>
      <xdr:rowOff>159075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1BE8977-013B-7F41-8B09-ED5DEB287FE2}"/>
            </a:ext>
          </a:extLst>
        </xdr:cNvPr>
        <xdr:cNvCxnSpPr/>
      </xdr:nvCxnSpPr>
      <xdr:spPr>
        <a:xfrm>
          <a:off x="7582089" y="50245759"/>
          <a:ext cx="1264202" cy="1661077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600769</xdr:colOff>
      <xdr:row>252</xdr:row>
      <xdr:rowOff>80712</xdr:rowOff>
    </xdr:from>
    <xdr:to>
      <xdr:col>12</xdr:col>
      <xdr:colOff>308494</xdr:colOff>
      <xdr:row>260</xdr:row>
      <xdr:rowOff>168600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1CF8C44-69CC-7547-AE74-5EA4B727CF22}"/>
            </a:ext>
          </a:extLst>
        </xdr:cNvPr>
        <xdr:cNvCxnSpPr/>
      </xdr:nvCxnSpPr>
      <xdr:spPr>
        <a:xfrm flipH="1">
          <a:off x="8846291" y="50236234"/>
          <a:ext cx="1356830" cy="1680127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292100</xdr:colOff>
      <xdr:row>272</xdr:row>
      <xdr:rowOff>63500</xdr:rowOff>
    </xdr:from>
    <xdr:to>
      <xdr:col>8</xdr:col>
      <xdr:colOff>701736</xdr:colOff>
      <xdr:row>294</xdr:row>
      <xdr:rowOff>147109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8EE85EF-9C40-6448-9650-363E6D795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2100" y="55333900"/>
          <a:ext cx="7013636" cy="4554009"/>
        </a:xfrm>
        <a:prstGeom prst="rect">
          <a:avLst/>
        </a:prstGeom>
      </xdr:spPr>
    </xdr:pic>
    <xdr:clientData/>
  </xdr:twoCellAnchor>
  <xdr:twoCellAnchor editAs="oneCell">
    <xdr:from>
      <xdr:col>9</xdr:col>
      <xdr:colOff>444500</xdr:colOff>
      <xdr:row>278</xdr:row>
      <xdr:rowOff>12700</xdr:rowOff>
    </xdr:from>
    <xdr:to>
      <xdr:col>14</xdr:col>
      <xdr:colOff>592269</xdr:colOff>
      <xdr:row>283</xdr:row>
      <xdr:rowOff>170760</xdr:rowOff>
    </xdr:to>
    <xdr:pic>
      <xdr:nvPicPr>
        <xdr:cNvPr id="34" name="Picture 33" descr="A math equations with black text&#10;&#10;Description automatically generated with medium confidence">
          <a:extLst>
            <a:ext uri="{FF2B5EF4-FFF2-40B4-BE49-F238E27FC236}">
              <a16:creationId xmlns:a16="http://schemas.microsoft.com/office/drawing/2014/main" id="{C46ECE52-D1E5-3C4E-8BBB-9964D08EE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74000" y="56502300"/>
          <a:ext cx="4275269" cy="117406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297</xdr:row>
      <xdr:rowOff>12700</xdr:rowOff>
    </xdr:from>
    <xdr:to>
      <xdr:col>9</xdr:col>
      <xdr:colOff>378500</xdr:colOff>
      <xdr:row>305</xdr:row>
      <xdr:rowOff>181781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A0DE9F8-7B0C-0049-A149-290E8074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2100" y="60363100"/>
          <a:ext cx="7515900" cy="1794681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294</xdr:row>
      <xdr:rowOff>50800</xdr:rowOff>
    </xdr:from>
    <xdr:to>
      <xdr:col>11</xdr:col>
      <xdr:colOff>9525</xdr:colOff>
      <xdr:row>304</xdr:row>
      <xdr:rowOff>112505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D7B08C2-7A05-4843-A083-9D6F405A4C1A}"/>
            </a:ext>
          </a:extLst>
        </xdr:cNvPr>
        <xdr:cNvCxnSpPr/>
      </xdr:nvCxnSpPr>
      <xdr:spPr>
        <a:xfrm flipV="1">
          <a:off x="9090025" y="59791600"/>
          <a:ext cx="0" cy="209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304</xdr:row>
      <xdr:rowOff>112505</xdr:rowOff>
    </xdr:from>
    <xdr:to>
      <xdr:col>16</xdr:col>
      <xdr:colOff>283265</xdr:colOff>
      <xdr:row>304</xdr:row>
      <xdr:rowOff>112505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2594B2AB-777B-8B44-AB28-B9A7F6E93BEF}"/>
            </a:ext>
          </a:extLst>
        </xdr:cNvPr>
        <xdr:cNvCxnSpPr/>
      </xdr:nvCxnSpPr>
      <xdr:spPr>
        <a:xfrm>
          <a:off x="9090025" y="61885305"/>
          <a:ext cx="44012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140805</xdr:colOff>
      <xdr:row>302</xdr:row>
      <xdr:rowOff>5354</xdr:rowOff>
    </xdr:from>
    <xdr:to>
      <xdr:col>12</xdr:col>
      <xdr:colOff>823982</xdr:colOff>
      <xdr:row>306</xdr:row>
      <xdr:rowOff>72058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54447FD4-FB9F-D749-BABC-04B02B5B62F0}"/>
            </a:ext>
          </a:extLst>
        </xdr:cNvPr>
        <xdr:cNvCxnSpPr/>
      </xdr:nvCxnSpPr>
      <xdr:spPr>
        <a:xfrm>
          <a:off x="10046805" y="61371754"/>
          <a:ext cx="683177" cy="87950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738809</xdr:colOff>
      <xdr:row>302</xdr:row>
      <xdr:rowOff>29127</xdr:rowOff>
    </xdr:from>
    <xdr:to>
      <xdr:col>14</xdr:col>
      <xdr:colOff>500859</xdr:colOff>
      <xdr:row>306</xdr:row>
      <xdr:rowOff>72058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0EF2AB8-C312-5344-AD9C-3213C210D702}"/>
            </a:ext>
          </a:extLst>
        </xdr:cNvPr>
        <xdr:cNvCxnSpPr/>
      </xdr:nvCxnSpPr>
      <xdr:spPr>
        <a:xfrm flipH="1">
          <a:off x="11470309" y="61395527"/>
          <a:ext cx="587550" cy="855731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823982</xdr:colOff>
      <xdr:row>306</xdr:row>
      <xdr:rowOff>81583</xdr:rowOff>
    </xdr:from>
    <xdr:to>
      <xdr:col>13</xdr:col>
      <xdr:colOff>738809</xdr:colOff>
      <xdr:row>306</xdr:row>
      <xdr:rowOff>81583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CF15444-871E-6C47-BE9F-EC238D33AF35}"/>
            </a:ext>
          </a:extLst>
        </xdr:cNvPr>
        <xdr:cNvCxnSpPr/>
      </xdr:nvCxnSpPr>
      <xdr:spPr>
        <a:xfrm flipH="1">
          <a:off x="10729982" y="62260783"/>
          <a:ext cx="740327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302</xdr:row>
      <xdr:rowOff>12838</xdr:rowOff>
    </xdr:from>
    <xdr:to>
      <xdr:col>12</xdr:col>
      <xdr:colOff>159855</xdr:colOff>
      <xdr:row>302</xdr:row>
      <xdr:rowOff>12838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31BF7AD-E216-344F-9471-FD10BE4F10A1}"/>
            </a:ext>
          </a:extLst>
        </xdr:cNvPr>
        <xdr:cNvCxnSpPr/>
      </xdr:nvCxnSpPr>
      <xdr:spPr>
        <a:xfrm flipH="1">
          <a:off x="9080500" y="61379238"/>
          <a:ext cx="98535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501236</xdr:colOff>
      <xdr:row>302</xdr:row>
      <xdr:rowOff>29127</xdr:rowOff>
    </xdr:from>
    <xdr:to>
      <xdr:col>15</xdr:col>
      <xdr:colOff>597038</xdr:colOff>
      <xdr:row>302</xdr:row>
      <xdr:rowOff>29127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A74BF33-9C8E-FC4D-8AAC-417780594AFF}"/>
            </a:ext>
          </a:extLst>
        </xdr:cNvPr>
        <xdr:cNvCxnSpPr/>
      </xdr:nvCxnSpPr>
      <xdr:spPr>
        <a:xfrm flipH="1">
          <a:off x="12058236" y="61395527"/>
          <a:ext cx="921302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469900</xdr:colOff>
      <xdr:row>309</xdr:row>
      <xdr:rowOff>152400</xdr:rowOff>
    </xdr:from>
    <xdr:to>
      <xdr:col>9</xdr:col>
      <xdr:colOff>620352</xdr:colOff>
      <xdr:row>317</xdr:row>
      <xdr:rowOff>28926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D903F72-1E7F-044E-9FD7-E9B44488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9900" y="62941200"/>
          <a:ext cx="7579952" cy="150212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318</xdr:row>
      <xdr:rowOff>38100</xdr:rowOff>
    </xdr:from>
    <xdr:to>
      <xdr:col>9</xdr:col>
      <xdr:colOff>346168</xdr:colOff>
      <xdr:row>328</xdr:row>
      <xdr:rowOff>4838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1B63A93-6873-BD4F-A277-DC627DFF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3400" y="64655700"/>
          <a:ext cx="7242268" cy="199873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330</xdr:row>
      <xdr:rowOff>0</xdr:rowOff>
    </xdr:from>
    <xdr:to>
      <xdr:col>9</xdr:col>
      <xdr:colOff>314400</xdr:colOff>
      <xdr:row>345</xdr:row>
      <xdr:rowOff>51515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74C8F95-8DF7-0642-9D1A-89117810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5000" y="67056000"/>
          <a:ext cx="7108900" cy="309951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348</xdr:row>
      <xdr:rowOff>38100</xdr:rowOff>
    </xdr:from>
    <xdr:to>
      <xdr:col>9</xdr:col>
      <xdr:colOff>355684</xdr:colOff>
      <xdr:row>358</xdr:row>
      <xdr:rowOff>17126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473C780-2214-E844-A561-A06E21D9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70751700"/>
          <a:ext cx="7175584" cy="2011026"/>
        </a:xfrm>
        <a:prstGeom prst="rect">
          <a:avLst/>
        </a:prstGeom>
      </xdr:spPr>
    </xdr:pic>
    <xdr:clientData/>
  </xdr:twoCellAnchor>
  <xdr:twoCellAnchor editAs="oneCell">
    <xdr:from>
      <xdr:col>0</xdr:col>
      <xdr:colOff>622300</xdr:colOff>
      <xdr:row>359</xdr:row>
      <xdr:rowOff>63500</xdr:rowOff>
    </xdr:from>
    <xdr:to>
      <xdr:col>9</xdr:col>
      <xdr:colOff>396963</xdr:colOff>
      <xdr:row>370</xdr:row>
      <xdr:rowOff>119593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20939FE-5304-F64A-B22F-302A16C1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2300" y="73012300"/>
          <a:ext cx="7204163" cy="2291293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372</xdr:row>
      <xdr:rowOff>177800</xdr:rowOff>
    </xdr:from>
    <xdr:to>
      <xdr:col>14</xdr:col>
      <xdr:colOff>165855</xdr:colOff>
      <xdr:row>376</xdr:row>
      <xdr:rowOff>192274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F4F4CFB-2EAC-044B-8ECC-DDFDC7AF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2900" y="75768200"/>
          <a:ext cx="11379955" cy="827274"/>
        </a:xfrm>
        <a:prstGeom prst="rect">
          <a:avLst/>
        </a:prstGeom>
      </xdr:spPr>
    </xdr:pic>
    <xdr:clientData/>
  </xdr:twoCellAnchor>
  <xdr:twoCellAnchor editAs="oneCell">
    <xdr:from>
      <xdr:col>0</xdr:col>
      <xdr:colOff>406400</xdr:colOff>
      <xdr:row>379</xdr:row>
      <xdr:rowOff>63500</xdr:rowOff>
    </xdr:from>
    <xdr:to>
      <xdr:col>10</xdr:col>
      <xdr:colOff>588721</xdr:colOff>
      <xdr:row>387</xdr:row>
      <xdr:rowOff>35289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A4277F1-0582-004E-A798-459E4250B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6400" y="77076300"/>
          <a:ext cx="8437321" cy="15973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13</xdr:col>
      <xdr:colOff>208308</xdr:colOff>
      <xdr:row>411</xdr:row>
      <xdr:rowOff>78780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B50D2C9-3381-CA48-8889-7E335D43A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b="30375"/>
        <a:stretch/>
      </xdr:blipFill>
      <xdr:spPr>
        <a:xfrm>
          <a:off x="825500" y="80467200"/>
          <a:ext cx="10114308" cy="3126780"/>
        </a:xfrm>
        <a:prstGeom prst="rect">
          <a:avLst/>
        </a:prstGeom>
      </xdr:spPr>
    </xdr:pic>
    <xdr:clientData/>
  </xdr:twoCellAnchor>
  <xdr:twoCellAnchor editAs="oneCell">
    <xdr:from>
      <xdr:col>0</xdr:col>
      <xdr:colOff>709370</xdr:colOff>
      <xdr:row>420</xdr:row>
      <xdr:rowOff>57207</xdr:rowOff>
    </xdr:from>
    <xdr:to>
      <xdr:col>15</xdr:col>
      <xdr:colOff>766934</xdr:colOff>
      <xdr:row>427</xdr:row>
      <xdr:rowOff>2806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F991503-9E9B-954A-807D-1AEF69CA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9370" y="86554504"/>
          <a:ext cx="12414321" cy="1387221"/>
        </a:xfrm>
        <a:prstGeom prst="rect">
          <a:avLst/>
        </a:prstGeom>
      </xdr:spPr>
    </xdr:pic>
    <xdr:clientData/>
  </xdr:twoCellAnchor>
  <xdr:twoCellAnchor editAs="oneCell">
    <xdr:from>
      <xdr:col>0</xdr:col>
      <xdr:colOff>711200</xdr:colOff>
      <xdr:row>436</xdr:row>
      <xdr:rowOff>10160</xdr:rowOff>
    </xdr:from>
    <xdr:to>
      <xdr:col>10</xdr:col>
      <xdr:colOff>208266</xdr:colOff>
      <xdr:row>442</xdr:row>
      <xdr:rowOff>159523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65B7B45-83FC-1E40-91D3-7B644224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11200" y="88605360"/>
          <a:ext cx="7726666" cy="1368563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558800</xdr:colOff>
      <xdr:row>448</xdr:row>
      <xdr:rowOff>30480</xdr:rowOff>
    </xdr:from>
    <xdr:to>
      <xdr:col>16</xdr:col>
      <xdr:colOff>303080</xdr:colOff>
      <xdr:row>458</xdr:row>
      <xdr:rowOff>68177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875572D-52ED-5641-9D46-96F479A5B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8800" y="91064080"/>
          <a:ext cx="12911640" cy="2069697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471</xdr:row>
      <xdr:rowOff>71120</xdr:rowOff>
    </xdr:from>
    <xdr:to>
      <xdr:col>13</xdr:col>
      <xdr:colOff>546551</xdr:colOff>
      <xdr:row>478</xdr:row>
      <xdr:rowOff>160372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5003172-3226-B042-A444-52430F4ED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84480" y="95778320"/>
          <a:ext cx="10960551" cy="1511652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493</xdr:row>
      <xdr:rowOff>30480</xdr:rowOff>
    </xdr:from>
    <xdr:to>
      <xdr:col>10</xdr:col>
      <xdr:colOff>6195</xdr:colOff>
      <xdr:row>502</xdr:row>
      <xdr:rowOff>107917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BAFE2F3-F6FC-E54C-AF1A-C9C88D23D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5760" y="100208080"/>
          <a:ext cx="7870035" cy="19062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2</xdr:row>
      <xdr:rowOff>76200</xdr:rowOff>
    </xdr:from>
    <xdr:to>
      <xdr:col>9</xdr:col>
      <xdr:colOff>823481</xdr:colOff>
      <xdr:row>10</xdr:row>
      <xdr:rowOff>167836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80EF3-6D1C-D348-B0A1-97DB0A63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482600"/>
          <a:ext cx="7846581" cy="1717236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12</xdr:row>
      <xdr:rowOff>114300</xdr:rowOff>
    </xdr:from>
    <xdr:to>
      <xdr:col>8</xdr:col>
      <xdr:colOff>303832</xdr:colOff>
      <xdr:row>20</xdr:row>
      <xdr:rowOff>101145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49B99-68CF-484E-B92D-E8A53C166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2245"/>
        <a:stretch/>
      </xdr:blipFill>
      <xdr:spPr>
        <a:xfrm>
          <a:off x="355600" y="2552700"/>
          <a:ext cx="6552232" cy="1612445"/>
        </a:xfrm>
        <a:prstGeom prst="rect">
          <a:avLst/>
        </a:prstGeom>
      </xdr:spPr>
    </xdr:pic>
    <xdr:clientData/>
  </xdr:twoCellAnchor>
  <xdr:twoCellAnchor editAs="oneCell">
    <xdr:from>
      <xdr:col>0</xdr:col>
      <xdr:colOff>711200</xdr:colOff>
      <xdr:row>23</xdr:row>
      <xdr:rowOff>25400</xdr:rowOff>
    </xdr:from>
    <xdr:to>
      <xdr:col>4</xdr:col>
      <xdr:colOff>703536</xdr:colOff>
      <xdr:row>29</xdr:row>
      <xdr:rowOff>125088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D4FD3D-F996-7648-ACF6-6AB779C4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200" y="4699000"/>
          <a:ext cx="3294336" cy="1318888"/>
        </a:xfrm>
        <a:prstGeom prst="rect">
          <a:avLst/>
        </a:prstGeom>
      </xdr:spPr>
    </xdr:pic>
    <xdr:clientData/>
  </xdr:twoCellAnchor>
  <xdr:twoCellAnchor editAs="oneCell">
    <xdr:from>
      <xdr:col>0</xdr:col>
      <xdr:colOff>469900</xdr:colOff>
      <xdr:row>31</xdr:row>
      <xdr:rowOff>63500</xdr:rowOff>
    </xdr:from>
    <xdr:to>
      <xdr:col>8</xdr:col>
      <xdr:colOff>438016</xdr:colOff>
      <xdr:row>37</xdr:row>
      <xdr:rowOff>172714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178EB6-F911-5447-A782-7162AD77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900" y="6362700"/>
          <a:ext cx="6572116" cy="1328414"/>
        </a:xfrm>
        <a:prstGeom prst="rect">
          <a:avLst/>
        </a:prstGeom>
      </xdr:spPr>
    </xdr:pic>
    <xdr:clientData/>
  </xdr:twoCellAnchor>
  <xdr:twoCellAnchor editAs="oneCell">
    <xdr:from>
      <xdr:col>0</xdr:col>
      <xdr:colOff>529166</xdr:colOff>
      <xdr:row>38</xdr:row>
      <xdr:rowOff>105834</xdr:rowOff>
    </xdr:from>
    <xdr:to>
      <xdr:col>9</xdr:col>
      <xdr:colOff>81179</xdr:colOff>
      <xdr:row>63</xdr:row>
      <xdr:rowOff>154441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E4FFD1-58D2-6D4C-9F14-0377E7F65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9166" y="7783561"/>
          <a:ext cx="6998831" cy="5099744"/>
        </a:xfrm>
        <a:prstGeom prst="rect">
          <a:avLst/>
        </a:prstGeom>
      </xdr:spPr>
    </xdr:pic>
    <xdr:clientData/>
  </xdr:twoCellAnchor>
  <xdr:twoCellAnchor editAs="oneCell">
    <xdr:from>
      <xdr:col>0</xdr:col>
      <xdr:colOff>327121</xdr:colOff>
      <xdr:row>66</xdr:row>
      <xdr:rowOff>76970</xdr:rowOff>
    </xdr:from>
    <xdr:to>
      <xdr:col>9</xdr:col>
      <xdr:colOff>172243</xdr:colOff>
      <xdr:row>77</xdr:row>
      <xdr:rowOff>70677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D8A5A2-B7EB-9A41-8780-6B6F42DA2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7121" y="13411970"/>
          <a:ext cx="7291940" cy="2216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304067</xdr:colOff>
      <xdr:row>109</xdr:row>
      <xdr:rowOff>174492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5A1EFB-99DB-BF40-9DD4-979B5BCA1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7424" y="16163636"/>
          <a:ext cx="6096037" cy="6033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4</xdr:col>
      <xdr:colOff>795060</xdr:colOff>
      <xdr:row>134</xdr:row>
      <xdr:rowOff>144096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45F1EA-71EE-B541-8CA4-A175DE830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24" y="22629091"/>
          <a:ext cx="3277333" cy="4589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567651</xdr:colOff>
      <xdr:row>136</xdr:row>
      <xdr:rowOff>134697</xdr:rowOff>
    </xdr:from>
    <xdr:to>
      <xdr:col>9</xdr:col>
      <xdr:colOff>622352</xdr:colOff>
      <xdr:row>146</xdr:row>
      <xdr:rowOff>6313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74A4C5-5489-E240-B912-C053481E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7651" y="27612879"/>
          <a:ext cx="7501519" cy="1892070"/>
        </a:xfrm>
        <a:prstGeom prst="rect">
          <a:avLst/>
        </a:prstGeom>
      </xdr:spPr>
    </xdr:pic>
    <xdr:clientData/>
  </xdr:twoCellAnchor>
  <xdr:twoCellAnchor editAs="oneCell">
    <xdr:from>
      <xdr:col>0</xdr:col>
      <xdr:colOff>692727</xdr:colOff>
      <xdr:row>147</xdr:row>
      <xdr:rowOff>28863</xdr:rowOff>
    </xdr:from>
    <xdr:to>
      <xdr:col>9</xdr:col>
      <xdr:colOff>397161</xdr:colOff>
      <xdr:row>162</xdr:row>
      <xdr:rowOff>15086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6496BF-1756-4041-8A9D-CE4652F39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2727" y="29729545"/>
          <a:ext cx="7151252" cy="3016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9</xdr:col>
      <xdr:colOff>512805</xdr:colOff>
      <xdr:row>179</xdr:row>
      <xdr:rowOff>62434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F35D3B-C35E-954D-B81B-81C080D8A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7424" y="33135455"/>
          <a:ext cx="7132199" cy="3093115"/>
        </a:xfrm>
        <a:prstGeom prst="rect">
          <a:avLst/>
        </a:prstGeom>
      </xdr:spPr>
    </xdr:pic>
    <xdr:clientData/>
  </xdr:twoCellAnchor>
  <xdr:twoCellAnchor editAs="oneCell">
    <xdr:from>
      <xdr:col>0</xdr:col>
      <xdr:colOff>663863</xdr:colOff>
      <xdr:row>181</xdr:row>
      <xdr:rowOff>0</xdr:rowOff>
    </xdr:from>
    <xdr:to>
      <xdr:col>10</xdr:col>
      <xdr:colOff>793934</xdr:colOff>
      <xdr:row>189</xdr:row>
      <xdr:rowOff>99347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DE92FA-B325-344B-9672-C8A7B9C2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3863" y="36570227"/>
          <a:ext cx="8404313" cy="1715711"/>
        </a:xfrm>
        <a:prstGeom prst="rect">
          <a:avLst/>
        </a:prstGeom>
      </xdr:spPr>
    </xdr:pic>
    <xdr:clientData/>
  </xdr:twoCellAnchor>
  <xdr:twoCellAnchor editAs="oneCell">
    <xdr:from>
      <xdr:col>0</xdr:col>
      <xdr:colOff>413712</xdr:colOff>
      <xdr:row>191</xdr:row>
      <xdr:rowOff>19242</xdr:rowOff>
    </xdr:from>
    <xdr:to>
      <xdr:col>14</xdr:col>
      <xdr:colOff>25998</xdr:colOff>
      <xdr:row>195</xdr:row>
      <xdr:rowOff>97494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0C8116-2D0A-EE4A-96EE-17B9FC1D5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3712" y="38609924"/>
          <a:ext cx="11196225" cy="886434"/>
        </a:xfrm>
        <a:prstGeom prst="rect">
          <a:avLst/>
        </a:prstGeom>
      </xdr:spPr>
    </xdr:pic>
    <xdr:clientData/>
  </xdr:twoCellAnchor>
  <xdr:twoCellAnchor editAs="oneCell">
    <xdr:from>
      <xdr:col>0</xdr:col>
      <xdr:colOff>413712</xdr:colOff>
      <xdr:row>197</xdr:row>
      <xdr:rowOff>19242</xdr:rowOff>
    </xdr:from>
    <xdr:to>
      <xdr:col>8</xdr:col>
      <xdr:colOff>413460</xdr:colOff>
      <xdr:row>207</xdr:row>
      <xdr:rowOff>31715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9B35A3-861E-3843-91D4-04310B08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3712" y="39822197"/>
          <a:ext cx="6619142" cy="20329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5</xdr:col>
      <xdr:colOff>299272</xdr:colOff>
      <xdr:row>213</xdr:row>
      <xdr:rowOff>21094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D6D210-5D9A-3E4A-8687-632DCC151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7424" y="42227500"/>
          <a:ext cx="3608969" cy="8292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698500</xdr:colOff>
      <xdr:row>1</xdr:row>
      <xdr:rowOff>177800</xdr:rowOff>
    </xdr:from>
    <xdr:to>
      <xdr:col>10</xdr:col>
      <xdr:colOff>241705</xdr:colOff>
      <xdr:row>13</xdr:row>
      <xdr:rowOff>45395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E536B-50F4-5846-967A-C7E415CCB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381000"/>
          <a:ext cx="7798205" cy="2305995"/>
        </a:xfrm>
        <a:prstGeom prst="rect">
          <a:avLst/>
        </a:prstGeom>
      </xdr:spPr>
    </xdr:pic>
    <xdr:clientData/>
  </xdr:twoCellAnchor>
  <xdr:twoCellAnchor editAs="oneCell">
    <xdr:from>
      <xdr:col>0</xdr:col>
      <xdr:colOff>711200</xdr:colOff>
      <xdr:row>14</xdr:row>
      <xdr:rowOff>177800</xdr:rowOff>
    </xdr:from>
    <xdr:to>
      <xdr:col>10</xdr:col>
      <xdr:colOff>256945</xdr:colOff>
      <xdr:row>26</xdr:row>
      <xdr:rowOff>28657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1ACD18-FC5A-8646-B539-09856B0B4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200" y="3022600"/>
          <a:ext cx="7800745" cy="2289257"/>
        </a:xfrm>
        <a:prstGeom prst="rect">
          <a:avLst/>
        </a:prstGeom>
      </xdr:spPr>
    </xdr:pic>
    <xdr:clientData/>
  </xdr:twoCellAnchor>
  <xdr:twoCellAnchor editAs="oneCell">
    <xdr:from>
      <xdr:col>0</xdr:col>
      <xdr:colOff>538480</xdr:colOff>
      <xdr:row>27</xdr:row>
      <xdr:rowOff>71120</xdr:rowOff>
    </xdr:from>
    <xdr:to>
      <xdr:col>12</xdr:col>
      <xdr:colOff>358622</xdr:colOff>
      <xdr:row>39</xdr:row>
      <xdr:rowOff>23829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E46680-9899-0B44-A0BF-413D61434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" y="5557520"/>
          <a:ext cx="9695662" cy="2391109"/>
        </a:xfrm>
        <a:prstGeom prst="rect">
          <a:avLst/>
        </a:prstGeom>
      </xdr:spPr>
    </xdr:pic>
    <xdr:clientData/>
  </xdr:twoCellAnchor>
  <xdr:twoCellAnchor editAs="oneCell">
    <xdr:from>
      <xdr:col>0</xdr:col>
      <xdr:colOff>518160</xdr:colOff>
      <xdr:row>40</xdr:row>
      <xdr:rowOff>162560</xdr:rowOff>
    </xdr:from>
    <xdr:to>
      <xdr:col>14</xdr:col>
      <xdr:colOff>375791</xdr:colOff>
      <xdr:row>52</xdr:row>
      <xdr:rowOff>181953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994636-8FF1-FB44-8B4B-ACC1D639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" y="8290560"/>
          <a:ext cx="11379071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401053</xdr:colOff>
      <xdr:row>54</xdr:row>
      <xdr:rowOff>77983</xdr:rowOff>
    </xdr:from>
    <xdr:to>
      <xdr:col>9</xdr:col>
      <xdr:colOff>779379</xdr:colOff>
      <xdr:row>67</xdr:row>
      <xdr:rowOff>135963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F3C88D-5407-AA45-A3BD-81347577B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053" y="10906404"/>
          <a:ext cx="7797800" cy="2664822"/>
        </a:xfrm>
        <a:prstGeom prst="rect">
          <a:avLst/>
        </a:prstGeom>
      </xdr:spPr>
    </xdr:pic>
    <xdr:clientData/>
  </xdr:twoCellAnchor>
  <xdr:twoCellAnchor editAs="oneCell">
    <xdr:from>
      <xdr:col>0</xdr:col>
      <xdr:colOff>612719</xdr:colOff>
      <xdr:row>68</xdr:row>
      <xdr:rowOff>155965</xdr:rowOff>
    </xdr:from>
    <xdr:to>
      <xdr:col>10</xdr:col>
      <xdr:colOff>166659</xdr:colOff>
      <xdr:row>80</xdr:row>
      <xdr:rowOff>128449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840C79-D245-8C43-BFE7-BE241F865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719" y="13791754"/>
          <a:ext cx="7797800" cy="2378800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211667</xdr:colOff>
      <xdr:row>83</xdr:row>
      <xdr:rowOff>100264</xdr:rowOff>
    </xdr:from>
    <xdr:to>
      <xdr:col>14</xdr:col>
      <xdr:colOff>89979</xdr:colOff>
      <xdr:row>94</xdr:row>
      <xdr:rowOff>37898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528A88-8EAD-184A-91C2-F7234DC9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1667" y="16743948"/>
          <a:ext cx="11419716" cy="2143424"/>
        </a:xfrm>
        <a:prstGeom prst="rect">
          <a:avLst/>
        </a:prstGeom>
      </xdr:spPr>
    </xdr:pic>
    <xdr:clientData/>
  </xdr:twoCellAnchor>
  <xdr:twoCellAnchor editAs="oneCell">
    <xdr:from>
      <xdr:col>14</xdr:col>
      <xdr:colOff>824385</xdr:colOff>
      <xdr:row>86</xdr:row>
      <xdr:rowOff>0</xdr:rowOff>
    </xdr:from>
    <xdr:to>
      <xdr:col>21</xdr:col>
      <xdr:colOff>168615</xdr:colOff>
      <xdr:row>89</xdr:row>
      <xdr:rowOff>42809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9133AF1-49CF-6E42-B920-CAC12C3E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65789" y="17245263"/>
          <a:ext cx="5114931" cy="644388"/>
        </a:xfrm>
        <a:prstGeom prst="rect">
          <a:avLst/>
        </a:prstGeom>
      </xdr:spPr>
    </xdr:pic>
    <xdr:clientData/>
  </xdr:twoCellAnchor>
  <xdr:twoCellAnchor editAs="oneCell">
    <xdr:from>
      <xdr:col>0</xdr:col>
      <xdr:colOff>289649</xdr:colOff>
      <xdr:row>97</xdr:row>
      <xdr:rowOff>11140</xdr:rowOff>
    </xdr:from>
    <xdr:to>
      <xdr:col>14</xdr:col>
      <xdr:colOff>165327</xdr:colOff>
      <xdr:row>109</xdr:row>
      <xdr:rowOff>86368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537B45-D874-7A43-9D30-F1F47BAE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9649" y="19462193"/>
          <a:ext cx="11417082" cy="2481543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111</xdr:row>
      <xdr:rowOff>25400</xdr:rowOff>
    </xdr:from>
    <xdr:to>
      <xdr:col>13</xdr:col>
      <xdr:colOff>543477</xdr:colOff>
      <xdr:row>122</xdr:row>
      <xdr:rowOff>65105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889BD8-892B-8540-A114-C9946014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1300" y="22580600"/>
          <a:ext cx="11033677" cy="227490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125</xdr:row>
      <xdr:rowOff>101600</xdr:rowOff>
    </xdr:from>
    <xdr:to>
      <xdr:col>9</xdr:col>
      <xdr:colOff>489165</xdr:colOff>
      <xdr:row>141</xdr:row>
      <xdr:rowOff>113454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624FCE-C05B-E848-AC70-866AFFADF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" y="25501600"/>
          <a:ext cx="7385265" cy="3263054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143</xdr:row>
      <xdr:rowOff>88900</xdr:rowOff>
    </xdr:from>
    <xdr:to>
      <xdr:col>13</xdr:col>
      <xdr:colOff>190997</xdr:colOff>
      <xdr:row>152</xdr:row>
      <xdr:rowOff>185473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11F4B4-422F-4F45-8615-5C4454EC8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2900" y="29146500"/>
          <a:ext cx="10579597" cy="1925373"/>
        </a:xfrm>
        <a:prstGeom prst="rect">
          <a:avLst/>
        </a:prstGeom>
      </xdr:spPr>
    </xdr:pic>
    <xdr:clientData/>
  </xdr:twoCellAnchor>
  <xdr:twoCellAnchor editAs="oneCell">
    <xdr:from>
      <xdr:col>0</xdr:col>
      <xdr:colOff>431800</xdr:colOff>
      <xdr:row>154</xdr:row>
      <xdr:rowOff>38100</xdr:rowOff>
    </xdr:from>
    <xdr:to>
      <xdr:col>11</xdr:col>
      <xdr:colOff>671902</xdr:colOff>
      <xdr:row>164</xdr:row>
      <xdr:rowOff>106239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F8084C3-CE6D-FD4F-8391-1E030D430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800" y="31330900"/>
          <a:ext cx="9320602" cy="2100139"/>
        </a:xfrm>
        <a:prstGeom prst="rect">
          <a:avLst/>
        </a:prstGeom>
      </xdr:spPr>
    </xdr:pic>
    <xdr:clientData/>
  </xdr:twoCellAnchor>
  <xdr:twoCellAnchor editAs="oneCell">
    <xdr:from>
      <xdr:col>13</xdr:col>
      <xdr:colOff>596900</xdr:colOff>
      <xdr:row>152</xdr:row>
      <xdr:rowOff>88900</xdr:rowOff>
    </xdr:from>
    <xdr:to>
      <xdr:col>21</xdr:col>
      <xdr:colOff>659347</xdr:colOff>
      <xdr:row>164</xdr:row>
      <xdr:rowOff>90311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7A53974-BD87-3E47-8267-B38A5F78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28400" y="30975300"/>
          <a:ext cx="6666447" cy="243981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166</xdr:row>
      <xdr:rowOff>165100</xdr:rowOff>
    </xdr:from>
    <xdr:to>
      <xdr:col>6</xdr:col>
      <xdr:colOff>220372</xdr:colOff>
      <xdr:row>187</xdr:row>
      <xdr:rowOff>77894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7FB411-66EB-CD43-B78D-4786CC2E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5300" y="33896300"/>
          <a:ext cx="4678072" cy="4179994"/>
        </a:xfrm>
        <a:prstGeom prst="rect">
          <a:avLst/>
        </a:prstGeom>
      </xdr:spPr>
    </xdr:pic>
    <xdr:clientData/>
  </xdr:twoCellAnchor>
  <xdr:twoCellAnchor editAs="oneCell">
    <xdr:from>
      <xdr:col>0</xdr:col>
      <xdr:colOff>514865</xdr:colOff>
      <xdr:row>189</xdr:row>
      <xdr:rowOff>57208</xdr:rowOff>
    </xdr:from>
    <xdr:to>
      <xdr:col>12</xdr:col>
      <xdr:colOff>390625</xdr:colOff>
      <xdr:row>195</xdr:row>
      <xdr:rowOff>108291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2304014-3AFA-5240-B1ED-87074F1C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4865" y="38980992"/>
          <a:ext cx="9761165" cy="1286758"/>
        </a:xfrm>
        <a:prstGeom prst="rect">
          <a:avLst/>
        </a:prstGeom>
      </xdr:spPr>
    </xdr:pic>
    <xdr:clientData/>
  </xdr:twoCellAnchor>
  <xdr:twoCellAnchor editAs="oneCell">
    <xdr:from>
      <xdr:col>0</xdr:col>
      <xdr:colOff>457658</xdr:colOff>
      <xdr:row>203</xdr:row>
      <xdr:rowOff>11442</xdr:rowOff>
    </xdr:from>
    <xdr:to>
      <xdr:col>6</xdr:col>
      <xdr:colOff>107300</xdr:colOff>
      <xdr:row>222</xdr:row>
      <xdr:rowOff>83540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D8DD67-F797-5242-B5DE-EFB566DF7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7658" y="41818469"/>
          <a:ext cx="4592345" cy="3985071"/>
        </a:xfrm>
        <a:prstGeom prst="rect">
          <a:avLst/>
        </a:prstGeom>
      </xdr:spPr>
    </xdr:pic>
    <xdr:clientData/>
  </xdr:twoCellAnchor>
  <xdr:twoCellAnchor editAs="oneCell">
    <xdr:from>
      <xdr:col>6</xdr:col>
      <xdr:colOff>434774</xdr:colOff>
      <xdr:row>205</xdr:row>
      <xdr:rowOff>93390</xdr:rowOff>
    </xdr:from>
    <xdr:to>
      <xdr:col>14</xdr:col>
      <xdr:colOff>553749</xdr:colOff>
      <xdr:row>219</xdr:row>
      <xdr:rowOff>43600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E5D6A32-68EB-9949-AE9A-207C4648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77477" y="42312309"/>
          <a:ext cx="6709245" cy="2833453"/>
        </a:xfrm>
        <a:prstGeom prst="rect">
          <a:avLst/>
        </a:prstGeom>
      </xdr:spPr>
    </xdr:pic>
    <xdr:clientData/>
  </xdr:twoCellAnchor>
  <xdr:twoCellAnchor editAs="oneCell">
    <xdr:from>
      <xdr:col>14</xdr:col>
      <xdr:colOff>668059</xdr:colOff>
      <xdr:row>205</xdr:row>
      <xdr:rowOff>57206</xdr:rowOff>
    </xdr:from>
    <xdr:to>
      <xdr:col>21</xdr:col>
      <xdr:colOff>595131</xdr:colOff>
      <xdr:row>219</xdr:row>
      <xdr:rowOff>35994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2D615C6-BEDC-6940-9D0C-BFF18831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201032" y="42276125"/>
          <a:ext cx="5693558" cy="2862031"/>
        </a:xfrm>
        <a:prstGeom prst="rect">
          <a:avLst/>
        </a:prstGeom>
      </xdr:spPr>
    </xdr:pic>
    <xdr:clientData/>
  </xdr:twoCellAnchor>
  <xdr:twoCellAnchor editAs="oneCell">
    <xdr:from>
      <xdr:col>0</xdr:col>
      <xdr:colOff>274595</xdr:colOff>
      <xdr:row>223</xdr:row>
      <xdr:rowOff>125856</xdr:rowOff>
    </xdr:from>
    <xdr:to>
      <xdr:col>5</xdr:col>
      <xdr:colOff>762612</xdr:colOff>
      <xdr:row>242</xdr:row>
      <xdr:rowOff>87032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FB30F7A-C922-D548-B7AE-68A7B571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4595" y="46051802"/>
          <a:ext cx="4606936" cy="3874149"/>
        </a:xfrm>
        <a:prstGeom prst="rect">
          <a:avLst/>
        </a:prstGeom>
      </xdr:spPr>
    </xdr:pic>
    <xdr:clientData/>
  </xdr:twoCellAnchor>
  <xdr:twoCellAnchor editAs="oneCell">
    <xdr:from>
      <xdr:col>0</xdr:col>
      <xdr:colOff>160180</xdr:colOff>
      <xdr:row>244</xdr:row>
      <xdr:rowOff>171621</xdr:rowOff>
    </xdr:from>
    <xdr:to>
      <xdr:col>8</xdr:col>
      <xdr:colOff>673726</xdr:colOff>
      <xdr:row>271</xdr:row>
      <xdr:rowOff>82497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59E43C-C88B-5B4F-A5E8-2170FEC7D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0180" y="50422432"/>
          <a:ext cx="7103816" cy="5471416"/>
        </a:xfrm>
        <a:prstGeom prst="rect">
          <a:avLst/>
        </a:prstGeom>
      </xdr:spPr>
    </xdr:pic>
    <xdr:clientData/>
  </xdr:twoCellAnchor>
  <xdr:twoCellAnchor editAs="oneCell">
    <xdr:from>
      <xdr:col>9</xdr:col>
      <xdr:colOff>137298</xdr:colOff>
      <xdr:row>247</xdr:row>
      <xdr:rowOff>183062</xdr:rowOff>
    </xdr:from>
    <xdr:to>
      <xdr:col>16</xdr:col>
      <xdr:colOff>702632</xdr:colOff>
      <xdr:row>271</xdr:row>
      <xdr:rowOff>191559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6C24A8C-DC54-3543-89F6-EA095F603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51352" y="51051711"/>
          <a:ext cx="6331821" cy="4951199"/>
        </a:xfrm>
        <a:prstGeom prst="rect">
          <a:avLst/>
        </a:prstGeom>
      </xdr:spPr>
    </xdr:pic>
    <xdr:clientData/>
  </xdr:twoCellAnchor>
  <xdr:twoCellAnchor editAs="oneCell">
    <xdr:from>
      <xdr:col>0</xdr:col>
      <xdr:colOff>297477</xdr:colOff>
      <xdr:row>274</xdr:row>
      <xdr:rowOff>11442</xdr:rowOff>
    </xdr:from>
    <xdr:to>
      <xdr:col>9</xdr:col>
      <xdr:colOff>2191</xdr:colOff>
      <xdr:row>301</xdr:row>
      <xdr:rowOff>48979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DAA5C8B-7A61-3B45-9771-787BE0A41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7477" y="56440631"/>
          <a:ext cx="7118768" cy="5598078"/>
        </a:xfrm>
        <a:prstGeom prst="rect">
          <a:avLst/>
        </a:prstGeom>
      </xdr:spPr>
    </xdr:pic>
    <xdr:clientData/>
  </xdr:twoCellAnchor>
  <xdr:twoCellAnchor editAs="oneCell">
    <xdr:from>
      <xdr:col>0</xdr:col>
      <xdr:colOff>377568</xdr:colOff>
      <xdr:row>302</xdr:row>
      <xdr:rowOff>148739</xdr:rowOff>
    </xdr:from>
    <xdr:to>
      <xdr:col>9</xdr:col>
      <xdr:colOff>15877</xdr:colOff>
      <xdr:row>328</xdr:row>
      <xdr:rowOff>191112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4BDA4C2-68AF-D44F-9783-3D3303A4A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7568" y="62344415"/>
          <a:ext cx="7052363" cy="5396967"/>
        </a:xfrm>
        <a:prstGeom prst="rect">
          <a:avLst/>
        </a:prstGeom>
      </xdr:spPr>
    </xdr:pic>
    <xdr:clientData/>
  </xdr:twoCellAnchor>
  <xdr:twoCellAnchor>
    <xdr:from>
      <xdr:col>8</xdr:col>
      <xdr:colOff>144131</xdr:colOff>
      <xdr:row>321</xdr:row>
      <xdr:rowOff>36756</xdr:rowOff>
    </xdr:from>
    <xdr:to>
      <xdr:col>8</xdr:col>
      <xdr:colOff>644025</xdr:colOff>
      <xdr:row>323</xdr:row>
      <xdr:rowOff>17754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98BDEDD-5BCC-9E47-A2C0-EF45F4CCDB9C}"/>
            </a:ext>
          </a:extLst>
        </xdr:cNvPr>
        <xdr:cNvSpPr/>
      </xdr:nvSpPr>
      <xdr:spPr>
        <a:xfrm>
          <a:off x="6734401" y="66145405"/>
          <a:ext cx="499894" cy="392890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9</xdr:col>
      <xdr:colOff>617839</xdr:colOff>
      <xdr:row>304</xdr:row>
      <xdr:rowOff>194504</xdr:rowOff>
    </xdr:from>
    <xdr:to>
      <xdr:col>16</xdr:col>
      <xdr:colOff>550408</xdr:colOff>
      <xdr:row>324</xdr:row>
      <xdr:rowOff>19800</xdr:rowOff>
    </xdr:to>
    <xdr:pic>
      <xdr:nvPicPr>
        <xdr:cNvPr id="27" name="Picture 26" descr="A diagram of a company's process&#10;&#10;Description automatically generated">
          <a:extLst>
            <a:ext uri="{FF2B5EF4-FFF2-40B4-BE49-F238E27FC236}">
              <a16:creationId xmlns:a16="http://schemas.microsoft.com/office/drawing/2014/main" id="{3CCB5550-0BBA-BD4B-B7A9-3ADAA10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031893" y="62802072"/>
          <a:ext cx="5699056" cy="3944214"/>
        </a:xfrm>
        <a:prstGeom prst="rect">
          <a:avLst/>
        </a:prstGeom>
      </xdr:spPr>
    </xdr:pic>
    <xdr:clientData/>
  </xdr:twoCellAnchor>
  <xdr:twoCellAnchor editAs="oneCell">
    <xdr:from>
      <xdr:col>0</xdr:col>
      <xdr:colOff>514865</xdr:colOff>
      <xdr:row>330</xdr:row>
      <xdr:rowOff>0</xdr:rowOff>
    </xdr:from>
    <xdr:to>
      <xdr:col>9</xdr:col>
      <xdr:colOff>113718</xdr:colOff>
      <xdr:row>355</xdr:row>
      <xdr:rowOff>162041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69E18B-4DE5-0C47-8F7D-67491FBB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14865" y="67962162"/>
          <a:ext cx="7012907" cy="5310690"/>
        </a:xfrm>
        <a:prstGeom prst="rect">
          <a:avLst/>
        </a:prstGeom>
      </xdr:spPr>
    </xdr:pic>
    <xdr:clientData/>
  </xdr:twoCellAnchor>
  <xdr:twoCellAnchor editAs="oneCell">
    <xdr:from>
      <xdr:col>10</xdr:col>
      <xdr:colOff>18937</xdr:colOff>
      <xdr:row>330</xdr:row>
      <xdr:rowOff>45766</xdr:rowOff>
    </xdr:from>
    <xdr:to>
      <xdr:col>16</xdr:col>
      <xdr:colOff>354946</xdr:colOff>
      <xdr:row>337</xdr:row>
      <xdr:rowOff>165454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EF8AC42-B440-DE4D-A77A-944D9F62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256775" y="68007928"/>
          <a:ext cx="5278712" cy="1561310"/>
        </a:xfrm>
        <a:prstGeom prst="rect">
          <a:avLst/>
        </a:prstGeom>
      </xdr:spPr>
    </xdr:pic>
    <xdr:clientData/>
  </xdr:twoCellAnchor>
  <xdr:twoCellAnchor editAs="oneCell">
    <xdr:from>
      <xdr:col>10</xdr:col>
      <xdr:colOff>39847</xdr:colOff>
      <xdr:row>338</xdr:row>
      <xdr:rowOff>132736</xdr:rowOff>
    </xdr:from>
    <xdr:to>
      <xdr:col>16</xdr:col>
      <xdr:colOff>207581</xdr:colOff>
      <xdr:row>347</xdr:row>
      <xdr:rowOff>25167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76463D0-5CBC-0642-827B-9505D388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277685" y="69742466"/>
          <a:ext cx="5110437" cy="1745944"/>
        </a:xfrm>
        <a:prstGeom prst="rect">
          <a:avLst/>
        </a:prstGeom>
      </xdr:spPr>
    </xdr:pic>
    <xdr:clientData/>
  </xdr:twoCellAnchor>
  <xdr:twoCellAnchor editAs="oneCell">
    <xdr:from>
      <xdr:col>10</xdr:col>
      <xdr:colOff>160179</xdr:colOff>
      <xdr:row>348</xdr:row>
      <xdr:rowOff>107660</xdr:rowOff>
    </xdr:from>
    <xdr:to>
      <xdr:col>16</xdr:col>
      <xdr:colOff>261238</xdr:colOff>
      <xdr:row>352</xdr:row>
      <xdr:rowOff>70607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0D5FC38-2670-9146-AEB6-F0977E4F8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398017" y="71776849"/>
          <a:ext cx="5043762" cy="786731"/>
        </a:xfrm>
        <a:prstGeom prst="rect">
          <a:avLst/>
        </a:prstGeom>
      </xdr:spPr>
    </xdr:pic>
    <xdr:clientData/>
  </xdr:twoCellAnchor>
  <xdr:twoCellAnchor editAs="oneCell">
    <xdr:from>
      <xdr:col>0</xdr:col>
      <xdr:colOff>606396</xdr:colOff>
      <xdr:row>356</xdr:row>
      <xdr:rowOff>137297</xdr:rowOff>
    </xdr:from>
    <xdr:to>
      <xdr:col>8</xdr:col>
      <xdr:colOff>225802</xdr:colOff>
      <xdr:row>383</xdr:row>
      <xdr:rowOff>41917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5E14193-DFCC-5C46-A082-45DE5CF3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6396" y="73454054"/>
          <a:ext cx="6209676" cy="546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4</xdr:col>
      <xdr:colOff>677102</xdr:colOff>
      <xdr:row>405</xdr:row>
      <xdr:rowOff>183233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05C6F3-06CE-5C40-A453-E7150D21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784" y="79495135"/>
          <a:ext cx="3148453" cy="4096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493249</xdr:colOff>
      <xdr:row>386</xdr:row>
      <xdr:rowOff>193415</xdr:rowOff>
    </xdr:from>
    <xdr:to>
      <xdr:col>12</xdr:col>
      <xdr:colOff>319027</xdr:colOff>
      <xdr:row>398</xdr:row>
      <xdr:rowOff>98449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3096B18-6088-6247-BAB8-9C1ECB568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612168" y="79688550"/>
          <a:ext cx="5592264" cy="2376385"/>
        </a:xfrm>
        <a:prstGeom prst="rect">
          <a:avLst/>
        </a:prstGeom>
      </xdr:spPr>
    </xdr:pic>
    <xdr:clientData/>
  </xdr:twoCellAnchor>
  <xdr:twoCellAnchor editAs="oneCell">
    <xdr:from>
      <xdr:col>9</xdr:col>
      <xdr:colOff>156998</xdr:colOff>
      <xdr:row>391</xdr:row>
      <xdr:rowOff>113661</xdr:rowOff>
    </xdr:from>
    <xdr:to>
      <xdr:col>10</xdr:col>
      <xdr:colOff>203421</xdr:colOff>
      <xdr:row>391</xdr:row>
      <xdr:rowOff>123741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20BFECAA-934F-ED43-9D88-3AA3AF75DD69}"/>
                </a:ext>
              </a:extLst>
            </xdr14:cNvPr>
            <xdr14:cNvContentPartPr/>
          </xdr14:nvContentPartPr>
          <xdr14:nvPr macro=""/>
          <xdr14:xfrm>
            <a:off x="7571052" y="80638526"/>
            <a:ext cx="870207" cy="10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20BFECAA-934F-ED43-9D88-3AA3AF75DD6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517247" y="80530526"/>
              <a:ext cx="977458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357978</xdr:colOff>
      <xdr:row>392</xdr:row>
      <xdr:rowOff>62612</xdr:rowOff>
    </xdr:from>
    <xdr:to>
      <xdr:col>11</xdr:col>
      <xdr:colOff>160665</xdr:colOff>
      <xdr:row>392</xdr:row>
      <xdr:rowOff>76292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58E34AF-901A-4843-AA6C-8BB093A04CED}"/>
                </a:ext>
              </a:extLst>
            </xdr14:cNvPr>
            <xdr14:cNvContentPartPr/>
          </xdr14:nvContentPartPr>
          <xdr14:nvPr macro=""/>
          <xdr14:xfrm>
            <a:off x="7772032" y="80793423"/>
            <a:ext cx="1450255" cy="136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58E34AF-901A-4843-AA6C-8BB093A04CED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718266" y="80685783"/>
              <a:ext cx="1557429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11441</xdr:colOff>
      <xdr:row>407</xdr:row>
      <xdr:rowOff>91531</xdr:rowOff>
    </xdr:from>
    <xdr:to>
      <xdr:col>5</xdr:col>
      <xdr:colOff>222223</xdr:colOff>
      <xdr:row>426</xdr:row>
      <xdr:rowOff>174759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60D14B7-D735-454E-8D79-E71B3FA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225" y="83911531"/>
          <a:ext cx="3505917" cy="399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469100</xdr:colOff>
      <xdr:row>428</xdr:row>
      <xdr:rowOff>22883</xdr:rowOff>
    </xdr:from>
    <xdr:to>
      <xdr:col>10</xdr:col>
      <xdr:colOff>43721</xdr:colOff>
      <xdr:row>436</xdr:row>
      <xdr:rowOff>109108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1FCEC6C-99CE-8447-A800-6BF10258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69100" y="88167748"/>
          <a:ext cx="7812459" cy="1733792"/>
        </a:xfrm>
        <a:prstGeom prst="rect">
          <a:avLst/>
        </a:prstGeom>
      </xdr:spPr>
    </xdr:pic>
    <xdr:clientData/>
  </xdr:twoCellAnchor>
  <xdr:twoCellAnchor editAs="oneCell">
    <xdr:from>
      <xdr:col>10</xdr:col>
      <xdr:colOff>491982</xdr:colOff>
      <xdr:row>427</xdr:row>
      <xdr:rowOff>57207</xdr:rowOff>
    </xdr:from>
    <xdr:to>
      <xdr:col>17</xdr:col>
      <xdr:colOff>451925</xdr:colOff>
      <xdr:row>437</xdr:row>
      <xdr:rowOff>73758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82C507B-D7D7-D14C-89DC-5096F895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729820" y="87996126"/>
          <a:ext cx="5726429" cy="2076010"/>
        </a:xfrm>
        <a:prstGeom prst="rect">
          <a:avLst/>
        </a:prstGeom>
      </xdr:spPr>
    </xdr:pic>
    <xdr:clientData/>
  </xdr:twoCellAnchor>
  <xdr:twoCellAnchor editAs="oneCell">
    <xdr:from>
      <xdr:col>0</xdr:col>
      <xdr:colOff>617837</xdr:colOff>
      <xdr:row>441</xdr:row>
      <xdr:rowOff>22883</xdr:rowOff>
    </xdr:from>
    <xdr:to>
      <xdr:col>7</xdr:col>
      <xdr:colOff>194621</xdr:colOff>
      <xdr:row>448</xdr:row>
      <xdr:rowOff>10209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C5750BF-F330-5445-8190-A257F3DB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17837" y="90845045"/>
          <a:ext cx="5343270" cy="1428948"/>
        </a:xfrm>
        <a:prstGeom prst="rect">
          <a:avLst/>
        </a:prstGeom>
      </xdr:spPr>
    </xdr:pic>
    <xdr:clientData/>
  </xdr:twoCellAnchor>
  <xdr:twoCellAnchor editAs="oneCell">
    <xdr:from>
      <xdr:col>0</xdr:col>
      <xdr:colOff>686487</xdr:colOff>
      <xdr:row>450</xdr:row>
      <xdr:rowOff>91531</xdr:rowOff>
    </xdr:from>
    <xdr:to>
      <xdr:col>10</xdr:col>
      <xdr:colOff>99160</xdr:colOff>
      <xdr:row>460</xdr:row>
      <xdr:rowOff>108812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C4563B1-5439-9349-B3FD-817972BC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86487" y="92767207"/>
          <a:ext cx="7650511" cy="2076740"/>
        </a:xfrm>
        <a:prstGeom prst="rect">
          <a:avLst/>
        </a:prstGeom>
      </xdr:spPr>
    </xdr:pic>
    <xdr:clientData/>
  </xdr:twoCellAnchor>
  <xdr:twoCellAnchor editAs="oneCell">
    <xdr:from>
      <xdr:col>0</xdr:col>
      <xdr:colOff>697928</xdr:colOff>
      <xdr:row>462</xdr:row>
      <xdr:rowOff>57208</xdr:rowOff>
    </xdr:from>
    <xdr:to>
      <xdr:col>10</xdr:col>
      <xdr:colOff>91549</xdr:colOff>
      <xdr:row>472</xdr:row>
      <xdr:rowOff>169752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3E554F6-1F3D-244E-9F30-238A6066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97928" y="95204235"/>
          <a:ext cx="7631459" cy="2172003"/>
        </a:xfrm>
        <a:prstGeom prst="rect">
          <a:avLst/>
        </a:prstGeom>
      </xdr:spPr>
    </xdr:pic>
    <xdr:clientData/>
  </xdr:twoCellAnchor>
  <xdr:twoCellAnchor editAs="oneCell">
    <xdr:from>
      <xdr:col>0</xdr:col>
      <xdr:colOff>732252</xdr:colOff>
      <xdr:row>474</xdr:row>
      <xdr:rowOff>22883</xdr:rowOff>
    </xdr:from>
    <xdr:to>
      <xdr:col>9</xdr:col>
      <xdr:colOff>586299</xdr:colOff>
      <xdr:row>486</xdr:row>
      <xdr:rowOff>190318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3721E9C-B0A2-3C43-B231-B7EBB5E1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32252" y="97641261"/>
          <a:ext cx="7268101" cy="2638787"/>
        </a:xfrm>
        <a:prstGeom prst="rect">
          <a:avLst/>
        </a:prstGeom>
      </xdr:spPr>
    </xdr:pic>
    <xdr:clientData/>
  </xdr:twoCellAnchor>
  <xdr:twoCellAnchor editAs="oneCell">
    <xdr:from>
      <xdr:col>0</xdr:col>
      <xdr:colOff>594955</xdr:colOff>
      <xdr:row>488</xdr:row>
      <xdr:rowOff>125854</xdr:rowOff>
    </xdr:from>
    <xdr:to>
      <xdr:col>10</xdr:col>
      <xdr:colOff>238864</xdr:colOff>
      <xdr:row>499</xdr:row>
      <xdr:rowOff>126038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9F8549F-565B-F148-BC91-853A1FA6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94955" y="100627476"/>
          <a:ext cx="7881747" cy="2265589"/>
        </a:xfrm>
        <a:prstGeom prst="rect">
          <a:avLst/>
        </a:prstGeom>
      </xdr:spPr>
    </xdr:pic>
    <xdr:clientData/>
  </xdr:twoCellAnchor>
  <xdr:twoCellAnchor editAs="oneCell">
    <xdr:from>
      <xdr:col>0</xdr:col>
      <xdr:colOff>572072</xdr:colOff>
      <xdr:row>502</xdr:row>
      <xdr:rowOff>137298</xdr:rowOff>
    </xdr:from>
    <xdr:to>
      <xdr:col>11</xdr:col>
      <xdr:colOff>241474</xdr:colOff>
      <xdr:row>509</xdr:row>
      <xdr:rowOff>99432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CFC8679-F14C-2C47-8859-44277E0D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72072" y="103522163"/>
          <a:ext cx="8731024" cy="1403755"/>
        </a:xfrm>
        <a:prstGeom prst="rect">
          <a:avLst/>
        </a:prstGeom>
      </xdr:spPr>
    </xdr:pic>
    <xdr:clientData/>
  </xdr:twoCellAnchor>
  <xdr:twoCellAnchor editAs="oneCell">
    <xdr:from>
      <xdr:col>0</xdr:col>
      <xdr:colOff>663604</xdr:colOff>
      <xdr:row>512</xdr:row>
      <xdr:rowOff>11441</xdr:rowOff>
    </xdr:from>
    <xdr:to>
      <xdr:col>16</xdr:col>
      <xdr:colOff>40756</xdr:colOff>
      <xdr:row>515</xdr:row>
      <xdr:rowOff>127810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BC5DC7B-14BB-B445-97B1-72C5CD2C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63604" y="105455765"/>
          <a:ext cx="12557693" cy="734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7</xdr:col>
      <xdr:colOff>689981</xdr:colOff>
      <xdr:row>534</xdr:row>
      <xdr:rowOff>159490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50FDBF8-A67D-5A41-B688-A948C19C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23784" y="107915676"/>
          <a:ext cx="5632683" cy="2218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536</xdr:row>
      <xdr:rowOff>34324</xdr:rowOff>
    </xdr:from>
    <xdr:to>
      <xdr:col>7</xdr:col>
      <xdr:colOff>512347</xdr:colOff>
      <xdr:row>549</xdr:row>
      <xdr:rowOff>119656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957B76A-5370-3D47-8269-F8DE6C5F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23784" y="110421351"/>
          <a:ext cx="5455049" cy="2762629"/>
        </a:xfrm>
        <a:prstGeom prst="rect">
          <a:avLst/>
        </a:prstGeom>
      </xdr:spPr>
    </xdr:pic>
    <xdr:clientData/>
  </xdr:twoCellAnchor>
  <xdr:twoCellAnchor editAs="oneCell">
    <xdr:from>
      <xdr:col>1</xdr:col>
      <xdr:colOff>45766</xdr:colOff>
      <xdr:row>551</xdr:row>
      <xdr:rowOff>46498</xdr:rowOff>
    </xdr:from>
    <xdr:to>
      <xdr:col>7</xdr:col>
      <xdr:colOff>224691</xdr:colOff>
      <xdr:row>565</xdr:row>
      <xdr:rowOff>53128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99C14BE-931C-BC40-97DC-65B98123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69550" y="113522714"/>
          <a:ext cx="5121627" cy="2889873"/>
        </a:xfrm>
        <a:prstGeom prst="rect">
          <a:avLst/>
        </a:prstGeom>
      </xdr:spPr>
    </xdr:pic>
    <xdr:clientData/>
  </xdr:twoCellAnchor>
  <xdr:twoCellAnchor editAs="oneCell">
    <xdr:from>
      <xdr:col>8</xdr:col>
      <xdr:colOff>659760</xdr:colOff>
      <xdr:row>548</xdr:row>
      <xdr:rowOff>125856</xdr:rowOff>
    </xdr:from>
    <xdr:to>
      <xdr:col>15</xdr:col>
      <xdr:colOff>592329</xdr:colOff>
      <xdr:row>567</xdr:row>
      <xdr:rowOff>157097</xdr:rowOff>
    </xdr:to>
    <xdr:pic>
      <xdr:nvPicPr>
        <xdr:cNvPr id="50" name="Picture 49" descr="A diagram of a company's process&#10;&#10;Description automatically generated">
          <a:extLst>
            <a:ext uri="{FF2B5EF4-FFF2-40B4-BE49-F238E27FC236}">
              <a16:creationId xmlns:a16="http://schemas.microsoft.com/office/drawing/2014/main" id="{91B558F4-B32D-244F-92E8-BF2A6AE4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250030" y="112984234"/>
          <a:ext cx="5699056" cy="3944214"/>
        </a:xfrm>
        <a:prstGeom prst="rect">
          <a:avLst/>
        </a:prstGeom>
      </xdr:spPr>
    </xdr:pic>
    <xdr:clientData/>
  </xdr:twoCellAnchor>
  <xdr:twoCellAnchor editAs="oneCell">
    <xdr:from>
      <xdr:col>0</xdr:col>
      <xdr:colOff>629279</xdr:colOff>
      <xdr:row>569</xdr:row>
      <xdr:rowOff>183064</xdr:rowOff>
    </xdr:from>
    <xdr:to>
      <xdr:col>10</xdr:col>
      <xdr:colOff>608368</xdr:colOff>
      <xdr:row>579</xdr:row>
      <xdr:rowOff>43835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39C5EDE-C637-4E41-99D7-EC93823E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9279" y="117366307"/>
          <a:ext cx="8216927" cy="1920231"/>
        </a:xfrm>
        <a:prstGeom prst="rect">
          <a:avLst/>
        </a:prstGeom>
      </xdr:spPr>
    </xdr:pic>
    <xdr:clientData/>
  </xdr:twoCellAnchor>
  <xdr:twoCellAnchor editAs="oneCell">
    <xdr:from>
      <xdr:col>0</xdr:col>
      <xdr:colOff>663603</xdr:colOff>
      <xdr:row>581</xdr:row>
      <xdr:rowOff>22883</xdr:rowOff>
    </xdr:from>
    <xdr:to>
      <xdr:col>9</xdr:col>
      <xdr:colOff>453064</xdr:colOff>
      <xdr:row>590</xdr:row>
      <xdr:rowOff>89601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3C15C53-9B69-D943-AA48-B593BC0B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3603" y="119677478"/>
          <a:ext cx="7203515" cy="1920231"/>
        </a:xfrm>
        <a:prstGeom prst="rect">
          <a:avLst/>
        </a:prstGeom>
      </xdr:spPr>
    </xdr:pic>
    <xdr:clientData/>
  </xdr:twoCellAnchor>
  <xdr:twoCellAnchor editAs="oneCell">
    <xdr:from>
      <xdr:col>0</xdr:col>
      <xdr:colOff>755135</xdr:colOff>
      <xdr:row>592</xdr:row>
      <xdr:rowOff>0</xdr:rowOff>
    </xdr:from>
    <xdr:to>
      <xdr:col>6</xdr:col>
      <xdr:colOff>429356</xdr:colOff>
      <xdr:row>601</xdr:row>
      <xdr:rowOff>57191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AFE319D-D5AB-234B-A0BC-3FE6C935F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55135" y="121920000"/>
          <a:ext cx="4616924" cy="1910705"/>
        </a:xfrm>
        <a:prstGeom prst="rect">
          <a:avLst/>
        </a:prstGeom>
      </xdr:spPr>
    </xdr:pic>
    <xdr:clientData/>
  </xdr:twoCellAnchor>
  <xdr:twoCellAnchor editAs="oneCell">
    <xdr:from>
      <xdr:col>0</xdr:col>
      <xdr:colOff>766577</xdr:colOff>
      <xdr:row>603</xdr:row>
      <xdr:rowOff>0</xdr:rowOff>
    </xdr:from>
    <xdr:to>
      <xdr:col>7</xdr:col>
      <xdr:colOff>430374</xdr:colOff>
      <xdr:row>617</xdr:row>
      <xdr:rowOff>92366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15FEF94-2F2F-7640-8175-33736892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66577" y="124185405"/>
          <a:ext cx="5430283" cy="2975610"/>
        </a:xfrm>
        <a:prstGeom prst="rect">
          <a:avLst/>
        </a:prstGeom>
      </xdr:spPr>
    </xdr:pic>
    <xdr:clientData/>
  </xdr:twoCellAnchor>
  <xdr:twoCellAnchor editAs="oneCell">
    <xdr:from>
      <xdr:col>0</xdr:col>
      <xdr:colOff>766576</xdr:colOff>
      <xdr:row>619</xdr:row>
      <xdr:rowOff>171621</xdr:rowOff>
    </xdr:from>
    <xdr:to>
      <xdr:col>4</xdr:col>
      <xdr:colOff>734401</xdr:colOff>
      <xdr:row>635</xdr:row>
      <xdr:rowOff>17446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B458462-6DF6-0746-BF3A-9608741A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66576" y="127652162"/>
          <a:ext cx="3262960" cy="3140960"/>
        </a:xfrm>
        <a:prstGeom prst="rect">
          <a:avLst/>
        </a:prstGeom>
      </xdr:spPr>
    </xdr:pic>
    <xdr:clientData/>
  </xdr:twoCellAnchor>
  <xdr:twoCellAnchor editAs="oneCell">
    <xdr:from>
      <xdr:col>0</xdr:col>
      <xdr:colOff>343243</xdr:colOff>
      <xdr:row>637</xdr:row>
      <xdr:rowOff>11441</xdr:rowOff>
    </xdr:from>
    <xdr:to>
      <xdr:col>22</xdr:col>
      <xdr:colOff>745186</xdr:colOff>
      <xdr:row>647</xdr:row>
      <xdr:rowOff>94721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9D3B27D-48AB-3A40-8E6F-33627B2C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3243" y="131199009"/>
          <a:ext cx="18525186" cy="2142739"/>
        </a:xfrm>
        <a:prstGeom prst="rect">
          <a:avLst/>
        </a:prstGeom>
      </xdr:spPr>
    </xdr:pic>
    <xdr:clientData/>
  </xdr:twoCellAnchor>
  <xdr:twoCellAnchor editAs="oneCell">
    <xdr:from>
      <xdr:col>0</xdr:col>
      <xdr:colOff>755135</xdr:colOff>
      <xdr:row>648</xdr:row>
      <xdr:rowOff>183063</xdr:rowOff>
    </xdr:from>
    <xdr:to>
      <xdr:col>5</xdr:col>
      <xdr:colOff>344518</xdr:colOff>
      <xdr:row>663</xdr:row>
      <xdr:rowOff>126642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C22D248-2B18-6044-B603-1457B9FC7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55135" y="133636036"/>
          <a:ext cx="3708302" cy="3032768"/>
        </a:xfrm>
        <a:prstGeom prst="rect">
          <a:avLst/>
        </a:prstGeom>
      </xdr:spPr>
    </xdr:pic>
    <xdr:clientData/>
  </xdr:twoCellAnchor>
  <xdr:twoCellAnchor editAs="oneCell">
    <xdr:from>
      <xdr:col>0</xdr:col>
      <xdr:colOff>652163</xdr:colOff>
      <xdr:row>665</xdr:row>
      <xdr:rowOff>102973</xdr:rowOff>
    </xdr:from>
    <xdr:to>
      <xdr:col>7</xdr:col>
      <xdr:colOff>748264</xdr:colOff>
      <xdr:row>675</xdr:row>
      <xdr:rowOff>20901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0CFC6E-36A8-F547-8E1A-BE24F730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52163" y="137057027"/>
          <a:ext cx="5862587" cy="197738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19T19:38:01.449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0 26,'53'0,"-1"0,3 0,-1 0,43 0,-47 0,2 0,0 0,1 0,-1 0,-1 0,34 0,0 0,-6-2,2-1,12-1,-14-3,-5 3,-5 0,-5 2,-3 2,-3 0,-6 0,-5 0,-4 0,-1 0,0 0,-4 0,-1 0,-3 0,-1 0,-1 0,-2 2,0 0,3 0,-1 0,1-2,1 0,-2 0,2 0,0 0,-2 0,0 0,-3 0,-3 0,-2 0,-3 0,-1 1,-2 3,-3 0,-2 0,7 0,-5-3,4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19T19:38:01.45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0 20,'76'0,"17"0,-42 0,2 0,7 0,2 0,5 0,-2 0,-12 0,-1 0,3 0,1 0,0 0,0 0,3 0,2 0,10 0,1-1,-6 0,-1 0,-1-1,-1-1,-3 0,-2 1,-3 0,-1 0,45 0,-10 2,-6 0,-5 0,1 0,1 0,-3 0,-11 0,-9 0,-3 0,-2 0,4 0,-3 0,-3 0,2 0,7 0,4 0,9 0,5 0,1 0,-1 0,-5 0,-5 0,-5 0,-4 0,-4 0,-4 0,-3 0,-5 0,-5 0,-2 0,-1 0,-2 0,0 1,-4 2,-3 1,-2 1,0 0,2-1,2 1,0-1,0-2,3 0,1-2,1 0,-3 0,-6 1,-10-1,-6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FA98-0A59-7544-A9ED-C99200ADEAB1}">
  <dimension ref="B4:P611"/>
  <sheetViews>
    <sheetView zoomScale="90" workbookViewId="0">
      <selection activeCell="M611" sqref="M611"/>
    </sheetView>
  </sheetViews>
  <sheetFormatPr baseColWidth="10" defaultRowHeight="16" x14ac:dyDescent="0.2"/>
  <cols>
    <col min="3" max="3" width="20.33203125" bestFit="1" customWidth="1"/>
    <col min="9" max="9" width="15.6640625" customWidth="1"/>
    <col min="11" max="11" width="15" customWidth="1"/>
  </cols>
  <sheetData>
    <row r="4" spans="11:12" x14ac:dyDescent="0.2">
      <c r="K4" t="s">
        <v>0</v>
      </c>
      <c r="L4" s="1">
        <v>0.2</v>
      </c>
    </row>
    <row r="5" spans="11:12" x14ac:dyDescent="0.2">
      <c r="K5" t="s">
        <v>1</v>
      </c>
      <c r="L5">
        <v>7</v>
      </c>
    </row>
    <row r="6" spans="11:12" x14ac:dyDescent="0.2">
      <c r="K6" t="s">
        <v>2</v>
      </c>
      <c r="L6" s="3">
        <f>1-30%</f>
        <v>0.7</v>
      </c>
    </row>
    <row r="7" spans="11:12" x14ac:dyDescent="0.2">
      <c r="K7" t="s">
        <v>3</v>
      </c>
      <c r="L7" s="1">
        <v>0.04</v>
      </c>
    </row>
    <row r="8" spans="11:12" x14ac:dyDescent="0.2">
      <c r="K8" t="s">
        <v>4</v>
      </c>
      <c r="L8" s="1">
        <v>0.3</v>
      </c>
    </row>
    <row r="10" spans="11:12" x14ac:dyDescent="0.2">
      <c r="K10" t="s">
        <v>5</v>
      </c>
      <c r="L10" s="5">
        <f>((((1+L4)^L5-L6*(1+L7)^L5)/L8)^(1/L5))-1</f>
        <v>0.36597149439935794</v>
      </c>
    </row>
    <row r="24" spans="9:10" x14ac:dyDescent="0.2">
      <c r="I24" t="s">
        <v>6</v>
      </c>
      <c r="J24">
        <v>1.2</v>
      </c>
    </row>
    <row r="25" spans="9:10" x14ac:dyDescent="0.2">
      <c r="I25" t="s">
        <v>7</v>
      </c>
      <c r="J25" s="1">
        <v>0.2</v>
      </c>
    </row>
    <row r="26" spans="9:10" x14ac:dyDescent="0.2">
      <c r="I26" t="s">
        <v>8</v>
      </c>
      <c r="J26" s="1">
        <v>0.02</v>
      </c>
    </row>
    <row r="27" spans="9:10" x14ac:dyDescent="0.2">
      <c r="I27" t="s">
        <v>9</v>
      </c>
      <c r="J27" s="1">
        <v>0.08</v>
      </c>
    </row>
    <row r="28" spans="9:10" x14ac:dyDescent="0.2">
      <c r="I28" t="s">
        <v>10</v>
      </c>
      <c r="J28" s="1">
        <v>0.04</v>
      </c>
    </row>
    <row r="29" spans="9:10" x14ac:dyDescent="0.2">
      <c r="I29" t="s">
        <v>1</v>
      </c>
      <c r="J29" s="1">
        <v>0.09</v>
      </c>
    </row>
    <row r="31" spans="9:10" x14ac:dyDescent="0.2">
      <c r="I31" t="s">
        <v>11</v>
      </c>
      <c r="J31" s="7">
        <f>J26+J24*J27</f>
        <v>0.11600000000000001</v>
      </c>
    </row>
    <row r="55" spans="2:3" x14ac:dyDescent="0.2">
      <c r="B55" t="s">
        <v>11</v>
      </c>
      <c r="C55" s="1">
        <v>0.1</v>
      </c>
    </row>
    <row r="56" spans="2:3" x14ac:dyDescent="0.2">
      <c r="B56" t="s">
        <v>1</v>
      </c>
      <c r="C56" s="1">
        <v>0.2</v>
      </c>
    </row>
    <row r="57" spans="2:3" x14ac:dyDescent="0.2">
      <c r="B57" t="s">
        <v>10</v>
      </c>
      <c r="C57" s="1">
        <v>0.06</v>
      </c>
    </row>
    <row r="58" spans="2:3" x14ac:dyDescent="0.2">
      <c r="B58" t="s">
        <v>12</v>
      </c>
      <c r="C58" s="1">
        <v>0.4</v>
      </c>
    </row>
    <row r="59" spans="2:3" x14ac:dyDescent="0.2">
      <c r="B59" t="s">
        <v>7</v>
      </c>
      <c r="C59" s="1">
        <f>1-C58</f>
        <v>0.6</v>
      </c>
    </row>
    <row r="61" spans="2:3" x14ac:dyDescent="0.2">
      <c r="B61" t="s">
        <v>13</v>
      </c>
      <c r="C61" s="8">
        <f>C55-C59*C57*C56</f>
        <v>9.2800000000000007E-2</v>
      </c>
    </row>
    <row r="100" spans="2:6" x14ac:dyDescent="0.2">
      <c r="B100" t="s">
        <v>14</v>
      </c>
      <c r="C100">
        <v>2000</v>
      </c>
      <c r="E100" t="s">
        <v>17</v>
      </c>
      <c r="F100">
        <v>1000</v>
      </c>
    </row>
    <row r="101" spans="2:6" x14ac:dyDescent="0.2">
      <c r="B101" t="s">
        <v>15</v>
      </c>
      <c r="C101">
        <v>200</v>
      </c>
      <c r="E101" t="s">
        <v>19</v>
      </c>
      <c r="F101">
        <v>500</v>
      </c>
    </row>
    <row r="102" spans="2:6" x14ac:dyDescent="0.2">
      <c r="B102" t="s">
        <v>16</v>
      </c>
      <c r="C102">
        <v>100</v>
      </c>
      <c r="E102" t="s">
        <v>18</v>
      </c>
      <c r="F102">
        <v>2000</v>
      </c>
    </row>
    <row r="103" spans="2:6" x14ac:dyDescent="0.2">
      <c r="E103" t="s">
        <v>20</v>
      </c>
      <c r="F103">
        <v>600</v>
      </c>
    </row>
    <row r="106" spans="2:6" x14ac:dyDescent="0.2">
      <c r="B106" t="s">
        <v>21</v>
      </c>
      <c r="C106">
        <f>F102/F100</f>
        <v>2</v>
      </c>
    </row>
    <row r="107" spans="2:6" x14ac:dyDescent="0.2">
      <c r="B107" t="s">
        <v>22</v>
      </c>
      <c r="C107">
        <f>(F102+F103)/F100</f>
        <v>2.6</v>
      </c>
    </row>
    <row r="108" spans="2:6" x14ac:dyDescent="0.2">
      <c r="B108" t="s">
        <v>23</v>
      </c>
      <c r="C108">
        <f>F102/C102</f>
        <v>20</v>
      </c>
    </row>
    <row r="109" spans="2:6" x14ac:dyDescent="0.2">
      <c r="B109" t="s">
        <v>24</v>
      </c>
      <c r="C109">
        <f>(F102+F103)/C100</f>
        <v>1.3</v>
      </c>
    </row>
    <row r="126" spans="13:14" x14ac:dyDescent="0.2">
      <c r="M126" t="s">
        <v>23</v>
      </c>
      <c r="N126" t="s">
        <v>25</v>
      </c>
    </row>
    <row r="136" spans="14:15" x14ac:dyDescent="0.2">
      <c r="N136" t="s">
        <v>26</v>
      </c>
    </row>
    <row r="137" spans="14:15" x14ac:dyDescent="0.2">
      <c r="O137" t="s">
        <v>27</v>
      </c>
    </row>
    <row r="138" spans="14:15" x14ac:dyDescent="0.2">
      <c r="O138" t="s">
        <v>28</v>
      </c>
    </row>
    <row r="139" spans="14:15" x14ac:dyDescent="0.2">
      <c r="O139" t="s">
        <v>29</v>
      </c>
    </row>
    <row r="171" spans="9:9" x14ac:dyDescent="0.2">
      <c r="I171" s="9"/>
    </row>
    <row r="261" spans="11:12" x14ac:dyDescent="0.2">
      <c r="K261" t="s">
        <v>30</v>
      </c>
      <c r="L261">
        <v>20</v>
      </c>
    </row>
    <row r="262" spans="11:12" x14ac:dyDescent="0.2">
      <c r="K262" t="s">
        <v>31</v>
      </c>
      <c r="L262">
        <v>200</v>
      </c>
    </row>
    <row r="263" spans="11:12" x14ac:dyDescent="0.2">
      <c r="K263" t="s">
        <v>32</v>
      </c>
      <c r="L263">
        <v>15</v>
      </c>
    </row>
    <row r="265" spans="11:12" x14ac:dyDescent="0.2">
      <c r="K265" t="s">
        <v>33</v>
      </c>
      <c r="L265">
        <f>L262/L263^2</f>
        <v>0.88888888888888884</v>
      </c>
    </row>
    <row r="270" spans="11:12" x14ac:dyDescent="0.2">
      <c r="K270" t="s">
        <v>34</v>
      </c>
      <c r="L270">
        <v>100</v>
      </c>
    </row>
    <row r="271" spans="11:12" x14ac:dyDescent="0.2">
      <c r="K271" t="s">
        <v>35</v>
      </c>
      <c r="L271">
        <v>8</v>
      </c>
    </row>
    <row r="272" spans="11:12" x14ac:dyDescent="0.2">
      <c r="K272" t="s">
        <v>0</v>
      </c>
      <c r="L272" s="1">
        <v>0.1</v>
      </c>
    </row>
    <row r="274" spans="8:12" x14ac:dyDescent="0.2">
      <c r="K274" t="s">
        <v>36</v>
      </c>
      <c r="L274">
        <f>L271/L272</f>
        <v>80</v>
      </c>
    </row>
    <row r="275" spans="8:12" x14ac:dyDescent="0.2">
      <c r="K275" t="s">
        <v>37</v>
      </c>
      <c r="L275">
        <f>L274-L270</f>
        <v>-20</v>
      </c>
    </row>
    <row r="281" spans="8:12" x14ac:dyDescent="0.2">
      <c r="H281" t="s">
        <v>38</v>
      </c>
    </row>
    <row r="283" spans="8:12" x14ac:dyDescent="0.2">
      <c r="H283" t="s">
        <v>39</v>
      </c>
    </row>
    <row r="296" spans="6:6" x14ac:dyDescent="0.2">
      <c r="F296" s="10" t="s">
        <v>40</v>
      </c>
    </row>
    <row r="297" spans="6:6" x14ac:dyDescent="0.2">
      <c r="F297" s="10" t="s">
        <v>41</v>
      </c>
    </row>
    <row r="306" spans="10:10" x14ac:dyDescent="0.2">
      <c r="J306" s="11" t="s">
        <v>42</v>
      </c>
    </row>
    <row r="307" spans="10:10" x14ac:dyDescent="0.2">
      <c r="J307" s="11" t="s">
        <v>43</v>
      </c>
    </row>
    <row r="308" spans="10:10" x14ac:dyDescent="0.2">
      <c r="J308" s="11" t="s">
        <v>44</v>
      </c>
    </row>
    <row r="309" spans="10:10" x14ac:dyDescent="0.2">
      <c r="J309" s="11" t="s">
        <v>45</v>
      </c>
    </row>
    <row r="310" spans="10:10" x14ac:dyDescent="0.2">
      <c r="J310" s="11" t="s">
        <v>46</v>
      </c>
    </row>
    <row r="311" spans="10:10" x14ac:dyDescent="0.2">
      <c r="J311" s="11" t="s">
        <v>47</v>
      </c>
    </row>
    <row r="365" spans="14:15" x14ac:dyDescent="0.2">
      <c r="N365" t="s">
        <v>48</v>
      </c>
      <c r="O365">
        <v>0.7</v>
      </c>
    </row>
    <row r="366" spans="14:15" x14ac:dyDescent="0.2">
      <c r="N366" t="s">
        <v>8</v>
      </c>
      <c r="O366" s="1">
        <v>0.02</v>
      </c>
    </row>
    <row r="367" spans="14:15" x14ac:dyDescent="0.2">
      <c r="N367" t="s">
        <v>49</v>
      </c>
      <c r="O367" s="1">
        <v>7.0000000000000007E-2</v>
      </c>
    </row>
    <row r="368" spans="14:15" x14ac:dyDescent="0.2">
      <c r="N368" t="s">
        <v>50</v>
      </c>
      <c r="O368" s="1">
        <v>0.12</v>
      </c>
    </row>
    <row r="369" spans="14:16" x14ac:dyDescent="0.2">
      <c r="N369" t="s">
        <v>10</v>
      </c>
      <c r="O369" s="1">
        <v>0.05</v>
      </c>
    </row>
    <row r="370" spans="14:16" x14ac:dyDescent="0.2">
      <c r="N370" t="s">
        <v>1</v>
      </c>
      <c r="O370" s="1">
        <v>0.1</v>
      </c>
    </row>
    <row r="372" spans="14:16" x14ac:dyDescent="0.2">
      <c r="N372" t="s">
        <v>11</v>
      </c>
      <c r="O372" s="6">
        <f>O366+O365*O367</f>
        <v>6.9000000000000006E-2</v>
      </c>
      <c r="P372" s="6">
        <f>O366+O365*(O367-O366)</f>
        <v>5.4999999999999993E-2</v>
      </c>
    </row>
    <row r="374" spans="14:16" x14ac:dyDescent="0.2">
      <c r="N374" t="s">
        <v>7</v>
      </c>
      <c r="O374">
        <v>0.72857142857142831</v>
      </c>
    </row>
    <row r="375" spans="14:16" x14ac:dyDescent="0.2">
      <c r="N375" t="s">
        <v>12</v>
      </c>
      <c r="O375">
        <f>1-O374</f>
        <v>0.27142857142857169</v>
      </c>
    </row>
    <row r="377" spans="14:16" x14ac:dyDescent="0.2">
      <c r="N377" t="s">
        <v>11</v>
      </c>
      <c r="O377" s="5">
        <f>O375*O368+O369*O374</f>
        <v>6.9000000000000006E-2</v>
      </c>
    </row>
    <row r="379" spans="14:16" x14ac:dyDescent="0.2">
      <c r="N379" t="s">
        <v>13</v>
      </c>
      <c r="O379" s="5">
        <f>O375*O368+O374*O369*(1-O370)</f>
        <v>6.5357142857142864E-2</v>
      </c>
    </row>
    <row r="423" spans="2:3" x14ac:dyDescent="0.2">
      <c r="B423" t="s">
        <v>51</v>
      </c>
      <c r="C423">
        <v>1</v>
      </c>
    </row>
    <row r="424" spans="2:3" x14ac:dyDescent="0.2">
      <c r="B424" t="s">
        <v>52</v>
      </c>
      <c r="C424">
        <v>100</v>
      </c>
    </row>
    <row r="425" spans="2:3" x14ac:dyDescent="0.2">
      <c r="B425" t="s">
        <v>53</v>
      </c>
      <c r="C425">
        <f>45-15</f>
        <v>30</v>
      </c>
    </row>
    <row r="427" spans="2:3" x14ac:dyDescent="0.2">
      <c r="B427" t="s">
        <v>54</v>
      </c>
      <c r="C427" s="5">
        <f>((1+C423/(C424-C423))^(365/C425))-1</f>
        <v>0.13006944458127245</v>
      </c>
    </row>
    <row r="439" spans="2:3" x14ac:dyDescent="0.2">
      <c r="B439" t="s">
        <v>55</v>
      </c>
      <c r="C439">
        <v>2000000</v>
      </c>
    </row>
    <row r="440" spans="2:3" x14ac:dyDescent="0.2">
      <c r="B440" t="s">
        <v>0</v>
      </c>
      <c r="C440" s="1">
        <v>0.05</v>
      </c>
    </row>
    <row r="441" spans="2:3" x14ac:dyDescent="0.2">
      <c r="B441" t="s">
        <v>56</v>
      </c>
      <c r="C441" s="2">
        <v>2E-3</v>
      </c>
    </row>
    <row r="443" spans="2:3" x14ac:dyDescent="0.2">
      <c r="B443" t="s">
        <v>57</v>
      </c>
      <c r="C443">
        <v>1000000</v>
      </c>
    </row>
    <row r="444" spans="2:3" x14ac:dyDescent="0.2">
      <c r="B444" t="s">
        <v>58</v>
      </c>
      <c r="C444">
        <f>C439-C443</f>
        <v>1000000</v>
      </c>
    </row>
    <row r="446" spans="2:3" x14ac:dyDescent="0.2">
      <c r="B446" t="s">
        <v>59</v>
      </c>
      <c r="C446">
        <f>(C443*C440)+(C444*C441)</f>
        <v>52000</v>
      </c>
    </row>
    <row r="486" spans="9:13" x14ac:dyDescent="0.2">
      <c r="J486">
        <v>2023</v>
      </c>
      <c r="K486">
        <v>2024</v>
      </c>
      <c r="L486">
        <v>2025</v>
      </c>
      <c r="M486">
        <v>2026</v>
      </c>
    </row>
    <row r="487" spans="9:13" x14ac:dyDescent="0.2">
      <c r="I487" t="s">
        <v>15</v>
      </c>
      <c r="J487">
        <v>100</v>
      </c>
      <c r="K487">
        <v>110</v>
      </c>
      <c r="L487">
        <v>120</v>
      </c>
      <c r="M487">
        <v>130</v>
      </c>
    </row>
    <row r="488" spans="9:13" x14ac:dyDescent="0.2">
      <c r="I488" t="s">
        <v>1</v>
      </c>
      <c r="J488" s="1">
        <v>0.1</v>
      </c>
      <c r="K488" s="1">
        <v>0.1</v>
      </c>
      <c r="L488" s="1">
        <v>0.1</v>
      </c>
      <c r="M488" s="1">
        <v>0.1</v>
      </c>
    </row>
    <row r="489" spans="9:13" x14ac:dyDescent="0.2">
      <c r="I489" t="s">
        <v>34</v>
      </c>
      <c r="J489">
        <v>620</v>
      </c>
      <c r="K489">
        <v>700</v>
      </c>
      <c r="L489">
        <v>800</v>
      </c>
      <c r="M489">
        <v>900</v>
      </c>
    </row>
    <row r="490" spans="9:13" x14ac:dyDescent="0.2">
      <c r="I490" t="s">
        <v>60</v>
      </c>
      <c r="K490">
        <f>K489-J489</f>
        <v>80</v>
      </c>
      <c r="L490">
        <f t="shared" ref="L490:M490" si="0">L489-K489</f>
        <v>100</v>
      </c>
      <c r="M490">
        <f t="shared" si="0"/>
        <v>100</v>
      </c>
    </row>
    <row r="491" spans="9:13" x14ac:dyDescent="0.2">
      <c r="I491" t="s">
        <v>61</v>
      </c>
      <c r="J491">
        <f>J487*(1-J488)</f>
        <v>90</v>
      </c>
      <c r="K491">
        <f t="shared" ref="K491:M491" si="1">K487*(1-K488)</f>
        <v>99</v>
      </c>
      <c r="L491">
        <f t="shared" si="1"/>
        <v>108</v>
      </c>
      <c r="M491">
        <f t="shared" si="1"/>
        <v>117</v>
      </c>
    </row>
    <row r="492" spans="9:13" x14ac:dyDescent="0.2">
      <c r="I492" t="s">
        <v>62</v>
      </c>
      <c r="K492">
        <f>K491-J491</f>
        <v>9</v>
      </c>
      <c r="L492">
        <f t="shared" ref="L492:M492" si="2">L491-K491</f>
        <v>9</v>
      </c>
      <c r="M492">
        <f t="shared" si="2"/>
        <v>9</v>
      </c>
    </row>
    <row r="493" spans="9:13" x14ac:dyDescent="0.2">
      <c r="I493" t="s">
        <v>84</v>
      </c>
      <c r="L493" t="s">
        <v>221</v>
      </c>
      <c r="M493">
        <f>M492/L490</f>
        <v>0.09</v>
      </c>
    </row>
    <row r="520" spans="2:9" x14ac:dyDescent="0.2">
      <c r="B520" t="s">
        <v>48</v>
      </c>
      <c r="C520">
        <v>0.75</v>
      </c>
      <c r="E520" t="s">
        <v>11</v>
      </c>
      <c r="F520" s="8">
        <f>C521+C520*C522</f>
        <v>8.2500000000000004E-2</v>
      </c>
      <c r="H520" t="s">
        <v>13</v>
      </c>
      <c r="I520" s="12">
        <f>F523*C523+F522*C524*(1-C525)</f>
        <v>7.8750000000000001E-2</v>
      </c>
    </row>
    <row r="521" spans="2:9" x14ac:dyDescent="0.2">
      <c r="B521" t="s">
        <v>8</v>
      </c>
      <c r="C521" s="1">
        <v>0.03</v>
      </c>
    </row>
    <row r="522" spans="2:9" x14ac:dyDescent="0.2">
      <c r="B522" t="s">
        <v>63</v>
      </c>
      <c r="C522" s="1">
        <v>7.0000000000000007E-2</v>
      </c>
      <c r="E522" t="s">
        <v>7</v>
      </c>
      <c r="F522">
        <v>0.625</v>
      </c>
    </row>
    <row r="523" spans="2:9" x14ac:dyDescent="0.2">
      <c r="B523" t="s">
        <v>50</v>
      </c>
      <c r="C523" s="1">
        <v>0.12</v>
      </c>
      <c r="E523" t="s">
        <v>12</v>
      </c>
      <c r="F523">
        <f>1-F522</f>
        <v>0.375</v>
      </c>
    </row>
    <row r="524" spans="2:9" x14ac:dyDescent="0.2">
      <c r="B524" t="s">
        <v>10</v>
      </c>
      <c r="C524" s="1">
        <v>0.06</v>
      </c>
    </row>
    <row r="525" spans="2:9" x14ac:dyDescent="0.2">
      <c r="B525" t="s">
        <v>53</v>
      </c>
      <c r="C525" s="1">
        <v>0.1</v>
      </c>
      <c r="E525" t="s">
        <v>11</v>
      </c>
      <c r="F525">
        <f>F523*C523+F522*C524</f>
        <v>8.249999999999999E-2</v>
      </c>
    </row>
    <row r="545" spans="2:3" x14ac:dyDescent="0.2">
      <c r="B545" t="s">
        <v>64</v>
      </c>
      <c r="C545">
        <v>600000</v>
      </c>
    </row>
    <row r="546" spans="2:3" x14ac:dyDescent="0.2">
      <c r="B546" t="s">
        <v>65</v>
      </c>
      <c r="C546" s="1">
        <v>0.05</v>
      </c>
    </row>
    <row r="547" spans="2:3" x14ac:dyDescent="0.2">
      <c r="B547" t="s">
        <v>66</v>
      </c>
      <c r="C547" s="1">
        <v>0.09</v>
      </c>
    </row>
    <row r="549" spans="2:3" x14ac:dyDescent="0.2">
      <c r="B549" t="s">
        <v>67</v>
      </c>
      <c r="C549" s="1">
        <f>C547-C546</f>
        <v>3.9999999999999994E-2</v>
      </c>
    </row>
    <row r="550" spans="2:3" x14ac:dyDescent="0.2">
      <c r="B550" t="s">
        <v>68</v>
      </c>
      <c r="C550" s="2">
        <f>(1+C546)*(1+C549)-1</f>
        <v>9.2000000000000082E-2</v>
      </c>
    </row>
    <row r="563" spans="2:6" x14ac:dyDescent="0.2">
      <c r="B563" t="s">
        <v>69</v>
      </c>
      <c r="C563">
        <v>5100000</v>
      </c>
      <c r="E563" t="s">
        <v>72</v>
      </c>
      <c r="F563">
        <f>C563*(C564/12)</f>
        <v>36975</v>
      </c>
    </row>
    <row r="564" spans="2:6" x14ac:dyDescent="0.2">
      <c r="B564" t="s">
        <v>70</v>
      </c>
      <c r="C564" s="2">
        <v>8.6999999999999994E-2</v>
      </c>
      <c r="E564" t="s">
        <v>73</v>
      </c>
      <c r="F564">
        <f>C565</f>
        <v>5100</v>
      </c>
    </row>
    <row r="565" spans="2:6" x14ac:dyDescent="0.2">
      <c r="B565" t="s">
        <v>71</v>
      </c>
      <c r="C565">
        <v>5100</v>
      </c>
    </row>
    <row r="566" spans="2:6" x14ac:dyDescent="0.2">
      <c r="E566" t="s">
        <v>74</v>
      </c>
      <c r="F566">
        <f>F563+F564</f>
        <v>42075</v>
      </c>
    </row>
    <row r="568" spans="2:6" x14ac:dyDescent="0.2">
      <c r="E568" t="s">
        <v>54</v>
      </c>
      <c r="F568" s="5">
        <f>((1+F566/C563)^(12/1))-1</f>
        <v>0.10361798208912365</v>
      </c>
    </row>
    <row r="580" spans="2:4" x14ac:dyDescent="0.2">
      <c r="B580" t="s">
        <v>75</v>
      </c>
      <c r="C580" t="s">
        <v>76</v>
      </c>
      <c r="D580" t="s">
        <v>83</v>
      </c>
    </row>
    <row r="581" spans="2:4" x14ac:dyDescent="0.2">
      <c r="B581" s="15" t="s">
        <v>77</v>
      </c>
      <c r="C581" s="16">
        <v>100000</v>
      </c>
      <c r="D581" s="17">
        <f>C581/SUM($C$581:$C$586)</f>
        <v>0.18796992481203006</v>
      </c>
    </row>
    <row r="582" spans="2:4" x14ac:dyDescent="0.2">
      <c r="B582" s="15" t="s">
        <v>78</v>
      </c>
      <c r="C582">
        <v>300000</v>
      </c>
      <c r="D582" s="5">
        <f t="shared" ref="D582:D586" si="3">C582/SUM($C$581:$C$586)</f>
        <v>0.56390977443609025</v>
      </c>
    </row>
    <row r="583" spans="2:4" x14ac:dyDescent="0.2">
      <c r="B583" s="15" t="s">
        <v>79</v>
      </c>
      <c r="C583">
        <v>100000</v>
      </c>
      <c r="D583" s="5">
        <f t="shared" si="3"/>
        <v>0.18796992481203006</v>
      </c>
    </row>
    <row r="584" spans="2:4" x14ac:dyDescent="0.2">
      <c r="B584" s="15" t="s">
        <v>80</v>
      </c>
      <c r="C584">
        <v>20000</v>
      </c>
      <c r="D584" s="5">
        <f t="shared" si="3"/>
        <v>3.7593984962406013E-2</v>
      </c>
    </row>
    <row r="585" spans="2:4" x14ac:dyDescent="0.2">
      <c r="B585" s="15" t="s">
        <v>81</v>
      </c>
      <c r="C585">
        <v>10000</v>
      </c>
      <c r="D585" s="5">
        <f t="shared" si="3"/>
        <v>1.8796992481203006E-2</v>
      </c>
    </row>
    <row r="586" spans="2:4" x14ac:dyDescent="0.2">
      <c r="B586" s="15" t="s">
        <v>82</v>
      </c>
      <c r="C586">
        <v>2000</v>
      </c>
      <c r="D586" s="5">
        <f t="shared" si="3"/>
        <v>3.7593984962406013E-3</v>
      </c>
    </row>
    <row r="606" spans="10:14" x14ac:dyDescent="0.2">
      <c r="K606">
        <v>2023</v>
      </c>
      <c r="L606">
        <v>2024</v>
      </c>
      <c r="M606">
        <v>2025</v>
      </c>
      <c r="N606">
        <v>2026</v>
      </c>
    </row>
    <row r="607" spans="10:14" x14ac:dyDescent="0.2">
      <c r="J607" t="s">
        <v>15</v>
      </c>
      <c r="K607">
        <v>100</v>
      </c>
      <c r="L607">
        <v>110</v>
      </c>
      <c r="M607">
        <v>120</v>
      </c>
      <c r="N607">
        <v>130</v>
      </c>
    </row>
    <row r="608" spans="10:14" x14ac:dyDescent="0.2">
      <c r="J608" t="s">
        <v>1</v>
      </c>
      <c r="K608" s="1">
        <v>0.1</v>
      </c>
      <c r="L608" s="1">
        <v>0.1</v>
      </c>
      <c r="M608" s="1">
        <v>0.1</v>
      </c>
      <c r="N608" s="1">
        <v>0.1</v>
      </c>
    </row>
    <row r="609" spans="10:14" x14ac:dyDescent="0.2">
      <c r="J609" t="s">
        <v>34</v>
      </c>
      <c r="K609">
        <v>620</v>
      </c>
      <c r="L609">
        <v>700</v>
      </c>
      <c r="M609">
        <v>800</v>
      </c>
      <c r="N609">
        <v>900</v>
      </c>
    </row>
    <row r="610" spans="10:14" x14ac:dyDescent="0.2">
      <c r="J610" t="s">
        <v>61</v>
      </c>
      <c r="K610">
        <f>K607*(1-K608)</f>
        <v>90</v>
      </c>
      <c r="L610">
        <f t="shared" ref="L610:N610" si="4">L607*(1-L608)</f>
        <v>99</v>
      </c>
      <c r="M610">
        <f t="shared" si="4"/>
        <v>108</v>
      </c>
      <c r="N610">
        <f t="shared" si="4"/>
        <v>117</v>
      </c>
    </row>
    <row r="611" spans="10:14" x14ac:dyDescent="0.2">
      <c r="L611" s="5">
        <f>L610/K609</f>
        <v>0.1596774193548387</v>
      </c>
      <c r="M611" s="17">
        <f>M610/L609</f>
        <v>0.15428571428571428</v>
      </c>
      <c r="N611" s="5">
        <f t="shared" ref="N611" si="5">N610/M609</f>
        <v>0.14624999999999999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1509-1A44-9D4C-BBFB-F6655202DC23}">
  <dimension ref="B4:O571"/>
  <sheetViews>
    <sheetView topLeftCell="A279" zoomScale="116" workbookViewId="0">
      <selection activeCell="I567" sqref="I567"/>
    </sheetView>
  </sheetViews>
  <sheetFormatPr baseColWidth="10" defaultRowHeight="16" x14ac:dyDescent="0.2"/>
  <cols>
    <col min="2" max="2" width="15.6640625" customWidth="1"/>
    <col min="3" max="3" width="13" bestFit="1" customWidth="1"/>
    <col min="6" max="6" width="14.83203125" customWidth="1"/>
    <col min="11" max="11" width="18.5" customWidth="1"/>
    <col min="15" max="15" width="15.1640625" customWidth="1"/>
  </cols>
  <sheetData>
    <row r="4" spans="11:15" x14ac:dyDescent="0.2">
      <c r="K4" t="s">
        <v>15</v>
      </c>
      <c r="L4">
        <v>200</v>
      </c>
      <c r="N4" t="s">
        <v>61</v>
      </c>
      <c r="O4">
        <f>L4*(1-L7)</f>
        <v>180</v>
      </c>
    </row>
    <row r="5" spans="11:15" x14ac:dyDescent="0.2">
      <c r="K5" t="s">
        <v>11</v>
      </c>
      <c r="L5" s="2">
        <v>0.122</v>
      </c>
      <c r="N5" t="s">
        <v>88</v>
      </c>
      <c r="O5" s="6">
        <f>L9/L8</f>
        <v>0.33333333333333337</v>
      </c>
    </row>
    <row r="6" spans="11:15" x14ac:dyDescent="0.2">
      <c r="K6" t="s">
        <v>10</v>
      </c>
      <c r="L6" s="1">
        <v>0.05</v>
      </c>
      <c r="N6" t="s">
        <v>89</v>
      </c>
      <c r="O6">
        <f>O4*(1-O5)</f>
        <v>120</v>
      </c>
    </row>
    <row r="7" spans="11:15" x14ac:dyDescent="0.2">
      <c r="K7" t="s">
        <v>1</v>
      </c>
      <c r="L7" s="1">
        <v>0.1</v>
      </c>
      <c r="N7" t="s">
        <v>13</v>
      </c>
      <c r="O7" s="2">
        <f>L5-L10*L6*L7</f>
        <v>0.12</v>
      </c>
    </row>
    <row r="8" spans="11:15" x14ac:dyDescent="0.2">
      <c r="K8" t="s">
        <v>84</v>
      </c>
      <c r="L8" s="1">
        <v>0.12</v>
      </c>
    </row>
    <row r="9" spans="11:15" x14ac:dyDescent="0.2">
      <c r="K9" t="s">
        <v>85</v>
      </c>
      <c r="L9" s="1">
        <v>0.04</v>
      </c>
      <c r="N9" t="s">
        <v>37</v>
      </c>
      <c r="O9">
        <f>O6/(O7-L9)</f>
        <v>1500.0000000000002</v>
      </c>
    </row>
    <row r="10" spans="11:15" x14ac:dyDescent="0.2">
      <c r="K10" t="s">
        <v>7</v>
      </c>
      <c r="L10" s="1">
        <v>0.4</v>
      </c>
    </row>
    <row r="11" spans="11:15" x14ac:dyDescent="0.2">
      <c r="N11" t="s">
        <v>90</v>
      </c>
      <c r="O11">
        <f>O9*(1-L10)</f>
        <v>900.00000000000011</v>
      </c>
    </row>
    <row r="12" spans="11:15" x14ac:dyDescent="0.2">
      <c r="K12" t="s">
        <v>86</v>
      </c>
      <c r="L12" s="1">
        <v>0.1</v>
      </c>
    </row>
    <row r="13" spans="11:15" x14ac:dyDescent="0.2">
      <c r="K13" t="s">
        <v>87</v>
      </c>
      <c r="L13" s="1">
        <v>0.15</v>
      </c>
      <c r="N13" t="s">
        <v>91</v>
      </c>
      <c r="O13">
        <f>O11*(1-L12)</f>
        <v>810.00000000000011</v>
      </c>
    </row>
    <row r="15" spans="11:15" x14ac:dyDescent="0.2">
      <c r="N15" t="s">
        <v>92</v>
      </c>
      <c r="O15" s="16">
        <f>O13*60%</f>
        <v>486.00000000000006</v>
      </c>
    </row>
    <row r="16" spans="11:15" x14ac:dyDescent="0.2">
      <c r="N16" t="s">
        <v>93</v>
      </c>
      <c r="O16">
        <f>O13*40%</f>
        <v>324.00000000000006</v>
      </c>
    </row>
    <row r="17" spans="11:15" x14ac:dyDescent="0.2">
      <c r="N17" t="s">
        <v>94</v>
      </c>
      <c r="O17">
        <f>O16*(1-L13)</f>
        <v>275.40000000000003</v>
      </c>
    </row>
    <row r="24" spans="11:15" x14ac:dyDescent="0.2">
      <c r="K24" t="s">
        <v>7</v>
      </c>
      <c r="L24" s="1">
        <v>0.5</v>
      </c>
      <c r="N24" t="s">
        <v>96</v>
      </c>
      <c r="O24" s="1">
        <v>0.5</v>
      </c>
    </row>
    <row r="25" spans="11:15" x14ac:dyDescent="0.2">
      <c r="K25" t="s">
        <v>10</v>
      </c>
      <c r="L25" s="1">
        <v>0.05</v>
      </c>
      <c r="N25" t="s">
        <v>84</v>
      </c>
      <c r="O25" s="1">
        <v>0.12</v>
      </c>
    </row>
    <row r="26" spans="11:15" x14ac:dyDescent="0.2">
      <c r="K26" t="s">
        <v>1</v>
      </c>
      <c r="L26" s="1">
        <v>0.2</v>
      </c>
      <c r="N26" t="s">
        <v>85</v>
      </c>
      <c r="O26" s="1">
        <v>0.06</v>
      </c>
    </row>
    <row r="27" spans="11:15" x14ac:dyDescent="0.2">
      <c r="K27" t="s">
        <v>50</v>
      </c>
      <c r="L27" s="1">
        <v>0.15</v>
      </c>
      <c r="N27" t="s">
        <v>10</v>
      </c>
      <c r="O27" s="1">
        <v>0.06</v>
      </c>
    </row>
    <row r="28" spans="11:15" x14ac:dyDescent="0.2">
      <c r="K28" t="s">
        <v>95</v>
      </c>
      <c r="L28" s="1">
        <v>0.11</v>
      </c>
      <c r="N28" t="s">
        <v>7</v>
      </c>
      <c r="O28">
        <f>0.5/1.5</f>
        <v>0.33333333333333331</v>
      </c>
    </row>
    <row r="29" spans="11:15" x14ac:dyDescent="0.2">
      <c r="N29" t="s">
        <v>12</v>
      </c>
      <c r="O29">
        <f>1-O28</f>
        <v>0.66666666666666674</v>
      </c>
    </row>
    <row r="30" spans="11:15" x14ac:dyDescent="0.2">
      <c r="K30" t="s">
        <v>11</v>
      </c>
      <c r="L30" s="3">
        <f>(1-L24)*L27+L25*L24</f>
        <v>0.1</v>
      </c>
    </row>
    <row r="31" spans="11:15" x14ac:dyDescent="0.2">
      <c r="N31" t="s">
        <v>50</v>
      </c>
      <c r="O31" s="18">
        <v>0.11999999999999997</v>
      </c>
    </row>
    <row r="33" spans="14:15" x14ac:dyDescent="0.2">
      <c r="N33" t="s">
        <v>11</v>
      </c>
      <c r="O33">
        <f>O29*O31+O28*O27</f>
        <v>9.9999999999999978E-2</v>
      </c>
    </row>
    <row r="39" spans="14:15" x14ac:dyDescent="0.2">
      <c r="N39" t="s">
        <v>61</v>
      </c>
      <c r="O39">
        <v>100</v>
      </c>
    </row>
    <row r="40" spans="14:15" x14ac:dyDescent="0.2">
      <c r="N40" t="s">
        <v>85</v>
      </c>
      <c r="O40" s="1">
        <v>0.01</v>
      </c>
    </row>
    <row r="41" spans="14:15" x14ac:dyDescent="0.2">
      <c r="N41" t="s">
        <v>84</v>
      </c>
      <c r="O41" s="1">
        <v>0.02</v>
      </c>
    </row>
    <row r="42" spans="14:15" x14ac:dyDescent="0.2">
      <c r="N42" t="s">
        <v>88</v>
      </c>
      <c r="O42" s="2">
        <v>5.0000000000000001E-3</v>
      </c>
    </row>
    <row r="44" spans="14:15" x14ac:dyDescent="0.2">
      <c r="N44" t="s">
        <v>89</v>
      </c>
      <c r="O44" s="16">
        <f>O39*(1-O42)</f>
        <v>99.5</v>
      </c>
    </row>
    <row r="55" spans="13:13" x14ac:dyDescent="0.2">
      <c r="M55" t="s">
        <v>97</v>
      </c>
    </row>
    <row r="69" spans="14:14" x14ac:dyDescent="0.2">
      <c r="N69" t="s">
        <v>98</v>
      </c>
    </row>
    <row r="71" spans="14:14" x14ac:dyDescent="0.2">
      <c r="N71" t="s">
        <v>99</v>
      </c>
    </row>
    <row r="187" spans="7:11" x14ac:dyDescent="0.2">
      <c r="G187" t="s">
        <v>34</v>
      </c>
      <c r="H187">
        <v>1000</v>
      </c>
      <c r="J187" t="s">
        <v>61</v>
      </c>
      <c r="K187">
        <f>H187*H188</f>
        <v>110</v>
      </c>
    </row>
    <row r="188" spans="7:11" x14ac:dyDescent="0.2">
      <c r="G188" t="s">
        <v>95</v>
      </c>
      <c r="H188" s="1">
        <v>0.11</v>
      </c>
      <c r="J188" t="s">
        <v>88</v>
      </c>
      <c r="K188" s="2">
        <f>H190/H189</f>
        <v>0.14285714285714285</v>
      </c>
    </row>
    <row r="189" spans="7:11" x14ac:dyDescent="0.2">
      <c r="G189" t="s">
        <v>84</v>
      </c>
      <c r="H189" s="1">
        <v>0.14000000000000001</v>
      </c>
      <c r="J189" t="s">
        <v>89</v>
      </c>
      <c r="K189">
        <f>K187*(1-K188)</f>
        <v>94.285714285714292</v>
      </c>
    </row>
    <row r="190" spans="7:11" x14ac:dyDescent="0.2">
      <c r="G190" t="s">
        <v>85</v>
      </c>
      <c r="H190" s="1">
        <v>0.02</v>
      </c>
    </row>
    <row r="191" spans="7:11" x14ac:dyDescent="0.2">
      <c r="G191" t="s">
        <v>1</v>
      </c>
      <c r="H191" s="1">
        <v>0.1</v>
      </c>
      <c r="J191" t="s">
        <v>13</v>
      </c>
      <c r="K191" s="6">
        <f>H192-H194*H193*H191</f>
        <v>0.108</v>
      </c>
    </row>
    <row r="192" spans="7:11" x14ac:dyDescent="0.2">
      <c r="G192" t="s">
        <v>11</v>
      </c>
      <c r="H192" s="1">
        <v>0.11</v>
      </c>
      <c r="J192" t="s">
        <v>37</v>
      </c>
      <c r="K192">
        <f>K189/(K191-H190)</f>
        <v>1071.4285714285716</v>
      </c>
    </row>
    <row r="193" spans="7:11" x14ac:dyDescent="0.2">
      <c r="G193" t="s">
        <v>7</v>
      </c>
      <c r="H193" s="1">
        <v>0.4</v>
      </c>
    </row>
    <row r="194" spans="7:11" x14ac:dyDescent="0.2">
      <c r="G194" t="s">
        <v>10</v>
      </c>
      <c r="H194" s="1">
        <v>0.05</v>
      </c>
      <c r="J194" t="s">
        <v>90</v>
      </c>
      <c r="K194" s="16">
        <f>K192*(1-H193)</f>
        <v>642.85714285714289</v>
      </c>
    </row>
    <row r="213" spans="2:3" x14ac:dyDescent="0.2">
      <c r="B213" t="s">
        <v>100</v>
      </c>
      <c r="C213">
        <v>190</v>
      </c>
    </row>
    <row r="214" spans="2:3" x14ac:dyDescent="0.2">
      <c r="B214" t="s">
        <v>101</v>
      </c>
      <c r="C214">
        <v>25</v>
      </c>
    </row>
    <row r="215" spans="2:3" x14ac:dyDescent="0.2">
      <c r="B215" t="s">
        <v>102</v>
      </c>
      <c r="C215">
        <v>32</v>
      </c>
    </row>
    <row r="216" spans="2:3" x14ac:dyDescent="0.2">
      <c r="B216" t="s">
        <v>103</v>
      </c>
      <c r="C216">
        <v>12</v>
      </c>
    </row>
    <row r="218" spans="2:3" x14ac:dyDescent="0.2">
      <c r="B218" t="s">
        <v>104</v>
      </c>
      <c r="C218">
        <f>C213-C214-C215</f>
        <v>133</v>
      </c>
    </row>
    <row r="364" spans="11:12" x14ac:dyDescent="0.2">
      <c r="K364" t="s">
        <v>34</v>
      </c>
      <c r="L364">
        <v>1000</v>
      </c>
    </row>
    <row r="365" spans="11:12" x14ac:dyDescent="0.2">
      <c r="K365" t="s">
        <v>84</v>
      </c>
      <c r="L365" s="1">
        <v>0.12</v>
      </c>
    </row>
    <row r="366" spans="11:12" x14ac:dyDescent="0.2">
      <c r="K366" t="s">
        <v>85</v>
      </c>
      <c r="L366" s="1">
        <v>0.03</v>
      </c>
    </row>
    <row r="367" spans="11:12" x14ac:dyDescent="0.2">
      <c r="K367" t="s">
        <v>1</v>
      </c>
      <c r="L367" s="1">
        <v>0.1</v>
      </c>
    </row>
    <row r="368" spans="11:12" x14ac:dyDescent="0.2">
      <c r="K368" t="s">
        <v>11</v>
      </c>
      <c r="L368" s="1">
        <v>0.12</v>
      </c>
    </row>
    <row r="369" spans="11:12" x14ac:dyDescent="0.2">
      <c r="K369" t="s">
        <v>7</v>
      </c>
      <c r="L369" s="1">
        <v>0.25</v>
      </c>
    </row>
    <row r="370" spans="11:12" x14ac:dyDescent="0.2">
      <c r="K370" t="s">
        <v>10</v>
      </c>
      <c r="L370" s="1">
        <v>0.06</v>
      </c>
    </row>
    <row r="372" spans="11:12" x14ac:dyDescent="0.2">
      <c r="K372" t="s">
        <v>61</v>
      </c>
      <c r="L372">
        <f>L364*L365</f>
        <v>120</v>
      </c>
    </row>
    <row r="373" spans="11:12" x14ac:dyDescent="0.2">
      <c r="K373" t="s">
        <v>88</v>
      </c>
      <c r="L373" s="2">
        <f>L366/L365</f>
        <v>0.25</v>
      </c>
    </row>
    <row r="374" spans="11:12" x14ac:dyDescent="0.2">
      <c r="K374" t="s">
        <v>89</v>
      </c>
      <c r="L374">
        <f>L372*(1-L373)</f>
        <v>90</v>
      </c>
    </row>
    <row r="376" spans="11:12" x14ac:dyDescent="0.2">
      <c r="K376" t="s">
        <v>13</v>
      </c>
      <c r="L376" s="8">
        <f>L368-L370*L369*L367</f>
        <v>0.11849999999999999</v>
      </c>
    </row>
    <row r="377" spans="11:12" x14ac:dyDescent="0.2">
      <c r="K377" t="s">
        <v>37</v>
      </c>
      <c r="L377">
        <f>L374/(L376-L366)</f>
        <v>1016.949152542373</v>
      </c>
    </row>
    <row r="428" spans="2:3" x14ac:dyDescent="0.2">
      <c r="B428" t="s">
        <v>0</v>
      </c>
      <c r="C428" s="1">
        <v>0.2</v>
      </c>
    </row>
    <row r="429" spans="2:3" x14ac:dyDescent="0.2">
      <c r="B429" t="s">
        <v>1</v>
      </c>
      <c r="C429">
        <v>8</v>
      </c>
    </row>
    <row r="430" spans="2:3" x14ac:dyDescent="0.2">
      <c r="B430" t="s">
        <v>105</v>
      </c>
      <c r="C430" s="2">
        <f>1-25%</f>
        <v>0.75</v>
      </c>
    </row>
    <row r="431" spans="2:3" x14ac:dyDescent="0.2">
      <c r="B431" t="s">
        <v>106</v>
      </c>
      <c r="C431" s="1">
        <v>0.09</v>
      </c>
    </row>
    <row r="432" spans="2:3" x14ac:dyDescent="0.2">
      <c r="B432" t="s">
        <v>107</v>
      </c>
      <c r="C432" s="1">
        <v>0.25</v>
      </c>
    </row>
    <row r="434" spans="2:8" x14ac:dyDescent="0.2">
      <c r="C434" s="5">
        <f>((((1+C428)^C429-C430*(1+C431)^C429)/C432)^(1/C429))-1</f>
        <v>0.35287213216142144</v>
      </c>
    </row>
    <row r="446" spans="2:8" x14ac:dyDescent="0.2">
      <c r="G446" t="s">
        <v>110</v>
      </c>
      <c r="H446">
        <v>400</v>
      </c>
    </row>
    <row r="447" spans="2:8" x14ac:dyDescent="0.2">
      <c r="B447" t="s">
        <v>95</v>
      </c>
      <c r="C447" s="1">
        <v>0.12</v>
      </c>
      <c r="G447" t="s">
        <v>16</v>
      </c>
      <c r="H447">
        <v>50</v>
      </c>
    </row>
    <row r="448" spans="2:8" x14ac:dyDescent="0.2">
      <c r="B448" t="s">
        <v>11</v>
      </c>
      <c r="C448" s="1">
        <v>0.12</v>
      </c>
      <c r="G448" t="s">
        <v>111</v>
      </c>
      <c r="H448">
        <v>100000</v>
      </c>
    </row>
    <row r="449" spans="2:8" x14ac:dyDescent="0.2">
      <c r="B449" t="s">
        <v>7</v>
      </c>
      <c r="C449" s="1">
        <v>0.5</v>
      </c>
      <c r="G449" t="s">
        <v>112</v>
      </c>
      <c r="H449">
        <v>5000</v>
      </c>
    </row>
    <row r="450" spans="2:8" x14ac:dyDescent="0.2">
      <c r="B450" t="s">
        <v>10</v>
      </c>
      <c r="C450" s="1">
        <v>0.06</v>
      </c>
      <c r="G450" t="s">
        <v>113</v>
      </c>
      <c r="H450">
        <v>1000</v>
      </c>
    </row>
    <row r="451" spans="2:8" x14ac:dyDescent="0.2">
      <c r="B451" t="s">
        <v>1</v>
      </c>
      <c r="C451" s="1">
        <v>0.2</v>
      </c>
    </row>
    <row r="452" spans="2:8" x14ac:dyDescent="0.2">
      <c r="B452" t="s">
        <v>13</v>
      </c>
      <c r="C452" s="6">
        <f>C448-C450*C449*C451</f>
        <v>0.11399999999999999</v>
      </c>
      <c r="D452" t="s">
        <v>108</v>
      </c>
      <c r="E452" t="s">
        <v>95</v>
      </c>
      <c r="G452" t="s">
        <v>90</v>
      </c>
      <c r="H452">
        <f>H450-H446</f>
        <v>600</v>
      </c>
    </row>
    <row r="453" spans="2:8" x14ac:dyDescent="0.2">
      <c r="G453" t="s">
        <v>23</v>
      </c>
      <c r="H453">
        <f>H452/H447</f>
        <v>12</v>
      </c>
    </row>
    <row r="454" spans="2:8" x14ac:dyDescent="0.2">
      <c r="D454" t="s">
        <v>109</v>
      </c>
    </row>
    <row r="481" spans="2:6" x14ac:dyDescent="0.2">
      <c r="B481" t="s">
        <v>114</v>
      </c>
      <c r="C481">
        <v>1200</v>
      </c>
      <c r="E481" t="s">
        <v>120</v>
      </c>
      <c r="F481">
        <f>C487+C488</f>
        <v>6000</v>
      </c>
    </row>
    <row r="482" spans="2:6" x14ac:dyDescent="0.2">
      <c r="B482" t="s">
        <v>115</v>
      </c>
      <c r="C482">
        <v>600</v>
      </c>
    </row>
    <row r="483" spans="2:6" x14ac:dyDescent="0.2">
      <c r="E483" t="s">
        <v>121</v>
      </c>
      <c r="F483">
        <f>C482/F481</f>
        <v>0.1</v>
      </c>
    </row>
    <row r="484" spans="2:6" x14ac:dyDescent="0.2">
      <c r="B484" t="s">
        <v>116</v>
      </c>
      <c r="C484" s="19">
        <v>9000000</v>
      </c>
      <c r="E484" t="s">
        <v>122</v>
      </c>
      <c r="F484">
        <f>1-F483</f>
        <v>0.9</v>
      </c>
    </row>
    <row r="485" spans="2:6" x14ac:dyDescent="0.2">
      <c r="B485" t="s">
        <v>117</v>
      </c>
      <c r="C485" s="19">
        <v>500000</v>
      </c>
    </row>
    <row r="486" spans="2:6" x14ac:dyDescent="0.2">
      <c r="E486" t="s">
        <v>116</v>
      </c>
      <c r="F486" s="20">
        <f>C484/F484</f>
        <v>10000000</v>
      </c>
    </row>
    <row r="487" spans="2:6" x14ac:dyDescent="0.2">
      <c r="B487" t="s">
        <v>118</v>
      </c>
      <c r="C487">
        <v>5000</v>
      </c>
      <c r="E487" t="s">
        <v>123</v>
      </c>
      <c r="F487" s="20">
        <f>F486-C484</f>
        <v>1000000</v>
      </c>
    </row>
    <row r="488" spans="2:6" x14ac:dyDescent="0.2">
      <c r="B488" t="s">
        <v>119</v>
      </c>
      <c r="C488">
        <v>1000</v>
      </c>
    </row>
    <row r="489" spans="2:6" x14ac:dyDescent="0.2">
      <c r="E489" t="s">
        <v>124</v>
      </c>
      <c r="F489">
        <f>F487/C485</f>
        <v>2</v>
      </c>
    </row>
    <row r="505" spans="9:13" x14ac:dyDescent="0.2">
      <c r="J505">
        <v>2023</v>
      </c>
      <c r="K505">
        <v>2024</v>
      </c>
      <c r="L505">
        <v>2025</v>
      </c>
      <c r="M505">
        <v>2026</v>
      </c>
    </row>
    <row r="506" spans="9:13" x14ac:dyDescent="0.2">
      <c r="I506" t="s">
        <v>15</v>
      </c>
      <c r="J506">
        <v>200</v>
      </c>
      <c r="K506">
        <v>220</v>
      </c>
      <c r="L506">
        <v>240</v>
      </c>
      <c r="M506">
        <v>260</v>
      </c>
    </row>
    <row r="507" spans="9:13" x14ac:dyDescent="0.2">
      <c r="I507" t="s">
        <v>1</v>
      </c>
      <c r="J507" s="1">
        <v>0.1</v>
      </c>
      <c r="K507" s="1">
        <v>0.1</v>
      </c>
      <c r="L507" s="1">
        <v>0.1</v>
      </c>
      <c r="M507" s="1">
        <v>0.1</v>
      </c>
    </row>
    <row r="508" spans="9:13" x14ac:dyDescent="0.2">
      <c r="I508" t="s">
        <v>34</v>
      </c>
      <c r="J508">
        <v>700</v>
      </c>
      <c r="K508">
        <v>800</v>
      </c>
      <c r="L508">
        <v>1000</v>
      </c>
      <c r="M508">
        <v>950</v>
      </c>
    </row>
    <row r="509" spans="9:13" x14ac:dyDescent="0.2">
      <c r="I509" t="s">
        <v>60</v>
      </c>
      <c r="K509">
        <f>K508-J508</f>
        <v>100</v>
      </c>
      <c r="L509">
        <f t="shared" ref="L509:M509" si="0">L508-K508</f>
        <v>200</v>
      </c>
      <c r="M509">
        <f t="shared" si="0"/>
        <v>-50</v>
      </c>
    </row>
    <row r="510" spans="9:13" x14ac:dyDescent="0.2">
      <c r="I510" t="s">
        <v>61</v>
      </c>
      <c r="J510">
        <f>J506*(1-J507)</f>
        <v>180</v>
      </c>
      <c r="K510">
        <f t="shared" ref="K510:M510" si="1">K506*(1-K507)</f>
        <v>198</v>
      </c>
      <c r="L510">
        <f t="shared" si="1"/>
        <v>216</v>
      </c>
      <c r="M510">
        <f t="shared" si="1"/>
        <v>234</v>
      </c>
    </row>
    <row r="511" spans="9:13" x14ac:dyDescent="0.2">
      <c r="I511" t="s">
        <v>62</v>
      </c>
      <c r="K511">
        <f>K510-J510</f>
        <v>18</v>
      </c>
      <c r="L511">
        <f t="shared" ref="L511:M511" si="2">L510-K510</f>
        <v>18</v>
      </c>
      <c r="M511">
        <f t="shared" si="2"/>
        <v>18</v>
      </c>
    </row>
    <row r="512" spans="9:13" x14ac:dyDescent="0.2">
      <c r="I512" t="s">
        <v>84</v>
      </c>
      <c r="L512" s="4">
        <f>L511/K509</f>
        <v>0.18</v>
      </c>
      <c r="M512" s="4">
        <f>M511/L509</f>
        <v>0.09</v>
      </c>
    </row>
    <row r="564" spans="2:9" x14ac:dyDescent="0.2">
      <c r="B564" t="s">
        <v>61</v>
      </c>
      <c r="C564">
        <v>120</v>
      </c>
      <c r="E564" t="s">
        <v>88</v>
      </c>
      <c r="F564" s="8">
        <f>C565/C566</f>
        <v>0.33333333333333337</v>
      </c>
      <c r="H564" t="s">
        <v>129</v>
      </c>
      <c r="I564">
        <f>F569*0.4</f>
        <v>480</v>
      </c>
    </row>
    <row r="565" spans="2:9" x14ac:dyDescent="0.2">
      <c r="B565" t="s">
        <v>85</v>
      </c>
      <c r="C565" s="1">
        <v>0.04</v>
      </c>
      <c r="E565" t="s">
        <v>89</v>
      </c>
      <c r="F565">
        <f>C564*(1-F564)</f>
        <v>80</v>
      </c>
      <c r="H565" t="s">
        <v>130</v>
      </c>
      <c r="I565">
        <f>I564*(1-C571)</f>
        <v>432</v>
      </c>
    </row>
    <row r="566" spans="2:9" x14ac:dyDescent="0.2">
      <c r="B566" t="s">
        <v>84</v>
      </c>
      <c r="C566" s="1">
        <v>0.12</v>
      </c>
      <c r="E566" t="s">
        <v>37</v>
      </c>
      <c r="F566">
        <f>F565/(C568-C565)</f>
        <v>2000</v>
      </c>
    </row>
    <row r="567" spans="2:9" x14ac:dyDescent="0.2">
      <c r="B567" t="s">
        <v>110</v>
      </c>
      <c r="C567">
        <v>500</v>
      </c>
      <c r="H567" t="s">
        <v>129</v>
      </c>
      <c r="I567" s="16">
        <f>F569-I565</f>
        <v>768</v>
      </c>
    </row>
    <row r="568" spans="2:9" x14ac:dyDescent="0.2">
      <c r="B568" t="s">
        <v>13</v>
      </c>
      <c r="C568" s="1">
        <v>0.08</v>
      </c>
      <c r="E568" t="s">
        <v>90</v>
      </c>
      <c r="F568">
        <f>F566-C567</f>
        <v>1500</v>
      </c>
    </row>
    <row r="569" spans="2:9" x14ac:dyDescent="0.2">
      <c r="E569" t="s">
        <v>128</v>
      </c>
      <c r="F569">
        <f>F568*(1-C570)</f>
        <v>1200</v>
      </c>
    </row>
    <row r="570" spans="2:9" x14ac:dyDescent="0.2">
      <c r="B570" t="s">
        <v>126</v>
      </c>
      <c r="C570" s="1">
        <v>0.2</v>
      </c>
    </row>
    <row r="571" spans="2:9" x14ac:dyDescent="0.2">
      <c r="B571" t="s">
        <v>127</v>
      </c>
      <c r="C571" s="1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C983-5FB3-AA4F-8F4D-15E5286139A4}">
  <dimension ref="B3:S196"/>
  <sheetViews>
    <sheetView zoomScale="75" workbookViewId="0">
      <selection activeCell="K6" sqref="K6"/>
    </sheetView>
  </sheetViews>
  <sheetFormatPr baseColWidth="10" defaultRowHeight="16" x14ac:dyDescent="0.2"/>
  <cols>
    <col min="3" max="3" width="21" bestFit="1" customWidth="1"/>
    <col min="7" max="7" width="21" bestFit="1" customWidth="1"/>
    <col min="13" max="13" width="20.33203125" bestFit="1" customWidth="1"/>
  </cols>
  <sheetData>
    <row r="3" spans="10:14" x14ac:dyDescent="0.2">
      <c r="J3" t="s">
        <v>8</v>
      </c>
      <c r="K3" s="1">
        <v>0.05</v>
      </c>
      <c r="M3">
        <v>2</v>
      </c>
      <c r="N3">
        <f>K4</f>
        <v>100</v>
      </c>
    </row>
    <row r="4" spans="10:14" x14ac:dyDescent="0.2">
      <c r="J4" t="s">
        <v>131</v>
      </c>
      <c r="K4">
        <v>100</v>
      </c>
    </row>
    <row r="6" spans="10:14" x14ac:dyDescent="0.2">
      <c r="J6" t="s">
        <v>36</v>
      </c>
      <c r="K6">
        <f>N3*EXP(-K3*M3)</f>
        <v>90.483741803595947</v>
      </c>
    </row>
    <row r="17" spans="12:18" x14ac:dyDescent="0.2">
      <c r="L17" s="1">
        <v>0.12</v>
      </c>
    </row>
    <row r="19" spans="12:18" x14ac:dyDescent="0.2">
      <c r="L19" t="s">
        <v>132</v>
      </c>
      <c r="M19" s="14">
        <f>(1+L17)/L17</f>
        <v>9.3333333333333339</v>
      </c>
    </row>
    <row r="28" spans="12:18" x14ac:dyDescent="0.2">
      <c r="L28" t="s">
        <v>133</v>
      </c>
      <c r="M28" s="1">
        <v>0.98</v>
      </c>
      <c r="N28">
        <v>1</v>
      </c>
      <c r="O28" t="s">
        <v>138</v>
      </c>
      <c r="P28">
        <f>-LN(M28)/N28</f>
        <v>2.0202707317519466E-2</v>
      </c>
    </row>
    <row r="29" spans="12:18" x14ac:dyDescent="0.2">
      <c r="L29" t="s">
        <v>134</v>
      </c>
      <c r="M29" s="1">
        <v>0.95</v>
      </c>
      <c r="N29">
        <v>2</v>
      </c>
      <c r="P29">
        <f t="shared" ref="P29:P30" si="0">-LN(M29)/N29</f>
        <v>2.5646647193775289E-2</v>
      </c>
    </row>
    <row r="30" spans="12:18" x14ac:dyDescent="0.2">
      <c r="L30" t="s">
        <v>135</v>
      </c>
      <c r="M30" s="1">
        <v>0.92</v>
      </c>
      <c r="N30">
        <v>3</v>
      </c>
      <c r="P30">
        <f t="shared" si="0"/>
        <v>2.7793869646350337E-2</v>
      </c>
      <c r="R30">
        <f>(P30*N30-P29*N29)/(N30-N29)</f>
        <v>3.2088314551500435E-2</v>
      </c>
    </row>
    <row r="32" spans="12:18" x14ac:dyDescent="0.2">
      <c r="L32" t="s">
        <v>136</v>
      </c>
      <c r="M32" s="13">
        <f>(1-M29)/SUM(M28:M29)</f>
        <v>2.5906735751295359E-2</v>
      </c>
      <c r="N32" t="s">
        <v>137</v>
      </c>
    </row>
    <row r="39" spans="12:19" x14ac:dyDescent="0.2">
      <c r="L39" t="s">
        <v>133</v>
      </c>
      <c r="M39" s="1">
        <v>0.97</v>
      </c>
      <c r="N39">
        <v>1</v>
      </c>
      <c r="P39" t="s">
        <v>139</v>
      </c>
      <c r="Q39">
        <f>-LN(M39)/N39</f>
        <v>3.0459207484708574E-2</v>
      </c>
    </row>
    <row r="40" spans="12:19" x14ac:dyDescent="0.2">
      <c r="L40" t="s">
        <v>134</v>
      </c>
      <c r="M40" s="1">
        <v>0.93</v>
      </c>
      <c r="N40">
        <v>2</v>
      </c>
      <c r="P40" t="s">
        <v>140</v>
      </c>
      <c r="Q40">
        <f t="shared" ref="Q40:Q41" si="1">-LN(M40)/N40</f>
        <v>3.6285346417417687E-2</v>
      </c>
    </row>
    <row r="41" spans="12:19" x14ac:dyDescent="0.2">
      <c r="L41" t="s">
        <v>135</v>
      </c>
      <c r="M41" s="1">
        <v>0.89</v>
      </c>
      <c r="N41">
        <v>3</v>
      </c>
      <c r="P41" t="s">
        <v>141</v>
      </c>
      <c r="Q41">
        <f t="shared" si="1"/>
        <v>3.88446054186505E-2</v>
      </c>
      <c r="S41">
        <f>(Q41*N41-Q40*N40)/(N41-N40)</f>
        <v>4.3963123421116121E-2</v>
      </c>
    </row>
    <row r="43" spans="12:19" x14ac:dyDescent="0.2">
      <c r="L43" t="s">
        <v>136</v>
      </c>
      <c r="M43" s="13">
        <f>(1-M40)/SUM(M39:M40)</f>
        <v>3.684210526315787E-2</v>
      </c>
    </row>
    <row r="64" spans="7:8" x14ac:dyDescent="0.2">
      <c r="G64" t="s">
        <v>53</v>
      </c>
      <c r="H64">
        <v>2</v>
      </c>
    </row>
    <row r="66" spans="7:11" x14ac:dyDescent="0.2">
      <c r="G66" t="s">
        <v>142</v>
      </c>
      <c r="H66" t="s">
        <v>143</v>
      </c>
      <c r="I66" s="15" t="s">
        <v>144</v>
      </c>
      <c r="J66" t="s">
        <v>145</v>
      </c>
      <c r="K66" t="s">
        <v>146</v>
      </c>
    </row>
    <row r="68" spans="7:11" x14ac:dyDescent="0.2">
      <c r="J68" t="s">
        <v>147</v>
      </c>
    </row>
    <row r="102" spans="2:19" x14ac:dyDescent="0.2">
      <c r="B102" t="s">
        <v>148</v>
      </c>
      <c r="C102" s="1">
        <v>0.12</v>
      </c>
      <c r="F102" t="s">
        <v>1</v>
      </c>
      <c r="G102" t="s">
        <v>151</v>
      </c>
      <c r="H102" t="s">
        <v>152</v>
      </c>
      <c r="I102" t="s">
        <v>153</v>
      </c>
    </row>
    <row r="103" spans="2:19" x14ac:dyDescent="0.2">
      <c r="B103" t="s">
        <v>149</v>
      </c>
      <c r="C103" s="2">
        <f>C102+2%</f>
        <v>0.13999999999999999</v>
      </c>
      <c r="F103">
        <v>1</v>
      </c>
      <c r="G103">
        <f>$C$105*$C$104</f>
        <v>20</v>
      </c>
      <c r="H103">
        <f>G103*EXP(-$C$102*F103)</f>
        <v>17.73840873434315</v>
      </c>
      <c r="I103">
        <f>G103*EXP(-$C$103*F103)</f>
        <v>17.387164707976119</v>
      </c>
      <c r="J103">
        <f>H103-I103</f>
        <v>0.35124402636703067</v>
      </c>
    </row>
    <row r="104" spans="2:19" x14ac:dyDescent="0.2">
      <c r="B104" t="s">
        <v>150</v>
      </c>
      <c r="C104" s="1">
        <v>0.2</v>
      </c>
      <c r="F104">
        <v>2</v>
      </c>
      <c r="G104">
        <f t="shared" ref="G104" si="2">$C$105*$C$104</f>
        <v>20</v>
      </c>
      <c r="H104">
        <f t="shared" ref="H104:H105" si="3">G104*EXP(-$C$102*F104)</f>
        <v>15.732557221331069</v>
      </c>
      <c r="I104">
        <f t="shared" ref="I104:I105" si="4">G104*EXP(-$C$103*F104)</f>
        <v>15.115674829114509</v>
      </c>
      <c r="J104">
        <f t="shared" ref="J104:J105" si="5">H104-I104</f>
        <v>0.61688239221656005</v>
      </c>
    </row>
    <row r="105" spans="2:19" x14ac:dyDescent="0.2">
      <c r="B105" t="s">
        <v>131</v>
      </c>
      <c r="C105">
        <v>100</v>
      </c>
      <c r="F105">
        <v>3</v>
      </c>
      <c r="G105">
        <f>$C$105*$C$104+C105</f>
        <v>120</v>
      </c>
      <c r="H105">
        <f t="shared" si="3"/>
        <v>83.721159128523723</v>
      </c>
      <c r="I105">
        <f t="shared" si="4"/>
        <v>78.845618377806829</v>
      </c>
      <c r="J105">
        <f t="shared" si="5"/>
        <v>4.875540750716894</v>
      </c>
    </row>
    <row r="106" spans="2:19" x14ac:dyDescent="0.2">
      <c r="J106" s="16">
        <f>SUM(J103:J105)</f>
        <v>5.8436671693004847</v>
      </c>
    </row>
    <row r="111" spans="2:19" x14ac:dyDescent="0.2">
      <c r="M111" t="s">
        <v>133</v>
      </c>
      <c r="N111" s="1">
        <v>0.96</v>
      </c>
      <c r="P111" t="s">
        <v>53</v>
      </c>
      <c r="Q111" t="s">
        <v>35</v>
      </c>
      <c r="R111" t="s">
        <v>36</v>
      </c>
      <c r="S111" t="s">
        <v>154</v>
      </c>
    </row>
    <row r="112" spans="2:19" x14ac:dyDescent="0.2">
      <c r="M112" t="s">
        <v>134</v>
      </c>
      <c r="N112" s="1">
        <v>0.92</v>
      </c>
      <c r="P112">
        <v>1</v>
      </c>
      <c r="Q112">
        <f>$N$116*$N$115</f>
        <v>10</v>
      </c>
      <c r="R112">
        <f>Q112*N111</f>
        <v>9.6</v>
      </c>
      <c r="S112">
        <f>R112/$R$115</f>
        <v>8.4656084656084665E-2</v>
      </c>
    </row>
    <row r="113" spans="13:19" x14ac:dyDescent="0.2">
      <c r="M113" t="s">
        <v>135</v>
      </c>
      <c r="N113" s="1">
        <v>0.86</v>
      </c>
      <c r="P113">
        <v>2</v>
      </c>
      <c r="Q113">
        <f t="shared" ref="Q113" si="6">$N$116*$N$115</f>
        <v>10</v>
      </c>
      <c r="R113">
        <f t="shared" ref="R113:R114" si="7">Q113*N112</f>
        <v>9.2000000000000011</v>
      </c>
      <c r="S113">
        <f t="shared" ref="S113:S114" si="8">R113/$R$115</f>
        <v>8.1128747795414471E-2</v>
      </c>
    </row>
    <row r="114" spans="13:19" x14ac:dyDescent="0.2">
      <c r="P114">
        <v>3</v>
      </c>
      <c r="Q114">
        <f>$N$116*$N$115+N116</f>
        <v>110</v>
      </c>
      <c r="R114">
        <f t="shared" si="7"/>
        <v>94.6</v>
      </c>
      <c r="S114">
        <f t="shared" si="8"/>
        <v>0.83421516754850089</v>
      </c>
    </row>
    <row r="115" spans="13:19" x14ac:dyDescent="0.2">
      <c r="M115" t="s">
        <v>150</v>
      </c>
      <c r="N115" s="1">
        <v>0.1</v>
      </c>
      <c r="R115">
        <f>SUM(R112:R114)</f>
        <v>113.39999999999999</v>
      </c>
    </row>
    <row r="116" spans="13:19" x14ac:dyDescent="0.2">
      <c r="M116" t="s">
        <v>131</v>
      </c>
      <c r="N116">
        <v>100</v>
      </c>
    </row>
    <row r="118" spans="13:19" x14ac:dyDescent="0.2">
      <c r="M118" t="s">
        <v>110</v>
      </c>
      <c r="N118" s="16">
        <f>SUMPRODUCT(P112:P114,S112:S114)</f>
        <v>2.7495590828924166</v>
      </c>
    </row>
    <row r="154" spans="6:13" x14ac:dyDescent="0.2">
      <c r="F154" t="s">
        <v>133</v>
      </c>
      <c r="G154" s="1">
        <v>0.96</v>
      </c>
      <c r="H154">
        <v>1</v>
      </c>
      <c r="J154" t="s">
        <v>139</v>
      </c>
      <c r="K154">
        <f>-LN(G154)/H154</f>
        <v>4.0821994520255166E-2</v>
      </c>
    </row>
    <row r="155" spans="6:13" x14ac:dyDescent="0.2">
      <c r="F155" t="s">
        <v>134</v>
      </c>
      <c r="G155" s="1">
        <v>0.92</v>
      </c>
      <c r="H155">
        <v>2</v>
      </c>
      <c r="J155" t="s">
        <v>140</v>
      </c>
      <c r="K155">
        <f t="shared" ref="K155:K156" si="9">-LN(G155)/H155</f>
        <v>4.1690804469525507E-2</v>
      </c>
    </row>
    <row r="156" spans="6:13" x14ac:dyDescent="0.2">
      <c r="F156" t="s">
        <v>135</v>
      </c>
      <c r="G156" s="1">
        <v>0.86</v>
      </c>
      <c r="H156">
        <v>3</v>
      </c>
      <c r="J156" t="s">
        <v>141</v>
      </c>
      <c r="K156">
        <f t="shared" si="9"/>
        <v>5.0274296578194551E-2</v>
      </c>
      <c r="M156">
        <f>(K156*H156-K155*H155)/(H156-H155)</f>
        <v>6.7441280795532646E-2</v>
      </c>
    </row>
    <row r="158" spans="6:13" x14ac:dyDescent="0.2">
      <c r="F158" t="s">
        <v>136</v>
      </c>
      <c r="G158" s="2">
        <f>(1-G156)/SUM(G154:G156)</f>
        <v>5.1094890510948912E-2</v>
      </c>
    </row>
    <row r="160" spans="6:13" x14ac:dyDescent="0.2">
      <c r="F160" t="s">
        <v>155</v>
      </c>
      <c r="G160" s="6">
        <f>G156/G154</f>
        <v>0.89583333333333337</v>
      </c>
    </row>
    <row r="173" spans="11:12" x14ac:dyDescent="0.2">
      <c r="K173" s="1">
        <v>0.1</v>
      </c>
    </row>
    <row r="175" spans="11:12" x14ac:dyDescent="0.2">
      <c r="K175" t="s">
        <v>156</v>
      </c>
      <c r="L175" s="14">
        <f>(1+K173)/K173</f>
        <v>11</v>
      </c>
    </row>
    <row r="192" spans="2:3" x14ac:dyDescent="0.2">
      <c r="B192" t="s">
        <v>133</v>
      </c>
      <c r="C192" s="1">
        <v>0.95</v>
      </c>
    </row>
    <row r="193" spans="2:3" x14ac:dyDescent="0.2">
      <c r="B193" t="s">
        <v>134</v>
      </c>
      <c r="C193" s="1">
        <v>0.9</v>
      </c>
    </row>
    <row r="194" spans="2:3" x14ac:dyDescent="0.2">
      <c r="B194" t="s">
        <v>135</v>
      </c>
      <c r="C194" s="1">
        <v>0.85</v>
      </c>
    </row>
    <row r="196" spans="2:3" x14ac:dyDescent="0.2">
      <c r="B196" t="s">
        <v>136</v>
      </c>
      <c r="C196" s="2">
        <f>(1-C194)/SUM(C192:C194)</f>
        <v>5.5555555555555559E-2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27FC-0C56-434A-8E5C-DF196C65085F}">
  <dimension ref="B15:L238"/>
  <sheetViews>
    <sheetView topLeftCell="A100" zoomScale="90" workbookViewId="0">
      <selection activeCell="B236" sqref="B236"/>
    </sheetView>
  </sheetViews>
  <sheetFormatPr baseColWidth="10" defaultRowHeight="16" x14ac:dyDescent="0.2"/>
  <sheetData>
    <row r="15" spans="2:8" x14ac:dyDescent="0.2">
      <c r="F15" t="s">
        <v>1</v>
      </c>
      <c r="G15" t="s">
        <v>35</v>
      </c>
      <c r="H15" t="s">
        <v>36</v>
      </c>
    </row>
    <row r="16" spans="2:8" x14ac:dyDescent="0.2">
      <c r="B16" t="s">
        <v>88</v>
      </c>
      <c r="C16">
        <v>150</v>
      </c>
      <c r="F16">
        <v>1</v>
      </c>
      <c r="G16">
        <v>20</v>
      </c>
      <c r="H16">
        <f>G16/(1+$C$18)^F16</f>
        <v>18.18181818181818</v>
      </c>
    </row>
    <row r="17" spans="2:12" x14ac:dyDescent="0.2">
      <c r="B17" t="s">
        <v>157</v>
      </c>
      <c r="C17">
        <v>200</v>
      </c>
      <c r="F17">
        <v>2</v>
      </c>
      <c r="G17">
        <v>40</v>
      </c>
      <c r="H17">
        <f>G17/(1+$C$18)^F17</f>
        <v>33.057851239669418</v>
      </c>
    </row>
    <row r="18" spans="2:12" x14ac:dyDescent="0.2">
      <c r="B18" t="s">
        <v>0</v>
      </c>
      <c r="C18" s="1">
        <v>0.1</v>
      </c>
      <c r="H18">
        <f>SUM(H16:H17)</f>
        <v>51.239669421487598</v>
      </c>
    </row>
    <row r="20" spans="2:12" x14ac:dyDescent="0.2">
      <c r="B20" t="s">
        <v>158</v>
      </c>
      <c r="C20" s="16">
        <f>(C17-H18)-C16/(1+C18)^2</f>
        <v>24.793388429752085</v>
      </c>
    </row>
    <row r="26" spans="2:12" x14ac:dyDescent="0.2">
      <c r="H26" t="s">
        <v>110</v>
      </c>
      <c r="I26" t="s">
        <v>159</v>
      </c>
    </row>
    <row r="27" spans="2:12" x14ac:dyDescent="0.2">
      <c r="G27" t="s">
        <v>160</v>
      </c>
      <c r="H27">
        <v>4.5</v>
      </c>
      <c r="I27">
        <v>500</v>
      </c>
    </row>
    <row r="28" spans="2:12" x14ac:dyDescent="0.2">
      <c r="G28" t="s">
        <v>142</v>
      </c>
      <c r="H28">
        <v>1.5</v>
      </c>
      <c r="I28" t="s">
        <v>125</v>
      </c>
    </row>
    <row r="29" spans="2:12" x14ac:dyDescent="0.2">
      <c r="G29" s="21" t="s">
        <v>162</v>
      </c>
      <c r="H29" s="21">
        <v>0.5</v>
      </c>
      <c r="I29" s="22" t="s">
        <v>161</v>
      </c>
      <c r="K29" t="s">
        <v>125</v>
      </c>
      <c r="L29">
        <v>-1250</v>
      </c>
    </row>
    <row r="30" spans="2:12" x14ac:dyDescent="0.2">
      <c r="H30">
        <v>2</v>
      </c>
      <c r="I30">
        <v>500</v>
      </c>
    </row>
    <row r="32" spans="2:12" x14ac:dyDescent="0.2">
      <c r="J32" t="s">
        <v>163</v>
      </c>
      <c r="K32">
        <f>(H27*I27+H28*L29-L29*H29)/(I27+L29-L29)</f>
        <v>2</v>
      </c>
    </row>
    <row r="45" spans="6:11" x14ac:dyDescent="0.2">
      <c r="I45" t="s">
        <v>1</v>
      </c>
      <c r="J45" t="s">
        <v>35</v>
      </c>
      <c r="K45" t="s">
        <v>36</v>
      </c>
    </row>
    <row r="46" spans="6:11" x14ac:dyDescent="0.2">
      <c r="F46" t="s">
        <v>88</v>
      </c>
      <c r="G46">
        <v>100</v>
      </c>
      <c r="I46">
        <v>1</v>
      </c>
      <c r="J46">
        <f>5*2</f>
        <v>10</v>
      </c>
      <c r="K46">
        <f>J46/(1+$G$48)^I46</f>
        <v>9.3457943925233646</v>
      </c>
    </row>
    <row r="47" spans="6:11" x14ac:dyDescent="0.2">
      <c r="F47" t="s">
        <v>157</v>
      </c>
      <c r="G47">
        <v>100</v>
      </c>
      <c r="I47">
        <v>2</v>
      </c>
      <c r="J47">
        <f>J46*2</f>
        <v>20</v>
      </c>
      <c r="K47">
        <f>J47/(1+$G$48)^I47</f>
        <v>17.468774565464233</v>
      </c>
    </row>
    <row r="48" spans="6:11" x14ac:dyDescent="0.2">
      <c r="F48" t="s">
        <v>0</v>
      </c>
      <c r="G48" s="1">
        <v>7.0000000000000007E-2</v>
      </c>
      <c r="K48">
        <f>SUM(K46:K47)</f>
        <v>26.814568957987596</v>
      </c>
    </row>
    <row r="52" spans="6:7" x14ac:dyDescent="0.2">
      <c r="F52" t="s">
        <v>158</v>
      </c>
      <c r="G52">
        <f>G47-K48-(G46/(1+G48)^2)</f>
        <v>-14.158441785308767</v>
      </c>
    </row>
    <row r="77" spans="2:3" x14ac:dyDescent="0.2">
      <c r="B77" t="s">
        <v>145</v>
      </c>
      <c r="C77" t="s">
        <v>146</v>
      </c>
    </row>
    <row r="79" spans="2:3" x14ac:dyDescent="0.2">
      <c r="B79" t="s">
        <v>164</v>
      </c>
    </row>
    <row r="91" spans="2:7" x14ac:dyDescent="0.2">
      <c r="B91" t="s">
        <v>133</v>
      </c>
      <c r="C91" s="1">
        <v>0.93</v>
      </c>
      <c r="E91" t="s">
        <v>1</v>
      </c>
      <c r="F91" t="s">
        <v>35</v>
      </c>
      <c r="G91" t="s">
        <v>36</v>
      </c>
    </row>
    <row r="92" spans="2:7" x14ac:dyDescent="0.2">
      <c r="B92" t="s">
        <v>134</v>
      </c>
      <c r="C92" s="1">
        <v>0.86</v>
      </c>
      <c r="E92">
        <v>1</v>
      </c>
      <c r="F92">
        <f>$C$96*$C$95</f>
        <v>6</v>
      </c>
      <c r="G92">
        <f>F92*C91</f>
        <v>5.58</v>
      </c>
    </row>
    <row r="93" spans="2:7" x14ac:dyDescent="0.2">
      <c r="B93" t="s">
        <v>135</v>
      </c>
      <c r="C93" s="1">
        <v>0.81</v>
      </c>
      <c r="E93">
        <v>2</v>
      </c>
      <c r="F93">
        <f t="shared" ref="F93" si="0">$C$96*$C$95</f>
        <v>6</v>
      </c>
      <c r="G93">
        <f t="shared" ref="G93:G94" si="1">F93*C92</f>
        <v>5.16</v>
      </c>
    </row>
    <row r="94" spans="2:7" x14ac:dyDescent="0.2">
      <c r="E94">
        <v>3</v>
      </c>
      <c r="F94">
        <f>$C$96*$C$95+C95</f>
        <v>106</v>
      </c>
      <c r="G94">
        <f t="shared" si="1"/>
        <v>85.86</v>
      </c>
    </row>
    <row r="95" spans="2:7" x14ac:dyDescent="0.2">
      <c r="B95" t="s">
        <v>131</v>
      </c>
      <c r="C95">
        <v>100</v>
      </c>
      <c r="G95">
        <f>SUM(G92:G94)</f>
        <v>96.6</v>
      </c>
    </row>
    <row r="96" spans="2:7" x14ac:dyDescent="0.2">
      <c r="B96" t="s">
        <v>150</v>
      </c>
      <c r="C96" s="1">
        <v>0.06</v>
      </c>
    </row>
    <row r="98" spans="2:3" x14ac:dyDescent="0.2">
      <c r="B98" t="s">
        <v>158</v>
      </c>
      <c r="C98">
        <f>(G95-SUM(G92:G93))/C92</f>
        <v>99.837209302325576</v>
      </c>
    </row>
    <row r="109" spans="2:3" x14ac:dyDescent="0.2">
      <c r="B109" t="s">
        <v>53</v>
      </c>
      <c r="C109">
        <f>9/12</f>
        <v>0.75</v>
      </c>
    </row>
    <row r="110" spans="2:3" x14ac:dyDescent="0.2">
      <c r="B110" t="s">
        <v>165</v>
      </c>
      <c r="C110" s="1">
        <v>0.03</v>
      </c>
    </row>
    <row r="111" spans="2:3" x14ac:dyDescent="0.2">
      <c r="B111" t="s">
        <v>157</v>
      </c>
      <c r="C111">
        <v>500</v>
      </c>
    </row>
    <row r="112" spans="2:3" x14ac:dyDescent="0.2">
      <c r="B112" t="s">
        <v>166</v>
      </c>
      <c r="C112">
        <v>525</v>
      </c>
    </row>
    <row r="114" spans="2:3" x14ac:dyDescent="0.2">
      <c r="B114" t="s">
        <v>0</v>
      </c>
      <c r="C114" s="2">
        <v>9.5053551603506176E-2</v>
      </c>
    </row>
    <row r="116" spans="2:3" x14ac:dyDescent="0.2">
      <c r="B116" t="s">
        <v>166</v>
      </c>
      <c r="C116">
        <f>C111*EXP((C114-C110)*C109)</f>
        <v>524.99999975492869</v>
      </c>
    </row>
    <row r="128" spans="2:3" x14ac:dyDescent="0.2">
      <c r="B128" t="s">
        <v>167</v>
      </c>
      <c r="C128">
        <v>0.85</v>
      </c>
    </row>
    <row r="129" spans="2:3" x14ac:dyDescent="0.2">
      <c r="B129" t="s">
        <v>168</v>
      </c>
      <c r="C129">
        <v>0.95</v>
      </c>
    </row>
    <row r="130" spans="2:3" x14ac:dyDescent="0.2">
      <c r="B130" t="s">
        <v>169</v>
      </c>
      <c r="C130">
        <v>0.95</v>
      </c>
    </row>
    <row r="132" spans="2:3" x14ac:dyDescent="0.2">
      <c r="B132" t="s">
        <v>170</v>
      </c>
      <c r="C132">
        <f>C130*(C128/C129)</f>
        <v>0.85</v>
      </c>
    </row>
    <row r="158" spans="8:9" x14ac:dyDescent="0.2">
      <c r="H158" t="s">
        <v>53</v>
      </c>
      <c r="I158">
        <v>2</v>
      </c>
    </row>
    <row r="159" spans="8:9" x14ac:dyDescent="0.2">
      <c r="H159" t="s">
        <v>171</v>
      </c>
      <c r="I159">
        <v>100</v>
      </c>
    </row>
    <row r="160" spans="8:9" x14ac:dyDescent="0.2">
      <c r="H160" t="s">
        <v>157</v>
      </c>
      <c r="I160">
        <v>2000</v>
      </c>
    </row>
    <row r="161" spans="8:9" x14ac:dyDescent="0.2">
      <c r="H161" t="s">
        <v>0</v>
      </c>
      <c r="I161" s="1">
        <v>0.05</v>
      </c>
    </row>
    <row r="163" spans="8:9" x14ac:dyDescent="0.2">
      <c r="H163" t="s">
        <v>166</v>
      </c>
      <c r="I163" s="23">
        <f>(I160-I159)*EXP(I161*I158)</f>
        <v>2099.8247443437308</v>
      </c>
    </row>
    <row r="212" spans="2:3" x14ac:dyDescent="0.2">
      <c r="B212" t="s">
        <v>53</v>
      </c>
      <c r="C212">
        <f>6/12</f>
        <v>0.5</v>
      </c>
    </row>
    <row r="213" spans="2:3" x14ac:dyDescent="0.2">
      <c r="B213" t="s">
        <v>165</v>
      </c>
      <c r="C213" s="1">
        <v>0.06</v>
      </c>
    </row>
    <row r="214" spans="2:3" x14ac:dyDescent="0.2">
      <c r="B214" t="s">
        <v>157</v>
      </c>
      <c r="C214">
        <v>3000</v>
      </c>
    </row>
    <row r="215" spans="2:3" x14ac:dyDescent="0.2">
      <c r="B215" t="s">
        <v>8</v>
      </c>
      <c r="C215" s="1">
        <v>0.1</v>
      </c>
    </row>
    <row r="216" spans="2:3" x14ac:dyDescent="0.2">
      <c r="B216" t="s">
        <v>166</v>
      </c>
      <c r="C216">
        <v>3150</v>
      </c>
    </row>
    <row r="218" spans="2:3" x14ac:dyDescent="0.2">
      <c r="B218" t="s">
        <v>166</v>
      </c>
      <c r="C218">
        <f>C214*EXP((C215-C213)*C212)</f>
        <v>3060.6040200802672</v>
      </c>
    </row>
    <row r="220" spans="2:3" x14ac:dyDescent="0.2">
      <c r="B220" t="s">
        <v>145</v>
      </c>
    </row>
    <row r="221" spans="2:3" x14ac:dyDescent="0.2">
      <c r="B221" t="s">
        <v>142</v>
      </c>
      <c r="C221" t="s">
        <v>143</v>
      </c>
    </row>
    <row r="236" spans="2:3" x14ac:dyDescent="0.2">
      <c r="B236">
        <v>0</v>
      </c>
      <c r="C236" s="1"/>
    </row>
    <row r="237" spans="2:3" x14ac:dyDescent="0.2">
      <c r="C237" s="1"/>
    </row>
    <row r="238" spans="2:3" x14ac:dyDescent="0.2">
      <c r="C238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C57E-9404-904F-9B61-07243E986DA6}">
  <dimension ref="B4:I78"/>
  <sheetViews>
    <sheetView topLeftCell="A30" zoomScale="75" workbookViewId="0">
      <selection activeCell="C84" sqref="C84"/>
    </sheetView>
  </sheetViews>
  <sheetFormatPr baseColWidth="10" defaultRowHeight="16" x14ac:dyDescent="0.2"/>
  <cols>
    <col min="8" max="8" width="20.33203125" bestFit="1" customWidth="1"/>
  </cols>
  <sheetData>
    <row r="4" spans="7:9" x14ac:dyDescent="0.2">
      <c r="G4" t="s">
        <v>133</v>
      </c>
      <c r="H4" s="1">
        <v>0.94</v>
      </c>
    </row>
    <row r="5" spans="7:9" x14ac:dyDescent="0.2">
      <c r="G5" t="s">
        <v>134</v>
      </c>
      <c r="H5" s="1">
        <v>0.87</v>
      </c>
    </row>
    <row r="6" spans="7:9" x14ac:dyDescent="0.2">
      <c r="G6" t="s">
        <v>135</v>
      </c>
      <c r="H6" s="1">
        <v>0.82</v>
      </c>
    </row>
    <row r="8" spans="7:9" x14ac:dyDescent="0.2">
      <c r="G8" t="s">
        <v>53</v>
      </c>
      <c r="H8" s="1">
        <v>0.03</v>
      </c>
    </row>
    <row r="9" spans="7:9" x14ac:dyDescent="0.2">
      <c r="G9" t="s">
        <v>172</v>
      </c>
      <c r="H9" t="s">
        <v>173</v>
      </c>
    </row>
    <row r="11" spans="7:9" x14ac:dyDescent="0.2">
      <c r="G11" t="s">
        <v>174</v>
      </c>
      <c r="H11" s="1">
        <v>0.06</v>
      </c>
    </row>
    <row r="12" spans="7:9" x14ac:dyDescent="0.2">
      <c r="G12" t="s">
        <v>175</v>
      </c>
      <c r="H12" s="2">
        <f>(1-H5)/SUM(H4:H5)</f>
        <v>7.18232044198895E-2</v>
      </c>
    </row>
    <row r="13" spans="7:9" x14ac:dyDescent="0.2">
      <c r="H13" s="2">
        <f>H12-H11</f>
        <v>1.1823204419889502E-2</v>
      </c>
      <c r="I13" s="16">
        <f>H13*500</f>
        <v>5.9116022099447507</v>
      </c>
    </row>
    <row r="75" spans="2:7" x14ac:dyDescent="0.2">
      <c r="B75" s="2"/>
      <c r="C75" s="14" t="s">
        <v>1</v>
      </c>
      <c r="D75" t="s">
        <v>176</v>
      </c>
      <c r="E75" t="s">
        <v>177</v>
      </c>
      <c r="F75" t="s">
        <v>178</v>
      </c>
      <c r="G75" t="s">
        <v>36</v>
      </c>
    </row>
    <row r="76" spans="2:7" x14ac:dyDescent="0.2">
      <c r="C76">
        <v>1</v>
      </c>
      <c r="D76">
        <f>-10%*100</f>
        <v>-10</v>
      </c>
      <c r="E76">
        <f>8%*100</f>
        <v>8</v>
      </c>
      <c r="F76">
        <f>SUM(D76:E76)</f>
        <v>-2</v>
      </c>
      <c r="G76">
        <f>F76/(1+8%)^C76</f>
        <v>-1.8518518518518516</v>
      </c>
    </row>
    <row r="77" spans="2:7" x14ac:dyDescent="0.2">
      <c r="C77">
        <v>2</v>
      </c>
      <c r="D77">
        <f>-10%*100</f>
        <v>-10</v>
      </c>
      <c r="E77">
        <f>8%*100</f>
        <v>8</v>
      </c>
      <c r="F77">
        <f>SUM(D77:E77)</f>
        <v>-2</v>
      </c>
      <c r="G77">
        <f>F77/(1+8%)^C77</f>
        <v>-1.7146776406035664</v>
      </c>
    </row>
    <row r="78" spans="2:7" x14ac:dyDescent="0.2">
      <c r="G78" s="16">
        <f>SUM(G76:G77)</f>
        <v>-3.5665294924554178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9DFB-6539-064C-AFFE-3183583350F2}">
  <dimension ref="B20:N496"/>
  <sheetViews>
    <sheetView zoomScale="59" workbookViewId="0">
      <selection activeCell="P257" sqref="P257"/>
    </sheetView>
  </sheetViews>
  <sheetFormatPr baseColWidth="10" defaultRowHeight="16" x14ac:dyDescent="0.2"/>
  <sheetData>
    <row r="20" spans="2:10" x14ac:dyDescent="0.2">
      <c r="J20" t="s">
        <v>182</v>
      </c>
    </row>
    <row r="21" spans="2:10" x14ac:dyDescent="0.2">
      <c r="G21">
        <f>F22*$C$23</f>
        <v>400</v>
      </c>
    </row>
    <row r="22" spans="2:10" x14ac:dyDescent="0.2">
      <c r="B22" t="s">
        <v>157</v>
      </c>
      <c r="C22">
        <v>100</v>
      </c>
      <c r="F22">
        <f>E23*$C$23</f>
        <v>200</v>
      </c>
      <c r="G22" s="24">
        <f>MAX(G21-$C$25,0)</f>
        <v>300</v>
      </c>
      <c r="J22" s="16">
        <f>C32^2</f>
        <v>0.64000000000000012</v>
      </c>
    </row>
    <row r="23" spans="2:10" x14ac:dyDescent="0.2">
      <c r="B23" t="s">
        <v>179</v>
      </c>
      <c r="C23">
        <v>2</v>
      </c>
      <c r="E23">
        <f>C22</f>
        <v>100</v>
      </c>
      <c r="F23" s="24">
        <f>(G22*$C$29+G24*$C$30)*$C$28</f>
        <v>109.51625819640404</v>
      </c>
      <c r="G23">
        <f>F24*$C$23</f>
        <v>100</v>
      </c>
    </row>
    <row r="24" spans="2:10" x14ac:dyDescent="0.2">
      <c r="B24" t="s">
        <v>180</v>
      </c>
      <c r="C24">
        <v>0.5</v>
      </c>
      <c r="E24" s="24">
        <f>(F23*$C$29+F25*$C$30)*$C$28</f>
        <v>39.979369364471452</v>
      </c>
      <c r="F24">
        <f>E23*$C$24</f>
        <v>50</v>
      </c>
      <c r="G24" s="24">
        <f>MAX(G23-$C$25,0)</f>
        <v>0</v>
      </c>
      <c r="J24">
        <f>2*(1-C32)*C32</f>
        <v>0.31999999999999995</v>
      </c>
    </row>
    <row r="25" spans="2:10" x14ac:dyDescent="0.2">
      <c r="B25" t="s">
        <v>88</v>
      </c>
      <c r="C25">
        <v>100</v>
      </c>
      <c r="F25" s="24">
        <f>(G24*$C$29+G26*$C$30)*$C$28</f>
        <v>0</v>
      </c>
      <c r="G25">
        <f>F24*$C$24</f>
        <v>25</v>
      </c>
    </row>
    <row r="26" spans="2:10" x14ac:dyDescent="0.2">
      <c r="B26" t="s">
        <v>0</v>
      </c>
      <c r="C26" s="1">
        <v>0.1</v>
      </c>
      <c r="G26" s="24">
        <f>MAX(G25-$C$25,0)</f>
        <v>0</v>
      </c>
      <c r="J26">
        <f>(1-C32)^2</f>
        <v>3.999999999999998E-2</v>
      </c>
    </row>
    <row r="28" spans="2:10" x14ac:dyDescent="0.2">
      <c r="B28" t="s">
        <v>155</v>
      </c>
      <c r="C28">
        <f>EXP(-C26*1)</f>
        <v>0.90483741803595952</v>
      </c>
    </row>
    <row r="29" spans="2:10" x14ac:dyDescent="0.2">
      <c r="B29" t="s">
        <v>165</v>
      </c>
      <c r="C29">
        <f>((1/C28)-C24)/(C23-C24)</f>
        <v>0.40344727871709846</v>
      </c>
    </row>
    <row r="30" spans="2:10" x14ac:dyDescent="0.2">
      <c r="B30" t="s">
        <v>181</v>
      </c>
      <c r="C30">
        <f>1-C29</f>
        <v>0.5965527212829016</v>
      </c>
    </row>
    <row r="32" spans="2:10" x14ac:dyDescent="0.2">
      <c r="B32" t="s">
        <v>165</v>
      </c>
      <c r="C32" s="1">
        <v>0.8</v>
      </c>
    </row>
    <row r="71" spans="3:6" x14ac:dyDescent="0.2">
      <c r="C71" t="s">
        <v>8</v>
      </c>
      <c r="D71" s="1">
        <v>0.25</v>
      </c>
    </row>
    <row r="72" spans="3:6" x14ac:dyDescent="0.2">
      <c r="C72" t="s">
        <v>88</v>
      </c>
      <c r="D72">
        <v>120</v>
      </c>
      <c r="F72" t="s">
        <v>184</v>
      </c>
    </row>
    <row r="73" spans="3:6" x14ac:dyDescent="0.2">
      <c r="C73" t="s">
        <v>150</v>
      </c>
      <c r="D73">
        <v>42</v>
      </c>
    </row>
    <row r="74" spans="3:6" x14ac:dyDescent="0.2">
      <c r="C74" t="s">
        <v>183</v>
      </c>
      <c r="D74">
        <v>38</v>
      </c>
    </row>
    <row r="76" spans="3:6" x14ac:dyDescent="0.2">
      <c r="C76" t="s">
        <v>157</v>
      </c>
      <c r="D76">
        <f>D73+D72/(1+D71)^1-D74</f>
        <v>100</v>
      </c>
    </row>
    <row r="83" spans="12:12" x14ac:dyDescent="0.2">
      <c r="L83" t="s">
        <v>185</v>
      </c>
    </row>
    <row r="85" spans="12:12" x14ac:dyDescent="0.2">
      <c r="L85" t="s">
        <v>186</v>
      </c>
    </row>
    <row r="100" spans="12:14" x14ac:dyDescent="0.2">
      <c r="L100" t="s">
        <v>187</v>
      </c>
      <c r="M100" t="s">
        <v>189</v>
      </c>
      <c r="N100" t="s">
        <v>188</v>
      </c>
    </row>
    <row r="150" spans="2:3" x14ac:dyDescent="0.2">
      <c r="B150" t="s">
        <v>88</v>
      </c>
      <c r="C150">
        <v>200</v>
      </c>
    </row>
    <row r="151" spans="2:3" x14ac:dyDescent="0.2">
      <c r="B151" t="s">
        <v>150</v>
      </c>
      <c r="C151">
        <v>25</v>
      </c>
    </row>
    <row r="152" spans="2:3" x14ac:dyDescent="0.2">
      <c r="B152" t="s">
        <v>183</v>
      </c>
      <c r="C152">
        <v>15</v>
      </c>
    </row>
    <row r="153" spans="2:3" x14ac:dyDescent="0.2">
      <c r="B153" t="s">
        <v>155</v>
      </c>
      <c r="C153" s="2">
        <v>0.90910000000000002</v>
      </c>
    </row>
    <row r="155" spans="2:3" x14ac:dyDescent="0.2">
      <c r="B155" t="s">
        <v>157</v>
      </c>
      <c r="C155">
        <f>C151+C150*C153-C152</f>
        <v>191.82</v>
      </c>
    </row>
    <row r="157" spans="2:3" x14ac:dyDescent="0.2">
      <c r="B157" t="s">
        <v>166</v>
      </c>
      <c r="C157">
        <f>C155/C153</f>
        <v>210.99989000109997</v>
      </c>
    </row>
    <row r="171" spans="2:11" x14ac:dyDescent="0.2">
      <c r="B171" t="s">
        <v>157</v>
      </c>
      <c r="C171">
        <v>1000</v>
      </c>
    </row>
    <row r="172" spans="2:11" x14ac:dyDescent="0.2">
      <c r="B172" t="s">
        <v>1</v>
      </c>
      <c r="C172">
        <f>6/12</f>
        <v>0.5</v>
      </c>
      <c r="G172">
        <f>F173*$C$173</f>
        <v>1562.5</v>
      </c>
    </row>
    <row r="173" spans="2:11" x14ac:dyDescent="0.2">
      <c r="B173" t="s">
        <v>179</v>
      </c>
      <c r="C173">
        <v>1.25</v>
      </c>
      <c r="F173">
        <f>E174*$C$173</f>
        <v>1250</v>
      </c>
      <c r="G173" s="24">
        <f>MAX($C$171-G172,0)</f>
        <v>0</v>
      </c>
      <c r="K173">
        <v>0</v>
      </c>
    </row>
    <row r="174" spans="2:11" x14ac:dyDescent="0.2">
      <c r="B174" t="s">
        <v>180</v>
      </c>
      <c r="C174">
        <v>0.8</v>
      </c>
      <c r="E174">
        <f>C171</f>
        <v>1000</v>
      </c>
      <c r="F174" s="24">
        <f>(G173*$C$178+G175*$C$179)*$C$176</f>
        <v>0</v>
      </c>
      <c r="G174">
        <f>F175*$C$173</f>
        <v>1000</v>
      </c>
      <c r="J174">
        <v>0</v>
      </c>
    </row>
    <row r="175" spans="2:11" x14ac:dyDescent="0.2">
      <c r="B175" t="s">
        <v>8</v>
      </c>
      <c r="C175" s="1">
        <v>0.1</v>
      </c>
      <c r="E175" s="24">
        <f>(F174*$C$178+F176*$C$179)*$C$176</f>
        <v>63.528718985603184</v>
      </c>
      <c r="F175">
        <f>E174*$C$174</f>
        <v>800</v>
      </c>
      <c r="G175" s="24">
        <f>MAX($C$171-G174,0)</f>
        <v>0</v>
      </c>
      <c r="I175">
        <f>(F174-F176)/(F173-F175)</f>
        <v>-0.3360653877793644</v>
      </c>
      <c r="K175">
        <v>0</v>
      </c>
    </row>
    <row r="176" spans="2:11" x14ac:dyDescent="0.2">
      <c r="B176" t="s">
        <v>155</v>
      </c>
      <c r="C176">
        <f>EXP(-C175*C172)</f>
        <v>0.95122942450071402</v>
      </c>
      <c r="F176" s="24">
        <f>(G175*$C$178+G177*$C$179)*$C$176</f>
        <v>151.22942450071398</v>
      </c>
      <c r="G176">
        <f>F175*$C$174</f>
        <v>640</v>
      </c>
      <c r="J176">
        <f>(G175-G177)/(G174-G176)</f>
        <v>-1</v>
      </c>
    </row>
    <row r="177" spans="2:11" x14ac:dyDescent="0.2">
      <c r="G177" s="24">
        <f>MAX($C$171-G176,0)</f>
        <v>360</v>
      </c>
      <c r="K177">
        <v>1</v>
      </c>
    </row>
    <row r="178" spans="2:11" x14ac:dyDescent="0.2">
      <c r="B178" t="s">
        <v>165</v>
      </c>
      <c r="C178">
        <f>((1/C176)-C174)/(C173-C174)</f>
        <v>0.55838021416894246</v>
      </c>
      <c r="I178">
        <f>I175*1000</f>
        <v>-336.06538777936441</v>
      </c>
    </row>
    <row r="179" spans="2:11" x14ac:dyDescent="0.2">
      <c r="B179" t="s">
        <v>181</v>
      </c>
      <c r="C179">
        <f>1-C178</f>
        <v>0.44161978583105754</v>
      </c>
    </row>
    <row r="180" spans="2:11" x14ac:dyDescent="0.2">
      <c r="I180" t="s">
        <v>190</v>
      </c>
    </row>
    <row r="351" spans="11:12" x14ac:dyDescent="0.2">
      <c r="K351" t="s">
        <v>191</v>
      </c>
      <c r="L351" t="s">
        <v>192</v>
      </c>
    </row>
    <row r="352" spans="11:12" x14ac:dyDescent="0.2">
      <c r="L352" t="s">
        <v>193</v>
      </c>
    </row>
    <row r="390" spans="3:4" x14ac:dyDescent="0.2">
      <c r="C390" t="s">
        <v>194</v>
      </c>
      <c r="D390">
        <v>0.6</v>
      </c>
    </row>
    <row r="391" spans="3:4" x14ac:dyDescent="0.2">
      <c r="C391" t="s">
        <v>195</v>
      </c>
      <c r="D391">
        <f>D390-1</f>
        <v>-0.4</v>
      </c>
    </row>
    <row r="392" spans="3:4" x14ac:dyDescent="0.2">
      <c r="C392" t="s">
        <v>196</v>
      </c>
      <c r="D392">
        <v>1000</v>
      </c>
    </row>
    <row r="393" spans="3:4" x14ac:dyDescent="0.2">
      <c r="D393">
        <f>D391*D392</f>
        <v>-400</v>
      </c>
    </row>
    <row r="415" spans="3:9" x14ac:dyDescent="0.2">
      <c r="C415" t="s">
        <v>8</v>
      </c>
      <c r="D415" s="1">
        <v>0.25</v>
      </c>
      <c r="H415">
        <v>110</v>
      </c>
      <c r="I415">
        <v>120</v>
      </c>
    </row>
    <row r="416" spans="3:9" x14ac:dyDescent="0.2">
      <c r="G416" t="s">
        <v>150</v>
      </c>
      <c r="H416">
        <v>45</v>
      </c>
      <c r="I416">
        <v>42</v>
      </c>
    </row>
    <row r="417" spans="2:9" x14ac:dyDescent="0.2">
      <c r="C417" t="s">
        <v>157</v>
      </c>
      <c r="D417">
        <f>I416+I415/(1+D415)^1-I417</f>
        <v>100</v>
      </c>
      <c r="G417" t="s">
        <v>183</v>
      </c>
      <c r="I417">
        <v>38</v>
      </c>
    </row>
    <row r="429" spans="2:9" x14ac:dyDescent="0.2">
      <c r="B429" t="s">
        <v>197</v>
      </c>
      <c r="C429">
        <v>100</v>
      </c>
    </row>
    <row r="430" spans="2:9" x14ac:dyDescent="0.2">
      <c r="B430" t="s">
        <v>150</v>
      </c>
      <c r="C430">
        <v>15</v>
      </c>
    </row>
    <row r="431" spans="2:9" x14ac:dyDescent="0.2">
      <c r="B431" t="s">
        <v>183</v>
      </c>
      <c r="C431">
        <v>10</v>
      </c>
    </row>
    <row r="432" spans="2:9" x14ac:dyDescent="0.2">
      <c r="B432" t="s">
        <v>198</v>
      </c>
      <c r="C432" s="1">
        <v>0.8</v>
      </c>
    </row>
    <row r="434" spans="2:6" x14ac:dyDescent="0.2">
      <c r="B434" t="s">
        <v>157</v>
      </c>
      <c r="C434">
        <f>C430+C429*C432-C431</f>
        <v>85</v>
      </c>
    </row>
    <row r="435" spans="2:6" x14ac:dyDescent="0.2">
      <c r="B435" t="s">
        <v>166</v>
      </c>
      <c r="C435">
        <f>C434/C432</f>
        <v>106.25</v>
      </c>
    </row>
    <row r="446" spans="2:6" x14ac:dyDescent="0.2">
      <c r="B446" t="s">
        <v>199</v>
      </c>
      <c r="C446">
        <v>0.53100000000000003</v>
      </c>
      <c r="E446" t="s">
        <v>165</v>
      </c>
      <c r="F446">
        <v>0.55824222035323801</v>
      </c>
    </row>
    <row r="447" spans="2:6" x14ac:dyDescent="0.2">
      <c r="B447" t="s">
        <v>200</v>
      </c>
      <c r="C447">
        <v>0.42020000000000002</v>
      </c>
      <c r="E447" t="s">
        <v>199</v>
      </c>
      <c r="F447">
        <f>F446*C448</f>
        <v>0.53100000000000003</v>
      </c>
    </row>
    <row r="448" spans="2:6" x14ac:dyDescent="0.2">
      <c r="C448">
        <f>SUM(C446:C447)</f>
        <v>0.95120000000000005</v>
      </c>
    </row>
    <row r="461" spans="2:7" x14ac:dyDescent="0.2">
      <c r="B461" t="s">
        <v>157</v>
      </c>
      <c r="C461">
        <v>200</v>
      </c>
      <c r="F461">
        <v>190</v>
      </c>
      <c r="G461">
        <v>210</v>
      </c>
    </row>
    <row r="462" spans="2:7" x14ac:dyDescent="0.2">
      <c r="E462" t="s">
        <v>188</v>
      </c>
      <c r="F462">
        <v>0.46600000000000003</v>
      </c>
      <c r="G462">
        <v>0.51800000000000002</v>
      </c>
    </row>
    <row r="463" spans="2:7" x14ac:dyDescent="0.2">
      <c r="E463" t="s">
        <v>189</v>
      </c>
      <c r="F463">
        <v>2.5000000000000001E-2</v>
      </c>
      <c r="G463">
        <v>2.1000000000000001E-2</v>
      </c>
    </row>
    <row r="464" spans="2:7" x14ac:dyDescent="0.2">
      <c r="E464" t="s">
        <v>201</v>
      </c>
      <c r="F464">
        <v>0.27300000000000002</v>
      </c>
      <c r="G464">
        <v>0.29599999999999999</v>
      </c>
    </row>
    <row r="466" spans="2:3" x14ac:dyDescent="0.2">
      <c r="B466" t="s">
        <v>202</v>
      </c>
      <c r="C466">
        <v>2000</v>
      </c>
    </row>
    <row r="468" spans="2:3" x14ac:dyDescent="0.2">
      <c r="B468" t="s">
        <v>203</v>
      </c>
      <c r="C468">
        <f>C466*F462</f>
        <v>932</v>
      </c>
    </row>
    <row r="470" spans="2:3" x14ac:dyDescent="0.2">
      <c r="B470" t="s">
        <v>204</v>
      </c>
      <c r="C470">
        <f>C468/G462</f>
        <v>1799.2277992277991</v>
      </c>
    </row>
    <row r="481" spans="2:12" x14ac:dyDescent="0.2">
      <c r="B481" t="s">
        <v>157</v>
      </c>
      <c r="C481">
        <v>1000</v>
      </c>
    </row>
    <row r="482" spans="2:12" x14ac:dyDescent="0.2">
      <c r="B482" t="s">
        <v>205</v>
      </c>
      <c r="C482" s="2">
        <v>0.31559999999999999</v>
      </c>
    </row>
    <row r="483" spans="2:12" x14ac:dyDescent="0.2">
      <c r="B483" t="s">
        <v>8</v>
      </c>
      <c r="C483" s="1">
        <v>0.1</v>
      </c>
    </row>
    <row r="484" spans="2:12" x14ac:dyDescent="0.2">
      <c r="B484" t="s">
        <v>206</v>
      </c>
      <c r="C484">
        <f>0.5</f>
        <v>0.5</v>
      </c>
    </row>
    <row r="486" spans="2:12" x14ac:dyDescent="0.2">
      <c r="B486" t="s">
        <v>179</v>
      </c>
      <c r="C486">
        <f>EXP(C482*SQRT(C484))</f>
        <v>1.250024186269318</v>
      </c>
    </row>
    <row r="487" spans="2:12" x14ac:dyDescent="0.2">
      <c r="B487" t="s">
        <v>180</v>
      </c>
      <c r="C487">
        <f>1/C486</f>
        <v>0.79998452108713825</v>
      </c>
    </row>
    <row r="488" spans="2:12" x14ac:dyDescent="0.2">
      <c r="E488" t="s">
        <v>199</v>
      </c>
      <c r="F488">
        <f>C490*C489</f>
        <v>0.53113359308015762</v>
      </c>
    </row>
    <row r="489" spans="2:12" x14ac:dyDescent="0.2">
      <c r="B489" t="s">
        <v>155</v>
      </c>
      <c r="C489">
        <f>EXP(-C483*C484)</f>
        <v>0.95122942450071402</v>
      </c>
      <c r="E489" t="s">
        <v>200</v>
      </c>
      <c r="F489">
        <f>C491*C489</f>
        <v>0.4200958314205564</v>
      </c>
    </row>
    <row r="490" spans="2:12" x14ac:dyDescent="0.2">
      <c r="B490" t="s">
        <v>165</v>
      </c>
      <c r="C490">
        <f>((1/C489)-C487)/(C486-C487)</f>
        <v>0.5583653947195143</v>
      </c>
      <c r="F490">
        <f>SUM(F488:F489)</f>
        <v>0.95122942450071402</v>
      </c>
    </row>
    <row r="491" spans="2:12" x14ac:dyDescent="0.2">
      <c r="B491" t="s">
        <v>181</v>
      </c>
      <c r="C491">
        <f>1-C490</f>
        <v>0.4416346052804857</v>
      </c>
    </row>
    <row r="495" spans="2:12" x14ac:dyDescent="0.2">
      <c r="L495">
        <f>_xlfn.NORM.S.DIST(0.129,TRUE)</f>
        <v>0.55132117558549409</v>
      </c>
    </row>
    <row r="496" spans="2:12" x14ac:dyDescent="0.2">
      <c r="L496">
        <f>1-0.449</f>
        <v>0.55099999999999993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A759-091B-1147-ABDF-C7AAF11A7570}">
  <dimension ref="A1"/>
  <sheetViews>
    <sheetView zoomScale="125" workbookViewId="0">
      <selection activeCell="S62" sqref="S6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A86C-09E9-784E-8322-B144BACC0132}">
  <dimension ref="B57:T522"/>
  <sheetViews>
    <sheetView tabSelected="1" zoomScale="156" workbookViewId="0">
      <selection activeCell="J232" sqref="J232"/>
    </sheetView>
  </sheetViews>
  <sheetFormatPr baseColWidth="10" defaultRowHeight="16" x14ac:dyDescent="0.2"/>
  <sheetData>
    <row r="57" spans="12:20" x14ac:dyDescent="0.2">
      <c r="L57" t="s">
        <v>207</v>
      </c>
      <c r="M57">
        <v>3</v>
      </c>
      <c r="O57">
        <f>_xlfn.NORM.S.INV(99%)</f>
        <v>2.3263478740408408</v>
      </c>
      <c r="Q57" t="s">
        <v>210</v>
      </c>
      <c r="R57" s="1">
        <v>1.2895749743519798</v>
      </c>
      <c r="T57">
        <f>M60+R57*O57</f>
        <v>3</v>
      </c>
    </row>
    <row r="58" spans="12:20" x14ac:dyDescent="0.2">
      <c r="L58" t="s">
        <v>208</v>
      </c>
      <c r="O58">
        <f>_xlfn.NORM.S.INV(95%)</f>
        <v>1.6448536269514715</v>
      </c>
      <c r="Q58" t="s">
        <v>210</v>
      </c>
      <c r="R58" s="1">
        <v>1.2895749743519798</v>
      </c>
    </row>
    <row r="60" spans="12:20" x14ac:dyDescent="0.2">
      <c r="L60" t="s">
        <v>209</v>
      </c>
      <c r="M60">
        <v>0</v>
      </c>
    </row>
    <row r="62" spans="12:20" x14ac:dyDescent="0.2">
      <c r="N62" t="s">
        <v>212</v>
      </c>
    </row>
    <row r="63" spans="12:20" x14ac:dyDescent="0.2">
      <c r="L63" t="s">
        <v>211</v>
      </c>
      <c r="M63">
        <f>M60+R58*O58</f>
        <v>2.1211620737887049</v>
      </c>
      <c r="N63">
        <f>M63*SQRT(10)</f>
        <v>6.7077034395384532</v>
      </c>
    </row>
    <row r="101" spans="16:17" x14ac:dyDescent="0.2">
      <c r="P101" s="1">
        <v>0.02</v>
      </c>
      <c r="Q101">
        <v>-10</v>
      </c>
    </row>
    <row r="102" spans="16:17" x14ac:dyDescent="0.2">
      <c r="P102" s="1">
        <v>0.98</v>
      </c>
      <c r="Q102">
        <v>1</v>
      </c>
    </row>
    <row r="104" spans="16:17" x14ac:dyDescent="0.2">
      <c r="P104" t="s">
        <v>213</v>
      </c>
      <c r="Q104">
        <f>Q101</f>
        <v>-10</v>
      </c>
    </row>
    <row r="114" spans="16:19" x14ac:dyDescent="0.2">
      <c r="P114">
        <v>250</v>
      </c>
    </row>
    <row r="115" spans="16:19" x14ac:dyDescent="0.2">
      <c r="P115">
        <v>13</v>
      </c>
    </row>
    <row r="117" spans="16:19" x14ac:dyDescent="0.2">
      <c r="P117" t="s">
        <v>214</v>
      </c>
      <c r="Q117" s="5">
        <f>P115/P114</f>
        <v>5.1999999999999998E-2</v>
      </c>
      <c r="R117" t="s">
        <v>215</v>
      </c>
      <c r="S117" s="1">
        <v>0.05</v>
      </c>
    </row>
    <row r="119" spans="16:19" x14ac:dyDescent="0.2">
      <c r="P119" t="s">
        <v>216</v>
      </c>
    </row>
    <row r="198" spans="2:4" x14ac:dyDescent="0.2">
      <c r="B198">
        <v>-19</v>
      </c>
      <c r="C198">
        <v>-18</v>
      </c>
      <c r="D198">
        <v>-17</v>
      </c>
    </row>
    <row r="199" spans="2:4" x14ac:dyDescent="0.2">
      <c r="B199" s="2">
        <v>2.5000000000000001E-2</v>
      </c>
      <c r="C199" s="2">
        <v>2.5000000000000001E-2</v>
      </c>
      <c r="D199" s="2">
        <v>2.5000000000000001E-2</v>
      </c>
    </row>
    <row r="201" spans="2:4" x14ac:dyDescent="0.2">
      <c r="B201" t="s">
        <v>213</v>
      </c>
      <c r="C201">
        <f>(B199*B198+C199*C198)/5%</f>
        <v>-18.5</v>
      </c>
    </row>
    <row r="228" spans="9:10" x14ac:dyDescent="0.2">
      <c r="I228" s="1">
        <v>0.9</v>
      </c>
      <c r="J228">
        <v>5</v>
      </c>
    </row>
    <row r="229" spans="9:10" x14ac:dyDescent="0.2">
      <c r="I229" s="1">
        <v>0.09</v>
      </c>
      <c r="J229">
        <v>-5</v>
      </c>
    </row>
    <row r="230" spans="9:10" x14ac:dyDescent="0.2">
      <c r="I230" s="1">
        <v>0.01</v>
      </c>
      <c r="J230">
        <v>-20</v>
      </c>
    </row>
    <row r="232" spans="9:10" x14ac:dyDescent="0.2">
      <c r="I232" t="s">
        <v>213</v>
      </c>
      <c r="J232">
        <f>(I230*J230+(5%-I230)*J229)/5%</f>
        <v>-8</v>
      </c>
    </row>
    <row r="452" spans="12:14" x14ac:dyDescent="0.2">
      <c r="L452" s="1">
        <v>0.04</v>
      </c>
      <c r="M452">
        <v>-10</v>
      </c>
      <c r="N452" s="1">
        <v>0.04</v>
      </c>
    </row>
    <row r="453" spans="12:14" x14ac:dyDescent="0.2">
      <c r="L453" s="1">
        <v>0.96</v>
      </c>
      <c r="M453">
        <v>0</v>
      </c>
      <c r="N453" s="1">
        <v>0.01</v>
      </c>
    </row>
    <row r="455" spans="12:14" x14ac:dyDescent="0.2">
      <c r="L455" t="s">
        <v>213</v>
      </c>
      <c r="M455">
        <f>(L452*M452+N453*M453)/5%</f>
        <v>-8</v>
      </c>
    </row>
    <row r="518" spans="2:3" x14ac:dyDescent="0.2">
      <c r="B518" t="s">
        <v>217</v>
      </c>
      <c r="C518" s="1">
        <v>0.1</v>
      </c>
    </row>
    <row r="519" spans="2:3" x14ac:dyDescent="0.2">
      <c r="B519" t="s">
        <v>218</v>
      </c>
      <c r="C519" s="1">
        <v>0.2</v>
      </c>
    </row>
    <row r="521" spans="2:3" x14ac:dyDescent="0.2">
      <c r="B521" t="s">
        <v>219</v>
      </c>
      <c r="C521" s="1">
        <f>1-C518</f>
        <v>0.9</v>
      </c>
    </row>
    <row r="522" spans="2:3" x14ac:dyDescent="0.2">
      <c r="B522" t="s">
        <v>220</v>
      </c>
      <c r="C522" s="3">
        <f>C519/C521</f>
        <v>0.22222222222222224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ICF</vt:lpstr>
      <vt:lpstr>ABV</vt:lpstr>
      <vt:lpstr>Bonds</vt:lpstr>
      <vt:lpstr>Futures - Forwards</vt:lpstr>
      <vt:lpstr>Swap</vt:lpstr>
      <vt:lpstr>Option</vt:lpstr>
      <vt:lpstr>Investments</vt:lpstr>
      <vt:lpstr>Risk+Banking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Hollanda Tekla Andrea</dc:creator>
  <cp:lastModifiedBy>Bangani Mridul Kumar</cp:lastModifiedBy>
  <dcterms:created xsi:type="dcterms:W3CDTF">2025-01-19T12:29:59Z</dcterms:created>
  <dcterms:modified xsi:type="dcterms:W3CDTF">2025-06-14T22:47:28Z</dcterms:modified>
</cp:coreProperties>
</file>