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" documentId="13_ncr:1_{96CB9938-624D-4492-9A1F-8E6A0ECA031E}" xr6:coauthVersionLast="47" xr6:coauthVersionMax="47" xr10:uidLastSave="{4B1B5503-EC44-47EA-9ABE-4E5DBB2CCFD5}"/>
  <bookViews>
    <workbookView xWindow="28680" yWindow="-120" windowWidth="29040" windowHeight="15840" activeTab="1" xr2:uid="{00000000-000D-0000-FFFF-FFFF00000000}"/>
  </bookViews>
  <sheets>
    <sheet name="DCFs &amp; FS" sheetId="3" r:id="rId1"/>
    <sheet name="FSs" sheetId="11" r:id="rId2"/>
    <sheet name="CF and Ratios" sheetId="10" r:id="rId3"/>
    <sheet name="Value drivers" sheetId="6" r:id="rId4"/>
    <sheet name="Multiples" sheetId="5" r:id="rId5"/>
    <sheet name="Asset-based" sheetId="8" r:id="rId6"/>
    <sheet name="MandA" sheetId="9" r:id="rId7"/>
    <sheet name="Stakes" sheetId="12" r:id="rId8"/>
    <sheet name="rA estimation" sheetId="7" r:id="rId9"/>
  </sheets>
  <externalReferences>
    <externalReference r:id="rId10"/>
  </externalReferences>
  <calcPr calcId="191028" iterateCount="10000" iterateDelta="1E-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0" l="1"/>
  <c r="M16" i="10"/>
  <c r="N16" i="10"/>
  <c r="L28" i="10"/>
  <c r="L29" i="10" s="1"/>
  <c r="L27" i="10"/>
  <c r="M15" i="10"/>
  <c r="N15" i="10"/>
  <c r="L15" i="10"/>
  <c r="M10" i="10"/>
  <c r="M8" i="10"/>
  <c r="N8" i="10"/>
  <c r="L8" i="10"/>
  <c r="M7" i="10"/>
  <c r="N7" i="10"/>
  <c r="L7" i="10"/>
  <c r="M6" i="10"/>
  <c r="N6" i="10"/>
  <c r="L6" i="10"/>
  <c r="M5" i="10"/>
  <c r="N5" i="10"/>
  <c r="L5" i="10"/>
  <c r="N4" i="10"/>
  <c r="M4" i="10"/>
  <c r="N1" i="10"/>
  <c r="M1" i="10" s="1"/>
  <c r="L1" i="10" s="1"/>
  <c r="I3" i="10"/>
  <c r="H3" i="10"/>
  <c r="H18" i="10"/>
  <c r="H21" i="10"/>
  <c r="H19" i="10"/>
  <c r="I8" i="10"/>
  <c r="H8" i="10"/>
  <c r="I7" i="10"/>
  <c r="H7" i="10"/>
  <c r="I6" i="10"/>
  <c r="H6" i="10"/>
  <c r="I5" i="10"/>
  <c r="H5" i="10"/>
  <c r="I4" i="10"/>
  <c r="H4" i="10"/>
  <c r="E27" i="10"/>
  <c r="E30" i="10" s="1"/>
  <c r="D27" i="10"/>
  <c r="D30" i="10" s="1"/>
  <c r="C27" i="10"/>
  <c r="C30" i="10" s="1"/>
  <c r="E22" i="10"/>
  <c r="E24" i="10" s="1"/>
  <c r="D22" i="10"/>
  <c r="D24" i="10" s="1"/>
  <c r="C22" i="10"/>
  <c r="C24" i="10" s="1"/>
  <c r="E11" i="10"/>
  <c r="D11" i="10"/>
  <c r="C11" i="10"/>
  <c r="E7" i="10"/>
  <c r="D7" i="10"/>
  <c r="C7" i="10"/>
  <c r="E1" i="10"/>
  <c r="D1" i="10" s="1"/>
  <c r="C1" i="10" s="1"/>
  <c r="D12" i="10" l="1"/>
  <c r="D14" i="10" s="1"/>
  <c r="H9" i="10"/>
  <c r="L10" i="10"/>
  <c r="I9" i="10"/>
  <c r="N10" i="10"/>
  <c r="E12" i="10"/>
  <c r="C12" i="10"/>
  <c r="D32" i="10" l="1"/>
  <c r="D16" i="10"/>
  <c r="M12" i="10"/>
  <c r="M9" i="10"/>
  <c r="E14" i="10"/>
  <c r="E32" i="10"/>
  <c r="M3" i="10"/>
  <c r="M11" i="10" s="1"/>
  <c r="H22" i="10"/>
  <c r="H20" i="10"/>
  <c r="H2" i="10"/>
  <c r="H10" i="10" s="1"/>
  <c r="C14" i="10"/>
  <c r="C32" i="10"/>
  <c r="L3" i="10" s="1"/>
  <c r="L11" i="10" s="1"/>
  <c r="C16" i="10" l="1"/>
  <c r="L9" i="10"/>
  <c r="L12" i="10"/>
  <c r="E16" i="10"/>
  <c r="N9" i="10"/>
  <c r="N12" i="10"/>
  <c r="N3" i="10"/>
  <c r="N11" i="10" s="1"/>
  <c r="I2" i="10"/>
  <c r="I10" i="10" s="1"/>
  <c r="H11" i="10" l="1"/>
  <c r="I11" i="10"/>
  <c r="H12" i="10"/>
  <c r="H13" i="10"/>
  <c r="I13" i="10"/>
  <c r="H16" i="10"/>
  <c r="I16" i="10"/>
  <c r="I18" i="10"/>
  <c r="I19" i="10"/>
  <c r="I20" i="10" s="1"/>
  <c r="I21" i="10"/>
  <c r="I22" i="10" s="1"/>
  <c r="H25" i="10"/>
  <c r="I25" i="10"/>
  <c r="H26" i="10"/>
  <c r="I26" i="10"/>
  <c r="I9" i="3"/>
  <c r="I14" i="3"/>
  <c r="H14" i="3"/>
  <c r="O19" i="3"/>
  <c r="O20" i="3" s="1"/>
  <c r="P3" i="3" s="1"/>
  <c r="H17" i="10" l="1"/>
  <c r="H23" i="10" s="1"/>
  <c r="I17" i="10"/>
  <c r="I27" i="10" s="1"/>
  <c r="I23" i="10"/>
  <c r="H14" i="10"/>
  <c r="P19" i="3"/>
  <c r="H27" i="10" l="1"/>
  <c r="H15" i="10"/>
  <c r="H24" i="10" s="1"/>
  <c r="H30" i="10" s="1"/>
  <c r="H28" i="10"/>
  <c r="H29" i="10"/>
  <c r="P21" i="12" l="1"/>
  <c r="P20" i="12"/>
  <c r="I21" i="12"/>
  <c r="G5" i="12"/>
  <c r="G6" i="12"/>
  <c r="G7" i="12"/>
  <c r="G4" i="12"/>
  <c r="E4" i="12"/>
  <c r="E5" i="12"/>
  <c r="E6" i="12"/>
  <c r="E7" i="12"/>
  <c r="E3" i="12"/>
  <c r="H17" i="12"/>
  <c r="I18" i="12" s="1"/>
  <c r="F6" i="8"/>
  <c r="E19" i="12"/>
  <c r="E26" i="12"/>
  <c r="E24" i="12" s="1"/>
  <c r="E25" i="12" s="1"/>
  <c r="E28" i="12" s="1"/>
  <c r="E21" i="12"/>
  <c r="E22" i="12" s="1"/>
  <c r="E23" i="12" s="1"/>
  <c r="B22" i="12"/>
  <c r="B15" i="12"/>
  <c r="B18" i="12"/>
  <c r="B19" i="12" s="1"/>
  <c r="B20" i="12" s="1"/>
  <c r="P22" i="12" l="1"/>
  <c r="I19" i="12"/>
  <c r="H22" i="12" s="1"/>
  <c r="H23" i="12" s="1"/>
  <c r="H24" i="12" s="1"/>
  <c r="H2" i="12" s="1"/>
  <c r="I20" i="12"/>
  <c r="D10" i="11" l="1"/>
  <c r="E10" i="11" s="1"/>
  <c r="F10" i="11" s="1"/>
  <c r="G10" i="11" s="1"/>
  <c r="H10" i="11" s="1"/>
  <c r="I10" i="11" s="1"/>
  <c r="G37" i="11"/>
  <c r="H37" i="11" s="1"/>
  <c r="I37" i="11" s="1"/>
  <c r="G22" i="11"/>
  <c r="H22" i="11" s="1"/>
  <c r="I22" i="11" s="1"/>
  <c r="J19" i="11"/>
  <c r="G17" i="11"/>
  <c r="H17" i="11" s="1"/>
  <c r="I17" i="11" s="1"/>
  <c r="I23" i="11"/>
  <c r="I24" i="11" s="1"/>
  <c r="D39" i="11"/>
  <c r="E39" i="11"/>
  <c r="F39" i="11"/>
  <c r="G39" i="11"/>
  <c r="H39" i="11"/>
  <c r="I39" i="11"/>
  <c r="C39" i="11"/>
  <c r="I19" i="11"/>
  <c r="H43" i="11" s="1"/>
  <c r="D19" i="11"/>
  <c r="D25" i="11" s="1"/>
  <c r="E19" i="11"/>
  <c r="E25" i="11" s="1"/>
  <c r="F19" i="11"/>
  <c r="F25" i="11" s="1"/>
  <c r="G19" i="11"/>
  <c r="G25" i="11" s="1"/>
  <c r="H19" i="11"/>
  <c r="H25" i="11" s="1"/>
  <c r="H41" i="11" s="1"/>
  <c r="C19" i="11"/>
  <c r="C25" i="11" s="1"/>
  <c r="D23" i="11"/>
  <c r="D24" i="11" s="1"/>
  <c r="E23" i="11"/>
  <c r="E24" i="11" s="1"/>
  <c r="F23" i="11"/>
  <c r="F24" i="11" s="1"/>
  <c r="F26" i="11" s="1"/>
  <c r="F27" i="11" s="1"/>
  <c r="G23" i="11"/>
  <c r="G24" i="11" s="1"/>
  <c r="G26" i="11" s="1"/>
  <c r="G27" i="11" s="1"/>
  <c r="H23" i="11"/>
  <c r="H24" i="11" s="1"/>
  <c r="C23" i="11"/>
  <c r="C24" i="11" s="1"/>
  <c r="C18" i="11"/>
  <c r="D18" i="11" s="1"/>
  <c r="D2" i="11"/>
  <c r="E2" i="11" s="1"/>
  <c r="F2" i="11" s="1"/>
  <c r="G2" i="11" s="1"/>
  <c r="H2" i="11" s="1"/>
  <c r="I2" i="11" s="1"/>
  <c r="H22" i="3"/>
  <c r="I18" i="3"/>
  <c r="C18" i="3"/>
  <c r="D18" i="3"/>
  <c r="E18" i="3"/>
  <c r="F18" i="3"/>
  <c r="G18" i="3"/>
  <c r="H18" i="3"/>
  <c r="I4" i="3"/>
  <c r="H5" i="3" s="1"/>
  <c r="O7" i="3"/>
  <c r="I12" i="10"/>
  <c r="I14" i="10"/>
  <c r="I1" i="10"/>
  <c r="H1" i="10" s="1"/>
  <c r="D26" i="11" l="1"/>
  <c r="D27" i="11" s="1"/>
  <c r="E26" i="11"/>
  <c r="E27" i="11" s="1"/>
  <c r="H26" i="11"/>
  <c r="H27" i="11" s="1"/>
  <c r="H34" i="11" s="1"/>
  <c r="H15" i="11" s="1"/>
  <c r="I15" i="10"/>
  <c r="I24" i="10" s="1"/>
  <c r="I30" i="10" s="1"/>
  <c r="I28" i="10"/>
  <c r="I5" i="3"/>
  <c r="D20" i="11"/>
  <c r="E18" i="11"/>
  <c r="F18" i="11" s="1"/>
  <c r="G18" i="11" s="1"/>
  <c r="H18" i="11" s="1"/>
  <c r="I18" i="11" s="1"/>
  <c r="I25" i="11"/>
  <c r="I43" i="11"/>
  <c r="H38" i="11"/>
  <c r="H11" i="11" s="1"/>
  <c r="C41" i="11"/>
  <c r="C26" i="11"/>
  <c r="C27" i="11" s="1"/>
  <c r="C28" i="11" s="1"/>
  <c r="C34" i="11" l="1"/>
  <c r="I26" i="11"/>
  <c r="I27" i="11" s="1"/>
  <c r="I41" i="11"/>
  <c r="I20" i="11"/>
  <c r="J18" i="11"/>
  <c r="J20" i="11" s="1"/>
  <c r="H13" i="11"/>
  <c r="H40" i="11"/>
  <c r="C38" i="11"/>
  <c r="C11" i="11" s="1"/>
  <c r="C15" i="11"/>
  <c r="C20" i="11"/>
  <c r="C42" i="11"/>
  <c r="I31" i="11" l="1"/>
  <c r="I28" i="11"/>
  <c r="I30" i="11" s="1"/>
  <c r="I29" i="11" s="1"/>
  <c r="I34" i="11"/>
  <c r="C13" i="11"/>
  <c r="C40" i="11"/>
  <c r="E20" i="11"/>
  <c r="C31" i="11"/>
  <c r="D41" i="11"/>
  <c r="C43" i="11"/>
  <c r="I15" i="11" l="1"/>
  <c r="I38" i="11"/>
  <c r="I11" i="11" s="1"/>
  <c r="I42" i="11"/>
  <c r="I46" i="11"/>
  <c r="I33" i="11"/>
  <c r="I45" i="11"/>
  <c r="C44" i="11"/>
  <c r="I32" i="11"/>
  <c r="F20" i="11"/>
  <c r="D31" i="11"/>
  <c r="C30" i="11"/>
  <c r="C46" i="11" s="1"/>
  <c r="E41" i="11"/>
  <c r="D43" i="11"/>
  <c r="I12" i="11" l="1"/>
  <c r="I14" i="11"/>
  <c r="I40" i="11"/>
  <c r="I44" i="11" s="1"/>
  <c r="I47" i="11" s="1"/>
  <c r="I13" i="11"/>
  <c r="G20" i="11"/>
  <c r="C32" i="11"/>
  <c r="E31" i="11"/>
  <c r="E43" i="11"/>
  <c r="F41" i="11"/>
  <c r="H20" i="11"/>
  <c r="D34" i="11"/>
  <c r="C29" i="11"/>
  <c r="I29" i="10" l="1"/>
  <c r="D42" i="11"/>
  <c r="D38" i="11"/>
  <c r="D15" i="11"/>
  <c r="F34" i="11"/>
  <c r="D28" i="11"/>
  <c r="D30" i="11" s="1"/>
  <c r="G41" i="11"/>
  <c r="F43" i="11"/>
  <c r="G43" i="11"/>
  <c r="C45" i="11"/>
  <c r="C47" i="11" s="1"/>
  <c r="C33" i="11"/>
  <c r="E34" i="11"/>
  <c r="D11" i="11" l="1"/>
  <c r="D12" i="11"/>
  <c r="E42" i="11"/>
  <c r="E15" i="11"/>
  <c r="E38" i="11"/>
  <c r="E11" i="11" s="1"/>
  <c r="F42" i="11"/>
  <c r="F38" i="11"/>
  <c r="F11" i="11" s="1"/>
  <c r="F15" i="11"/>
  <c r="D40" i="11"/>
  <c r="D44" i="11" s="1"/>
  <c r="D13" i="11"/>
  <c r="D14" i="11"/>
  <c r="E28" i="11"/>
  <c r="E30" i="11" s="1"/>
  <c r="H31" i="11"/>
  <c r="F31" i="11"/>
  <c r="D46" i="11"/>
  <c r="D32" i="11"/>
  <c r="G31" i="11"/>
  <c r="H42" i="11"/>
  <c r="H44" i="11" s="1"/>
  <c r="G34" i="11"/>
  <c r="D29" i="11"/>
  <c r="F28" i="11"/>
  <c r="F30" i="11" l="1"/>
  <c r="G42" i="11"/>
  <c r="G15" i="11"/>
  <c r="G38" i="11"/>
  <c r="G11" i="11" s="1"/>
  <c r="E12" i="11"/>
  <c r="E14" i="11"/>
  <c r="E40" i="11"/>
  <c r="E44" i="11" s="1"/>
  <c r="E13" i="11"/>
  <c r="F40" i="11"/>
  <c r="F44" i="11" s="1"/>
  <c r="F12" i="11"/>
  <c r="F13" i="11"/>
  <c r="F14" i="11"/>
  <c r="G28" i="11"/>
  <c r="G30" i="11" s="1"/>
  <c r="H28" i="11"/>
  <c r="H30" i="11" s="1"/>
  <c r="F46" i="11"/>
  <c r="E46" i="11"/>
  <c r="E32" i="11"/>
  <c r="E29" i="11"/>
  <c r="D45" i="11"/>
  <c r="D47" i="11" s="1"/>
  <c r="D33" i="11"/>
  <c r="G40" i="11" l="1"/>
  <c r="G12" i="11"/>
  <c r="G14" i="11"/>
  <c r="G13" i="11"/>
  <c r="H14" i="11"/>
  <c r="H12" i="11"/>
  <c r="G44" i="11"/>
  <c r="E45" i="11"/>
  <c r="E47" i="11" s="1"/>
  <c r="E33" i="11"/>
  <c r="F29" i="11"/>
  <c r="H29" i="11"/>
  <c r="G29" i="11"/>
  <c r="F32" i="11"/>
  <c r="H33" i="11" l="1"/>
  <c r="H45" i="11"/>
  <c r="G33" i="11"/>
  <c r="G45" i="11"/>
  <c r="F33" i="11"/>
  <c r="F45" i="11"/>
  <c r="F47" i="11" s="1"/>
  <c r="G46" i="11"/>
  <c r="G32" i="11"/>
  <c r="H46" i="11"/>
  <c r="H32" i="11"/>
  <c r="G47" i="11" l="1"/>
  <c r="H47" i="11"/>
  <c r="C12" i="9" l="1"/>
  <c r="D17" i="9"/>
  <c r="D19" i="9" l="1"/>
  <c r="C13" i="9"/>
  <c r="F11" i="9"/>
  <c r="C14" i="9" l="1"/>
  <c r="F10" i="9"/>
  <c r="F12" i="9" s="1"/>
  <c r="D16" i="9" l="1"/>
  <c r="D18" i="9" l="1"/>
  <c r="D20" i="9" s="1"/>
  <c r="C21" i="9" s="1"/>
  <c r="C25" i="9"/>
  <c r="M37" i="5"/>
  <c r="M38" i="5" s="1"/>
  <c r="M39" i="5" s="1"/>
  <c r="I28" i="8"/>
  <c r="I29" i="8" s="1"/>
  <c r="I23" i="8"/>
  <c r="I24" i="8" s="1"/>
  <c r="I22" i="8"/>
  <c r="F21" i="8"/>
  <c r="C20" i="8"/>
  <c r="F5" i="8"/>
  <c r="C22" i="8"/>
  <c r="C23" i="8" s="1"/>
  <c r="F20" i="8"/>
  <c r="C26" i="9" l="1"/>
  <c r="C27" i="9"/>
  <c r="C28" i="9" s="1"/>
  <c r="C30" i="9" s="1"/>
  <c r="C31" i="9" s="1"/>
  <c r="K25" i="8"/>
  <c r="I26" i="8" s="1"/>
  <c r="F22" i="8"/>
  <c r="F23" i="8" s="1"/>
  <c r="F24" i="8" s="1"/>
  <c r="F25" i="8" s="1"/>
  <c r="F7" i="8"/>
  <c r="F8" i="8" s="1"/>
  <c r="I25" i="8"/>
  <c r="I30" i="8" l="1"/>
  <c r="I31" i="8" s="1"/>
  <c r="I32" i="8" s="1"/>
  <c r="G28" i="8" s="1"/>
  <c r="I33" i="8"/>
  <c r="I34" i="8" s="1"/>
  <c r="I35" i="8" s="1"/>
  <c r="I36" i="8" s="1"/>
  <c r="I37" i="8" s="1"/>
  <c r="B29" i="8" s="1"/>
  <c r="H26" i="5" l="1"/>
  <c r="D38" i="5" s="1"/>
  <c r="H21" i="5"/>
  <c r="D32" i="5" s="1"/>
  <c r="D35" i="5" s="1"/>
  <c r="F16" i="5"/>
  <c r="D16" i="5"/>
  <c r="E16" i="5"/>
  <c r="D40" i="5" l="1"/>
  <c r="D42" i="5" s="1"/>
  <c r="D39" i="5"/>
  <c r="D41" i="5" s="1"/>
  <c r="D33" i="5"/>
  <c r="D34" i="5" s="1"/>
  <c r="F34" i="5" s="1"/>
  <c r="D16" i="7"/>
  <c r="E18" i="7" s="1"/>
  <c r="E19" i="7" s="1"/>
  <c r="D20" i="7" s="1"/>
  <c r="F10" i="7"/>
  <c r="F11" i="7" s="1"/>
  <c r="F13" i="7" s="1"/>
  <c r="E10" i="7"/>
  <c r="D12" i="7"/>
  <c r="D13" i="7" s="1"/>
  <c r="E12" i="7"/>
  <c r="E13" i="7" s="1"/>
  <c r="F35" i="5" l="1"/>
  <c r="J19" i="6"/>
  <c r="Q23" i="6" s="1"/>
  <c r="H35" i="6"/>
  <c r="H33" i="6"/>
  <c r="G33" i="6"/>
  <c r="H34" i="6" s="1"/>
  <c r="P30" i="6"/>
  <c r="N23" i="6"/>
  <c r="M22" i="6"/>
  <c r="U22" i="6" s="1"/>
  <c r="L22" i="6"/>
  <c r="K22" i="6"/>
  <c r="S22" i="6" s="1"/>
  <c r="J22" i="6"/>
  <c r="R22" i="6" s="1"/>
  <c r="I22" i="6"/>
  <c r="M20" i="6"/>
  <c r="U20" i="6" s="1"/>
  <c r="L20" i="6"/>
  <c r="T20" i="6" s="1"/>
  <c r="K20" i="6"/>
  <c r="J20" i="6"/>
  <c r="R20" i="6" s="1"/>
  <c r="I20" i="6"/>
  <c r="Q20" i="6" s="1"/>
  <c r="M19" i="6"/>
  <c r="U23" i="6" s="1"/>
  <c r="L19" i="6"/>
  <c r="K19" i="6"/>
  <c r="E19" i="6"/>
  <c r="T17" i="6" s="1"/>
  <c r="D19" i="6"/>
  <c r="S17" i="6" s="1"/>
  <c r="C19" i="6"/>
  <c r="B19" i="6"/>
  <c r="M18" i="6"/>
  <c r="U21" i="6" s="1"/>
  <c r="L18" i="6"/>
  <c r="K18" i="6"/>
  <c r="J18" i="6"/>
  <c r="R21" i="6" s="1"/>
  <c r="I18" i="6"/>
  <c r="Q21" i="6" s="1"/>
  <c r="F18" i="6"/>
  <c r="R17" i="6"/>
  <c r="R18" i="6" s="1"/>
  <c r="Q17" i="6"/>
  <c r="Q18" i="6" s="1"/>
  <c r="Q19" i="6" s="1"/>
  <c r="M17" i="6"/>
  <c r="U26" i="6" s="1"/>
  <c r="U27" i="6" s="1"/>
  <c r="L17" i="6"/>
  <c r="K17" i="6"/>
  <c r="S26" i="6" s="1"/>
  <c r="S27" i="6" s="1"/>
  <c r="J17" i="6"/>
  <c r="R26" i="6" s="1"/>
  <c r="R27" i="6" s="1"/>
  <c r="I17" i="6"/>
  <c r="F17" i="6"/>
  <c r="K16" i="6"/>
  <c r="K21" i="6" s="1"/>
  <c r="T18" i="6" l="1"/>
  <c r="T19" i="6" s="1"/>
  <c r="T24" i="6" s="1"/>
  <c r="M16" i="6"/>
  <c r="M21" i="6" s="1"/>
  <c r="M23" i="6" s="1"/>
  <c r="F19" i="6"/>
  <c r="U17" i="6" s="1"/>
  <c r="L16" i="6"/>
  <c r="S23" i="6"/>
  <c r="T22" i="6"/>
  <c r="J16" i="6"/>
  <c r="C33" i="6" s="1"/>
  <c r="Q26" i="6"/>
  <c r="Q27" i="6" s="1"/>
  <c r="T21" i="6"/>
  <c r="T23" i="6"/>
  <c r="Q22" i="6"/>
  <c r="Q24" i="6" s="1"/>
  <c r="Q28" i="6" s="1"/>
  <c r="H38" i="6"/>
  <c r="S18" i="6"/>
  <c r="S19" i="6" s="1"/>
  <c r="S24" i="6" s="1"/>
  <c r="S28" i="6" s="1"/>
  <c r="L21" i="6"/>
  <c r="E33" i="6"/>
  <c r="K23" i="6"/>
  <c r="R23" i="6"/>
  <c r="T26" i="6"/>
  <c r="T27" i="6" s="1"/>
  <c r="D33" i="6"/>
  <c r="E34" i="6" s="1"/>
  <c r="S21" i="6"/>
  <c r="S20" i="6"/>
  <c r="R19" i="6"/>
  <c r="I16" i="6"/>
  <c r="J21" i="6" l="1"/>
  <c r="T28" i="6"/>
  <c r="F33" i="6"/>
  <c r="G34" i="6" s="1"/>
  <c r="F20" i="6"/>
  <c r="B33" i="6"/>
  <c r="I21" i="6"/>
  <c r="F34" i="6"/>
  <c r="D20" i="6"/>
  <c r="M24" i="6"/>
  <c r="D34" i="6"/>
  <c r="L23" i="6"/>
  <c r="K24" i="6"/>
  <c r="U32" i="6"/>
  <c r="U18" i="6"/>
  <c r="U19" i="6"/>
  <c r="U24" i="6" s="1"/>
  <c r="U28" i="6" s="1"/>
  <c r="R24" i="6"/>
  <c r="R28" i="6" s="1"/>
  <c r="J23" i="6"/>
  <c r="J24" i="6" s="1"/>
  <c r="B34" i="6" l="1"/>
  <c r="B38" i="6" s="1"/>
  <c r="C34" i="6"/>
  <c r="S32" i="6"/>
  <c r="E20" i="6"/>
  <c r="T32" i="6"/>
  <c r="I23" i="6"/>
  <c r="B20" i="6" s="1"/>
  <c r="U30" i="6"/>
  <c r="F21" i="6"/>
  <c r="N26" i="6"/>
  <c r="K26" i="6"/>
  <c r="C20" i="6"/>
  <c r="L24" i="6"/>
  <c r="S30" i="6"/>
  <c r="D21" i="6"/>
  <c r="R32" i="6"/>
  <c r="D22" i="6" l="1"/>
  <c r="L28" i="6" s="1"/>
  <c r="D23" i="6"/>
  <c r="L26" i="6"/>
  <c r="R30" i="6"/>
  <c r="C21" i="6"/>
  <c r="F22" i="6"/>
  <c r="N28" i="6" s="1"/>
  <c r="T30" i="6"/>
  <c r="E21" i="6"/>
  <c r="Q32" i="6"/>
  <c r="Q30" i="6"/>
  <c r="B21" i="6"/>
  <c r="M26" i="6"/>
  <c r="I24" i="6"/>
  <c r="C22" i="6" l="1"/>
  <c r="K28" i="6" s="1"/>
  <c r="C23" i="6"/>
  <c r="I46" i="6"/>
  <c r="J26" i="6"/>
  <c r="D47" i="6"/>
  <c r="D25" i="6"/>
  <c r="S36" i="6" s="1"/>
  <c r="U31" i="6"/>
  <c r="U33" i="6" s="1"/>
  <c r="U34" i="6" s="1"/>
  <c r="G35" i="6"/>
  <c r="G39" i="6" s="1"/>
  <c r="E22" i="6"/>
  <c r="M28" i="6" s="1"/>
  <c r="E23" i="6"/>
  <c r="S31" i="6"/>
  <c r="S33" i="6" s="1"/>
  <c r="S34" i="6" s="1"/>
  <c r="E35" i="6"/>
  <c r="B22" i="6"/>
  <c r="J28" i="6" s="1"/>
  <c r="B23" i="6"/>
  <c r="F23" i="6"/>
  <c r="L46" i="6" l="1"/>
  <c r="N46" i="6"/>
  <c r="C47" i="6"/>
  <c r="C25" i="6"/>
  <c r="C24" i="6" s="1"/>
  <c r="R31" i="6"/>
  <c r="R33" i="6" s="1"/>
  <c r="R34" i="6" s="1"/>
  <c r="D35" i="6"/>
  <c r="E47" i="6"/>
  <c r="E25" i="6"/>
  <c r="E24" i="6" s="1"/>
  <c r="T31" i="6"/>
  <c r="T33" i="6" s="1"/>
  <c r="T34" i="6" s="1"/>
  <c r="F35" i="6"/>
  <c r="D24" i="6"/>
  <c r="F47" i="6"/>
  <c r="F25" i="6"/>
  <c r="L27" i="6"/>
  <c r="B47" i="6"/>
  <c r="B25" i="6"/>
  <c r="Q36" i="6" s="1"/>
  <c r="Q31" i="6"/>
  <c r="Q33" i="6" s="1"/>
  <c r="Q34" i="6" s="1"/>
  <c r="C35" i="6"/>
  <c r="G38" i="6"/>
  <c r="G36" i="6"/>
  <c r="G40" i="6"/>
  <c r="H36" i="6"/>
  <c r="E40" i="6"/>
  <c r="E38" i="6"/>
  <c r="E36" i="6"/>
  <c r="E39" i="6"/>
  <c r="J46" i="6" l="1"/>
  <c r="L47" i="6" s="1"/>
  <c r="M46" i="6"/>
  <c r="K46" i="6"/>
  <c r="C40" i="6"/>
  <c r="C39" i="6"/>
  <c r="T35" i="6"/>
  <c r="T37" i="6" s="1"/>
  <c r="E46" i="6"/>
  <c r="H41" i="6"/>
  <c r="H37" i="6"/>
  <c r="G37" i="6"/>
  <c r="G41" i="6"/>
  <c r="E37" i="6"/>
  <c r="E41" i="6"/>
  <c r="U36" i="6"/>
  <c r="N27" i="6"/>
  <c r="C38" i="6"/>
  <c r="C36" i="6"/>
  <c r="C41" i="6" s="1"/>
  <c r="D40" i="6"/>
  <c r="D38" i="6"/>
  <c r="D36" i="6"/>
  <c r="D39" i="6"/>
  <c r="R35" i="6"/>
  <c r="R37" i="6" s="1"/>
  <c r="C46" i="6"/>
  <c r="F24" i="6"/>
  <c r="J27" i="6"/>
  <c r="S35" i="6"/>
  <c r="S37" i="6" s="1"/>
  <c r="D46" i="6"/>
  <c r="R36" i="6"/>
  <c r="K27" i="6"/>
  <c r="T36" i="6"/>
  <c r="M27" i="6"/>
  <c r="B24" i="6"/>
  <c r="F38" i="6"/>
  <c r="F36" i="6"/>
  <c r="F40" i="6"/>
  <c r="F39" i="6"/>
  <c r="D41" i="6" l="1"/>
  <c r="D37" i="6"/>
  <c r="F37" i="6"/>
  <c r="F41" i="6"/>
  <c r="Q35" i="6"/>
  <c r="Q37" i="6" s="1"/>
  <c r="B46" i="6"/>
  <c r="F46" i="6"/>
  <c r="U35" i="6"/>
  <c r="U37" i="6" s="1"/>
  <c r="O4" i="3" l="1"/>
  <c r="I19" i="3" l="1"/>
  <c r="C28" i="3" l="1"/>
  <c r="O8" i="3"/>
  <c r="O22" i="3" s="1"/>
  <c r="C24" i="3"/>
  <c r="C40" i="3" s="1"/>
  <c r="P20" i="3" l="1"/>
  <c r="C27" i="3"/>
  <c r="O5" i="3"/>
  <c r="C35" i="3" s="1"/>
  <c r="Q19" i="3" l="1"/>
  <c r="Q20" i="3" s="1"/>
  <c r="R19" i="3" s="1"/>
  <c r="P4" i="3"/>
  <c r="D28" i="3"/>
  <c r="P8" i="3" l="1"/>
  <c r="P22" i="3" s="1"/>
  <c r="D24" i="3"/>
  <c r="D40" i="3" s="1"/>
  <c r="O24" i="3"/>
  <c r="P5" i="3"/>
  <c r="D35" i="3" s="1"/>
  <c r="O14" i="3" l="1"/>
  <c r="O9" i="3" l="1"/>
  <c r="O10" i="3" s="1"/>
  <c r="O21" i="3"/>
  <c r="C13" i="3" s="1"/>
  <c r="Q3" i="3" l="1"/>
  <c r="O11" i="3"/>
  <c r="C34" i="3" s="1"/>
  <c r="O17" i="3"/>
  <c r="O23" i="3" l="1"/>
  <c r="O25" i="3" s="1"/>
  <c r="E28" i="3"/>
  <c r="Q4" i="3"/>
  <c r="Q5" i="3" s="1"/>
  <c r="P7" i="3"/>
  <c r="P9" i="3" s="1"/>
  <c r="P10" i="3" s="1"/>
  <c r="P17" i="3" s="1"/>
  <c r="D27" i="3"/>
  <c r="C17" i="3"/>
  <c r="O13" i="3"/>
  <c r="P23" i="3" l="1"/>
  <c r="E35" i="3"/>
  <c r="P14" i="3"/>
  <c r="E24" i="3"/>
  <c r="E40" i="3" s="1"/>
  <c r="Q8" i="3"/>
  <c r="Q22" i="3" s="1"/>
  <c r="P24" i="3"/>
  <c r="R3" i="3"/>
  <c r="R20" i="3" s="1"/>
  <c r="S19" i="3" s="1"/>
  <c r="P21" i="3"/>
  <c r="D13" i="3" s="1"/>
  <c r="C21" i="3"/>
  <c r="P11" i="3"/>
  <c r="D34" i="3" s="1"/>
  <c r="O15" i="3"/>
  <c r="O27" i="3"/>
  <c r="O12" i="3"/>
  <c r="P25" i="3" l="1"/>
  <c r="R4" i="3"/>
  <c r="R5" i="3" s="1"/>
  <c r="F28" i="3"/>
  <c r="D17" i="3"/>
  <c r="S3" i="3"/>
  <c r="E27" i="3"/>
  <c r="Q21" i="3"/>
  <c r="Q7" i="3"/>
  <c r="Q9" i="3" s="1"/>
  <c r="P13" i="3"/>
  <c r="P12" i="3" s="1"/>
  <c r="O16" i="3"/>
  <c r="O26" i="3"/>
  <c r="O28" i="3" s="1"/>
  <c r="S20" i="3" l="1"/>
  <c r="T3" i="3" s="1"/>
  <c r="G28" i="3"/>
  <c r="S4" i="3"/>
  <c r="S5" i="3" s="1"/>
  <c r="F35" i="3"/>
  <c r="Q14" i="3"/>
  <c r="F24" i="3"/>
  <c r="F40" i="3" s="1"/>
  <c r="R8" i="3"/>
  <c r="R22" i="3" s="1"/>
  <c r="Q24" i="3"/>
  <c r="D21" i="3"/>
  <c r="P15" i="3"/>
  <c r="Q10" i="3"/>
  <c r="Q17" i="3" s="1"/>
  <c r="Q23" i="3" s="1"/>
  <c r="P27" i="3"/>
  <c r="E13" i="3"/>
  <c r="F27" i="3"/>
  <c r="R7" i="3"/>
  <c r="R21" i="3"/>
  <c r="P16" i="3"/>
  <c r="P26" i="3"/>
  <c r="E17" i="3" l="1"/>
  <c r="Q25" i="3"/>
  <c r="P28" i="3"/>
  <c r="R9" i="3"/>
  <c r="R10" i="3" s="1"/>
  <c r="R17" i="3" s="1"/>
  <c r="R23" i="3" s="1"/>
  <c r="H28" i="3"/>
  <c r="G35" i="3"/>
  <c r="R14" i="3"/>
  <c r="S8" i="3"/>
  <c r="S22" i="3" s="1"/>
  <c r="G24" i="3"/>
  <c r="G40" i="3" s="1"/>
  <c r="R24" i="3"/>
  <c r="E21" i="3"/>
  <c r="Q11" i="3"/>
  <c r="E34" i="3" s="1"/>
  <c r="F13" i="3"/>
  <c r="G27" i="3"/>
  <c r="S7" i="3"/>
  <c r="F17" i="3" l="1"/>
  <c r="R25" i="3"/>
  <c r="S9" i="3"/>
  <c r="S10" i="3" s="1"/>
  <c r="S17" i="3" s="1"/>
  <c r="S23" i="3" s="1"/>
  <c r="R11" i="3"/>
  <c r="F34" i="3" s="1"/>
  <c r="Q13" i="3"/>
  <c r="Q12" i="3" s="1"/>
  <c r="F21" i="3"/>
  <c r="S21" i="3"/>
  <c r="G17" i="3" l="1"/>
  <c r="R13" i="3"/>
  <c r="R27" i="3" s="1"/>
  <c r="Q15" i="3"/>
  <c r="Q27" i="3"/>
  <c r="S11" i="3"/>
  <c r="G34" i="3" s="1"/>
  <c r="Q16" i="3"/>
  <c r="Q26" i="3"/>
  <c r="Q28" i="3" s="1"/>
  <c r="G13" i="3"/>
  <c r="R15" i="3" l="1"/>
  <c r="R12" i="3"/>
  <c r="R26" i="3" s="1"/>
  <c r="R28" i="3" s="1"/>
  <c r="R16" i="3" l="1"/>
  <c r="H29" i="3"/>
  <c r="H4" i="3" l="1"/>
  <c r="T19" i="3" l="1"/>
  <c r="T20" i="3" l="1"/>
  <c r="H27" i="3"/>
  <c r="H30" i="3" s="1"/>
  <c r="H31" i="3" s="1"/>
  <c r="T7" i="3"/>
  <c r="T21" i="3"/>
  <c r="H13" i="3" l="1"/>
  <c r="H15" i="3" s="1"/>
  <c r="T4" i="3" s="1"/>
  <c r="U19" i="3"/>
  <c r="U20" i="3" s="1"/>
  <c r="U21" i="3" s="1"/>
  <c r="U3" i="3"/>
  <c r="I28" i="3" l="1"/>
  <c r="I29" i="3" s="1"/>
  <c r="I13" i="3"/>
  <c r="I15" i="3" s="1"/>
  <c r="U4" i="3" s="1"/>
  <c r="T24" i="3" s="1"/>
  <c r="U7" i="3"/>
  <c r="I27" i="3"/>
  <c r="I30" i="3" l="1"/>
  <c r="I31" i="3" s="1"/>
  <c r="I32" i="3" s="1"/>
  <c r="U5" i="3"/>
  <c r="U8" i="3"/>
  <c r="U22" i="3" s="1"/>
  <c r="U9" i="3" l="1"/>
  <c r="U10" i="3" l="1"/>
  <c r="U17" i="3" s="1"/>
  <c r="U23" i="3" s="1"/>
  <c r="U11" i="3" l="1"/>
  <c r="H24" i="3"/>
  <c r="H40" i="3" s="1"/>
  <c r="T5" i="3"/>
  <c r="H35" i="3" s="1"/>
  <c r="H36" i="3" s="1"/>
  <c r="S24" i="3"/>
  <c r="S25" i="3" s="1"/>
  <c r="T8" i="3"/>
  <c r="T9" i="3" l="1"/>
  <c r="T22" i="3"/>
  <c r="S14" i="3"/>
  <c r="T10" i="3"/>
  <c r="T17" i="3" s="1"/>
  <c r="T14" i="3"/>
  <c r="G21" i="3"/>
  <c r="T23" i="3" l="1"/>
  <c r="T25" i="3"/>
  <c r="S13" i="3"/>
  <c r="H17" i="3"/>
  <c r="H19" i="3" s="1"/>
  <c r="G19" i="3" s="1"/>
  <c r="T11" i="3"/>
  <c r="S12" i="3" l="1"/>
  <c r="S27" i="3"/>
  <c r="S15" i="3"/>
  <c r="H21" i="3"/>
  <c r="H23" i="3" s="1"/>
  <c r="H34" i="3"/>
  <c r="H37" i="3" s="1"/>
  <c r="T13" i="3"/>
  <c r="T12" i="3" s="1"/>
  <c r="G9" i="3"/>
  <c r="F19" i="3"/>
  <c r="S16" i="3" l="1"/>
  <c r="S26" i="3"/>
  <c r="S28" i="3" s="1"/>
  <c r="T16" i="3"/>
  <c r="T26" i="3"/>
  <c r="F9" i="3"/>
  <c r="E19" i="3"/>
  <c r="G14" i="3"/>
  <c r="G22" i="3"/>
  <c r="G36" i="3" s="1"/>
  <c r="G37" i="3" s="1"/>
  <c r="G38" i="3" s="1"/>
  <c r="G39" i="3" s="1"/>
  <c r="G41" i="3" s="1"/>
  <c r="T27" i="3"/>
  <c r="T15" i="3"/>
  <c r="H38" i="3"/>
  <c r="H39" i="3" s="1"/>
  <c r="H41" i="3" s="1"/>
  <c r="H25" i="3"/>
  <c r="T28" i="3" l="1"/>
  <c r="G29" i="3"/>
  <c r="G30" i="3" s="1"/>
  <c r="G15" i="3"/>
  <c r="H32" i="3"/>
  <c r="D19" i="3"/>
  <c r="E9" i="3"/>
  <c r="G23" i="3"/>
  <c r="F14" i="3"/>
  <c r="F29" i="3" s="1"/>
  <c r="F30" i="3" s="1"/>
  <c r="F22" i="3"/>
  <c r="F36" i="3" s="1"/>
  <c r="F37" i="3" s="1"/>
  <c r="F38" i="3" s="1"/>
  <c r="F39" i="3" s="1"/>
  <c r="F41" i="3" s="1"/>
  <c r="F23" i="3" l="1"/>
  <c r="G25" i="3"/>
  <c r="C19" i="3"/>
  <c r="C9" i="3" s="1"/>
  <c r="D9" i="3"/>
  <c r="G31" i="3"/>
  <c r="G32" i="3" s="1"/>
  <c r="E22" i="3"/>
  <c r="E36" i="3" s="1"/>
  <c r="E38" i="3" s="1"/>
  <c r="E39" i="3" s="1"/>
  <c r="E41" i="3" s="1"/>
  <c r="E14" i="3"/>
  <c r="E29" i="3" s="1"/>
  <c r="E30" i="3" s="1"/>
  <c r="F15" i="3"/>
  <c r="F31" i="3" l="1"/>
  <c r="F32" i="3" s="1"/>
  <c r="D22" i="3"/>
  <c r="D36" i="3" s="1"/>
  <c r="D37" i="3" s="1"/>
  <c r="D38" i="3" s="1"/>
  <c r="D39" i="3" s="1"/>
  <c r="D41" i="3" s="1"/>
  <c r="D14" i="3"/>
  <c r="D29" i="3" s="1"/>
  <c r="D30" i="3" s="1"/>
  <c r="C22" i="3"/>
  <c r="C36" i="3" s="1"/>
  <c r="C37" i="3" s="1"/>
  <c r="C14" i="3"/>
  <c r="C29" i="3" s="1"/>
  <c r="C30" i="3" s="1"/>
  <c r="E15" i="3"/>
  <c r="D15" i="3" s="1"/>
  <c r="F25" i="3"/>
  <c r="E23" i="3"/>
  <c r="E31" i="3" l="1"/>
  <c r="E32" i="3" s="1"/>
  <c r="C15" i="3"/>
  <c r="C38" i="3"/>
  <c r="C39" i="3" s="1"/>
  <c r="C41" i="3" s="1"/>
  <c r="D23" i="3"/>
  <c r="E25" i="3"/>
  <c r="D31" i="3" l="1"/>
  <c r="D25" i="3"/>
  <c r="C23" i="3"/>
  <c r="C25" i="3" s="1"/>
  <c r="D32" i="3" l="1"/>
  <c r="C31" i="3"/>
  <c r="C32" i="3" s="1"/>
  <c r="E29" i="12"/>
</calcChain>
</file>

<file path=xl/sharedStrings.xml><?xml version="1.0" encoding="utf-8"?>
<sst xmlns="http://schemas.openxmlformats.org/spreadsheetml/2006/main" count="749" uniqueCount="552">
  <si>
    <t>TV</t>
  </si>
  <si>
    <t>BS</t>
  </si>
  <si>
    <r>
      <t>ROICt = NOPLAT</t>
    </r>
    <r>
      <rPr>
        <sz val="8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/ IC</t>
    </r>
    <r>
      <rPr>
        <sz val="8"/>
        <color theme="1"/>
        <rFont val="Times New Roman"/>
        <family val="1"/>
        <charset val="204"/>
      </rPr>
      <t>t boy</t>
    </r>
  </si>
  <si>
    <t>ROIC</t>
  </si>
  <si>
    <t>IC boy</t>
  </si>
  <si>
    <r>
      <t>RONICt = (NOPLAT</t>
    </r>
    <r>
      <rPr>
        <sz val="8"/>
        <color theme="1"/>
        <rFont val="Times New Roman"/>
        <family val="1"/>
        <charset val="204"/>
      </rPr>
      <t xml:space="preserve">t </t>
    </r>
    <r>
      <rPr>
        <sz val="12"/>
        <color theme="1"/>
        <rFont val="Times New Roman"/>
        <family val="1"/>
        <charset val="204"/>
      </rPr>
      <t>- NOPLAT</t>
    </r>
    <r>
      <rPr>
        <sz val="8"/>
        <color theme="1"/>
        <rFont val="Times New Roman"/>
        <family val="1"/>
        <charset val="204"/>
      </rPr>
      <t>t-1</t>
    </r>
    <r>
      <rPr>
        <sz val="12"/>
        <color theme="1"/>
        <rFont val="Times New Roman"/>
        <family val="1"/>
        <charset val="204"/>
      </rPr>
      <t>)/ dIC</t>
    </r>
    <r>
      <rPr>
        <sz val="8"/>
        <color theme="1"/>
        <rFont val="Times New Roman"/>
        <family val="1"/>
        <charset val="204"/>
      </rPr>
      <t>t-1</t>
    </r>
  </si>
  <si>
    <t>RONIC</t>
  </si>
  <si>
    <t>Debt boy</t>
  </si>
  <si>
    <r>
      <t>Kt = dIC</t>
    </r>
    <r>
      <rPr>
        <sz val="8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/ NOPLAT</t>
    </r>
    <r>
      <rPr>
        <sz val="8"/>
        <color theme="1"/>
        <rFont val="Times New Roman"/>
        <family val="1"/>
        <charset val="204"/>
      </rPr>
      <t xml:space="preserve">t </t>
    </r>
  </si>
  <si>
    <t>K</t>
  </si>
  <si>
    <t>Equity boy</t>
  </si>
  <si>
    <r>
      <t>r</t>
    </r>
    <r>
      <rPr>
        <vertAlign val="subscript"/>
        <sz val="12"/>
        <rFont val="Times New Roman"/>
        <family val="1"/>
        <charset val="204"/>
      </rPr>
      <t>A</t>
    </r>
  </si>
  <si>
    <t>P/L</t>
  </si>
  <si>
    <r>
      <t>r</t>
    </r>
    <r>
      <rPr>
        <vertAlign val="subscript"/>
        <sz val="12"/>
        <rFont val="Times New Roman"/>
        <family val="1"/>
        <charset val="204"/>
      </rPr>
      <t>D</t>
    </r>
  </si>
  <si>
    <t>EBIT=Noplat/(1-t)</t>
  </si>
  <si>
    <t>t (effective)</t>
  </si>
  <si>
    <t>t</t>
  </si>
  <si>
    <t>Interest payment</t>
  </si>
  <si>
    <t>D/V</t>
  </si>
  <si>
    <t>Profit before tax</t>
  </si>
  <si>
    <r>
      <t>gt = (NOPLAT</t>
    </r>
    <r>
      <rPr>
        <sz val="8"/>
        <color theme="1"/>
        <rFont val="Times New Roman"/>
        <family val="1"/>
        <charset val="204"/>
      </rPr>
      <t xml:space="preserve">t </t>
    </r>
    <r>
      <rPr>
        <sz val="12"/>
        <color theme="1"/>
        <rFont val="Times New Roman"/>
        <family val="1"/>
        <charset val="204"/>
      </rPr>
      <t>- NOPLAT</t>
    </r>
    <r>
      <rPr>
        <sz val="8"/>
        <color theme="1"/>
        <rFont val="Times New Roman"/>
        <family val="1"/>
        <charset val="204"/>
      </rPr>
      <t>t-1</t>
    </r>
    <r>
      <rPr>
        <sz val="12"/>
        <color theme="1"/>
        <rFont val="Times New Roman"/>
        <family val="1"/>
        <charset val="204"/>
      </rPr>
      <t>)/NOPLAT</t>
    </r>
    <r>
      <rPr>
        <sz val="8"/>
        <color theme="1"/>
        <rFont val="Times New Roman"/>
        <family val="1"/>
        <charset val="204"/>
      </rPr>
      <t>t-1</t>
    </r>
  </si>
  <si>
    <t>g</t>
  </si>
  <si>
    <t>Corporate tax</t>
  </si>
  <si>
    <t>D/IC</t>
  </si>
  <si>
    <t>Profit after tax</t>
  </si>
  <si>
    <t>FCFF</t>
  </si>
  <si>
    <t>Dividend</t>
  </si>
  <si>
    <t>RE</t>
  </si>
  <si>
    <t>WACC</t>
  </si>
  <si>
    <t>d Equity required</t>
  </si>
  <si>
    <t>V boy</t>
  </si>
  <si>
    <t>Issue/buyback of equity</t>
  </si>
  <si>
    <t>APV</t>
  </si>
  <si>
    <t>Div payoff ratio</t>
  </si>
  <si>
    <t>FCFF+TS</t>
  </si>
  <si>
    <t>effective tax rate</t>
  </si>
  <si>
    <t>rA</t>
  </si>
  <si>
    <t>CF</t>
  </si>
  <si>
    <t>Noplat</t>
  </si>
  <si>
    <t>FCFE</t>
  </si>
  <si>
    <t xml:space="preserve">d IC = Kt * NOPLATt </t>
  </si>
  <si>
    <t>d IC</t>
  </si>
  <si>
    <r>
      <t>r</t>
    </r>
    <r>
      <rPr>
        <sz val="10"/>
        <rFont val="Times New Roman"/>
        <family val="1"/>
        <charset val="204"/>
      </rPr>
      <t>E</t>
    </r>
    <r>
      <rPr>
        <sz val="12"/>
        <rFont val="Times New Roman"/>
        <family val="1"/>
        <charset val="204"/>
      </rPr>
      <t>=(r</t>
    </r>
    <r>
      <rPr>
        <sz val="10"/>
        <rFont val="Times New Roman"/>
        <family val="1"/>
        <charset val="204"/>
      </rPr>
      <t>A</t>
    </r>
    <r>
      <rPr>
        <sz val="12"/>
        <rFont val="Times New Roman"/>
        <family val="1"/>
        <charset val="204"/>
      </rPr>
      <t>-D/V*r</t>
    </r>
    <r>
      <rPr>
        <sz val="10"/>
        <rFont val="Times New Roman"/>
        <family val="1"/>
        <charset val="204"/>
      </rPr>
      <t>D</t>
    </r>
    <r>
      <rPr>
        <sz val="12"/>
        <rFont val="Times New Roman"/>
        <family val="1"/>
        <charset val="204"/>
      </rPr>
      <t>)/(1-D/V)</t>
    </r>
  </si>
  <si>
    <t>Instead of change in IC</t>
  </si>
  <si>
    <t>sign</t>
  </si>
  <si>
    <t>Noplat for TV is also</t>
  </si>
  <si>
    <t>E boy</t>
  </si>
  <si>
    <t>Tax shield</t>
  </si>
  <si>
    <t>dInv</t>
  </si>
  <si>
    <t>-</t>
  </si>
  <si>
    <t>NOPLATt+( -dICt)*WACC TV</t>
  </si>
  <si>
    <t>d Debt</t>
  </si>
  <si>
    <t>dRec</t>
  </si>
  <si>
    <t>dCash</t>
  </si>
  <si>
    <t>EVA</t>
  </si>
  <si>
    <t>dPay</t>
  </si>
  <si>
    <t>+</t>
  </si>
  <si>
    <t>d E-RE</t>
  </si>
  <si>
    <t>dPPE</t>
  </si>
  <si>
    <t>d Non operational wealth</t>
  </si>
  <si>
    <t>IC*WACC</t>
  </si>
  <si>
    <t>+D&amp;A</t>
  </si>
  <si>
    <t>PV EVA</t>
  </si>
  <si>
    <t>Assumptions for const WACC</t>
  </si>
  <si>
    <t>If ROIC &gt;&gt; WACC =&gt; economic long-term profit and g generates value</t>
  </si>
  <si>
    <t>-dWC</t>
  </si>
  <si>
    <t>Leverage (financing policy) unchanged</t>
  </si>
  <si>
    <t>If rF&gt;gGDP</t>
  </si>
  <si>
    <t>CF operation</t>
  </si>
  <si>
    <t>-dIC</t>
  </si>
  <si>
    <t>Noplat*K</t>
  </si>
  <si>
    <t>Only TVs of EVA/RI show what part of V would be generated during TV period</t>
  </si>
  <si>
    <t>RI</t>
  </si>
  <si>
    <t>Interest level (macroeconomy) unchanged</t>
  </si>
  <si>
    <t>WACC&gt;rD&gt;rF&gt;gGDP&gt;=gfirm</t>
  </si>
  <si>
    <t>-D&amp;A</t>
  </si>
  <si>
    <t>Risk premiums (industry and corporate risks) unchanged</t>
  </si>
  <si>
    <t>If WACC &lt; gfirm</t>
  </si>
  <si>
    <t>this is not the long-term stable status yet</t>
  </si>
  <si>
    <t>-dPP&amp;E</t>
  </si>
  <si>
    <t>Marginal tax rate (politics) unchanged</t>
  </si>
  <si>
    <t>ROIC high?</t>
  </si>
  <si>
    <t>CF investment</t>
  </si>
  <si>
    <t>BV E * rE</t>
  </si>
  <si>
    <t>If WACC is const</t>
  </si>
  <si>
    <t>Premium price</t>
  </si>
  <si>
    <t>Leverage is stable and already optimal</t>
  </si>
  <si>
    <t>Lower unit costs</t>
  </si>
  <si>
    <t>PV RI</t>
  </si>
  <si>
    <t>No competetive advantage</t>
  </si>
  <si>
    <t>More efficient capital management</t>
  </si>
  <si>
    <t>Industry and regulations are unchanged</t>
  </si>
  <si>
    <t>If BV D=Market D, the we can use WACC=D/V*rD*(1-t)+E/V*rE</t>
  </si>
  <si>
    <t>Noplat t*K t*RONIC t+1=dNoplat t+1=g*Noplat t</t>
  </si>
  <si>
    <t>Possible mthods of rD calculation:</t>
  </si>
  <si>
    <t>K t*RONIC t+1=g t+1</t>
  </si>
  <si>
    <t>Historical risk premiums</t>
  </si>
  <si>
    <t>Method</t>
  </si>
  <si>
    <t>To discount</t>
  </si>
  <si>
    <t>Discount  rate</t>
  </si>
  <si>
    <t>Notes</t>
  </si>
  <si>
    <t>The length of the explicit period should have no value effect.
We should extend the explicit period at least until all inputs  reach their stable level.</t>
  </si>
  <si>
    <t>Credit rating premiums</t>
  </si>
  <si>
    <t>Total firm  DCF</t>
  </si>
  <si>
    <t>Useful for multiple  business units and set  D/V ratio firms</t>
  </si>
  <si>
    <t>CAPM and debt beta</t>
  </si>
  <si>
    <t>Economic  profit</t>
  </si>
  <si>
    <t>EVA / RI</t>
  </si>
  <si>
    <t>WACC / rE</t>
  </si>
  <si>
    <t>Shows when the value  will be created.</t>
  </si>
  <si>
    <t>FCFF and  tax shield  (TS)</t>
  </si>
  <si>
    <t>Operative  cost of  capital  (rA)</t>
  </si>
  <si>
    <t>Separates the effect of  financing, handy for  M&amp;As.</t>
  </si>
  <si>
    <t>Even in case of RONIC=WACC it is not the same what is the  ROIC at the beginning of the TV. If ROIC&gt;&gt;WACC, there will be an economic profit generated for very long time.</t>
  </si>
  <si>
    <t>Direct equity  valuation</t>
  </si>
  <si>
    <t>Required  rate on  equity(rE)</t>
  </si>
  <si>
    <t>Detailed, hectic financial  plan available, bottom-  up CF, financial service  industry</t>
  </si>
  <si>
    <t>The three corrections of the statements</t>
  </si>
  <si>
    <t>Main operation vs non-operative items == Rented office building</t>
  </si>
  <si>
    <t>dIC</t>
  </si>
  <si>
    <t>Standard vs Extraordinary items == Once in a lifetime grant</t>
  </si>
  <si>
    <t>Sales</t>
  </si>
  <si>
    <t>Operational vs Financing items == Management fees, exchange gain on interes</t>
  </si>
  <si>
    <t>EBIT/Sales</t>
  </si>
  <si>
    <t>Corporate tax rate</t>
  </si>
  <si>
    <t>rD</t>
  </si>
  <si>
    <t>ROICt = NOPLATt / ICt boy</t>
  </si>
  <si>
    <t>RONICt =  (NOPLATt - NOPLATt-1)/ dICt-1</t>
  </si>
  <si>
    <t xml:space="preserve">Kt = dICt / NOPLATt </t>
  </si>
  <si>
    <t>gt = (NOPLATt - NOPLATt-1)/NOPLATt-1</t>
  </si>
  <si>
    <t>Retained earnings</t>
  </si>
  <si>
    <t>dEquity required</t>
  </si>
  <si>
    <t xml:space="preserve">dIC </t>
  </si>
  <si>
    <t>dDebt</t>
  </si>
  <si>
    <t>dEquity-Retained earnings</t>
  </si>
  <si>
    <t>dNon operational wealth</t>
  </si>
  <si>
    <t>Inflation</t>
  </si>
  <si>
    <t>Accounting</t>
  </si>
  <si>
    <t>Business</t>
  </si>
  <si>
    <t>Other income</t>
  </si>
  <si>
    <t>D&amp;A</t>
  </si>
  <si>
    <t>Effective tax rate</t>
  </si>
  <si>
    <t>Application</t>
  </si>
  <si>
    <t>Historical analysis,  checking calculations</t>
  </si>
  <si>
    <t>Predicting, supporting  business decisions</t>
  </si>
  <si>
    <t>Material expenses</t>
  </si>
  <si>
    <r>
      <rPr>
        <sz val="12"/>
        <color theme="1"/>
        <rFont val="Times New Roman"/>
        <family val="1"/>
        <charset val="204"/>
      </rPr>
      <t>d</t>
    </r>
    <r>
      <rPr>
        <sz val="11"/>
        <color theme="1"/>
        <rFont val="Times New Roman"/>
        <family val="1"/>
        <charset val="204"/>
      </rPr>
      <t xml:space="preserve"> Inventory</t>
    </r>
  </si>
  <si>
    <t>Growth of sales</t>
  </si>
  <si>
    <t>Explained quantity</t>
  </si>
  <si>
    <t>Change in cash</t>
  </si>
  <si>
    <t>Change in non-  operational wealth</t>
  </si>
  <si>
    <t>Labour expenses</t>
  </si>
  <si>
    <r>
      <rPr>
        <sz val="12"/>
        <color theme="1"/>
        <rFont val="Times New Roman"/>
        <family val="1"/>
        <charset val="204"/>
      </rPr>
      <t>d</t>
    </r>
    <r>
      <rPr>
        <sz val="11"/>
        <color theme="1"/>
        <rFont val="Times New Roman"/>
        <family val="1"/>
        <charset val="204"/>
      </rPr>
      <t xml:space="preserve"> AR</t>
    </r>
  </si>
  <si>
    <t>Receivables turnover days</t>
  </si>
  <si>
    <t>Breakdown</t>
  </si>
  <si>
    <t>Ordinary /  Investment /  Financial</t>
  </si>
  <si>
    <t>Operational /  Investment /  Financing</t>
  </si>
  <si>
    <t>d Cash</t>
  </si>
  <si>
    <t>Payables turnover days</t>
  </si>
  <si>
    <t>Aim</t>
  </si>
  <si>
    <t>Checking on change in  cash</t>
  </si>
  <si>
    <t>Quantifying sub-totals  (FCFF, FCFE)</t>
  </si>
  <si>
    <t>EBIT</t>
  </si>
  <si>
    <r>
      <rPr>
        <sz val="12"/>
        <color theme="1"/>
        <rFont val="Times New Roman"/>
        <family val="1"/>
        <charset val="204"/>
      </rPr>
      <t>d</t>
    </r>
    <r>
      <rPr>
        <sz val="11"/>
        <color theme="1"/>
        <rFont val="Times New Roman"/>
        <family val="1"/>
        <charset val="204"/>
      </rPr>
      <t xml:space="preserve"> AP</t>
    </r>
  </si>
  <si>
    <t>Inventory turnover days</t>
  </si>
  <si>
    <t>Dividend received</t>
  </si>
  <si>
    <t>dDebt short</t>
  </si>
  <si>
    <t>Leverage</t>
  </si>
  <si>
    <t>Interests received</t>
  </si>
  <si>
    <t>WC</t>
  </si>
  <si>
    <t>ROE</t>
  </si>
  <si>
    <t>Interests paid</t>
  </si>
  <si>
    <t>Operating CF</t>
  </si>
  <si>
    <t>D/E</t>
  </si>
  <si>
    <t>Financial profit</t>
  </si>
  <si>
    <t>d Invested Assets</t>
  </si>
  <si>
    <t>ROC</t>
  </si>
  <si>
    <t>g Equity</t>
  </si>
  <si>
    <t>with divedend paid</t>
  </si>
  <si>
    <t>d Marketable Securities</t>
  </si>
  <si>
    <t>Investing CF</t>
  </si>
  <si>
    <t>Direct material</t>
  </si>
  <si>
    <t>Direct Labour</t>
  </si>
  <si>
    <t>Cash</t>
  </si>
  <si>
    <t>dDebt long</t>
  </si>
  <si>
    <t>Sum</t>
  </si>
  <si>
    <t>more</t>
  </si>
  <si>
    <t>Marketable securities</t>
  </si>
  <si>
    <t>Dividends Received</t>
  </si>
  <si>
    <t>Direct material,%</t>
  </si>
  <si>
    <t>Receivables</t>
  </si>
  <si>
    <t>Tax on Dividends</t>
  </si>
  <si>
    <t>Inventory</t>
  </si>
  <si>
    <t>Interest Received</t>
  </si>
  <si>
    <t>Direct labour,%</t>
  </si>
  <si>
    <t>Current assets</t>
  </si>
  <si>
    <t>Tax on Interest Income</t>
  </si>
  <si>
    <t>Invested assets</t>
  </si>
  <si>
    <t>FCFD</t>
  </si>
  <si>
    <r>
      <t>r</t>
    </r>
    <r>
      <rPr>
        <vertAlign val="subscript"/>
        <sz val="12"/>
        <color rgb="FF000000"/>
        <rFont val="Times New Roman"/>
        <family val="1"/>
        <charset val="204"/>
      </rPr>
      <t>f</t>
    </r>
    <r>
      <rPr>
        <sz val="12"/>
        <color rgb="FF000000"/>
        <rFont val="Times New Roman"/>
        <family val="1"/>
        <charset val="204"/>
      </rPr>
      <t xml:space="preserve"> real</t>
    </r>
  </si>
  <si>
    <t>Total of assests</t>
  </si>
  <si>
    <r>
      <t>r</t>
    </r>
    <r>
      <rPr>
        <vertAlign val="subscript"/>
        <sz val="12"/>
        <color rgb="FF000000"/>
        <rFont val="Times New Roman"/>
        <family val="1"/>
        <charset val="204"/>
      </rPr>
      <t>D</t>
    </r>
    <r>
      <rPr>
        <sz val="12"/>
        <color rgb="FF000000"/>
        <rFont val="Times New Roman"/>
        <family val="1"/>
        <charset val="204"/>
      </rPr>
      <t>-r</t>
    </r>
    <r>
      <rPr>
        <vertAlign val="subscript"/>
        <sz val="12"/>
        <color rgb="FF000000"/>
        <rFont val="Times New Roman"/>
        <family val="1"/>
        <charset val="204"/>
      </rPr>
      <t>f</t>
    </r>
  </si>
  <si>
    <t>Short term loans</t>
  </si>
  <si>
    <r>
      <t>r</t>
    </r>
    <r>
      <rPr>
        <vertAlign val="subscript"/>
        <sz val="12"/>
        <color rgb="FF000000"/>
        <rFont val="Times New Roman"/>
        <family val="1"/>
        <charset val="204"/>
      </rPr>
      <t>M</t>
    </r>
    <r>
      <rPr>
        <sz val="12"/>
        <color rgb="FF000000"/>
        <rFont val="Times New Roman"/>
        <family val="1"/>
        <charset val="204"/>
      </rPr>
      <t>-r</t>
    </r>
    <r>
      <rPr>
        <vertAlign val="subscript"/>
        <sz val="12"/>
        <color rgb="FF000000"/>
        <rFont val="Times New Roman"/>
        <family val="1"/>
        <charset val="204"/>
      </rPr>
      <t>f</t>
    </r>
  </si>
  <si>
    <t>Payables</t>
  </si>
  <si>
    <r>
      <t>b</t>
    </r>
    <r>
      <rPr>
        <vertAlign val="subscript"/>
        <sz val="12"/>
        <color rgb="FF000000"/>
        <rFont val="Times New Roman"/>
        <family val="1"/>
        <charset val="204"/>
      </rPr>
      <t>A</t>
    </r>
  </si>
  <si>
    <t>Short term liabilities</t>
  </si>
  <si>
    <t>Financing CF</t>
  </si>
  <si>
    <t>ra</t>
  </si>
  <si>
    <t>Long term debt</t>
  </si>
  <si>
    <t>Net cash and cash equivalent</t>
  </si>
  <si>
    <t>rf norminal</t>
  </si>
  <si>
    <t>Equity</t>
  </si>
  <si>
    <t>∆ NON- Operating Wealth</t>
  </si>
  <si>
    <t>Total of Liabilities and Equity</t>
  </si>
  <si>
    <t>CHECK</t>
  </si>
  <si>
    <t>Quantities liked directly to shareholder value creation, representing both operation and financing  covering the long term growth potential.
Valuation interpretation: Financial quantities used to describe the FP.</t>
  </si>
  <si>
    <t>NOPLAT = Net Operating Profit Less Adjusted Taxes  ==&gt; g = annual growth rate of Noplat = (NOPLATt+1 –  NOPLATt) / NOPLATt
IC = Invested Capital  ==&gt; dIC = annual change of IC, Capital reinvested into the operation = dICt = ICt+1 – ICt
K = reinvestment rate, the theoretical proportion of NOPLAT reinveested into the operation ==&gt; Kt = dICt / NOPLATt
ROIC = Return on Invested Capital  ==&gt;  ROICt = NOPLATt / ICt-1
RONIC = Return on Newly Invested Capital,  (assuming the ROIC of the old project be unchanged)  ==&gt; RONICt = dNOPLATt / dICt-1</t>
  </si>
  <si>
    <t>Invested assets at the beginning of the year</t>
  </si>
  <si>
    <t>Inventory at the beginning of the year</t>
  </si>
  <si>
    <t>Payables at the beginning of the year</t>
  </si>
  <si>
    <t>Turnover days of Receivables (end of year)</t>
  </si>
  <si>
    <t>Operative cash need at the beginning of the year (Percentage of Sales %)</t>
  </si>
  <si>
    <t xml:space="preserve"> </t>
  </si>
  <si>
    <t>Debt/Invested capital at the start of the year</t>
  </si>
  <si>
    <t>Interest on debt</t>
  </si>
  <si>
    <t>Cash Flow Statement</t>
  </si>
  <si>
    <t>Assets</t>
  </si>
  <si>
    <t>Cash Flow from Operations</t>
  </si>
  <si>
    <t>Other Income</t>
  </si>
  <si>
    <t>Other Expenses</t>
  </si>
  <si>
    <t>Inventory assets</t>
  </si>
  <si>
    <t>Tax on EBIT</t>
  </si>
  <si>
    <t>Receivables average</t>
  </si>
  <si>
    <t>NOPLAT</t>
  </si>
  <si>
    <t>Decrease in cash</t>
  </si>
  <si>
    <t>Equity&amp;Liability</t>
  </si>
  <si>
    <t>Increase in inventory</t>
  </si>
  <si>
    <t>Increase in accounts payable</t>
  </si>
  <si>
    <t>Debt</t>
  </si>
  <si>
    <t>Increase in receivables</t>
  </si>
  <si>
    <t>Dividends</t>
  </si>
  <si>
    <t>Net cash flow from operations</t>
  </si>
  <si>
    <t>Cash Flow from Investing</t>
  </si>
  <si>
    <t>Required extra amount of equity</t>
  </si>
  <si>
    <t>Equipment</t>
  </si>
  <si>
    <t>Equity issue/repurchase</t>
  </si>
  <si>
    <t>Net cash flow from investing</t>
  </si>
  <si>
    <t>Cash Flow from Finacing</t>
  </si>
  <si>
    <t>Value drivers</t>
  </si>
  <si>
    <t>Increase in debt</t>
  </si>
  <si>
    <t>IC</t>
  </si>
  <si>
    <t>Net cash flow from financing</t>
  </si>
  <si>
    <t>Change in IC</t>
  </si>
  <si>
    <t>Dividends paid</t>
  </si>
  <si>
    <t>Increase in NOPLAT</t>
  </si>
  <si>
    <t>Increase in equity - Retained Earnings</t>
  </si>
  <si>
    <t>g NOPLAT</t>
  </si>
  <si>
    <t>FCFF=NOPLAT-Increase in IC</t>
  </si>
  <si>
    <t>ROE &amp; Dividends Ratio</t>
  </si>
  <si>
    <t>IRR</t>
  </si>
  <si>
    <t>Dividend payoff ratio</t>
  </si>
  <si>
    <t>P=Price Of Swet Furniture</t>
  </si>
  <si>
    <r>
      <t>2020</t>
    </r>
    <r>
      <rPr>
        <sz val="12"/>
        <color rgb="FF000000"/>
        <rFont val="Times New Roman"/>
        <family val="1"/>
        <charset val="204"/>
      </rPr>
      <t xml:space="preserve"> (000 HUF)</t>
    </r>
  </si>
  <si>
    <t>Holding</t>
  </si>
  <si>
    <t>Manufacturing</t>
  </si>
  <si>
    <t>Retail</t>
  </si>
  <si>
    <t>The same CF and Profit (g, CF-generation, risk)</t>
  </si>
  <si>
    <t>EV/BV</t>
  </si>
  <si>
    <t>Sales give the same profit (CF/S, g, CF-generation, risk, margin)</t>
  </si>
  <si>
    <t>P/BV</t>
  </si>
  <si>
    <t>P/S</t>
  </si>
  <si>
    <t>EV/S</t>
  </si>
  <si>
    <t>EV/EBITDA</t>
  </si>
  <si>
    <t>EV/EBIT</t>
  </si>
  <si>
    <t>Assets generate the same profit (g, CF-generation, risk, ROI, ROIC, ROE)</t>
  </si>
  <si>
    <t xml:space="preserve">Profit from financial activities </t>
  </si>
  <si>
    <t>P/PBT</t>
  </si>
  <si>
    <t>P/E</t>
  </si>
  <si>
    <t>P/E/g</t>
  </si>
  <si>
    <t>Expected yearly growth</t>
  </si>
  <si>
    <t xml:space="preserve">if you use multiple ratios, </t>
  </si>
  <si>
    <t>Market</t>
  </si>
  <si>
    <t>you should use the raw data, to use the same methodology to calculate the multiple</t>
  </si>
  <si>
    <t>Company name</t>
  </si>
  <si>
    <t>Nationality</t>
  </si>
  <si>
    <t>Main activity</t>
  </si>
  <si>
    <t>Forward P/E</t>
  </si>
  <si>
    <t>Average</t>
  </si>
  <si>
    <t>mean / median maybe some firms would be dropped because they are not similar enough, chnage the median/mean to a large extent</t>
  </si>
  <si>
    <t>Bútor Co.</t>
  </si>
  <si>
    <t>Hungarian</t>
  </si>
  <si>
    <t>Furniture manufacturing</t>
  </si>
  <si>
    <t>Pros</t>
  </si>
  <si>
    <t>Cons</t>
  </si>
  <si>
    <t>Meble SA</t>
  </si>
  <si>
    <t>Polish</t>
  </si>
  <si>
    <t>Quick</t>
  </si>
  <si>
    <t>Implicit assumptions</t>
  </si>
  <si>
    <t>FOR DCF, it's easy for figure out if there is a problem with the model</t>
  </si>
  <si>
    <t>you need to compare the different requirements accross companies</t>
  </si>
  <si>
    <t>e.g. could be sales should we the same</t>
  </si>
  <si>
    <t>Mobile SA</t>
  </si>
  <si>
    <t>Romanian</t>
  </si>
  <si>
    <t>Simple</t>
  </si>
  <si>
    <t>Quality of data</t>
  </si>
  <si>
    <t>Möbel AG</t>
  </si>
  <si>
    <t>German</t>
  </si>
  <si>
    <t>Furniture parts manufacturing</t>
  </si>
  <si>
    <t>11.0</t>
  </si>
  <si>
    <t>Reflects the current market condition</t>
  </si>
  <si>
    <t>Comparability</t>
  </si>
  <si>
    <t>M&amp;A</t>
  </si>
  <si>
    <t>Bubbles</t>
  </si>
  <si>
    <t>Couch Partnership</t>
  </si>
  <si>
    <t>Furniture retail</t>
  </si>
  <si>
    <t>Any value could be justified</t>
  </si>
  <si>
    <t>Otthon Ltd.</t>
  </si>
  <si>
    <t>Puff Co.</t>
  </si>
  <si>
    <t>Furniture wholesale</t>
  </si>
  <si>
    <t>Chossing the right ratio</t>
  </si>
  <si>
    <t>Wohnung GmbH</t>
  </si>
  <si>
    <t>Austrian</t>
  </si>
  <si>
    <t>The numerator or the denumerator should be V</t>
  </si>
  <si>
    <t>The numerator or the denumerator should be of the same dimension (V or E)</t>
  </si>
  <si>
    <t>MANUFACTURE</t>
  </si>
  <si>
    <t>Same financial year, accounting standard, currency</t>
  </si>
  <si>
    <t>E/PAT</t>
  </si>
  <si>
    <t>P/EPS</t>
  </si>
  <si>
    <t>We us this method for listed companies</t>
  </si>
  <si>
    <t>P historical</t>
  </si>
  <si>
    <t>RECALCULATED MULTIPLES (if our peers are different)</t>
  </si>
  <si>
    <t>P historical growing</t>
  </si>
  <si>
    <t>New tax, don`t double the tax, don`t use 83520!</t>
  </si>
  <si>
    <t>Growth effect</t>
  </si>
  <si>
    <t>Firm1</t>
  </si>
  <si>
    <t>Firm 2</t>
  </si>
  <si>
    <t>P/E av (old)</t>
  </si>
  <si>
    <t>P historical growing new tax</t>
  </si>
  <si>
    <t>New tax effect</t>
  </si>
  <si>
    <t>Div%</t>
  </si>
  <si>
    <t>RETAIL</t>
  </si>
  <si>
    <t>r-g</t>
  </si>
  <si>
    <t>For SF we use average between f. retail</t>
  </si>
  <si>
    <t>r-g(mod)</t>
  </si>
  <si>
    <t>EV Historical</t>
  </si>
  <si>
    <t>P/E(mod)</t>
  </si>
  <si>
    <t>EV Expected</t>
  </si>
  <si>
    <t>P</t>
  </si>
  <si>
    <t>Price=EV-Debt+Cash</t>
  </si>
  <si>
    <t>P exp</t>
  </si>
  <si>
    <t>Cost of capital</t>
  </si>
  <si>
    <t>renting</t>
  </si>
  <si>
    <t>Time orientation of data used</t>
  </si>
  <si>
    <t>logistics</t>
  </si>
  <si>
    <t>Type of value</t>
  </si>
  <si>
    <t>Past</t>
  </si>
  <si>
    <t>Present</t>
  </si>
  <si>
    <t>Future</t>
  </si>
  <si>
    <t>real estaate dev</t>
  </si>
  <si>
    <t>WellBuit expects to sell CarryOn at this price</t>
  </si>
  <si>
    <t>Entry</t>
  </si>
  <si>
    <t>Purchase cost</t>
  </si>
  <si>
    <t>Substitution value  (repurchase,  recreation)  Replacement value</t>
  </si>
  <si>
    <t>–</t>
  </si>
  <si>
    <t>current exp. EBITDA</t>
  </si>
  <si>
    <t>Current EBITDA*EV/EBITDA</t>
  </si>
  <si>
    <t>Exit</t>
  </si>
  <si>
    <t>Net realisable  value, Liquidation value</t>
  </si>
  <si>
    <t>DCF, Capitalisation,  Real options</t>
  </si>
  <si>
    <t>Rental fee (perpetuity)</t>
  </si>
  <si>
    <t>C/(r-g)*(1+r)</t>
  </si>
  <si>
    <t>At the beginning</t>
  </si>
  <si>
    <t>D</t>
  </si>
  <si>
    <t>EV corrected</t>
  </si>
  <si>
    <t>The aim of asset valuation is to estimate the amount of the IC</t>
  </si>
  <si>
    <t>Rental fee</t>
  </si>
  <si>
    <t>Value of CarryOn that we get</t>
  </si>
  <si>
    <t>Methods:</t>
  </si>
  <si>
    <t>Building constraction time</t>
  </si>
  <si>
    <t>years</t>
  </si>
  <si>
    <t>Net book value</t>
  </si>
  <si>
    <t>cost of capital</t>
  </si>
  <si>
    <t>Total construction costs</t>
  </si>
  <si>
    <t>Replacement value</t>
  </si>
  <si>
    <t>Book value of real estate</t>
  </si>
  <si>
    <t>Gross book value</t>
  </si>
  <si>
    <t>Tax</t>
  </si>
  <si>
    <t>Market value</t>
  </si>
  <si>
    <t>other</t>
  </si>
  <si>
    <t>I. Roads, 20% of BV</t>
  </si>
  <si>
    <t>II. Residuntial buildings</t>
  </si>
  <si>
    <t>III. Office building</t>
  </si>
  <si>
    <t>Land need</t>
  </si>
  <si>
    <t>Value of costs</t>
  </si>
  <si>
    <t>Price</t>
  </si>
  <si>
    <t>Construction cost need</t>
  </si>
  <si>
    <t>Useful lifetime</t>
  </si>
  <si>
    <t>Sales Income</t>
  </si>
  <si>
    <t>D&amp;A, years</t>
  </si>
  <si>
    <t>BV assets sold</t>
  </si>
  <si>
    <t>Other expense</t>
  </si>
  <si>
    <t>tax on sale</t>
  </si>
  <si>
    <t>Cost of construction</t>
  </si>
  <si>
    <t>Rential income</t>
  </si>
  <si>
    <t>yearly</t>
  </si>
  <si>
    <t>Profit</t>
  </si>
  <si>
    <t>BV of Land</t>
  </si>
  <si>
    <t>Roads 20%, Residence 60%</t>
  </si>
  <si>
    <t>Value from roads</t>
  </si>
  <si>
    <t>Construction need</t>
  </si>
  <si>
    <t>Residence 60%</t>
  </si>
  <si>
    <t>CF in 2 years</t>
  </si>
  <si>
    <t>Value from resort</t>
  </si>
  <si>
    <t>tax</t>
  </si>
  <si>
    <t>Construction cost CF</t>
  </si>
  <si>
    <t>Value of income</t>
  </si>
  <si>
    <t>in 2 years</t>
  </si>
  <si>
    <t>including tax</t>
  </si>
  <si>
    <t>TOTAL VALUE of CarryOn</t>
  </si>
  <si>
    <t xml:space="preserve">PV CF (Rent - Tax) </t>
  </si>
  <si>
    <t>Income without tax</t>
  </si>
  <si>
    <t>Income (Annuity)</t>
  </si>
  <si>
    <t>Growing annuity pre-paid, we use 30 years, as it wil serve for 30 years</t>
  </si>
  <si>
    <t>[C/(r-g)*(1-(1+g)^n/(1+r)^n)]*(1+r)</t>
  </si>
  <si>
    <t>Use for assets, not property!</t>
  </si>
  <si>
    <t>1+r is for pre-paid</t>
  </si>
  <si>
    <t>Non-g annuity</t>
  </si>
  <si>
    <t>Use accounting life, as we pay taxes based from P/L where D&amp;A for 20 years</t>
  </si>
  <si>
    <t>CF of renting</t>
  </si>
  <si>
    <t>PV CF of Income</t>
  </si>
  <si>
    <t>Value from renting</t>
  </si>
  <si>
    <t>Value of Firm 1</t>
  </si>
  <si>
    <t>V</t>
  </si>
  <si>
    <t>E</t>
  </si>
  <si>
    <t>1 is a seller,2 is a buyer</t>
  </si>
  <si>
    <t>If 1 &amp; 2 Merge</t>
  </si>
  <si>
    <t>If 1 &amp; 2 Don`t Merge</t>
  </si>
  <si>
    <t>Fitm 2 Value from merger</t>
  </si>
  <si>
    <t>Firm 2 on its own</t>
  </si>
  <si>
    <t>Value from PPE sales</t>
  </si>
  <si>
    <t>Firm 1 on its own</t>
  </si>
  <si>
    <t>Fitm 1 Value from merger</t>
  </si>
  <si>
    <t>Not-merged value</t>
  </si>
  <si>
    <t>Add Inv. project Value</t>
  </si>
  <si>
    <t>D boy</t>
  </si>
  <si>
    <t>Total Merger Value</t>
  </si>
  <si>
    <t>Synegry</t>
  </si>
  <si>
    <t>Before transaction</t>
  </si>
  <si>
    <t>E min</t>
  </si>
  <si>
    <t>for seller</t>
  </si>
  <si>
    <t>Transaction cost</t>
  </si>
  <si>
    <t>E max</t>
  </si>
  <si>
    <t>for buyer</t>
  </si>
  <si>
    <t>After transaction</t>
  </si>
  <si>
    <t>Price min</t>
  </si>
  <si>
    <t>Doubtful synergies be like:</t>
  </si>
  <si>
    <t>Price max</t>
  </si>
  <si>
    <t>EPS growth, this is not value focused approach</t>
  </si>
  <si>
    <t>Price range</t>
  </si>
  <si>
    <t>Result:</t>
  </si>
  <si>
    <t>Do merge</t>
  </si>
  <si>
    <t>Faster growth - it is of no value alone. We need to revie: WACC&lt;&gt;ROIC, RONIC, Premium&lt;&gt;Synergy</t>
  </si>
  <si>
    <t>synergy passed over</t>
  </si>
  <si>
    <t>E actual</t>
  </si>
  <si>
    <t>No change in V as it is a non-opertaional asset</t>
  </si>
  <si>
    <t>Ownership</t>
  </si>
  <si>
    <t>% Ownership</t>
  </si>
  <si>
    <t>Number shares initialy</t>
  </si>
  <si>
    <t>Old owner %</t>
  </si>
  <si>
    <t>Number of shares for new owner</t>
  </si>
  <si>
    <t>Unlevered cost of capital</t>
  </si>
  <si>
    <t>Rainbow os owed by 5 people, so</t>
  </si>
  <si>
    <t>V of Rainbow</t>
  </si>
  <si>
    <t>Sanitary equipment</t>
  </si>
  <si>
    <t>Owner 1</t>
  </si>
  <si>
    <t>Retires, sells the share</t>
  </si>
  <si>
    <t>Hospitality</t>
  </si>
  <si>
    <t>Owner 2</t>
  </si>
  <si>
    <t>+1</t>
  </si>
  <si>
    <t>Entertaiment</t>
  </si>
  <si>
    <t>Owner 3</t>
  </si>
  <si>
    <t>rF</t>
  </si>
  <si>
    <t>Owner 4</t>
  </si>
  <si>
    <t>Tax Rate</t>
  </si>
  <si>
    <t>Owner 5</t>
  </si>
  <si>
    <t>Golden Bath Co.</t>
  </si>
  <si>
    <t xml:space="preserve">Red Pepper Ltd. </t>
  </si>
  <si>
    <t xml:space="preserve">BlueMotion Co. </t>
  </si>
  <si>
    <t>IC (only assets)</t>
  </si>
  <si>
    <t>Dividend=FCFE</t>
  </si>
  <si>
    <t>FCFE, yearly</t>
  </si>
  <si>
    <t>perpetuity</t>
  </si>
  <si>
    <t>Stake for CEO</t>
  </si>
  <si>
    <t>Stake for Prod</t>
  </si>
  <si>
    <t>No debt =&gt;</t>
  </si>
  <si>
    <t>Stake for Rainbow</t>
  </si>
  <si>
    <t>Private firms</t>
  </si>
  <si>
    <t>No info on Debt =&gt;</t>
  </si>
  <si>
    <t>For private firms, control may have a significant value as usually management would only change if ownership changes.</t>
  </si>
  <si>
    <t>Stake of CEO</t>
  </si>
  <si>
    <t>Minority discount depends on the ratio of the optimal and the current equity value</t>
  </si>
  <si>
    <t>Stake of R</t>
  </si>
  <si>
    <t>3 cinemas for 5 more years</t>
  </si>
  <si>
    <t>Current equity value</t>
  </si>
  <si>
    <t>Stake of Chef</t>
  </si>
  <si>
    <t>2 cinemas for 5 more years</t>
  </si>
  <si>
    <t>Optimal equity value</t>
  </si>
  <si>
    <t>Rainbow gets</t>
  </si>
  <si>
    <t>Price/S</t>
  </si>
  <si>
    <t>1 cinema for 5 more years, no point in running the firm</t>
  </si>
  <si>
    <t>Optimal value 49,9%</t>
  </si>
  <si>
    <t>Price in 1 year</t>
  </si>
  <si>
    <t>IC/Liqudation</t>
  </si>
  <si>
    <t>Current value 49,9%</t>
  </si>
  <si>
    <t>Price now</t>
  </si>
  <si>
    <t>EV</t>
  </si>
  <si>
    <t>Exp V in 5 years</t>
  </si>
  <si>
    <t>6 to 10 years</t>
  </si>
  <si>
    <t>Minority discount</t>
  </si>
  <si>
    <t>Rainbow  gets</t>
  </si>
  <si>
    <t>We sell with offered price</t>
  </si>
  <si>
    <t>PV of years 6-10</t>
  </si>
  <si>
    <t>V=E</t>
  </si>
  <si>
    <t>Public firms</t>
  </si>
  <si>
    <t>Market value = current value  + probability in change of control * (optimal value – current value)</t>
  </si>
  <si>
    <t>rE</t>
  </si>
  <si>
    <t>We could do it better,</t>
  </si>
  <si>
    <t>We change this cell</t>
  </si>
  <si>
    <t>but it is not for sure that we may.</t>
  </si>
  <si>
    <t>diff</t>
  </si>
  <si>
    <t>This is 0</t>
  </si>
  <si>
    <t>Hungary</t>
  </si>
  <si>
    <t>Germany</t>
  </si>
  <si>
    <t>USA</t>
  </si>
  <si>
    <t>Risk free rate</t>
  </si>
  <si>
    <t>rM-rf</t>
  </si>
  <si>
    <t>Market risk premium</t>
  </si>
  <si>
    <t>Small firm premium</t>
  </si>
  <si>
    <t>rA euro/usd</t>
  </si>
  <si>
    <t>rA* usd</t>
  </si>
  <si>
    <t>rA HUF</t>
  </si>
  <si>
    <t>rA*</t>
  </si>
  <si>
    <t>real rate</t>
  </si>
  <si>
    <t>inflation</t>
  </si>
  <si>
    <t>nominal rate</t>
  </si>
  <si>
    <t>Now</t>
  </si>
  <si>
    <t>1 year</t>
  </si>
  <si>
    <t>nominal</t>
  </si>
  <si>
    <t>real</t>
  </si>
  <si>
    <t>r real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</si>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</sst>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₽_-;\-* #,##0.00\ _₽_-;_-* &quot;-&quot;??\ _₽_-;_-@_-"/>
    <numFmt numFmtId="165" formatCode="0.0%"/>
    <numFmt numFmtId="166" formatCode="0.0"/>
    <numFmt numFmtId="167" formatCode="_(* #,##0.0_);_(* \(#,##0.0\);_(* &quot;-&quot;??_);_(@_)"/>
    <numFmt numFmtId="168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2"/>
      <color rgb="FF00B050"/>
      <name val="Times New Roman"/>
      <family val="1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vertAlign val="subscript"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trike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theme="1"/>
      <name val="Calibri"/>
      <family val="2"/>
      <charset val="238"/>
    </font>
    <font>
      <b/>
      <i/>
      <sz val="12"/>
      <color rgb="FF000000"/>
      <name val="Times New Roman"/>
      <family val="1"/>
      <charset val="238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9">
    <xf numFmtId="0" fontId="0" fillId="0" borderId="0" xfId="0"/>
    <xf numFmtId="10" fontId="5" fillId="0" borderId="0" xfId="0" applyNumberFormat="1" applyFont="1" applyAlignment="1">
      <alignment horizontal="right" vertical="center"/>
    </xf>
    <xf numFmtId="0" fontId="12" fillId="0" borderId="0" xfId="0" applyFont="1"/>
    <xf numFmtId="10" fontId="15" fillId="0" borderId="0" xfId="2" applyNumberFormat="1" applyFont="1" applyFill="1" applyBorder="1" applyAlignment="1">
      <alignment horizontal="right" vertical="center"/>
    </xf>
    <xf numFmtId="167" fontId="13" fillId="0" borderId="0" xfId="1" applyNumberFormat="1" applyFont="1" applyFill="1" applyBorder="1"/>
    <xf numFmtId="0" fontId="13" fillId="0" borderId="0" xfId="0" applyFont="1"/>
    <xf numFmtId="167" fontId="13" fillId="0" borderId="0" xfId="1" applyNumberFormat="1" applyFont="1" applyFill="1"/>
    <xf numFmtId="43" fontId="13" fillId="0" borderId="0" xfId="0" applyNumberFormat="1" applyFont="1"/>
    <xf numFmtId="165" fontId="13" fillId="0" borderId="0" xfId="2" applyNumberFormat="1" applyFont="1" applyFill="1"/>
    <xf numFmtId="4" fontId="13" fillId="0" borderId="0" xfId="0" applyNumberFormat="1" applyFont="1"/>
    <xf numFmtId="0" fontId="13" fillId="0" borderId="3" xfId="0" applyFont="1" applyBorder="1"/>
    <xf numFmtId="10" fontId="14" fillId="0" borderId="3" xfId="0" applyNumberFormat="1" applyFont="1" applyBorder="1" applyAlignment="1">
      <alignment horizontal="right" vertical="center"/>
    </xf>
    <xf numFmtId="9" fontId="13" fillId="0" borderId="3" xfId="0" applyNumberFormat="1" applyFont="1" applyBorder="1"/>
    <xf numFmtId="3" fontId="13" fillId="0" borderId="3" xfId="0" applyNumberFormat="1" applyFont="1" applyBorder="1"/>
    <xf numFmtId="10" fontId="13" fillId="0" borderId="3" xfId="2" applyNumberFormat="1" applyFont="1" applyFill="1" applyBorder="1"/>
    <xf numFmtId="3" fontId="15" fillId="0" borderId="3" xfId="1" applyNumberFormat="1" applyFont="1" applyFill="1" applyBorder="1"/>
    <xf numFmtId="0" fontId="14" fillId="0" borderId="3" xfId="0" applyFont="1" applyBorder="1" applyAlignment="1">
      <alignment horizontal="left" vertical="center"/>
    </xf>
    <xf numFmtId="3" fontId="14" fillId="0" borderId="3" xfId="1" applyNumberFormat="1" applyFont="1" applyFill="1" applyBorder="1"/>
    <xf numFmtId="3" fontId="15" fillId="0" borderId="3" xfId="0" applyNumberFormat="1" applyFont="1" applyBorder="1"/>
    <xf numFmtId="3" fontId="13" fillId="0" borderId="3" xfId="1" applyNumberFormat="1" applyFont="1" applyFill="1" applyBorder="1"/>
    <xf numFmtId="0" fontId="18" fillId="0" borderId="3" xfId="0" applyFont="1" applyBorder="1"/>
    <xf numFmtId="167" fontId="13" fillId="0" borderId="3" xfId="1" applyNumberFormat="1" applyFont="1" applyFill="1" applyBorder="1"/>
    <xf numFmtId="43" fontId="13" fillId="0" borderId="3" xfId="0" applyNumberFormat="1" applyFont="1" applyBorder="1"/>
    <xf numFmtId="165" fontId="13" fillId="0" borderId="3" xfId="2" applyNumberFormat="1" applyFont="1" applyFill="1" applyBorder="1"/>
    <xf numFmtId="10" fontId="15" fillId="0" borderId="3" xfId="2" applyNumberFormat="1" applyFont="1" applyFill="1" applyBorder="1" applyAlignment="1">
      <alignment horizontal="right" vertical="center"/>
    </xf>
    <xf numFmtId="4" fontId="13" fillId="0" borderId="3" xfId="0" applyNumberFormat="1" applyFont="1" applyBorder="1"/>
    <xf numFmtId="4" fontId="18" fillId="0" borderId="3" xfId="0" applyNumberFormat="1" applyFont="1" applyBorder="1"/>
    <xf numFmtId="167" fontId="18" fillId="0" borderId="3" xfId="1" applyNumberFormat="1" applyFont="1" applyFill="1" applyBorder="1"/>
    <xf numFmtId="167" fontId="18" fillId="0" borderId="2" xfId="1" applyNumberFormat="1" applyFont="1" applyFill="1" applyBorder="1"/>
    <xf numFmtId="0" fontId="18" fillId="0" borderId="0" xfId="0" applyFont="1"/>
    <xf numFmtId="0" fontId="0" fillId="0" borderId="3" xfId="0" applyBorder="1"/>
    <xf numFmtId="0" fontId="7" fillId="0" borderId="3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center" vertical="center"/>
    </xf>
    <xf numFmtId="10" fontId="7" fillId="0" borderId="3" xfId="0" applyNumberFormat="1" applyFont="1" applyBorder="1"/>
    <xf numFmtId="10" fontId="7" fillId="0" borderId="3" xfId="2" applyNumberFormat="1" applyFont="1" applyFill="1" applyBorder="1"/>
    <xf numFmtId="2" fontId="7" fillId="0" borderId="3" xfId="0" applyNumberFormat="1" applyFont="1" applyBorder="1"/>
    <xf numFmtId="9" fontId="7" fillId="0" borderId="3" xfId="2" applyFont="1" applyFill="1" applyBorder="1"/>
    <xf numFmtId="0" fontId="7" fillId="0" borderId="8" xfId="0" applyFont="1" applyBorder="1"/>
    <xf numFmtId="0" fontId="11" fillId="0" borderId="4" xfId="0" applyFont="1" applyBorder="1" applyAlignment="1">
      <alignment horizontal="left"/>
    </xf>
    <xf numFmtId="0" fontId="7" fillId="0" borderId="3" xfId="0" applyFont="1" applyBorder="1" applyAlignment="1">
      <alignment vertical="center"/>
    </xf>
    <xf numFmtId="9" fontId="7" fillId="0" borderId="3" xfId="2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0" fontId="8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10" fontId="7" fillId="0" borderId="3" xfId="2" applyNumberFormat="1" applyFont="1" applyBorder="1" applyAlignment="1">
      <alignment vertical="center"/>
    </xf>
    <xf numFmtId="10" fontId="7" fillId="0" borderId="3" xfId="0" applyNumberFormat="1" applyFont="1" applyBorder="1" applyAlignment="1">
      <alignment vertical="center"/>
    </xf>
    <xf numFmtId="9" fontId="7" fillId="0" borderId="3" xfId="0" applyNumberFormat="1" applyFont="1" applyBorder="1"/>
    <xf numFmtId="0" fontId="0" fillId="0" borderId="0" xfId="0" applyAlignment="1">
      <alignment wrapText="1"/>
    </xf>
    <xf numFmtId="0" fontId="9" fillId="5" borderId="3" xfId="0" applyFont="1" applyFill="1" applyBorder="1" applyAlignment="1">
      <alignment horizontal="center" vertical="center"/>
    </xf>
    <xf numFmtId="0" fontId="11" fillId="6" borderId="3" xfId="0" applyFont="1" applyFill="1" applyBorder="1"/>
    <xf numFmtId="0" fontId="9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/>
    </xf>
    <xf numFmtId="0" fontId="9" fillId="7" borderId="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left" vertical="center"/>
    </xf>
    <xf numFmtId="4" fontId="5" fillId="0" borderId="3" xfId="0" applyNumberFormat="1" applyFont="1" applyBorder="1" applyAlignment="1">
      <alignment horizontal="right" vertical="center"/>
    </xf>
    <xf numFmtId="0" fontId="9" fillId="6" borderId="3" xfId="0" applyFont="1" applyFill="1" applyBorder="1"/>
    <xf numFmtId="4" fontId="9" fillId="6" borderId="3" xfId="0" applyNumberFormat="1" applyFont="1" applyFill="1" applyBorder="1"/>
    <xf numFmtId="4" fontId="11" fillId="0" borderId="3" xfId="0" applyNumberFormat="1" applyFont="1" applyBorder="1"/>
    <xf numFmtId="4" fontId="11" fillId="0" borderId="3" xfId="0" applyNumberFormat="1" applyFont="1" applyBorder="1" applyAlignment="1">
      <alignment vertical="center"/>
    </xf>
    <xf numFmtId="4" fontId="8" fillId="0" borderId="3" xfId="0" applyNumberFormat="1" applyFont="1" applyBorder="1" applyAlignment="1">
      <alignment horizontal="right" vertical="center"/>
    </xf>
    <xf numFmtId="4" fontId="21" fillId="5" borderId="3" xfId="0" applyNumberFormat="1" applyFont="1" applyFill="1" applyBorder="1" applyAlignment="1">
      <alignment horizontal="right" vertical="center"/>
    </xf>
    <xf numFmtId="0" fontId="11" fillId="7" borderId="3" xfId="0" quotePrefix="1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7" borderId="3" xfId="0" applyFont="1" applyFill="1" applyBorder="1" applyAlignment="1">
      <alignment vertical="center"/>
    </xf>
    <xf numFmtId="4" fontId="9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" fontId="9" fillId="7" borderId="3" xfId="0" applyNumberFormat="1" applyFont="1" applyFill="1" applyBorder="1" applyAlignment="1">
      <alignment vertical="center"/>
    </xf>
    <xf numFmtId="0" fontId="8" fillId="8" borderId="3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0" fontId="8" fillId="8" borderId="3" xfId="0" quotePrefix="1" applyFont="1" applyFill="1" applyBorder="1" applyAlignment="1">
      <alignment horizontal="left" vertical="center"/>
    </xf>
    <xf numFmtId="4" fontId="11" fillId="0" borderId="3" xfId="0" applyNumberFormat="1" applyFont="1" applyBorder="1" applyAlignment="1">
      <alignment horizontal="center"/>
    </xf>
    <xf numFmtId="0" fontId="11" fillId="8" borderId="3" xfId="0" applyFont="1" applyFill="1" applyBorder="1" applyAlignment="1">
      <alignment horizontal="left" wrapText="1"/>
    </xf>
    <xf numFmtId="0" fontId="14" fillId="7" borderId="3" xfId="0" applyFont="1" applyFill="1" applyBorder="1" applyAlignment="1">
      <alignment vertical="center"/>
    </xf>
    <xf numFmtId="10" fontId="11" fillId="0" borderId="3" xfId="2" applyNumberFormat="1" applyFont="1" applyBorder="1" applyAlignment="1">
      <alignment horizontal="center"/>
    </xf>
    <xf numFmtId="0" fontId="21" fillId="8" borderId="3" xfId="0" applyFont="1" applyFill="1" applyBorder="1" applyAlignment="1">
      <alignment horizontal="left" vertical="center"/>
    </xf>
    <xf numFmtId="4" fontId="9" fillId="0" borderId="3" xfId="0" applyNumberFormat="1" applyFont="1" applyBorder="1" applyAlignment="1">
      <alignment horizontal="center"/>
    </xf>
    <xf numFmtId="4" fontId="11" fillId="0" borderId="3" xfId="2" applyNumberFormat="1" applyFont="1" applyBorder="1" applyAlignment="1">
      <alignment horizontal="center"/>
    </xf>
    <xf numFmtId="10" fontId="8" fillId="0" borderId="3" xfId="2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0" fontId="9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justify" vertical="center" wrapText="1"/>
    </xf>
    <xf numFmtId="0" fontId="11" fillId="0" borderId="3" xfId="0" applyFont="1" applyBorder="1" applyAlignment="1">
      <alignment horizontal="right" vertical="center"/>
    </xf>
    <xf numFmtId="9" fontId="11" fillId="0" borderId="3" xfId="0" applyNumberFormat="1" applyFont="1" applyBorder="1" applyAlignment="1">
      <alignment horizontal="right" vertical="center"/>
    </xf>
    <xf numFmtId="4" fontId="5" fillId="0" borderId="19" xfId="0" quotePrefix="1" applyNumberFormat="1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4" fontId="5" fillId="0" borderId="20" xfId="0" applyNumberFormat="1" applyFont="1" applyBorder="1" applyAlignment="1">
      <alignment vertical="center"/>
    </xf>
    <xf numFmtId="4" fontId="5" fillId="0" borderId="2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4" fontId="5" fillId="0" borderId="22" xfId="0" applyNumberFormat="1" applyFont="1" applyBorder="1" applyAlignment="1">
      <alignment vertical="center"/>
    </xf>
    <xf numFmtId="0" fontId="7" fillId="0" borderId="0" xfId="0" applyFont="1"/>
    <xf numFmtId="0" fontId="7" fillId="0" borderId="0" xfId="0" quotePrefix="1" applyFont="1"/>
    <xf numFmtId="0" fontId="7" fillId="3" borderId="0" xfId="0" quotePrefix="1" applyFont="1" applyFill="1"/>
    <xf numFmtId="0" fontId="7" fillId="2" borderId="0" xfId="0" applyFont="1" applyFill="1"/>
    <xf numFmtId="0" fontId="7" fillId="3" borderId="0" xfId="0" applyFont="1" applyFill="1"/>
    <xf numFmtId="0" fontId="7" fillId="2" borderId="0" xfId="0" quotePrefix="1" applyFont="1" applyFill="1"/>
    <xf numFmtId="0" fontId="7" fillId="9" borderId="0" xfId="0" applyFont="1" applyFill="1"/>
    <xf numFmtId="0" fontId="7" fillId="9" borderId="0" xfId="0" quotePrefix="1" applyFont="1" applyFill="1"/>
    <xf numFmtId="10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7" fillId="0" borderId="0" xfId="0" applyNumberFormat="1" applyFont="1"/>
    <xf numFmtId="0" fontId="8" fillId="0" borderId="0" xfId="0" applyFont="1" applyAlignment="1">
      <alignment horizontal="left" vertical="center"/>
    </xf>
    <xf numFmtId="10" fontId="7" fillId="0" borderId="0" xfId="0" applyNumberFormat="1" applyFont="1"/>
    <xf numFmtId="10" fontId="7" fillId="0" borderId="0" xfId="2" applyNumberFormat="1" applyFont="1"/>
    <xf numFmtId="165" fontId="7" fillId="0" borderId="0" xfId="0" applyNumberFormat="1" applyFont="1"/>
    <xf numFmtId="10" fontId="7" fillId="0" borderId="0" xfId="2" applyNumberFormat="1" applyFont="1" applyFill="1"/>
    <xf numFmtId="0" fontId="21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0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9" fontId="7" fillId="0" borderId="0" xfId="0" applyNumberFormat="1" applyFont="1"/>
    <xf numFmtId="166" fontId="7" fillId="0" borderId="3" xfId="0" applyNumberFormat="1" applyFont="1" applyBorder="1"/>
    <xf numFmtId="0" fontId="12" fillId="5" borderId="3" xfId="0" applyFont="1" applyFill="1" applyBorder="1"/>
    <xf numFmtId="166" fontId="12" fillId="5" borderId="3" xfId="0" applyNumberFormat="1" applyFont="1" applyFill="1" applyBorder="1"/>
    <xf numFmtId="168" fontId="12" fillId="5" borderId="3" xfId="0" applyNumberFormat="1" applyFont="1" applyFill="1" applyBorder="1"/>
    <xf numFmtId="3" fontId="8" fillId="0" borderId="3" xfId="0" applyNumberFormat="1" applyFont="1" applyBorder="1" applyAlignment="1">
      <alignment horizontal="right" vertical="center"/>
    </xf>
    <xf numFmtId="0" fontId="22" fillId="0" borderId="3" xfId="0" applyFont="1" applyBorder="1"/>
    <xf numFmtId="2" fontId="8" fillId="0" borderId="3" xfId="0" applyNumberFormat="1" applyFont="1" applyBorder="1" applyAlignment="1">
      <alignment horizontal="right" vertical="center"/>
    </xf>
    <xf numFmtId="3" fontId="7" fillId="0" borderId="0" xfId="0" applyNumberFormat="1" applyFont="1"/>
    <xf numFmtId="9" fontId="8" fillId="0" borderId="3" xfId="0" applyNumberFormat="1" applyFont="1" applyBorder="1" applyAlignment="1">
      <alignment horizontal="right" vertical="center"/>
    </xf>
    <xf numFmtId="9" fontId="7" fillId="0" borderId="0" xfId="2" applyFont="1"/>
    <xf numFmtId="3" fontId="7" fillId="0" borderId="3" xfId="0" applyNumberFormat="1" applyFont="1" applyBorder="1"/>
    <xf numFmtId="2" fontId="7" fillId="0" borderId="0" xfId="0" applyNumberFormat="1" applyFont="1"/>
    <xf numFmtId="0" fontId="7" fillId="0" borderId="4" xfId="0" applyFont="1" applyBorder="1"/>
    <xf numFmtId="2" fontId="12" fillId="0" borderId="3" xfId="0" applyNumberFormat="1" applyFont="1" applyBorder="1"/>
    <xf numFmtId="10" fontId="7" fillId="0" borderId="25" xfId="2" applyNumberFormat="1" applyFont="1" applyBorder="1"/>
    <xf numFmtId="0" fontId="7" fillId="0" borderId="23" xfId="0" applyFont="1" applyBorder="1"/>
    <xf numFmtId="0" fontId="12" fillId="10" borderId="0" xfId="0" applyFont="1" applyFill="1"/>
    <xf numFmtId="0" fontId="12" fillId="7" borderId="3" xfId="0" applyFont="1" applyFill="1" applyBorder="1"/>
    <xf numFmtId="2" fontId="12" fillId="7" borderId="3" xfId="0" applyNumberFormat="1" applyFont="1" applyFill="1" applyBorder="1"/>
    <xf numFmtId="0" fontId="9" fillId="10" borderId="3" xfId="0" applyFont="1" applyFill="1" applyBorder="1" applyAlignment="1">
      <alignment vertical="center"/>
    </xf>
    <xf numFmtId="43" fontId="11" fillId="10" borderId="3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2" fontId="11" fillId="0" borderId="3" xfId="0" applyNumberFormat="1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43" fontId="11" fillId="0" borderId="3" xfId="0" applyNumberFormat="1" applyFont="1" applyBorder="1" applyAlignment="1">
      <alignment vertical="center"/>
    </xf>
    <xf numFmtId="2" fontId="11" fillId="10" borderId="3" xfId="0" applyNumberFormat="1" applyFont="1" applyFill="1" applyBorder="1" applyAlignment="1">
      <alignment vertical="center"/>
    </xf>
    <xf numFmtId="0" fontId="9" fillId="10" borderId="4" xfId="0" applyFont="1" applyFill="1" applyBorder="1" applyAlignment="1">
      <alignment vertical="center"/>
    </xf>
    <xf numFmtId="0" fontId="11" fillId="10" borderId="19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 wrapText="1"/>
    </xf>
    <xf numFmtId="0" fontId="11" fillId="10" borderId="24" xfId="0" applyFont="1" applyFill="1" applyBorder="1" applyAlignment="1">
      <alignment horizontal="center" vertical="center" wrapText="1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21" fillId="0" borderId="3" xfId="0" applyFont="1" applyBorder="1"/>
    <xf numFmtId="2" fontId="8" fillId="0" borderId="3" xfId="0" applyNumberFormat="1" applyFont="1" applyBorder="1"/>
    <xf numFmtId="0" fontId="21" fillId="11" borderId="3" xfId="0" applyFont="1" applyFill="1" applyBorder="1"/>
    <xf numFmtId="2" fontId="8" fillId="11" borderId="3" xfId="0" applyNumberFormat="1" applyFont="1" applyFill="1" applyBorder="1"/>
    <xf numFmtId="2" fontId="24" fillId="0" borderId="3" xfId="0" applyNumberFormat="1" applyFont="1" applyBorder="1"/>
    <xf numFmtId="9" fontId="7" fillId="0" borderId="3" xfId="2" applyFont="1" applyBorder="1"/>
    <xf numFmtId="165" fontId="7" fillId="0" borderId="3" xfId="2" applyNumberFormat="1" applyFont="1" applyBorder="1"/>
    <xf numFmtId="10" fontId="7" fillId="0" borderId="3" xfId="2" applyNumberFormat="1" applyFont="1" applyBorder="1"/>
    <xf numFmtId="0" fontId="2" fillId="0" borderId="14" xfId="0" applyFont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4" fontId="5" fillId="4" borderId="16" xfId="0" applyNumberFormat="1" applyFont="1" applyFill="1" applyBorder="1" applyAlignment="1">
      <alignment horizontal="right" vertical="center"/>
    </xf>
    <xf numFmtId="0" fontId="3" fillId="0" borderId="15" xfId="0" applyFont="1" applyBorder="1" applyAlignment="1">
      <alignment horizontal="left" vertical="center"/>
    </xf>
    <xf numFmtId="4" fontId="4" fillId="4" borderId="16" xfId="0" applyNumberFormat="1" applyFont="1" applyFill="1" applyBorder="1" applyAlignment="1">
      <alignment horizontal="right" vertical="center"/>
    </xf>
    <xf numFmtId="0" fontId="25" fillId="0" borderId="6" xfId="0" applyFont="1" applyBorder="1"/>
    <xf numFmtId="4" fontId="5" fillId="4" borderId="6" xfId="0" applyNumberFormat="1" applyFont="1" applyFill="1" applyBorder="1" applyAlignment="1">
      <alignment horizontal="left" vertical="center"/>
    </xf>
    <xf numFmtId="4" fontId="26" fillId="4" borderId="16" xfId="0" applyNumberFormat="1" applyFont="1" applyFill="1" applyBorder="1" applyAlignment="1">
      <alignment horizontal="right" vertical="center"/>
    </xf>
    <xf numFmtId="0" fontId="11" fillId="0" borderId="3" xfId="0" applyFont="1" applyBorder="1"/>
    <xf numFmtId="0" fontId="9" fillId="10" borderId="21" xfId="0" applyFont="1" applyFill="1" applyBorder="1" applyAlignment="1">
      <alignment horizontal="center" vertical="center" wrapText="1"/>
    </xf>
    <xf numFmtId="10" fontId="22" fillId="0" borderId="3" xfId="2" applyNumberFormat="1" applyFont="1" applyFill="1" applyBorder="1"/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0" fontId="5" fillId="0" borderId="3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9" fillId="0" borderId="3" xfId="0" applyFont="1" applyBorder="1" applyAlignment="1">
      <alignment horizontal="center"/>
    </xf>
    <xf numFmtId="4" fontId="7" fillId="0" borderId="3" xfId="0" applyNumberFormat="1" applyFont="1" applyBorder="1"/>
    <xf numFmtId="10" fontId="8" fillId="0" borderId="3" xfId="2" applyNumberFormat="1" applyFont="1" applyFill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7" fillId="0" borderId="0" xfId="0" applyFont="1" applyAlignment="1">
      <alignment wrapText="1"/>
    </xf>
    <xf numFmtId="0" fontId="21" fillId="0" borderId="18" xfId="0" applyFont="1" applyBorder="1" applyAlignment="1">
      <alignment horizontal="center" vertical="center"/>
    </xf>
    <xf numFmtId="0" fontId="7" fillId="0" borderId="18" xfId="0" applyFont="1" applyBorder="1"/>
    <xf numFmtId="0" fontId="23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right" vertical="center"/>
    </xf>
    <xf numFmtId="9" fontId="23" fillId="0" borderId="3" xfId="0" applyNumberFormat="1" applyFont="1" applyBorder="1" applyAlignment="1">
      <alignment horizontal="right" vertical="center"/>
    </xf>
    <xf numFmtId="2" fontId="23" fillId="0" borderId="3" xfId="0" applyNumberFormat="1" applyFont="1" applyBorder="1" applyAlignment="1">
      <alignment horizontal="right" vertical="center"/>
    </xf>
    <xf numFmtId="0" fontId="8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right" vertical="center"/>
    </xf>
    <xf numFmtId="9" fontId="8" fillId="10" borderId="3" xfId="0" applyNumberFormat="1" applyFont="1" applyFill="1" applyBorder="1" applyAlignment="1">
      <alignment horizontal="right" vertical="center"/>
    </xf>
    <xf numFmtId="2" fontId="8" fillId="10" borderId="3" xfId="0" applyNumberFormat="1" applyFont="1" applyFill="1" applyBorder="1" applyAlignment="1">
      <alignment horizontal="right" vertical="center"/>
    </xf>
    <xf numFmtId="0" fontId="7" fillId="0" borderId="24" xfId="0" applyFont="1" applyBorder="1" applyAlignment="1">
      <alignment horizontal="center" wrapText="1"/>
    </xf>
    <xf numFmtId="0" fontId="7" fillId="10" borderId="3" xfId="0" applyFont="1" applyFill="1" applyBorder="1"/>
    <xf numFmtId="3" fontId="7" fillId="10" borderId="3" xfId="0" applyNumberFormat="1" applyFont="1" applyFill="1" applyBorder="1"/>
    <xf numFmtId="0" fontId="11" fillId="10" borderId="3" xfId="0" applyFont="1" applyFill="1" applyBorder="1"/>
    <xf numFmtId="0" fontId="9" fillId="10" borderId="3" xfId="0" applyFont="1" applyFill="1" applyBorder="1" applyAlignment="1">
      <alignment horizontal="center"/>
    </xf>
    <xf numFmtId="0" fontId="15" fillId="13" borderId="3" xfId="0" applyFont="1" applyFill="1" applyBorder="1" applyAlignment="1">
      <alignment vertical="center"/>
    </xf>
    <xf numFmtId="0" fontId="13" fillId="13" borderId="3" xfId="0" applyFont="1" applyFill="1" applyBorder="1"/>
    <xf numFmtId="0" fontId="15" fillId="12" borderId="3" xfId="0" applyFont="1" applyFill="1" applyBorder="1" applyAlignment="1">
      <alignment vertical="center"/>
    </xf>
    <xf numFmtId="0" fontId="13" fillId="12" borderId="3" xfId="0" applyFont="1" applyFill="1" applyBorder="1"/>
    <xf numFmtId="0" fontId="18" fillId="12" borderId="3" xfId="0" applyFont="1" applyFill="1" applyBorder="1"/>
    <xf numFmtId="0" fontId="9" fillId="12" borderId="3" xfId="0" applyFont="1" applyFill="1" applyBorder="1" applyAlignment="1">
      <alignment horizontal="center"/>
    </xf>
    <xf numFmtId="0" fontId="13" fillId="8" borderId="3" xfId="0" applyFont="1" applyFill="1" applyBorder="1"/>
    <xf numFmtId="0" fontId="15" fillId="13" borderId="3" xfId="0" applyFont="1" applyFill="1" applyBorder="1" applyAlignment="1">
      <alignment horizontal="left" vertical="center"/>
    </xf>
    <xf numFmtId="0" fontId="18" fillId="13" borderId="7" xfId="0" applyFont="1" applyFill="1" applyBorder="1"/>
    <xf numFmtId="0" fontId="9" fillId="13" borderId="7" xfId="0" applyFont="1" applyFill="1" applyBorder="1" applyAlignment="1">
      <alignment horizontal="center"/>
    </xf>
    <xf numFmtId="0" fontId="15" fillId="7" borderId="3" xfId="0" applyFont="1" applyFill="1" applyBorder="1" applyAlignment="1">
      <alignment vertical="center" wrapText="1"/>
    </xf>
    <xf numFmtId="0" fontId="13" fillId="7" borderId="3" xfId="0" applyFont="1" applyFill="1" applyBorder="1"/>
    <xf numFmtId="0" fontId="18" fillId="7" borderId="3" xfId="0" applyFont="1" applyFill="1" applyBorder="1"/>
    <xf numFmtId="0" fontId="14" fillId="7" borderId="3" xfId="0" applyFont="1" applyFill="1" applyBorder="1"/>
    <xf numFmtId="0" fontId="9" fillId="7" borderId="3" xfId="0" applyFont="1" applyFill="1" applyBorder="1" applyAlignment="1">
      <alignment horizontal="center"/>
    </xf>
    <xf numFmtId="0" fontId="15" fillId="10" borderId="3" xfId="0" applyFont="1" applyFill="1" applyBorder="1" applyAlignment="1">
      <alignment vertical="center"/>
    </xf>
    <xf numFmtId="0" fontId="13" fillId="10" borderId="3" xfId="0" applyFont="1" applyFill="1" applyBorder="1"/>
    <xf numFmtId="0" fontId="15" fillId="12" borderId="3" xfId="0" applyFont="1" applyFill="1" applyBorder="1" applyAlignment="1">
      <alignment horizontal="left" vertical="center"/>
    </xf>
    <xf numFmtId="0" fontId="15" fillId="7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/>
    </xf>
    <xf numFmtId="0" fontId="18" fillId="14" borderId="3" xfId="0" applyFont="1" applyFill="1" applyBorder="1"/>
    <xf numFmtId="167" fontId="13" fillId="14" borderId="3" xfId="1" applyNumberFormat="1" applyFont="1" applyFill="1" applyBorder="1"/>
    <xf numFmtId="43" fontId="13" fillId="14" borderId="3" xfId="0" applyNumberFormat="1" applyFont="1" applyFill="1" applyBorder="1"/>
    <xf numFmtId="165" fontId="13" fillId="14" borderId="3" xfId="2" applyNumberFormat="1" applyFont="1" applyFill="1" applyBorder="1"/>
    <xf numFmtId="10" fontId="15" fillId="14" borderId="3" xfId="2" applyNumberFormat="1" applyFont="1" applyFill="1" applyBorder="1" applyAlignment="1">
      <alignment horizontal="right" vertical="center"/>
    </xf>
    <xf numFmtId="0" fontId="13" fillId="14" borderId="3" xfId="1" applyNumberFormat="1" applyFont="1" applyFill="1" applyBorder="1"/>
    <xf numFmtId="167" fontId="18" fillId="14" borderId="3" xfId="1" applyNumberFormat="1" applyFont="1" applyFill="1" applyBorder="1"/>
    <xf numFmtId="4" fontId="13" fillId="14" borderId="3" xfId="0" applyNumberFormat="1" applyFont="1" applyFill="1" applyBorder="1"/>
    <xf numFmtId="4" fontId="18" fillId="14" borderId="3" xfId="0" applyNumberFormat="1" applyFont="1" applyFill="1" applyBorder="1"/>
    <xf numFmtId="0" fontId="15" fillId="8" borderId="3" xfId="0" applyFont="1" applyFill="1" applyBorder="1"/>
    <xf numFmtId="0" fontId="14" fillId="8" borderId="9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11" xfId="0" applyFont="1" applyFill="1" applyBorder="1" applyAlignment="1">
      <alignment horizontal="left" vertical="center" wrapText="1"/>
    </xf>
    <xf numFmtId="0" fontId="8" fillId="8" borderId="12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18" fillId="8" borderId="3" xfId="0" applyFont="1" applyFill="1" applyBorder="1"/>
    <xf numFmtId="3" fontId="13" fillId="14" borderId="3" xfId="0" applyNumberFormat="1" applyFont="1" applyFill="1" applyBorder="1"/>
    <xf numFmtId="10" fontId="13" fillId="14" borderId="3" xfId="2" applyNumberFormat="1" applyFont="1" applyFill="1" applyBorder="1"/>
    <xf numFmtId="3" fontId="15" fillId="14" borderId="3" xfId="1" applyNumberFormat="1" applyFont="1" applyFill="1" applyBorder="1"/>
    <xf numFmtId="3" fontId="15" fillId="14" borderId="0" xfId="1" applyNumberFormat="1" applyFont="1" applyFill="1"/>
    <xf numFmtId="3" fontId="15" fillId="14" borderId="3" xfId="0" applyNumberFormat="1" applyFont="1" applyFill="1" applyBorder="1"/>
    <xf numFmtId="3" fontId="13" fillId="14" borderId="3" xfId="1" applyNumberFormat="1" applyFont="1" applyFill="1" applyBorder="1"/>
    <xf numFmtId="0" fontId="13" fillId="14" borderId="0" xfId="0" applyFont="1" applyFill="1"/>
    <xf numFmtId="10" fontId="14" fillId="14" borderId="3" xfId="0" applyNumberFormat="1" applyFont="1" applyFill="1" applyBorder="1" applyAlignment="1">
      <alignment horizontal="right" vertical="center"/>
    </xf>
    <xf numFmtId="10" fontId="14" fillId="14" borderId="18" xfId="0" applyNumberFormat="1" applyFont="1" applyFill="1" applyBorder="1" applyAlignment="1">
      <alignment horizontal="right" vertical="center"/>
    </xf>
    <xf numFmtId="10" fontId="14" fillId="14" borderId="3" xfId="2" applyNumberFormat="1" applyFont="1" applyFill="1" applyBorder="1" applyAlignment="1">
      <alignment horizontal="right" vertical="center"/>
    </xf>
    <xf numFmtId="10" fontId="13" fillId="14" borderId="0" xfId="0" applyNumberFormat="1" applyFont="1" applyFill="1"/>
    <xf numFmtId="10" fontId="5" fillId="14" borderId="3" xfId="0" applyNumberFormat="1" applyFont="1" applyFill="1" applyBorder="1" applyAlignment="1">
      <alignment horizontal="right" vertical="center"/>
    </xf>
    <xf numFmtId="10" fontId="5" fillId="14" borderId="0" xfId="0" applyNumberFormat="1" applyFont="1" applyFill="1" applyAlignment="1">
      <alignment horizontal="right" vertical="center"/>
    </xf>
    <xf numFmtId="9" fontId="13" fillId="14" borderId="3" xfId="0" applyNumberFormat="1" applyFont="1" applyFill="1" applyBorder="1"/>
    <xf numFmtId="9" fontId="13" fillId="14" borderId="0" xfId="0" applyNumberFormat="1" applyFont="1" applyFill="1"/>
    <xf numFmtId="3" fontId="13" fillId="14" borderId="0" xfId="0" applyNumberFormat="1" applyFont="1" applyFill="1"/>
    <xf numFmtId="10" fontId="13" fillId="14" borderId="0" xfId="2" applyNumberFormat="1" applyFont="1" applyFill="1"/>
    <xf numFmtId="0" fontId="7" fillId="7" borderId="3" xfId="0" applyFont="1" applyFill="1" applyBorder="1"/>
    <xf numFmtId="0" fontId="11" fillId="7" borderId="3" xfId="0" applyFont="1" applyFill="1" applyBorder="1"/>
    <xf numFmtId="0" fontId="9" fillId="7" borderId="3" xfId="0" applyFont="1" applyFill="1" applyBorder="1"/>
    <xf numFmtId="0" fontId="21" fillId="7" borderId="5" xfId="0" applyFont="1" applyFill="1" applyBorder="1" applyAlignment="1">
      <alignment horizontal="center" vertical="center"/>
    </xf>
    <xf numFmtId="0" fontId="9" fillId="0" borderId="0" xfId="0" applyFont="1"/>
    <xf numFmtId="0" fontId="12" fillId="10" borderId="3" xfId="0" applyFont="1" applyFill="1" applyBorder="1"/>
    <xf numFmtId="4" fontId="12" fillId="10" borderId="3" xfId="0" applyNumberFormat="1" applyFont="1" applyFill="1" applyBorder="1"/>
    <xf numFmtId="9" fontId="0" fillId="0" borderId="3" xfId="2" applyFont="1" applyBorder="1"/>
    <xf numFmtId="4" fontId="6" fillId="15" borderId="29" xfId="0" applyNumberFormat="1" applyFont="1" applyFill="1" applyBorder="1" applyAlignment="1">
      <alignment horizontal="right" vertical="center"/>
    </xf>
    <xf numFmtId="0" fontId="6" fillId="0" borderId="28" xfId="0" applyFont="1" applyBorder="1" applyAlignment="1">
      <alignment horizontal="left" vertical="center" indent="1"/>
    </xf>
    <xf numFmtId="165" fontId="2" fillId="0" borderId="15" xfId="2" applyNumberFormat="1" applyFont="1" applyBorder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10" fontId="11" fillId="0" borderId="4" xfId="2" applyNumberFormat="1" applyFont="1" applyBorder="1" applyAlignment="1">
      <alignment horizontal="center"/>
    </xf>
    <xf numFmtId="10" fontId="11" fillId="0" borderId="18" xfId="2" applyNumberFormat="1" applyFont="1" applyBorder="1" applyAlignment="1">
      <alignment horizontal="center"/>
    </xf>
    <xf numFmtId="0" fontId="9" fillId="7" borderId="4" xfId="0" applyFont="1" applyFill="1" applyBorder="1" applyAlignment="1">
      <alignment horizontal="left" vertical="center"/>
    </xf>
    <xf numFmtId="0" fontId="9" fillId="7" borderId="17" xfId="0" applyFont="1" applyFill="1" applyBorder="1" applyAlignment="1">
      <alignment horizontal="left" vertical="center"/>
    </xf>
    <xf numFmtId="0" fontId="9" fillId="7" borderId="18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1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29</xdr:row>
      <xdr:rowOff>19050</xdr:rowOff>
    </xdr:from>
    <xdr:to>
      <xdr:col>0</xdr:col>
      <xdr:colOff>2862628</xdr:colOff>
      <xdr:row>31</xdr:row>
      <xdr:rowOff>70337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71450" y="5391150"/>
              <a:ext cx="2691178" cy="451337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wrap="square">
              <a:noAutofit/>
            </a:bodyPr>
            <a:lstStyle/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sz="900">
                            <a:latin typeface="Cambria Math" panose="02040503050406030204" pitchFamily="18" charset="0"/>
                          </a:rPr>
                          <m:t>𝐸𝑉𝐴</m:t>
                        </m:r>
                      </m:e>
                      <m:sub>
                        <m:r>
                          <a:rPr sz="900">
                            <a:latin typeface="Cambria Math" panose="02040503050406030204" pitchFamily="18" charset="0"/>
                          </a:rPr>
                          <m:t>𝑇𝑉</m:t>
                        </m:r>
                      </m:sub>
                    </m:sSub>
                    <m:r>
                      <a:rPr sz="9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sz="9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sz="9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𝐸𝑉</m:t>
                            </m:r>
                            <m:sSub>
                              <m:sSubPr>
                                <m:ctrlPr>
                                  <a:rPr sz="9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sub>
                            </m:sSub>
                          </m:num>
                          <m:den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𝑊𝐴𝐶𝐶</m:t>
                            </m:r>
                          </m:den>
                        </m:f>
                        <m:r>
                          <a:rPr sz="9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sz="9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sz="9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∆</m:t>
                                </m:r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𝐼𝐶</m:t>
                                </m:r>
                              </m:e>
                              <m:sub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r>
                                  <a:rPr sz="900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sub>
                            </m:sSub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∗(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𝑅𝑂𝑁𝐼𝐶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𝑊𝐴𝐶𝐶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𝑊𝐴𝐶𝐶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∗(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𝑊𝐴𝐶𝐶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𝑔</m:t>
                            </m:r>
                            <m:r>
                              <a:rPr sz="900">
                                <a:latin typeface="Cambria Math" panose="02040503050406030204" pitchFamily="18" charset="0"/>
                              </a:rPr>
                              <m:t>)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GB" sz="1000">
                <a:solidFill>
                  <a:srgbClr val="000000"/>
                </a:solidFill>
                <a:latin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171450" y="5391150"/>
              <a:ext cx="2691178" cy="451337"/>
            </a:xfrm>
            <a:prstGeom prst="rect">
              <a:avLst/>
            </a:prstGeom>
            <a:noFill/>
            <a:ln>
              <a:noFill/>
            </a:ln>
            <a:effectLst/>
          </xdr:spPr>
          <xdr:txBody>
            <a:bodyPr wrap="square">
              <a:noAutofit/>
            </a:bodyPr>
            <a:lstStyle/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r>
                <a:rPr lang="ru-RU" sz="900" i="0">
                  <a:latin typeface="Cambria Math" panose="02040503050406030204" pitchFamily="18" charset="0"/>
                </a:rPr>
                <a:t>〖</a:t>
              </a:r>
              <a:r>
                <a:rPr sz="900" i="0">
                  <a:latin typeface="Cambria Math" panose="02040503050406030204" pitchFamily="18" charset="0"/>
                </a:rPr>
                <a:t>𝐸𝑉𝐴〗_𝑇𝑉=</a:t>
              </a:r>
              <a:r>
                <a:rPr lang="ru-RU" sz="900" i="0">
                  <a:latin typeface="Cambria Math" panose="02040503050406030204" pitchFamily="18" charset="0"/>
                </a:rPr>
                <a:t>((</a:t>
              </a:r>
              <a:r>
                <a:rPr sz="900" i="0">
                  <a:latin typeface="Cambria Math" panose="02040503050406030204" pitchFamily="18" charset="0"/>
                </a:rPr>
                <a:t>𝐸𝑉𝐴_(𝑇+1))/𝑊𝐴𝐶𝐶+(〖∆𝐼𝐶〗_(𝑇+1)∗(𝑅𝑂𝑁𝐼𝐶−𝑊𝐴𝐶𝐶))/(𝑊𝐴𝐶𝐶∗(𝑊𝐴𝐶𝐶−𝑔)))</a:t>
              </a:r>
              <a:endParaRPr lang="en-GB" sz="1000">
                <a:solidFill>
                  <a:srgbClr val="000000"/>
                </a:solidFill>
                <a:latin typeface="Arial" panose="020B0604020202020204" pitchFamily="34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16566</xdr:colOff>
      <xdr:row>1</xdr:row>
      <xdr:rowOff>8283</xdr:rowOff>
    </xdr:from>
    <xdr:to>
      <xdr:col>24</xdr:col>
      <xdr:colOff>336970</xdr:colOff>
      <xdr:row>15</xdr:row>
      <xdr:rowOff>32595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75066" y="215348"/>
          <a:ext cx="5223708" cy="2923225"/>
        </a:xfrm>
        <a:prstGeom prst="rect">
          <a:avLst/>
        </a:prstGeom>
      </xdr:spPr>
    </xdr:pic>
    <xdr:clientData/>
  </xdr:twoCellAnchor>
  <xdr:twoCellAnchor editAs="oneCell">
    <xdr:from>
      <xdr:col>16</xdr:col>
      <xdr:colOff>26091</xdr:colOff>
      <xdr:row>15</xdr:row>
      <xdr:rowOff>71645</xdr:rowOff>
    </xdr:from>
    <xdr:to>
      <xdr:col>21</xdr:col>
      <xdr:colOff>313009</xdr:colOff>
      <xdr:row>26</xdr:row>
      <xdr:rowOff>122962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4591" y="3177623"/>
          <a:ext cx="3351483" cy="2494687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342901</xdr:colOff>
      <xdr:row>15</xdr:row>
      <xdr:rowOff>81171</xdr:rowOff>
    </xdr:from>
    <xdr:to>
      <xdr:col>28</xdr:col>
      <xdr:colOff>249702</xdr:colOff>
      <xdr:row>22</xdr:row>
      <xdr:rowOff>60006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65966" y="3187149"/>
          <a:ext cx="5679779" cy="1428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745331</xdr:colOff>
      <xdr:row>5</xdr:row>
      <xdr:rowOff>45841</xdr:rowOff>
    </xdr:from>
    <xdr:to>
      <xdr:col>11</xdr:col>
      <xdr:colOff>564356</xdr:colOff>
      <xdr:row>12</xdr:row>
      <xdr:rowOff>150577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7456" y="2255641"/>
          <a:ext cx="4048125" cy="24955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180975</xdr:rowOff>
    </xdr:from>
    <xdr:to>
      <xdr:col>15</xdr:col>
      <xdr:colOff>552450</xdr:colOff>
      <xdr:row>15</xdr:row>
      <xdr:rowOff>21353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180975"/>
          <a:ext cx="5248275" cy="2821703"/>
        </a:xfrm>
        <a:prstGeom prst="rect">
          <a:avLst/>
        </a:prstGeom>
      </xdr:spPr>
    </xdr:pic>
    <xdr:clientData/>
  </xdr:twoCellAnchor>
  <xdr:twoCellAnchor editAs="oneCell">
    <xdr:from>
      <xdr:col>15</xdr:col>
      <xdr:colOff>990599</xdr:colOff>
      <xdr:row>22</xdr:row>
      <xdr:rowOff>28575</xdr:rowOff>
    </xdr:from>
    <xdr:to>
      <xdr:col>19</xdr:col>
      <xdr:colOff>28575</xdr:colOff>
      <xdr:row>30</xdr:row>
      <xdr:rowOff>39950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0019"/>
        <a:stretch/>
      </xdr:blipFill>
      <xdr:spPr>
        <a:xfrm>
          <a:off x="13773149" y="4391025"/>
          <a:ext cx="3505201" cy="1602050"/>
        </a:xfrm>
        <a:prstGeom prst="rect">
          <a:avLst/>
        </a:prstGeom>
      </xdr:spPr>
    </xdr:pic>
    <xdr:clientData/>
  </xdr:twoCellAnchor>
  <xdr:twoCellAnchor editAs="oneCell">
    <xdr:from>
      <xdr:col>15</xdr:col>
      <xdr:colOff>583829</xdr:colOff>
      <xdr:row>1</xdr:row>
      <xdr:rowOff>0</xdr:rowOff>
    </xdr:from>
    <xdr:to>
      <xdr:col>19</xdr:col>
      <xdr:colOff>303402</xdr:colOff>
      <xdr:row>15</xdr:row>
      <xdr:rowOff>94286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66379" y="190500"/>
          <a:ext cx="4186798" cy="28851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</xdr:colOff>
      <xdr:row>6</xdr:row>
      <xdr:rowOff>0</xdr:rowOff>
    </xdr:from>
    <xdr:to>
      <xdr:col>18</xdr:col>
      <xdr:colOff>2990851</xdr:colOff>
      <xdr:row>17</xdr:row>
      <xdr:rowOff>29691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8551" y="1581150"/>
          <a:ext cx="3867150" cy="212519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9525</xdr:rowOff>
    </xdr:from>
    <xdr:to>
      <xdr:col>19</xdr:col>
      <xdr:colOff>691499</xdr:colOff>
      <xdr:row>31</xdr:row>
      <xdr:rowOff>18405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68550" y="3876675"/>
          <a:ext cx="5530199" cy="248538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14</xdr:row>
      <xdr:rowOff>28575</xdr:rowOff>
    </xdr:from>
    <xdr:to>
      <xdr:col>15</xdr:col>
      <xdr:colOff>1722748</xdr:colOff>
      <xdr:row>24</xdr:row>
      <xdr:rowOff>151680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8026" y="3133725"/>
          <a:ext cx="3999222" cy="20281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2</xdr:row>
      <xdr:rowOff>1</xdr:rowOff>
    </xdr:from>
    <xdr:to>
      <xdr:col>19</xdr:col>
      <xdr:colOff>447675</xdr:colOff>
      <xdr:row>15</xdr:row>
      <xdr:rowOff>146965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5876" y="381001"/>
          <a:ext cx="4714874" cy="2642514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15</xdr:row>
      <xdr:rowOff>171450</xdr:rowOff>
    </xdr:from>
    <xdr:to>
      <xdr:col>19</xdr:col>
      <xdr:colOff>288208</xdr:colOff>
      <xdr:row>28</xdr:row>
      <xdr:rowOff>57150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3057525"/>
          <a:ext cx="4545883" cy="2562225"/>
        </a:xfrm>
        <a:prstGeom prst="rect">
          <a:avLst/>
        </a:prstGeom>
      </xdr:spPr>
    </xdr:pic>
    <xdr:clientData/>
  </xdr:twoCellAnchor>
  <xdr:twoCellAnchor editAs="oneCell">
    <xdr:from>
      <xdr:col>19</xdr:col>
      <xdr:colOff>435127</xdr:colOff>
      <xdr:row>1</xdr:row>
      <xdr:rowOff>171450</xdr:rowOff>
    </xdr:from>
    <xdr:to>
      <xdr:col>27</xdr:col>
      <xdr:colOff>594780</xdr:colOff>
      <xdr:row>16</xdr:row>
      <xdr:rowOff>123825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8202" y="361950"/>
          <a:ext cx="5036453" cy="2847975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</xdr:colOff>
      <xdr:row>21</xdr:row>
      <xdr:rowOff>104775</xdr:rowOff>
    </xdr:from>
    <xdr:to>
      <xdr:col>28</xdr:col>
      <xdr:colOff>403774</xdr:colOff>
      <xdr:row>37</xdr:row>
      <xdr:rowOff>62881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92200" y="4191000"/>
          <a:ext cx="5271049" cy="30061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18</xdr:col>
      <xdr:colOff>9525</xdr:colOff>
      <xdr:row>13</xdr:row>
      <xdr:rowOff>36023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90500"/>
          <a:ext cx="4276725" cy="2331548"/>
        </a:xfrm>
        <a:prstGeom prst="rect">
          <a:avLst/>
        </a:prstGeom>
      </xdr:spPr>
    </xdr:pic>
    <xdr:clientData/>
  </xdr:twoCellAnchor>
  <xdr:twoCellAnchor editAs="oneCell">
    <xdr:from>
      <xdr:col>18</xdr:col>
      <xdr:colOff>10664</xdr:colOff>
      <xdr:row>1</xdr:row>
      <xdr:rowOff>28575</xdr:rowOff>
    </xdr:from>
    <xdr:to>
      <xdr:col>26</xdr:col>
      <xdr:colOff>255932</xdr:colOff>
      <xdr:row>13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1864" y="219075"/>
          <a:ext cx="5122068" cy="22764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21</xdr:col>
      <xdr:colOff>194592</xdr:colOff>
      <xdr:row>40</xdr:row>
      <xdr:rowOff>66675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5343525"/>
          <a:ext cx="4461792" cy="2352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83;&#1077;&#1085;&#1072;/Desktop/&#1055;&#1086;&#1083;&#1080;&#1085;&#1072;/Applied%20business%20valuation/Assignment_3_Polina_Kovaleva_BJW3G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eFood Task 1"/>
      <sheetName val="NiceFood Merged"/>
      <sheetName val="NiceFood Adult Club"/>
      <sheetName val="DreamWell Cases"/>
      <sheetName val="Merge Tasks 2,3,4"/>
    </sheetNames>
    <sheetDataSet>
      <sheetData sheetId="0"/>
      <sheetData sheetId="1">
        <row r="8">
          <cell r="L8">
            <v>291.2921675576722</v>
          </cell>
        </row>
      </sheetData>
      <sheetData sheetId="2">
        <row r="8">
          <cell r="L8">
            <v>337.08492528250673</v>
          </cell>
        </row>
      </sheetData>
      <sheetData sheetId="3">
        <row r="7">
          <cell r="S7">
            <v>1128.0426647607703</v>
          </cell>
        </row>
        <row r="14">
          <cell r="D14">
            <v>1253.3807386230778</v>
          </cell>
          <cell r="K14">
            <v>60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47"/>
  <sheetViews>
    <sheetView zoomScaleNormal="100" workbookViewId="0">
      <selection activeCell="E37" sqref="E37"/>
    </sheetView>
  </sheetViews>
  <sheetFormatPr defaultRowHeight="15" x14ac:dyDescent="0.25"/>
  <cols>
    <col min="1" max="1" width="44.28515625" bestFit="1" customWidth="1"/>
    <col min="2" max="2" width="9.140625" style="5"/>
    <col min="3" max="3" width="13.42578125" style="5" bestFit="1" customWidth="1"/>
    <col min="4" max="4" width="16.7109375" style="5" customWidth="1"/>
    <col min="5" max="5" width="19.7109375" style="5" customWidth="1"/>
    <col min="6" max="6" width="13.42578125" style="5" bestFit="1" customWidth="1"/>
    <col min="7" max="9" width="13.5703125" style="5" bestFit="1" customWidth="1"/>
    <col min="10" max="14" width="9.140625" style="5"/>
    <col min="15" max="15" width="13.5703125" style="5" bestFit="1" customWidth="1"/>
    <col min="16" max="21" width="13.42578125" style="5" bestFit="1" customWidth="1"/>
  </cols>
  <sheetData>
    <row r="2" spans="1:21" ht="15.75" x14ac:dyDescent="0.25">
      <c r="C2" s="20">
        <v>2022</v>
      </c>
      <c r="D2" s="20">
        <v>2023</v>
      </c>
      <c r="E2" s="20">
        <v>2024</v>
      </c>
      <c r="F2" s="20">
        <v>2025</v>
      </c>
      <c r="G2" s="20">
        <v>2026</v>
      </c>
      <c r="H2" s="216" t="s">
        <v>0</v>
      </c>
      <c r="I2" s="239"/>
      <c r="N2" s="209" t="s">
        <v>1</v>
      </c>
      <c r="O2" s="214">
        <v>2022</v>
      </c>
      <c r="P2" s="214">
        <v>2023</v>
      </c>
      <c r="Q2" s="214">
        <v>2024</v>
      </c>
      <c r="R2" s="214">
        <v>2025</v>
      </c>
      <c r="S2" s="214">
        <v>2026</v>
      </c>
      <c r="T2" s="216" t="s">
        <v>0</v>
      </c>
    </row>
    <row r="3" spans="1:21" ht="15.75" x14ac:dyDescent="0.25">
      <c r="A3" s="173" t="s">
        <v>2</v>
      </c>
      <c r="B3" s="16" t="s">
        <v>3</v>
      </c>
      <c r="C3" s="1">
        <v>0.11</v>
      </c>
      <c r="D3" s="11">
        <v>0</v>
      </c>
      <c r="E3" s="11">
        <v>0</v>
      </c>
      <c r="F3" s="11">
        <v>0</v>
      </c>
      <c r="G3" s="11">
        <v>0</v>
      </c>
      <c r="H3" s="240">
        <v>0</v>
      </c>
      <c r="I3" s="239"/>
      <c r="N3" s="210" t="s">
        <v>4</v>
      </c>
      <c r="O3" s="21">
        <v>20000</v>
      </c>
      <c r="P3" s="21">
        <f t="shared" ref="P3:U3" si="0">O3+O20</f>
        <v>21320</v>
      </c>
      <c r="Q3" s="21">
        <f t="shared" si="0"/>
        <v>22525.599999999999</v>
      </c>
      <c r="R3" s="21">
        <f t="shared" si="0"/>
        <v>23576.883199999997</v>
      </c>
      <c r="S3" s="21">
        <f t="shared" si="0"/>
        <v>24428.422591999995</v>
      </c>
      <c r="T3" s="217">
        <f t="shared" si="0"/>
        <v>25184.873418559997</v>
      </c>
      <c r="U3" s="21">
        <f t="shared" si="0"/>
        <v>26522.998197206434</v>
      </c>
    </row>
    <row r="4" spans="1:21" ht="15.75" x14ac:dyDescent="0.25">
      <c r="A4" s="172" t="s">
        <v>5</v>
      </c>
      <c r="B4" s="16" t="s">
        <v>6</v>
      </c>
      <c r="C4" s="11">
        <v>0</v>
      </c>
      <c r="D4" s="171">
        <v>0.16</v>
      </c>
      <c r="E4" s="171">
        <v>0.18</v>
      </c>
      <c r="F4" s="171">
        <v>0.2</v>
      </c>
      <c r="G4" s="171">
        <v>0.22</v>
      </c>
      <c r="H4" s="240">
        <f>H14</f>
        <v>0.11635</v>
      </c>
      <c r="I4" s="241">
        <f>I14</f>
        <v>0.11635</v>
      </c>
      <c r="N4" s="210" t="s">
        <v>7</v>
      </c>
      <c r="O4" s="21">
        <f>O3*C11</f>
        <v>0</v>
      </c>
      <c r="P4" s="21">
        <f>P3*D11</f>
        <v>4264</v>
      </c>
      <c r="Q4" s="21">
        <f t="shared" ref="Q4:S4" si="1">Q3*E11</f>
        <v>9010.24</v>
      </c>
      <c r="R4" s="21">
        <f t="shared" si="1"/>
        <v>11788.441599999998</v>
      </c>
      <c r="S4" s="21">
        <f t="shared" si="1"/>
        <v>12214.211295999998</v>
      </c>
      <c r="T4" s="217">
        <f>H9*H15</f>
        <v>13381.247786464357</v>
      </c>
      <c r="U4" s="21">
        <f>I15*I9</f>
        <v>14050.310175787572</v>
      </c>
    </row>
    <row r="5" spans="1:21" ht="15.75" x14ac:dyDescent="0.25">
      <c r="A5" s="173" t="s">
        <v>8</v>
      </c>
      <c r="B5" s="16" t="s">
        <v>9</v>
      </c>
      <c r="C5" s="171">
        <v>0.6</v>
      </c>
      <c r="D5" s="171">
        <v>0.5</v>
      </c>
      <c r="E5" s="171">
        <v>0.4</v>
      </c>
      <c r="F5" s="171">
        <v>0.3</v>
      </c>
      <c r="G5" s="171">
        <v>0.25</v>
      </c>
      <c r="H5" s="242">
        <f>I10/I4</f>
        <v>0.42973785990545771</v>
      </c>
      <c r="I5" s="243">
        <f>H5</f>
        <v>0.42973785990545771</v>
      </c>
      <c r="N5" s="210" t="s">
        <v>10</v>
      </c>
      <c r="O5" s="21">
        <f>O3-O4</f>
        <v>20000</v>
      </c>
      <c r="P5" s="21">
        <f t="shared" ref="P5:U5" si="2">P3-P4</f>
        <v>17056</v>
      </c>
      <c r="Q5" s="21">
        <f t="shared" si="2"/>
        <v>13515.359999999999</v>
      </c>
      <c r="R5" s="21">
        <f t="shared" si="2"/>
        <v>11788.441599999998</v>
      </c>
      <c r="S5" s="21">
        <f t="shared" si="2"/>
        <v>12214.211295999998</v>
      </c>
      <c r="T5" s="217">
        <f t="shared" si="2"/>
        <v>11803.62563209564</v>
      </c>
      <c r="U5" s="21">
        <f t="shared" si="2"/>
        <v>12472.688021418862</v>
      </c>
    </row>
    <row r="6" spans="1:21" ht="18.75" x14ac:dyDescent="0.25">
      <c r="B6" s="16" t="s">
        <v>11</v>
      </c>
      <c r="C6" s="171">
        <v>0.12</v>
      </c>
      <c r="D6" s="171">
        <v>0.12</v>
      </c>
      <c r="E6" s="171">
        <v>0.12</v>
      </c>
      <c r="F6" s="171">
        <v>0.12</v>
      </c>
      <c r="G6" s="171">
        <v>0.12</v>
      </c>
      <c r="H6" s="244">
        <v>0.12</v>
      </c>
      <c r="I6" s="245">
        <v>0.12</v>
      </c>
      <c r="N6" s="196" t="s">
        <v>12</v>
      </c>
      <c r="O6" s="213">
        <v>2022</v>
      </c>
      <c r="P6" s="213">
        <v>2023</v>
      </c>
      <c r="Q6" s="213">
        <v>2024</v>
      </c>
      <c r="R6" s="213">
        <v>2025</v>
      </c>
      <c r="S6" s="213">
        <v>2026</v>
      </c>
      <c r="T6" s="216" t="s">
        <v>0</v>
      </c>
    </row>
    <row r="7" spans="1:21" ht="18.75" x14ac:dyDescent="0.25">
      <c r="B7" s="16" t="s">
        <v>13</v>
      </c>
      <c r="C7" s="171">
        <v>0.06</v>
      </c>
      <c r="D7" s="171">
        <v>7.0000000000000007E-2</v>
      </c>
      <c r="E7" s="171">
        <v>7.1999999999999995E-2</v>
      </c>
      <c r="F7" s="171">
        <v>7.2999999999999995E-2</v>
      </c>
      <c r="G7" s="171">
        <v>7.2999999999999995E-2</v>
      </c>
      <c r="H7" s="244">
        <v>7.2999999999999995E-2</v>
      </c>
      <c r="I7" s="239"/>
      <c r="N7" s="197" t="s">
        <v>14</v>
      </c>
      <c r="O7" s="21">
        <f t="shared" ref="O7:U7" si="3">O19/(1-C8)</f>
        <v>2444.4444444444443</v>
      </c>
      <c r="P7" s="21">
        <f t="shared" si="3"/>
        <v>2679.1111111111109</v>
      </c>
      <c r="Q7" s="21">
        <f t="shared" si="3"/>
        <v>2920.2311111111107</v>
      </c>
      <c r="R7" s="21">
        <f t="shared" si="3"/>
        <v>3153.8495999999996</v>
      </c>
      <c r="S7" s="21">
        <f t="shared" si="3"/>
        <v>3362.0036735999993</v>
      </c>
      <c r="T7" s="217">
        <f t="shared" si="3"/>
        <v>3459.7959554558392</v>
      </c>
      <c r="U7" s="6">
        <f t="shared" si="3"/>
        <v>3269.507177905768</v>
      </c>
    </row>
    <row r="8" spans="1:21" ht="15.75" x14ac:dyDescent="0.25">
      <c r="A8" s="173" t="s">
        <v>15</v>
      </c>
      <c r="B8" s="16" t="s">
        <v>16</v>
      </c>
      <c r="C8" s="171">
        <v>0.1</v>
      </c>
      <c r="D8" s="171">
        <v>0.1</v>
      </c>
      <c r="E8" s="171">
        <v>0.1</v>
      </c>
      <c r="F8" s="171">
        <v>0.1</v>
      </c>
      <c r="G8" s="171">
        <v>0.1</v>
      </c>
      <c r="H8" s="244">
        <v>0.1</v>
      </c>
      <c r="I8" s="239"/>
      <c r="N8" s="197" t="s">
        <v>17</v>
      </c>
      <c r="O8" s="22">
        <f t="shared" ref="O8:U8" si="4">O4*C7</f>
        <v>0</v>
      </c>
      <c r="P8" s="22">
        <f>P4*D7</f>
        <v>298.48</v>
      </c>
      <c r="Q8" s="22">
        <f t="shared" si="4"/>
        <v>648.73727999999994</v>
      </c>
      <c r="R8" s="22">
        <f t="shared" si="4"/>
        <v>860.55623679999985</v>
      </c>
      <c r="S8" s="22">
        <f t="shared" si="4"/>
        <v>891.63742460799972</v>
      </c>
      <c r="T8" s="218">
        <f t="shared" si="4"/>
        <v>976.83108841189801</v>
      </c>
      <c r="U8" s="7">
        <f t="shared" si="4"/>
        <v>0</v>
      </c>
    </row>
    <row r="9" spans="1:21" ht="15.75" x14ac:dyDescent="0.25">
      <c r="B9" s="16" t="s">
        <v>18</v>
      </c>
      <c r="C9" s="12">
        <f>O4/C19</f>
        <v>0</v>
      </c>
      <c r="D9" s="12">
        <f t="shared" ref="D9:F9" si="5">P4/D19</f>
        <v>0.19040519805301395</v>
      </c>
      <c r="E9" s="12">
        <f t="shared" si="5"/>
        <v>0.37784772289507412</v>
      </c>
      <c r="F9" s="12">
        <f t="shared" si="5"/>
        <v>0.4702966810598565</v>
      </c>
      <c r="G9" s="12">
        <f>S4/G19</f>
        <v>0.46976103535784935</v>
      </c>
      <c r="H9" s="246">
        <v>0.5</v>
      </c>
      <c r="I9" s="247">
        <f>H9</f>
        <v>0.5</v>
      </c>
      <c r="N9" s="197" t="s">
        <v>19</v>
      </c>
      <c r="O9" s="21">
        <f>O7-O8</f>
        <v>2444.4444444444443</v>
      </c>
      <c r="P9" s="21">
        <f t="shared" ref="P9:U9" si="6">P7-P8</f>
        <v>2380.6311111111108</v>
      </c>
      <c r="Q9" s="21">
        <f t="shared" si="6"/>
        <v>2271.4938311111109</v>
      </c>
      <c r="R9" s="21">
        <f t="shared" si="6"/>
        <v>2293.2933631999995</v>
      </c>
      <c r="S9" s="21">
        <f t="shared" si="6"/>
        <v>2470.3662489919998</v>
      </c>
      <c r="T9" s="217">
        <f t="shared" si="6"/>
        <v>2482.964867043941</v>
      </c>
      <c r="U9" s="6">
        <f t="shared" si="6"/>
        <v>3269.507177905768</v>
      </c>
    </row>
    <row r="10" spans="1:21" ht="15" customHeight="1" x14ac:dyDescent="0.25">
      <c r="A10" s="173" t="s">
        <v>20</v>
      </c>
      <c r="B10" s="10" t="s">
        <v>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246">
        <v>0.05</v>
      </c>
      <c r="I10" s="247">
        <v>0.05</v>
      </c>
      <c r="N10" s="197" t="s">
        <v>22</v>
      </c>
      <c r="O10" s="21">
        <f t="shared" ref="O10:U10" si="7">+IF(O9&lt;0,0,O9*C8)</f>
        <v>244.44444444444446</v>
      </c>
      <c r="P10" s="21">
        <f t="shared" si="7"/>
        <v>238.06311111111108</v>
      </c>
      <c r="Q10" s="21">
        <f t="shared" si="7"/>
        <v>227.14938311111109</v>
      </c>
      <c r="R10" s="21">
        <f t="shared" si="7"/>
        <v>229.32933631999995</v>
      </c>
      <c r="S10" s="21">
        <f t="shared" si="7"/>
        <v>247.03662489919998</v>
      </c>
      <c r="T10" s="217">
        <f t="shared" si="7"/>
        <v>248.29648670439411</v>
      </c>
      <c r="U10" s="4">
        <f t="shared" si="7"/>
        <v>0</v>
      </c>
    </row>
    <row r="11" spans="1:21" ht="15.75" x14ac:dyDescent="0.25">
      <c r="B11" s="10" t="s">
        <v>23</v>
      </c>
      <c r="C11" s="171">
        <v>0</v>
      </c>
      <c r="D11" s="171">
        <v>0.2</v>
      </c>
      <c r="E11" s="171">
        <v>0.4</v>
      </c>
      <c r="F11" s="171">
        <v>0.5</v>
      </c>
      <c r="G11" s="171">
        <v>0.5</v>
      </c>
      <c r="H11" s="246"/>
      <c r="I11" s="247"/>
      <c r="N11" s="197" t="s">
        <v>24</v>
      </c>
      <c r="O11" s="21">
        <f t="shared" ref="O11:U11" si="8">O9-O10</f>
        <v>2200</v>
      </c>
      <c r="P11" s="21">
        <f t="shared" si="8"/>
        <v>2142.5679999999998</v>
      </c>
      <c r="Q11" s="21">
        <f t="shared" si="8"/>
        <v>2044.3444479999998</v>
      </c>
      <c r="R11" s="21">
        <f t="shared" si="8"/>
        <v>2063.9640268799994</v>
      </c>
      <c r="S11" s="21">
        <f t="shared" si="8"/>
        <v>2223.3296240927998</v>
      </c>
      <c r="T11" s="217">
        <f t="shared" si="8"/>
        <v>2234.6683803395467</v>
      </c>
      <c r="U11" s="6">
        <f t="shared" si="8"/>
        <v>3269.507177905768</v>
      </c>
    </row>
    <row r="12" spans="1:21" ht="15" customHeight="1" x14ac:dyDescent="0.25">
      <c r="B12" s="29" t="s">
        <v>25</v>
      </c>
      <c r="C12" s="232">
        <v>2022</v>
      </c>
      <c r="D12" s="232">
        <v>2023</v>
      </c>
      <c r="E12" s="232">
        <v>2024</v>
      </c>
      <c r="F12" s="232">
        <v>2025</v>
      </c>
      <c r="G12" s="232">
        <v>2026</v>
      </c>
      <c r="H12" s="216" t="s">
        <v>0</v>
      </c>
      <c r="I12" s="247"/>
      <c r="N12" s="197" t="s">
        <v>26</v>
      </c>
      <c r="O12" s="21">
        <f>+O11-O13</f>
        <v>2200</v>
      </c>
      <c r="P12" s="21">
        <f t="shared" ref="P12:T12" si="9">+P11-P13</f>
        <v>2142.5679999999998</v>
      </c>
      <c r="Q12" s="21">
        <f t="shared" si="9"/>
        <v>2044.3444479999998</v>
      </c>
      <c r="R12" s="21">
        <f t="shared" si="9"/>
        <v>1638.1943308800001</v>
      </c>
      <c r="S12" s="21">
        <f>+S11-S13</f>
        <v>2223.3296240927998</v>
      </c>
      <c r="T12" s="217">
        <f t="shared" si="9"/>
        <v>1565.6059910163244</v>
      </c>
    </row>
    <row r="13" spans="1:21" ht="15" customHeight="1" x14ac:dyDescent="0.25">
      <c r="B13" s="200" t="s">
        <v>25</v>
      </c>
      <c r="C13" s="13">
        <f t="shared" ref="C13:I13" si="10">O21</f>
        <v>880</v>
      </c>
      <c r="D13" s="13">
        <f t="shared" si="10"/>
        <v>1205.5999999999999</v>
      </c>
      <c r="E13" s="13">
        <f t="shared" si="10"/>
        <v>1576.9247999999998</v>
      </c>
      <c r="F13" s="13">
        <f t="shared" si="10"/>
        <v>1986.9252479999998</v>
      </c>
      <c r="G13" s="13">
        <f t="shared" si="10"/>
        <v>2269.3524796799998</v>
      </c>
      <c r="H13" s="233">
        <f t="shared" si="10"/>
        <v>1775.6915812638199</v>
      </c>
      <c r="I13" s="248">
        <f t="shared" si="10"/>
        <v>1864.4761603270106</v>
      </c>
      <c r="N13" s="197" t="s">
        <v>27</v>
      </c>
      <c r="O13" s="21">
        <f t="shared" ref="O13:T13" si="11">+IF(O11&lt;0,O11,MAX(0,MIN(O11,O14)))</f>
        <v>0</v>
      </c>
      <c r="P13" s="21">
        <f t="shared" si="11"/>
        <v>0</v>
      </c>
      <c r="Q13" s="21">
        <f t="shared" si="11"/>
        <v>0</v>
      </c>
      <c r="R13" s="21">
        <f t="shared" si="11"/>
        <v>425.76969599999939</v>
      </c>
      <c r="S13" s="21">
        <f t="shared" si="11"/>
        <v>0</v>
      </c>
      <c r="T13" s="217">
        <f t="shared" si="11"/>
        <v>669.06238932322231</v>
      </c>
    </row>
    <row r="14" spans="1:21" ht="15" customHeight="1" x14ac:dyDescent="0.25">
      <c r="B14" s="200" t="s">
        <v>28</v>
      </c>
      <c r="C14" s="14">
        <f>C6-C7*C9*C8</f>
        <v>0.12</v>
      </c>
      <c r="D14" s="14">
        <f t="shared" ref="D14:F14" si="12">D6-D7*D9*D8</f>
        <v>0.1186671636136289</v>
      </c>
      <c r="E14" s="14">
        <f t="shared" si="12"/>
        <v>0.11727949639515546</v>
      </c>
      <c r="F14" s="14">
        <f t="shared" si="12"/>
        <v>0.11656683422826304</v>
      </c>
      <c r="G14" s="14">
        <f>G6-G7*G9*G8</f>
        <v>0.1165707444418877</v>
      </c>
      <c r="H14" s="234">
        <f>H6-H7*H9*H8</f>
        <v>0.11635</v>
      </c>
      <c r="I14" s="249">
        <f>H14</f>
        <v>0.11635</v>
      </c>
      <c r="N14" s="197" t="s">
        <v>29</v>
      </c>
      <c r="O14" s="21">
        <f t="shared" ref="O14:T14" si="13">+P5-O5</f>
        <v>-2944</v>
      </c>
      <c r="P14" s="21">
        <f t="shared" si="13"/>
        <v>-3540.6400000000012</v>
      </c>
      <c r="Q14" s="21">
        <f t="shared" si="13"/>
        <v>-1726.9184000000005</v>
      </c>
      <c r="R14" s="21">
        <f t="shared" si="13"/>
        <v>425.76969599999939</v>
      </c>
      <c r="S14" s="21">
        <f t="shared" si="13"/>
        <v>-410.58566390435772</v>
      </c>
      <c r="T14" s="217">
        <f t="shared" si="13"/>
        <v>669.06238932322231</v>
      </c>
      <c r="U14" s="4"/>
    </row>
    <row r="15" spans="1:21" ht="15.75" x14ac:dyDescent="0.25">
      <c r="B15" s="225" t="s">
        <v>30</v>
      </c>
      <c r="C15" s="15">
        <f t="shared" ref="C15:F15" si="14">(C13+D15)/(1+C14)</f>
        <v>20780.666608827054</v>
      </c>
      <c r="D15" s="15">
        <f t="shared" si="14"/>
        <v>22394.346601886304</v>
      </c>
      <c r="E15" s="15">
        <f t="shared" si="14"/>
        <v>23846.220194112662</v>
      </c>
      <c r="F15" s="15">
        <f t="shared" si="14"/>
        <v>25065.968089406182</v>
      </c>
      <c r="G15" s="15">
        <f>(G13+H15)/(1+G14)</f>
        <v>26000.903388454924</v>
      </c>
      <c r="H15" s="235">
        <f>H13/(H14-H10)</f>
        <v>26762.495572928714</v>
      </c>
      <c r="I15" s="236">
        <f>I13/(I14-I10)</f>
        <v>28100.620351575144</v>
      </c>
      <c r="N15" s="197" t="s">
        <v>31</v>
      </c>
      <c r="O15" s="21">
        <f t="shared" ref="O15:T15" si="15">+O14-O13</f>
        <v>-2944</v>
      </c>
      <c r="P15" s="21">
        <f t="shared" si="15"/>
        <v>-3540.6400000000012</v>
      </c>
      <c r="Q15" s="21">
        <f t="shared" si="15"/>
        <v>-1726.9184000000005</v>
      </c>
      <c r="R15" s="21">
        <f t="shared" si="15"/>
        <v>0</v>
      </c>
      <c r="S15" s="21">
        <f t="shared" si="15"/>
        <v>-410.58566390435772</v>
      </c>
      <c r="T15" s="217">
        <f t="shared" si="15"/>
        <v>0</v>
      </c>
      <c r="U15" s="4"/>
    </row>
    <row r="16" spans="1:21" ht="15" customHeight="1" x14ac:dyDescent="0.25">
      <c r="B16" s="29" t="s">
        <v>32</v>
      </c>
      <c r="C16" s="232">
        <v>2022</v>
      </c>
      <c r="D16" s="232">
        <v>2023</v>
      </c>
      <c r="E16" s="232">
        <v>2024</v>
      </c>
      <c r="F16" s="232">
        <v>2025</v>
      </c>
      <c r="G16" s="232">
        <v>2026</v>
      </c>
      <c r="H16" s="216" t="s">
        <v>0</v>
      </c>
      <c r="I16" s="248"/>
      <c r="N16" s="197" t="s">
        <v>33</v>
      </c>
      <c r="O16" s="23">
        <f t="shared" ref="O16:T16" si="16">O12/O11</f>
        <v>1</v>
      </c>
      <c r="P16" s="23">
        <f t="shared" si="16"/>
        <v>1</v>
      </c>
      <c r="Q16" s="23">
        <f t="shared" si="16"/>
        <v>1</v>
      </c>
      <c r="R16" s="23">
        <f t="shared" si="16"/>
        <v>0.79371263720927532</v>
      </c>
      <c r="S16" s="23">
        <f t="shared" si="16"/>
        <v>1</v>
      </c>
      <c r="T16" s="219">
        <f t="shared" si="16"/>
        <v>0.70059880239520744</v>
      </c>
      <c r="U16" s="8"/>
    </row>
    <row r="17" spans="2:26" ht="15.75" x14ac:dyDescent="0.25">
      <c r="B17" s="200" t="s">
        <v>34</v>
      </c>
      <c r="C17" s="13">
        <f t="shared" ref="C17:H17" si="17">O23+O21</f>
        <v>880</v>
      </c>
      <c r="D17" s="13">
        <f t="shared" si="17"/>
        <v>1235.4479999999999</v>
      </c>
      <c r="E17" s="13">
        <f t="shared" si="17"/>
        <v>1641.7985279999998</v>
      </c>
      <c r="F17" s="13">
        <f t="shared" si="17"/>
        <v>2072.9808716799998</v>
      </c>
      <c r="G17" s="13">
        <f t="shared" si="17"/>
        <v>2358.5162221407995</v>
      </c>
      <c r="H17" s="233">
        <f t="shared" si="17"/>
        <v>1873.3746901050097</v>
      </c>
      <c r="I17" s="248"/>
      <c r="N17" s="211" t="s">
        <v>35</v>
      </c>
      <c r="O17" s="24">
        <f t="shared" ref="O17:U17" si="18">+O10/O9</f>
        <v>0.1</v>
      </c>
      <c r="P17" s="24">
        <f t="shared" si="18"/>
        <v>0.1</v>
      </c>
      <c r="Q17" s="24">
        <f t="shared" si="18"/>
        <v>0.1</v>
      </c>
      <c r="R17" s="24">
        <f t="shared" si="18"/>
        <v>0.1</v>
      </c>
      <c r="S17" s="24">
        <f t="shared" si="18"/>
        <v>0.1</v>
      </c>
      <c r="T17" s="220">
        <f t="shared" si="18"/>
        <v>0.1</v>
      </c>
      <c r="U17" s="3">
        <f t="shared" si="18"/>
        <v>0</v>
      </c>
    </row>
    <row r="18" spans="2:26" ht="15.75" x14ac:dyDescent="0.25">
      <c r="B18" s="200" t="s">
        <v>36</v>
      </c>
      <c r="C18" s="14">
        <f t="shared" ref="C18:G18" si="19">C6</f>
        <v>0.12</v>
      </c>
      <c r="D18" s="14">
        <f t="shared" si="19"/>
        <v>0.12</v>
      </c>
      <c r="E18" s="14">
        <f t="shared" si="19"/>
        <v>0.12</v>
      </c>
      <c r="F18" s="14">
        <f t="shared" si="19"/>
        <v>0.12</v>
      </c>
      <c r="G18" s="14">
        <f t="shared" si="19"/>
        <v>0.12</v>
      </c>
      <c r="H18" s="234">
        <f>H6</f>
        <v>0.12</v>
      </c>
      <c r="I18" s="249">
        <f>I6</f>
        <v>0.12</v>
      </c>
      <c r="N18" s="212" t="s">
        <v>37</v>
      </c>
      <c r="O18" s="215">
        <v>2022</v>
      </c>
      <c r="P18" s="215">
        <v>2023</v>
      </c>
      <c r="Q18" s="215">
        <v>2024</v>
      </c>
      <c r="R18" s="215">
        <v>2025</v>
      </c>
      <c r="S18" s="215">
        <v>2026</v>
      </c>
      <c r="T18" s="216" t="s">
        <v>0</v>
      </c>
    </row>
    <row r="19" spans="2:26" ht="15.75" x14ac:dyDescent="0.25">
      <c r="B19" s="225" t="s">
        <v>30</v>
      </c>
      <c r="C19" s="15">
        <f t="shared" ref="C19:F19" si="20">(C17+D19)/(1+C18)</f>
        <v>20780.666608827047</v>
      </c>
      <c r="D19" s="15">
        <f t="shared" si="20"/>
        <v>22394.346601886296</v>
      </c>
      <c r="E19" s="15">
        <f t="shared" si="20"/>
        <v>23846.220194112655</v>
      </c>
      <c r="F19" s="15">
        <f t="shared" si="20"/>
        <v>25065.968089406178</v>
      </c>
      <c r="G19" s="15">
        <f>(G17+H19)/(1+G18)</f>
        <v>26000.903388454921</v>
      </c>
      <c r="H19" s="236">
        <f>H17/(H18-H10)</f>
        <v>26762.495572928714</v>
      </c>
      <c r="I19" s="236">
        <f>I17/(I18-I10)</f>
        <v>0</v>
      </c>
      <c r="N19" s="205" t="s">
        <v>38</v>
      </c>
      <c r="O19" s="21">
        <f>O3*C3</f>
        <v>2200</v>
      </c>
      <c r="P19" s="21">
        <f t="shared" ref="P19:U19" si="21">D4*O20+O19</f>
        <v>2411.1999999999998</v>
      </c>
      <c r="Q19" s="21">
        <f t="shared" si="21"/>
        <v>2628.2079999999996</v>
      </c>
      <c r="R19" s="21">
        <f t="shared" si="21"/>
        <v>2838.4646399999997</v>
      </c>
      <c r="S19" s="21">
        <f t="shared" si="21"/>
        <v>3025.8033062399995</v>
      </c>
      <c r="T19" s="217">
        <f t="shared" si="21"/>
        <v>3113.8163599102554</v>
      </c>
      <c r="U19" s="21">
        <f t="shared" si="21"/>
        <v>3269.507177905768</v>
      </c>
    </row>
    <row r="20" spans="2:26" ht="22.5" customHeight="1" x14ac:dyDescent="0.25">
      <c r="B20" s="29" t="s">
        <v>39</v>
      </c>
      <c r="C20" s="232">
        <v>2022</v>
      </c>
      <c r="D20" s="232">
        <v>2023</v>
      </c>
      <c r="E20" s="232">
        <v>2024</v>
      </c>
      <c r="F20" s="232">
        <v>2025</v>
      </c>
      <c r="G20" s="232">
        <v>2026</v>
      </c>
      <c r="H20" s="216" t="s">
        <v>0</v>
      </c>
      <c r="I20" s="248"/>
      <c r="L20" s="5" t="s">
        <v>40</v>
      </c>
      <c r="N20" s="205" t="s">
        <v>41</v>
      </c>
      <c r="O20" s="21">
        <f t="shared" ref="O20:U20" si="22">O19*C5</f>
        <v>1320</v>
      </c>
      <c r="P20" s="21">
        <f t="shared" si="22"/>
        <v>1205.5999999999999</v>
      </c>
      <c r="Q20" s="21">
        <f t="shared" si="22"/>
        <v>1051.2831999999999</v>
      </c>
      <c r="R20" s="21">
        <f t="shared" si="22"/>
        <v>851.53939199999991</v>
      </c>
      <c r="S20" s="21">
        <f t="shared" si="22"/>
        <v>756.45082655999988</v>
      </c>
      <c r="T20" s="221">
        <f t="shared" si="22"/>
        <v>1338.1247786464355</v>
      </c>
      <c r="U20" s="21">
        <f t="shared" si="22"/>
        <v>1405.0310175787574</v>
      </c>
    </row>
    <row r="21" spans="2:26" x14ac:dyDescent="0.25">
      <c r="B21" s="200" t="s">
        <v>39</v>
      </c>
      <c r="C21" s="13">
        <f t="shared" ref="C21:H21" si="23">O25</f>
        <v>5144</v>
      </c>
      <c r="D21" s="13">
        <f t="shared" si="23"/>
        <v>5683.2079999999996</v>
      </c>
      <c r="E21" s="13">
        <f t="shared" si="23"/>
        <v>3771.2628479999985</v>
      </c>
      <c r="F21" s="13">
        <f t="shared" si="23"/>
        <v>1638.1943308799994</v>
      </c>
      <c r="G21" s="13">
        <f t="shared" si="23"/>
        <v>2633.9152879971593</v>
      </c>
      <c r="H21" s="233">
        <f t="shared" si="23"/>
        <v>1565.6059910163267</v>
      </c>
      <c r="I21" s="248"/>
      <c r="N21" s="206" t="s">
        <v>25</v>
      </c>
      <c r="O21" s="26">
        <f>O19-O20</f>
        <v>880</v>
      </c>
      <c r="P21" s="27">
        <f t="shared" ref="P21:S21" si="24">P19-P20</f>
        <v>1205.5999999999999</v>
      </c>
      <c r="Q21" s="27">
        <f t="shared" si="24"/>
        <v>1576.9247999999998</v>
      </c>
      <c r="R21" s="27">
        <f t="shared" si="24"/>
        <v>1986.9252479999998</v>
      </c>
      <c r="S21" s="27">
        <f t="shared" si="24"/>
        <v>2269.3524796799998</v>
      </c>
      <c r="T21" s="222">
        <f>T19-T20</f>
        <v>1775.6915812638199</v>
      </c>
      <c r="U21" s="28">
        <f>U19-U20</f>
        <v>1864.4761603270106</v>
      </c>
    </row>
    <row r="22" spans="2:26" ht="15.75" customHeight="1" x14ac:dyDescent="0.25">
      <c r="B22" s="200" t="s">
        <v>42</v>
      </c>
      <c r="C22" s="14">
        <f>(C6-C7*C9)/(1-C9)</f>
        <v>0.12</v>
      </c>
      <c r="D22" s="14">
        <f t="shared" ref="D22:G22" si="25">(D6-D7*D9)/(1-D9)</f>
        <v>0.13175928980738946</v>
      </c>
      <c r="E22" s="14">
        <f t="shared" si="25"/>
        <v>0.14915152988486902</v>
      </c>
      <c r="F22" s="14">
        <f t="shared" si="25"/>
        <v>0.16172891356248237</v>
      </c>
      <c r="G22" s="14">
        <f t="shared" si="25"/>
        <v>0.16163927989848786</v>
      </c>
      <c r="H22" s="234">
        <f>(H6-H7*H9)/(1-H9)</f>
        <v>0.16699999999999998</v>
      </c>
      <c r="I22" s="248"/>
      <c r="N22" s="207" t="s">
        <v>17</v>
      </c>
      <c r="O22" s="22">
        <f t="shared" ref="O22:T22" si="26">-O8</f>
        <v>0</v>
      </c>
      <c r="P22" s="22">
        <f t="shared" si="26"/>
        <v>-298.48</v>
      </c>
      <c r="Q22" s="22">
        <f t="shared" si="26"/>
        <v>-648.73727999999994</v>
      </c>
      <c r="R22" s="22">
        <f t="shared" si="26"/>
        <v>-860.55623679999985</v>
      </c>
      <c r="S22" s="22">
        <f t="shared" si="26"/>
        <v>-891.63742460799972</v>
      </c>
      <c r="T22" s="218">
        <f t="shared" si="26"/>
        <v>-976.83108841189801</v>
      </c>
      <c r="U22" s="7">
        <f>U8</f>
        <v>0</v>
      </c>
      <c r="W22" s="32" t="s">
        <v>43</v>
      </c>
      <c r="X22" s="32" t="s">
        <v>44</v>
      </c>
      <c r="Y22" s="32" t="s">
        <v>45</v>
      </c>
    </row>
    <row r="23" spans="2:26" ht="15.75" x14ac:dyDescent="0.25">
      <c r="B23" s="200" t="s">
        <v>46</v>
      </c>
      <c r="C23" s="17">
        <f>(C21+D23)/(1+C22)</f>
        <v>20780.666608827043</v>
      </c>
      <c r="D23" s="17">
        <f t="shared" ref="D23:F23" si="27">(D21+E23)/(1+D22)</f>
        <v>18130.346601886289</v>
      </c>
      <c r="E23" s="17">
        <f t="shared" si="27"/>
        <v>14835.980194112642</v>
      </c>
      <c r="F23" s="17">
        <f t="shared" si="27"/>
        <v>13277.526489406164</v>
      </c>
      <c r="G23" s="17">
        <f>(G21+H23)/(1+G22)</f>
        <v>13786.692092454905</v>
      </c>
      <c r="H23" s="235">
        <f>H21/(H22-H10)</f>
        <v>13381.247786464333</v>
      </c>
      <c r="I23" s="248"/>
      <c r="N23" s="207" t="s">
        <v>47</v>
      </c>
      <c r="O23" s="25">
        <f t="shared" ref="O23:T23" si="28">-O22*O17</f>
        <v>0</v>
      </c>
      <c r="P23" s="25">
        <f t="shared" si="28"/>
        <v>29.848000000000003</v>
      </c>
      <c r="Q23" s="25">
        <f t="shared" si="28"/>
        <v>64.873728</v>
      </c>
      <c r="R23" s="25">
        <f t="shared" si="28"/>
        <v>86.055623679999997</v>
      </c>
      <c r="S23" s="25">
        <f t="shared" si="28"/>
        <v>89.16374246079998</v>
      </c>
      <c r="T23" s="223">
        <f t="shared" si="28"/>
        <v>97.683108841189807</v>
      </c>
      <c r="U23" s="9">
        <f>U22*U17</f>
        <v>0</v>
      </c>
      <c r="W23" s="32" t="s">
        <v>48</v>
      </c>
      <c r="X23" s="33" t="s">
        <v>49</v>
      </c>
      <c r="Y23" s="39" t="s">
        <v>50</v>
      </c>
    </row>
    <row r="24" spans="2:26" ht="15" customHeight="1" x14ac:dyDescent="0.25">
      <c r="B24" s="200" t="s">
        <v>7</v>
      </c>
      <c r="C24" s="13">
        <f t="shared" ref="C24:G24" si="29">O4</f>
        <v>0</v>
      </c>
      <c r="D24" s="13">
        <f t="shared" si="29"/>
        <v>4264</v>
      </c>
      <c r="E24" s="13">
        <f t="shared" si="29"/>
        <v>9010.24</v>
      </c>
      <c r="F24" s="13">
        <f t="shared" si="29"/>
        <v>11788.441599999998</v>
      </c>
      <c r="G24" s="13">
        <f t="shared" si="29"/>
        <v>12214.211295999998</v>
      </c>
      <c r="H24" s="233">
        <f>T4</f>
        <v>13381.247786464357</v>
      </c>
      <c r="I24" s="248"/>
      <c r="N24" s="207" t="s">
        <v>51</v>
      </c>
      <c r="O24" s="25">
        <f t="shared" ref="O24:T24" si="30">P4-O4</f>
        <v>4264</v>
      </c>
      <c r="P24" s="25">
        <f t="shared" si="30"/>
        <v>4746.24</v>
      </c>
      <c r="Q24" s="25">
        <f t="shared" si="30"/>
        <v>2778.2015999999985</v>
      </c>
      <c r="R24" s="25">
        <f t="shared" si="30"/>
        <v>425.76969599999939</v>
      </c>
      <c r="S24" s="25">
        <f t="shared" si="30"/>
        <v>1167.0364904643593</v>
      </c>
      <c r="T24" s="223">
        <f t="shared" si="30"/>
        <v>669.06238932321503</v>
      </c>
      <c r="W24" s="32" t="s">
        <v>52</v>
      </c>
      <c r="X24" s="33" t="s">
        <v>49</v>
      </c>
    </row>
    <row r="25" spans="2:26" ht="15.75" x14ac:dyDescent="0.25">
      <c r="B25" s="225" t="s">
        <v>30</v>
      </c>
      <c r="C25" s="18">
        <f>C23+C24</f>
        <v>20780.666608827043</v>
      </c>
      <c r="D25" s="18">
        <f t="shared" ref="D25:H25" si="31">D23+D24</f>
        <v>22394.346601886289</v>
      </c>
      <c r="E25" s="18">
        <f t="shared" si="31"/>
        <v>23846.22019411264</v>
      </c>
      <c r="F25" s="18">
        <f t="shared" si="31"/>
        <v>25065.96808940616</v>
      </c>
      <c r="G25" s="18">
        <f t="shared" si="31"/>
        <v>26000.903388454903</v>
      </c>
      <c r="H25" s="237">
        <f t="shared" si="31"/>
        <v>26762.495572928688</v>
      </c>
      <c r="I25" s="248"/>
      <c r="N25" s="206" t="s">
        <v>39</v>
      </c>
      <c r="O25" s="26">
        <f t="shared" ref="O25:S25" si="32">O21+O22+O23+O24</f>
        <v>5144</v>
      </c>
      <c r="P25" s="26">
        <f t="shared" si="32"/>
        <v>5683.2079999999996</v>
      </c>
      <c r="Q25" s="26">
        <f t="shared" si="32"/>
        <v>3771.2628479999985</v>
      </c>
      <c r="R25" s="26">
        <f t="shared" si="32"/>
        <v>1638.1943308799994</v>
      </c>
      <c r="S25" s="26">
        <f t="shared" si="32"/>
        <v>2633.9152879971593</v>
      </c>
      <c r="T25" s="224">
        <f>T21+T22+T23+T24</f>
        <v>1565.6059910163267</v>
      </c>
      <c r="U25" s="29"/>
      <c r="W25" s="32" t="s">
        <v>53</v>
      </c>
      <c r="X25" s="33" t="s">
        <v>49</v>
      </c>
    </row>
    <row r="26" spans="2:26" ht="15.75" x14ac:dyDescent="0.25">
      <c r="B26" s="29" t="s">
        <v>54</v>
      </c>
      <c r="C26" s="232">
        <v>2022</v>
      </c>
      <c r="D26" s="232">
        <v>2023</v>
      </c>
      <c r="E26" s="232">
        <v>2024</v>
      </c>
      <c r="F26" s="232">
        <v>2025</v>
      </c>
      <c r="G26" s="232">
        <v>2026</v>
      </c>
      <c r="H26" s="216" t="s">
        <v>0</v>
      </c>
      <c r="I26" s="248"/>
      <c r="N26" s="207" t="s">
        <v>26</v>
      </c>
      <c r="O26" s="25">
        <f t="shared" ref="O26:T26" si="33">-O12</f>
        <v>-2200</v>
      </c>
      <c r="P26" s="25">
        <f t="shared" si="33"/>
        <v>-2142.5679999999998</v>
      </c>
      <c r="Q26" s="25">
        <f t="shared" si="33"/>
        <v>-2044.3444479999998</v>
      </c>
      <c r="R26" s="25">
        <f t="shared" si="33"/>
        <v>-1638.1943308800001</v>
      </c>
      <c r="S26" s="25">
        <f t="shared" si="33"/>
        <v>-2223.3296240927998</v>
      </c>
      <c r="T26" s="223">
        <f t="shared" si="33"/>
        <v>-1565.6059910163244</v>
      </c>
      <c r="W26" s="32" t="s">
        <v>55</v>
      </c>
      <c r="X26" s="33" t="s">
        <v>56</v>
      </c>
    </row>
    <row r="27" spans="2:26" ht="15.75" x14ac:dyDescent="0.25">
      <c r="B27" s="200" t="s">
        <v>38</v>
      </c>
      <c r="C27" s="13">
        <f t="shared" ref="C27:I27" si="34">O19</f>
        <v>2200</v>
      </c>
      <c r="D27" s="13">
        <f t="shared" si="34"/>
        <v>2411.1999999999998</v>
      </c>
      <c r="E27" s="13">
        <f t="shared" si="34"/>
        <v>2628.2079999999996</v>
      </c>
      <c r="F27" s="13">
        <f t="shared" si="34"/>
        <v>2838.4646399999997</v>
      </c>
      <c r="G27" s="13">
        <f t="shared" si="34"/>
        <v>3025.8033062399995</v>
      </c>
      <c r="H27" s="233">
        <f t="shared" si="34"/>
        <v>3113.8163599102554</v>
      </c>
      <c r="I27" s="233">
        <f t="shared" si="34"/>
        <v>3269.507177905768</v>
      </c>
      <c r="N27" s="207" t="s">
        <v>57</v>
      </c>
      <c r="O27" s="25">
        <f t="shared" ref="O27:T27" si="35">P5-O5-O13</f>
        <v>-2944</v>
      </c>
      <c r="P27" s="25">
        <f t="shared" si="35"/>
        <v>-3540.6400000000012</v>
      </c>
      <c r="Q27" s="25">
        <f t="shared" si="35"/>
        <v>-1726.9184000000005</v>
      </c>
      <c r="R27" s="25">
        <f t="shared" si="35"/>
        <v>0</v>
      </c>
      <c r="S27" s="25">
        <f t="shared" si="35"/>
        <v>-410.58566390435772</v>
      </c>
      <c r="T27" s="223">
        <f t="shared" si="35"/>
        <v>0</v>
      </c>
      <c r="W27" s="32" t="s">
        <v>58</v>
      </c>
      <c r="X27" s="33" t="s">
        <v>49</v>
      </c>
    </row>
    <row r="28" spans="2:26" ht="15" customHeight="1" x14ac:dyDescent="0.25">
      <c r="B28" s="200" t="s">
        <v>4</v>
      </c>
      <c r="C28" s="13">
        <f t="shared" ref="C28:H28" si="36">O3</f>
        <v>20000</v>
      </c>
      <c r="D28" s="13">
        <f t="shared" si="36"/>
        <v>21320</v>
      </c>
      <c r="E28" s="13">
        <f t="shared" si="36"/>
        <v>22525.599999999999</v>
      </c>
      <c r="F28" s="13">
        <f t="shared" si="36"/>
        <v>23576.883199999997</v>
      </c>
      <c r="G28" s="13">
        <f t="shared" si="36"/>
        <v>24428.422591999995</v>
      </c>
      <c r="H28" s="233">
        <f t="shared" si="36"/>
        <v>25184.873418559997</v>
      </c>
      <c r="I28" s="233">
        <f>U3</f>
        <v>26522.998197206434</v>
      </c>
      <c r="N28" s="205" t="s">
        <v>59</v>
      </c>
      <c r="O28" s="25">
        <f>SUM(O25:O27)</f>
        <v>0</v>
      </c>
      <c r="P28" s="25">
        <f t="shared" ref="P28:T28" si="37">SUM(P25:P27)</f>
        <v>0</v>
      </c>
      <c r="Q28" s="25">
        <f t="shared" si="37"/>
        <v>-1.8189894035458565E-12</v>
      </c>
      <c r="R28" s="25">
        <f t="shared" si="37"/>
        <v>-6.8212102632969618E-13</v>
      </c>
      <c r="S28" s="25">
        <f t="shared" si="37"/>
        <v>1.8189894035458565E-12</v>
      </c>
      <c r="T28" s="223">
        <f t="shared" si="37"/>
        <v>2.2737367544323206E-12</v>
      </c>
    </row>
    <row r="29" spans="2:26" x14ac:dyDescent="0.25">
      <c r="B29" s="200" t="s">
        <v>60</v>
      </c>
      <c r="C29" s="13">
        <f>C28*C14</f>
        <v>2400</v>
      </c>
      <c r="D29" s="13">
        <f t="shared" ref="D29:H29" si="38">D28*D14</f>
        <v>2529.9839282425683</v>
      </c>
      <c r="E29" s="13">
        <f t="shared" si="38"/>
        <v>2641.7910239987136</v>
      </c>
      <c r="F29" s="13">
        <f t="shared" si="38"/>
        <v>2748.2826355935194</v>
      </c>
      <c r="G29" s="13">
        <f t="shared" si="38"/>
        <v>2847.6394070904671</v>
      </c>
      <c r="H29" s="233">
        <f t="shared" si="38"/>
        <v>2930.2600222494557</v>
      </c>
      <c r="I29" s="233">
        <f>I28*I14</f>
        <v>3085.9508402449683</v>
      </c>
      <c r="W29" s="95" t="s">
        <v>38</v>
      </c>
      <c r="X29" s="95" t="s">
        <v>38</v>
      </c>
      <c r="Y29" s="95" t="s">
        <v>38</v>
      </c>
      <c r="Z29" s="95" t="s">
        <v>38</v>
      </c>
    </row>
    <row r="30" spans="2:26" x14ac:dyDescent="0.25">
      <c r="B30" s="200" t="s">
        <v>54</v>
      </c>
      <c r="C30" s="13">
        <f>C27-C29</f>
        <v>-200</v>
      </c>
      <c r="D30" s="13">
        <f t="shared" ref="D30:H30" si="39">D27-D29</f>
        <v>-118.78392824256844</v>
      </c>
      <c r="E30" s="13">
        <f t="shared" si="39"/>
        <v>-13.583023998713998</v>
      </c>
      <c r="F30" s="13">
        <f t="shared" si="39"/>
        <v>90.182004406480246</v>
      </c>
      <c r="G30" s="13">
        <f t="shared" si="39"/>
        <v>178.16389914953243</v>
      </c>
      <c r="H30" s="233">
        <f t="shared" si="39"/>
        <v>183.55633766079973</v>
      </c>
      <c r="I30" s="233">
        <f>I27-I29</f>
        <v>183.55633766079973</v>
      </c>
      <c r="W30" s="96" t="s">
        <v>61</v>
      </c>
      <c r="X30" s="95"/>
      <c r="Y30" s="95"/>
      <c r="Z30" s="95"/>
    </row>
    <row r="31" spans="2:26" ht="15.75" x14ac:dyDescent="0.25">
      <c r="B31" s="200" t="s">
        <v>62</v>
      </c>
      <c r="C31" s="17">
        <f>(C30+D31)/(1+C14)</f>
        <v>780.66660882705742</v>
      </c>
      <c r="D31" s="17">
        <f>(D30+E31)/(1+D14)</f>
        <v>1074.3466018863044</v>
      </c>
      <c r="E31" s="17">
        <f>(E30+F31)/(1+E14)</f>
        <v>1320.6201941126612</v>
      </c>
      <c r="F31" s="17">
        <f>(F30+G31)/(1+F14)</f>
        <v>1489.0848894061808</v>
      </c>
      <c r="G31" s="17">
        <f>(G30+H31)/(1+G14)</f>
        <v>1572.4807964549223</v>
      </c>
      <c r="H31" s="238">
        <f>(H30/H14)+S20*(H4-H14)/(H14*(H14-H10))</f>
        <v>1577.6221543687127</v>
      </c>
      <c r="I31" s="238">
        <f>(I30/I14)+T20*(H4-H14)/(H14*(H14-I10))</f>
        <v>1577.6221543687127</v>
      </c>
      <c r="M31" s="2" t="s">
        <v>63</v>
      </c>
      <c r="Q31" s="29" t="s">
        <v>64</v>
      </c>
      <c r="W31" s="96" t="s">
        <v>65</v>
      </c>
      <c r="X31" s="97" t="s">
        <v>65</v>
      </c>
      <c r="Y31" s="98"/>
      <c r="Z31" s="95"/>
    </row>
    <row r="32" spans="2:26" ht="15.75" x14ac:dyDescent="0.25">
      <c r="B32" s="225" t="s">
        <v>30</v>
      </c>
      <c r="C32" s="18">
        <f t="shared" ref="C32:F32" si="40">C28+C31</f>
        <v>20780.666608827058</v>
      </c>
      <c r="D32" s="18">
        <f t="shared" si="40"/>
        <v>22394.346601886304</v>
      </c>
      <c r="E32" s="18">
        <f t="shared" si="40"/>
        <v>23846.220194112659</v>
      </c>
      <c r="F32" s="18">
        <f t="shared" si="40"/>
        <v>25065.968089406178</v>
      </c>
      <c r="G32" s="18">
        <f>G28+G31</f>
        <v>26000.903388454917</v>
      </c>
      <c r="H32" s="237">
        <f>H28+H31</f>
        <v>26762.49557292871</v>
      </c>
      <c r="I32" s="237">
        <f>I28+I31</f>
        <v>28100.620351575148</v>
      </c>
      <c r="M32" s="5" t="s">
        <v>66</v>
      </c>
      <c r="Q32" s="29" t="s">
        <v>67</v>
      </c>
      <c r="W32" s="95" t="s">
        <v>68</v>
      </c>
      <c r="X32" s="99"/>
      <c r="Y32" s="100" t="s">
        <v>69</v>
      </c>
      <c r="Z32" s="96" t="s">
        <v>70</v>
      </c>
    </row>
    <row r="33" spans="1:26" x14ac:dyDescent="0.25">
      <c r="A33" s="261" t="s">
        <v>71</v>
      </c>
      <c r="B33" s="29" t="s">
        <v>72</v>
      </c>
      <c r="C33" s="232">
        <v>2022</v>
      </c>
      <c r="D33" s="232">
        <v>2023</v>
      </c>
      <c r="E33" s="232">
        <v>2024</v>
      </c>
      <c r="F33" s="232">
        <v>2025</v>
      </c>
      <c r="G33" s="232">
        <v>2026</v>
      </c>
      <c r="H33" s="216" t="s">
        <v>0</v>
      </c>
      <c r="I33" s="248"/>
      <c r="M33" s="5" t="s">
        <v>73</v>
      </c>
      <c r="Q33" s="5" t="s">
        <v>74</v>
      </c>
      <c r="W33" s="96" t="s">
        <v>75</v>
      </c>
      <c r="X33" s="101"/>
      <c r="Y33" s="98"/>
      <c r="Z33" s="95"/>
    </row>
    <row r="34" spans="1:26" x14ac:dyDescent="0.25">
      <c r="A34" s="261"/>
      <c r="B34" s="200" t="s">
        <v>24</v>
      </c>
      <c r="C34" s="19">
        <f t="shared" ref="C34:H34" si="41">O11</f>
        <v>2200</v>
      </c>
      <c r="D34" s="19">
        <f t="shared" si="41"/>
        <v>2142.5679999999998</v>
      </c>
      <c r="E34" s="19">
        <f t="shared" si="41"/>
        <v>2044.3444479999998</v>
      </c>
      <c r="F34" s="19">
        <f t="shared" si="41"/>
        <v>2063.9640268799994</v>
      </c>
      <c r="G34" s="19">
        <f t="shared" si="41"/>
        <v>2223.3296240927998</v>
      </c>
      <c r="H34" s="238">
        <f t="shared" si="41"/>
        <v>2234.6683803395467</v>
      </c>
      <c r="I34" s="248"/>
      <c r="M34" s="5" t="s">
        <v>76</v>
      </c>
      <c r="Q34" s="5" t="s">
        <v>77</v>
      </c>
      <c r="R34" s="5" t="s">
        <v>78</v>
      </c>
      <c r="W34" s="96" t="s">
        <v>79</v>
      </c>
      <c r="X34" s="102" t="s">
        <v>79</v>
      </c>
      <c r="Y34" s="98"/>
      <c r="Z34" s="95"/>
    </row>
    <row r="35" spans="1:26" x14ac:dyDescent="0.25">
      <c r="B35" s="200" t="s">
        <v>10</v>
      </c>
      <c r="C35" s="19">
        <f t="shared" ref="C35:G35" si="42">O5</f>
        <v>20000</v>
      </c>
      <c r="D35" s="19">
        <f t="shared" si="42"/>
        <v>17056</v>
      </c>
      <c r="E35" s="19">
        <f t="shared" si="42"/>
        <v>13515.359999999999</v>
      </c>
      <c r="F35" s="19">
        <f t="shared" si="42"/>
        <v>11788.441599999998</v>
      </c>
      <c r="G35" s="19">
        <f t="shared" si="42"/>
        <v>12214.211295999998</v>
      </c>
      <c r="H35" s="238">
        <f>T5</f>
        <v>11803.62563209564</v>
      </c>
      <c r="I35" s="248"/>
      <c r="M35" s="5" t="s">
        <v>80</v>
      </c>
      <c r="Q35" s="29" t="s">
        <v>81</v>
      </c>
      <c r="W35" s="95" t="s">
        <v>82</v>
      </c>
      <c r="X35" s="95"/>
      <c r="Y35" s="95"/>
      <c r="Z35" s="95"/>
    </row>
    <row r="36" spans="1:26" x14ac:dyDescent="0.25">
      <c r="B36" s="200" t="s">
        <v>83</v>
      </c>
      <c r="C36" s="19">
        <f>C35*C22</f>
        <v>2400</v>
      </c>
      <c r="D36" s="19">
        <f t="shared" ref="D36:F36" si="43">D35*D22</f>
        <v>2247.2864469548344</v>
      </c>
      <c r="E36" s="19">
        <f t="shared" si="43"/>
        <v>2015.8366209447631</v>
      </c>
      <c r="F36" s="19">
        <f t="shared" si="43"/>
        <v>1906.5318525627711</v>
      </c>
      <c r="G36" s="19">
        <f>G35*G22</f>
        <v>1974.2963184134157</v>
      </c>
      <c r="H36" s="238">
        <f t="shared" ref="H36" si="44">H35*H22</f>
        <v>1971.2054805599716</v>
      </c>
      <c r="I36" s="248"/>
      <c r="M36" s="29" t="s">
        <v>84</v>
      </c>
      <c r="Q36" s="5" t="s">
        <v>85</v>
      </c>
      <c r="W36" s="95" t="s">
        <v>25</v>
      </c>
      <c r="X36" s="95" t="s">
        <v>25</v>
      </c>
      <c r="Y36" s="95" t="s">
        <v>25</v>
      </c>
      <c r="Z36" s="95" t="s">
        <v>25</v>
      </c>
    </row>
    <row r="37" spans="1:26" x14ac:dyDescent="0.25">
      <c r="B37" s="200" t="s">
        <v>72</v>
      </c>
      <c r="C37" s="19">
        <f>+C34-C36</f>
        <v>-200</v>
      </c>
      <c r="D37" s="19">
        <f t="shared" ref="D37:F37" si="45">+D34-D36</f>
        <v>-104.71844695483469</v>
      </c>
      <c r="E37" s="19" t="s">
        <v>551</v>
      </c>
      <c r="F37" s="19">
        <f t="shared" si="45"/>
        <v>157.43217431722837</v>
      </c>
      <c r="G37" s="19">
        <f>+G34-G36</f>
        <v>249.03330567938406</v>
      </c>
      <c r="H37" s="238">
        <f>+H34-H36</f>
        <v>263.46289977957508</v>
      </c>
      <c r="I37" s="248"/>
      <c r="M37" s="5" t="s">
        <v>86</v>
      </c>
      <c r="Q37" s="5" t="s">
        <v>87</v>
      </c>
    </row>
    <row r="38" spans="1:26" ht="15.75" x14ac:dyDescent="0.25">
      <c r="B38" s="200" t="s">
        <v>88</v>
      </c>
      <c r="C38" s="17" t="e">
        <f t="shared" ref="C38:F38" si="46">(C37+D38)/(1+C22)</f>
        <v>#VALUE!</v>
      </c>
      <c r="D38" s="17" t="e">
        <f t="shared" si="46"/>
        <v>#VALUE!</v>
      </c>
      <c r="E38" s="17" t="e">
        <f t="shared" si="46"/>
        <v>#VALUE!</v>
      </c>
      <c r="F38" s="17">
        <f t="shared" si="46"/>
        <v>1489.0848894061658</v>
      </c>
      <c r="G38" s="17">
        <f>(G37+H38)/(1+G22)</f>
        <v>1572.4807964549059</v>
      </c>
      <c r="H38" s="238">
        <f>+H23-H35</f>
        <v>1577.6221543686934</v>
      </c>
      <c r="I38" s="248"/>
      <c r="M38" s="5" t="s">
        <v>89</v>
      </c>
      <c r="Q38" s="5" t="s">
        <v>90</v>
      </c>
    </row>
    <row r="39" spans="1:26" x14ac:dyDescent="0.25">
      <c r="B39" s="200" t="s">
        <v>46</v>
      </c>
      <c r="C39" s="19" t="e">
        <f>+C38+C35</f>
        <v>#VALUE!</v>
      </c>
      <c r="D39" s="19" t="e">
        <f t="shared" ref="D39:H39" si="47">+D38+D35</f>
        <v>#VALUE!</v>
      </c>
      <c r="E39" s="19" t="e">
        <f t="shared" si="47"/>
        <v>#VALUE!</v>
      </c>
      <c r="F39" s="19">
        <f t="shared" si="47"/>
        <v>13277.526489406164</v>
      </c>
      <c r="G39" s="19">
        <f t="shared" si="47"/>
        <v>13786.692092454903</v>
      </c>
      <c r="H39" s="238">
        <f t="shared" si="47"/>
        <v>13381.247786464333</v>
      </c>
      <c r="I39" s="248"/>
      <c r="M39" s="5" t="s">
        <v>91</v>
      </c>
      <c r="Q39" s="29" t="s">
        <v>92</v>
      </c>
    </row>
    <row r="40" spans="1:26" x14ac:dyDescent="0.25">
      <c r="B40" s="200" t="s">
        <v>7</v>
      </c>
      <c r="C40" s="19">
        <f>+C24</f>
        <v>0</v>
      </c>
      <c r="D40" s="19">
        <f t="shared" ref="D40:H40" si="48">+D24</f>
        <v>4264</v>
      </c>
      <c r="E40" s="19">
        <f t="shared" si="48"/>
        <v>9010.24</v>
      </c>
      <c r="F40" s="19">
        <f t="shared" si="48"/>
        <v>11788.441599999998</v>
      </c>
      <c r="G40" s="19">
        <f t="shared" si="48"/>
        <v>12214.211295999998</v>
      </c>
      <c r="H40" s="238">
        <f t="shared" si="48"/>
        <v>13381.247786464357</v>
      </c>
      <c r="I40" s="248"/>
      <c r="Q40" s="95" t="s">
        <v>93</v>
      </c>
    </row>
    <row r="41" spans="1:26" ht="15.75" x14ac:dyDescent="0.25">
      <c r="B41" s="225" t="s">
        <v>30</v>
      </c>
      <c r="C41" s="18" t="e">
        <f>C39+C40</f>
        <v>#VALUE!</v>
      </c>
      <c r="D41" s="18" t="e">
        <f t="shared" ref="D41:G41" si="49">D39+D40</f>
        <v>#VALUE!</v>
      </c>
      <c r="E41" s="18" t="e">
        <f t="shared" si="49"/>
        <v>#VALUE!</v>
      </c>
      <c r="F41" s="18">
        <f t="shared" si="49"/>
        <v>25065.96808940616</v>
      </c>
      <c r="G41" s="18">
        <f t="shared" si="49"/>
        <v>26000.903388454899</v>
      </c>
      <c r="H41" s="237">
        <f>H39+H40</f>
        <v>26762.495572928688</v>
      </c>
      <c r="I41" s="248"/>
      <c r="M41" s="29" t="s">
        <v>94</v>
      </c>
      <c r="Q41" s="95" t="s">
        <v>95</v>
      </c>
    </row>
    <row r="42" spans="1:26" ht="15.75" thickBot="1" x14ac:dyDescent="0.3">
      <c r="M42" s="5" t="s">
        <v>96</v>
      </c>
    </row>
    <row r="43" spans="1:26" ht="15.75" customHeight="1" x14ac:dyDescent="0.25">
      <c r="B43" s="226" t="s">
        <v>97</v>
      </c>
      <c r="C43" s="226" t="s">
        <v>98</v>
      </c>
      <c r="D43" s="226" t="s">
        <v>99</v>
      </c>
      <c r="E43" s="227" t="s">
        <v>100</v>
      </c>
      <c r="F43" s="262" t="s">
        <v>101</v>
      </c>
      <c r="G43" s="263"/>
      <c r="H43" s="263"/>
      <c r="I43" s="263"/>
      <c r="J43" s="263"/>
      <c r="M43" s="5" t="s">
        <v>102</v>
      </c>
    </row>
    <row r="44" spans="1:26" ht="32.25" customHeight="1" x14ac:dyDescent="0.25">
      <c r="B44" s="228" t="s">
        <v>103</v>
      </c>
      <c r="C44" s="228" t="s">
        <v>25</v>
      </c>
      <c r="D44" s="228" t="s">
        <v>28</v>
      </c>
      <c r="E44" s="229" t="s">
        <v>104</v>
      </c>
      <c r="F44" s="262"/>
      <c r="G44" s="263"/>
      <c r="H44" s="263"/>
      <c r="I44" s="263"/>
      <c r="J44" s="263"/>
      <c r="M44" s="5" t="s">
        <v>105</v>
      </c>
    </row>
    <row r="45" spans="1:26" ht="47.25" x14ac:dyDescent="0.25">
      <c r="B45" s="228" t="s">
        <v>106</v>
      </c>
      <c r="C45" s="228" t="s">
        <v>107</v>
      </c>
      <c r="D45" s="228" t="s">
        <v>108</v>
      </c>
      <c r="E45" s="229" t="s">
        <v>109</v>
      </c>
    </row>
    <row r="46" spans="1:26" ht="47.25" customHeight="1" x14ac:dyDescent="0.25">
      <c r="B46" s="228" t="s">
        <v>32</v>
      </c>
      <c r="C46" s="228" t="s">
        <v>110</v>
      </c>
      <c r="D46" s="228" t="s">
        <v>111</v>
      </c>
      <c r="E46" s="229" t="s">
        <v>112</v>
      </c>
      <c r="F46" s="262" t="s">
        <v>113</v>
      </c>
      <c r="G46" s="263"/>
      <c r="H46" s="263"/>
      <c r="I46" s="263"/>
    </row>
    <row r="47" spans="1:26" ht="79.5" thickBot="1" x14ac:dyDescent="0.3">
      <c r="B47" s="230" t="s">
        <v>114</v>
      </c>
      <c r="C47" s="230" t="s">
        <v>39</v>
      </c>
      <c r="D47" s="230" t="s">
        <v>115</v>
      </c>
      <c r="E47" s="231" t="s">
        <v>116</v>
      </c>
    </row>
  </sheetData>
  <mergeCells count="3">
    <mergeCell ref="A33:A34"/>
    <mergeCell ref="F46:I46"/>
    <mergeCell ref="F43:J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8"/>
  <sheetViews>
    <sheetView tabSelected="1" workbookViewId="0">
      <selection activeCell="L11" sqref="L11"/>
    </sheetView>
  </sheetViews>
  <sheetFormatPr defaultRowHeight="15" x14ac:dyDescent="0.25"/>
  <cols>
    <col min="1" max="2" width="9.140625" style="95"/>
    <col min="3" max="3" width="9.28515625" style="95" bestFit="1" customWidth="1"/>
    <col min="4" max="4" width="12.140625" style="95" bestFit="1" customWidth="1"/>
    <col min="5" max="5" width="9.7109375" style="95" bestFit="1" customWidth="1"/>
    <col min="6" max="6" width="9.42578125" style="95" bestFit="1" customWidth="1"/>
    <col min="7" max="7" width="9.85546875" style="95" bestFit="1" customWidth="1"/>
    <col min="8" max="8" width="9.42578125" style="95" bestFit="1" customWidth="1"/>
    <col min="9" max="9" width="9.85546875" style="95" bestFit="1" customWidth="1"/>
    <col min="10" max="10" width="10.28515625" style="95" bestFit="1" customWidth="1"/>
    <col min="11" max="11" width="9.42578125" style="95" bestFit="1" customWidth="1"/>
    <col min="12" max="12" width="9.140625" style="95"/>
  </cols>
  <sheetData>
    <row r="2" spans="2:11" ht="15.75" x14ac:dyDescent="0.25">
      <c r="B2" s="31"/>
      <c r="C2" s="174">
        <v>2022</v>
      </c>
      <c r="D2" s="174">
        <f>+C2+1</f>
        <v>2023</v>
      </c>
      <c r="E2" s="174">
        <f t="shared" ref="E2:I2" si="0">+D2+1</f>
        <v>2024</v>
      </c>
      <c r="F2" s="174">
        <f t="shared" si="0"/>
        <v>2025</v>
      </c>
      <c r="G2" s="174">
        <f t="shared" si="0"/>
        <v>2026</v>
      </c>
      <c r="H2" s="174">
        <f t="shared" si="0"/>
        <v>2027</v>
      </c>
      <c r="I2" s="174">
        <f t="shared" si="0"/>
        <v>2028</v>
      </c>
      <c r="K2" s="95" t="s">
        <v>117</v>
      </c>
    </row>
    <row r="3" spans="2:11" x14ac:dyDescent="0.25">
      <c r="B3" s="31" t="s">
        <v>4</v>
      </c>
      <c r="C3" s="175">
        <v>10000</v>
      </c>
      <c r="D3" s="175"/>
      <c r="E3" s="175"/>
      <c r="F3" s="175"/>
      <c r="G3" s="175"/>
      <c r="H3" s="175"/>
      <c r="I3" s="175"/>
      <c r="K3" s="95" t="s">
        <v>118</v>
      </c>
    </row>
    <row r="4" spans="2:11" x14ac:dyDescent="0.25">
      <c r="B4" s="31" t="s">
        <v>119</v>
      </c>
      <c r="C4" s="175">
        <v>1500</v>
      </c>
      <c r="D4" s="175">
        <v>2000</v>
      </c>
      <c r="E4" s="175">
        <v>1600</v>
      </c>
      <c r="F4" s="175">
        <v>3500</v>
      </c>
      <c r="G4" s="175">
        <v>1200</v>
      </c>
      <c r="H4" s="175">
        <v>4000</v>
      </c>
      <c r="I4" s="175">
        <v>1500</v>
      </c>
      <c r="K4" s="95" t="s">
        <v>120</v>
      </c>
    </row>
    <row r="5" spans="2:11" x14ac:dyDescent="0.25">
      <c r="B5" s="31" t="s">
        <v>121</v>
      </c>
      <c r="C5" s="175">
        <v>10000</v>
      </c>
      <c r="D5" s="175">
        <v>12000</v>
      </c>
      <c r="E5" s="175">
        <v>14000</v>
      </c>
      <c r="F5" s="175">
        <v>16000</v>
      </c>
      <c r="G5" s="175">
        <v>18000</v>
      </c>
      <c r="H5" s="175">
        <v>20000</v>
      </c>
      <c r="I5" s="175">
        <v>22000</v>
      </c>
      <c r="K5" s="95" t="s">
        <v>122</v>
      </c>
    </row>
    <row r="6" spans="2:11" x14ac:dyDescent="0.25">
      <c r="B6" s="31" t="s">
        <v>123</v>
      </c>
      <c r="C6" s="155">
        <v>0.01</v>
      </c>
      <c r="D6" s="155">
        <v>0.05</v>
      </c>
      <c r="E6" s="155">
        <v>0.1</v>
      </c>
      <c r="F6" s="155">
        <v>0.03</v>
      </c>
      <c r="G6" s="155">
        <v>0.09</v>
      </c>
      <c r="H6" s="155">
        <v>0.1</v>
      </c>
      <c r="I6" s="155">
        <v>0.12</v>
      </c>
    </row>
    <row r="7" spans="2:11" x14ac:dyDescent="0.25">
      <c r="B7" s="31" t="s">
        <v>124</v>
      </c>
      <c r="C7" s="34">
        <v>0.1</v>
      </c>
      <c r="D7" s="34">
        <v>0.1</v>
      </c>
      <c r="E7" s="34">
        <v>0.1</v>
      </c>
      <c r="F7" s="34">
        <v>0.09</v>
      </c>
      <c r="G7" s="34">
        <v>0.09</v>
      </c>
      <c r="H7" s="34">
        <v>0.09</v>
      </c>
      <c r="I7" s="34">
        <v>0.09</v>
      </c>
    </row>
    <row r="8" spans="2:11" x14ac:dyDescent="0.25">
      <c r="B8" s="31" t="s">
        <v>125</v>
      </c>
      <c r="C8" s="34">
        <v>0.04</v>
      </c>
      <c r="D8" s="34">
        <v>0.04</v>
      </c>
      <c r="E8" s="34">
        <v>0.04</v>
      </c>
      <c r="F8" s="34">
        <v>0.05</v>
      </c>
      <c r="G8" s="34">
        <v>0.05</v>
      </c>
      <c r="H8" s="34">
        <v>0.05</v>
      </c>
      <c r="I8" s="34">
        <v>0.05</v>
      </c>
    </row>
    <row r="9" spans="2:11" x14ac:dyDescent="0.25">
      <c r="B9" s="31" t="s">
        <v>7</v>
      </c>
      <c r="C9" s="175">
        <v>5000</v>
      </c>
      <c r="D9" s="175">
        <v>4500</v>
      </c>
      <c r="E9" s="175">
        <v>4000</v>
      </c>
      <c r="F9" s="175">
        <v>7000</v>
      </c>
      <c r="G9" s="175">
        <v>6500</v>
      </c>
      <c r="H9" s="175">
        <v>6000</v>
      </c>
      <c r="I9" s="175">
        <v>7000</v>
      </c>
    </row>
    <row r="10" spans="2:11" ht="15.75" x14ac:dyDescent="0.25">
      <c r="C10" s="193">
        <v>2022</v>
      </c>
      <c r="D10" s="193">
        <f>+C10+1</f>
        <v>2023</v>
      </c>
      <c r="E10" s="193">
        <f t="shared" ref="E10" si="1">+D10+1</f>
        <v>2024</v>
      </c>
      <c r="F10" s="193">
        <f t="shared" ref="F10" si="2">+E10+1</f>
        <v>2025</v>
      </c>
      <c r="G10" s="193">
        <f t="shared" ref="G10" si="3">+F10+1</f>
        <v>2026</v>
      </c>
      <c r="H10" s="193">
        <f t="shared" ref="H10" si="4">+G10+1</f>
        <v>2027</v>
      </c>
      <c r="I10" s="193">
        <f t="shared" ref="I10" si="5">+H10+1</f>
        <v>2028</v>
      </c>
    </row>
    <row r="11" spans="2:11" ht="15.75" x14ac:dyDescent="0.25">
      <c r="B11" s="192" t="s">
        <v>126</v>
      </c>
      <c r="C11" s="153">
        <f>C38/C18</f>
        <v>0.01</v>
      </c>
      <c r="D11" s="153">
        <f t="shared" ref="D11:I11" si="6">D38/D18</f>
        <v>4.6956521739130432E-2</v>
      </c>
      <c r="E11" s="153">
        <f t="shared" si="6"/>
        <v>9.3333333333333338E-2</v>
      </c>
      <c r="F11" s="153">
        <f t="shared" si="6"/>
        <v>2.8927152317880796E-2</v>
      </c>
      <c r="G11" s="153">
        <f t="shared" si="6"/>
        <v>7.9258064516129031E-2</v>
      </c>
      <c r="H11" s="153">
        <f t="shared" si="6"/>
        <v>9.1919191919191914E-2</v>
      </c>
      <c r="I11" s="153">
        <f t="shared" si="6"/>
        <v>0.10094117647058824</v>
      </c>
    </row>
    <row r="12" spans="2:11" ht="15.75" x14ac:dyDescent="0.25">
      <c r="B12" s="192" t="s">
        <v>127</v>
      </c>
      <c r="C12" s="153"/>
      <c r="D12" s="153">
        <f t="shared" ref="D12:I12" si="7">(D38-C38)/C39</f>
        <v>0.29333333333333333</v>
      </c>
      <c r="E12" s="153">
        <f t="shared" si="7"/>
        <v>0.36</v>
      </c>
      <c r="F12" s="153">
        <f t="shared" si="7"/>
        <v>-0.51450000000000007</v>
      </c>
      <c r="G12" s="153">
        <f t="shared" si="7"/>
        <v>0.29640000000000005</v>
      </c>
      <c r="H12" s="153">
        <f t="shared" si="7"/>
        <v>0.28816666666666663</v>
      </c>
      <c r="I12" s="153">
        <f t="shared" si="7"/>
        <v>0.14560000000000003</v>
      </c>
    </row>
    <row r="13" spans="2:11" ht="15.75" x14ac:dyDescent="0.25">
      <c r="B13" s="192" t="s">
        <v>128</v>
      </c>
      <c r="C13" s="153">
        <f t="shared" ref="C13:I13" si="8">C39/C38</f>
        <v>15</v>
      </c>
      <c r="D13" s="153">
        <f t="shared" si="8"/>
        <v>3.7037037037037037</v>
      </c>
      <c r="E13" s="153">
        <f t="shared" si="8"/>
        <v>1.2698412698412698</v>
      </c>
      <c r="F13" s="153">
        <f t="shared" si="8"/>
        <v>8.0128205128205128</v>
      </c>
      <c r="G13" s="153">
        <f t="shared" si="8"/>
        <v>0.81400081400081392</v>
      </c>
      <c r="H13" s="153">
        <f t="shared" si="8"/>
        <v>2.197802197802198</v>
      </c>
      <c r="I13" s="153">
        <f t="shared" si="8"/>
        <v>0.62437562437562433</v>
      </c>
    </row>
    <row r="14" spans="2:11" ht="15.75" x14ac:dyDescent="0.25">
      <c r="B14" s="192" t="s">
        <v>129</v>
      </c>
      <c r="C14" s="153"/>
      <c r="D14" s="153">
        <f t="shared" ref="D14:I14" si="9">(D38-C38)/C38</f>
        <v>4.4000000000000004</v>
      </c>
      <c r="E14" s="153">
        <f t="shared" si="9"/>
        <v>1.3333333333333333</v>
      </c>
      <c r="F14" s="153">
        <f t="shared" si="9"/>
        <v>-0.65333333333333332</v>
      </c>
      <c r="G14" s="153">
        <f t="shared" si="9"/>
        <v>2.375</v>
      </c>
      <c r="H14" s="153">
        <f t="shared" si="9"/>
        <v>0.23456790123456786</v>
      </c>
      <c r="I14" s="153">
        <f t="shared" si="9"/>
        <v>0.32000000000000006</v>
      </c>
    </row>
    <row r="15" spans="2:11" ht="15.75" x14ac:dyDescent="0.25">
      <c r="B15" s="192" t="s">
        <v>15</v>
      </c>
      <c r="C15" s="153">
        <f t="shared" ref="C15:I15" si="10">C34</f>
        <v>0</v>
      </c>
      <c r="D15" s="153">
        <f t="shared" si="10"/>
        <v>0.1</v>
      </c>
      <c r="E15" s="153">
        <f t="shared" si="10"/>
        <v>0.1</v>
      </c>
      <c r="F15" s="153">
        <f t="shared" si="10"/>
        <v>0.09</v>
      </c>
      <c r="G15" s="153">
        <f t="shared" si="10"/>
        <v>0.09</v>
      </c>
      <c r="H15" s="153">
        <f t="shared" si="10"/>
        <v>0.09</v>
      </c>
      <c r="I15" s="153">
        <f t="shared" si="10"/>
        <v>0.09</v>
      </c>
    </row>
    <row r="17" spans="2:11" ht="15.75" x14ac:dyDescent="0.25">
      <c r="B17" s="196" t="s">
        <v>1</v>
      </c>
      <c r="C17" s="198">
        <v>2022</v>
      </c>
      <c r="D17" s="198">
        <v>2023</v>
      </c>
      <c r="E17" s="198">
        <v>2024</v>
      </c>
      <c r="F17" s="198">
        <v>2025</v>
      </c>
      <c r="G17" s="199">
        <f t="shared" ref="G17:I17" si="11">+F17+1</f>
        <v>2026</v>
      </c>
      <c r="H17" s="199">
        <f t="shared" ref="H17" si="12">+G17+1</f>
        <v>2027</v>
      </c>
      <c r="I17" s="199">
        <f t="shared" si="11"/>
        <v>2028</v>
      </c>
    </row>
    <row r="18" spans="2:11" ht="15" customHeight="1" x14ac:dyDescent="0.25">
      <c r="B18" s="197" t="s">
        <v>4</v>
      </c>
      <c r="C18" s="21">
        <f>C3</f>
        <v>10000</v>
      </c>
      <c r="D18" s="21">
        <f t="shared" ref="D18:J18" si="13">C18+C4</f>
        <v>11500</v>
      </c>
      <c r="E18" s="21">
        <f t="shared" si="13"/>
        <v>13500</v>
      </c>
      <c r="F18" s="21">
        <f t="shared" si="13"/>
        <v>15100</v>
      </c>
      <c r="G18" s="21">
        <f t="shared" si="13"/>
        <v>18600</v>
      </c>
      <c r="H18" s="21">
        <f t="shared" si="13"/>
        <v>19800</v>
      </c>
      <c r="I18" s="21">
        <f t="shared" si="13"/>
        <v>23800</v>
      </c>
      <c r="J18" s="21">
        <f t="shared" si="13"/>
        <v>25300</v>
      </c>
    </row>
    <row r="19" spans="2:11" ht="15" customHeight="1" x14ac:dyDescent="0.25">
      <c r="B19" s="197" t="s">
        <v>7</v>
      </c>
      <c r="C19" s="21">
        <f t="shared" ref="C19:J19" si="14">C9</f>
        <v>5000</v>
      </c>
      <c r="D19" s="21">
        <f t="shared" si="14"/>
        <v>4500</v>
      </c>
      <c r="E19" s="21">
        <f t="shared" si="14"/>
        <v>4000</v>
      </c>
      <c r="F19" s="21">
        <f t="shared" si="14"/>
        <v>7000</v>
      </c>
      <c r="G19" s="21">
        <f t="shared" si="14"/>
        <v>6500</v>
      </c>
      <c r="H19" s="21">
        <f t="shared" si="14"/>
        <v>6000</v>
      </c>
      <c r="I19" s="21">
        <f t="shared" si="14"/>
        <v>7000</v>
      </c>
      <c r="J19" s="21">
        <f t="shared" si="14"/>
        <v>0</v>
      </c>
      <c r="K19" s="21"/>
    </row>
    <row r="20" spans="2:11" ht="15" customHeight="1" x14ac:dyDescent="0.25">
      <c r="B20" s="197" t="s">
        <v>10</v>
      </c>
      <c r="C20" s="21">
        <f>C18-C19</f>
        <v>5000</v>
      </c>
      <c r="D20" s="21">
        <f t="shared" ref="D20:J20" si="15">D18-D19</f>
        <v>7000</v>
      </c>
      <c r="E20" s="21">
        <f t="shared" si="15"/>
        <v>9500</v>
      </c>
      <c r="F20" s="21">
        <f t="shared" si="15"/>
        <v>8100</v>
      </c>
      <c r="G20" s="21">
        <f t="shared" si="15"/>
        <v>12100</v>
      </c>
      <c r="H20" s="21">
        <f t="shared" si="15"/>
        <v>13800</v>
      </c>
      <c r="I20" s="21">
        <f t="shared" si="15"/>
        <v>16800</v>
      </c>
      <c r="J20" s="21">
        <f t="shared" si="15"/>
        <v>25300</v>
      </c>
    </row>
    <row r="21" spans="2:11" x14ac:dyDescent="0.25">
      <c r="B21" s="5"/>
      <c r="C21" s="4"/>
      <c r="D21" s="4"/>
      <c r="E21" s="4"/>
      <c r="F21" s="4"/>
      <c r="G21" s="4"/>
      <c r="H21" s="4"/>
      <c r="I21" s="4"/>
    </row>
    <row r="22" spans="2:11" ht="15.75" x14ac:dyDescent="0.25">
      <c r="B22" s="194" t="s">
        <v>12</v>
      </c>
      <c r="C22" s="202">
        <v>2022</v>
      </c>
      <c r="D22" s="202">
        <v>2023</v>
      </c>
      <c r="E22" s="202">
        <v>2024</v>
      </c>
      <c r="F22" s="202">
        <v>2025</v>
      </c>
      <c r="G22" s="203">
        <f t="shared" ref="G22" si="16">+F22+1</f>
        <v>2026</v>
      </c>
      <c r="H22" s="203">
        <f t="shared" ref="H22" si="17">+G22+1</f>
        <v>2027</v>
      </c>
      <c r="I22" s="203">
        <f t="shared" ref="I22" si="18">+H22+1</f>
        <v>2028</v>
      </c>
    </row>
    <row r="23" spans="2:11" x14ac:dyDescent="0.25">
      <c r="B23" s="195" t="s">
        <v>121</v>
      </c>
      <c r="C23" s="25">
        <f t="shared" ref="C23:I23" si="19">C5</f>
        <v>10000</v>
      </c>
      <c r="D23" s="25">
        <f t="shared" si="19"/>
        <v>12000</v>
      </c>
      <c r="E23" s="25">
        <f t="shared" si="19"/>
        <v>14000</v>
      </c>
      <c r="F23" s="25">
        <f t="shared" si="19"/>
        <v>16000</v>
      </c>
      <c r="G23" s="25">
        <f t="shared" si="19"/>
        <v>18000</v>
      </c>
      <c r="H23" s="25">
        <f t="shared" si="19"/>
        <v>20000</v>
      </c>
      <c r="I23" s="25">
        <f t="shared" si="19"/>
        <v>22000</v>
      </c>
    </row>
    <row r="24" spans="2:11" ht="15" customHeight="1" x14ac:dyDescent="0.25">
      <c r="B24" s="195" t="s">
        <v>14</v>
      </c>
      <c r="C24" s="21">
        <f t="shared" ref="C24:I24" si="20">C23*C6</f>
        <v>100</v>
      </c>
      <c r="D24" s="21">
        <f t="shared" si="20"/>
        <v>600</v>
      </c>
      <c r="E24" s="21">
        <f t="shared" si="20"/>
        <v>1400</v>
      </c>
      <c r="F24" s="21">
        <f t="shared" si="20"/>
        <v>480</v>
      </c>
      <c r="G24" s="21">
        <f t="shared" si="20"/>
        <v>1620</v>
      </c>
      <c r="H24" s="21">
        <f t="shared" si="20"/>
        <v>2000</v>
      </c>
      <c r="I24" s="21">
        <f t="shared" si="20"/>
        <v>2640</v>
      </c>
    </row>
    <row r="25" spans="2:11" ht="15" customHeight="1" x14ac:dyDescent="0.25">
      <c r="B25" s="195" t="s">
        <v>17</v>
      </c>
      <c r="C25" s="22">
        <f t="shared" ref="C25:I25" si="21">C8*C19</f>
        <v>200</v>
      </c>
      <c r="D25" s="22">
        <f t="shared" si="21"/>
        <v>180</v>
      </c>
      <c r="E25" s="22">
        <f t="shared" si="21"/>
        <v>160</v>
      </c>
      <c r="F25" s="22">
        <f t="shared" si="21"/>
        <v>350</v>
      </c>
      <c r="G25" s="22">
        <f t="shared" si="21"/>
        <v>325</v>
      </c>
      <c r="H25" s="22">
        <f t="shared" si="21"/>
        <v>300</v>
      </c>
      <c r="I25" s="22">
        <f t="shared" si="21"/>
        <v>350</v>
      </c>
      <c r="J25" s="22"/>
    </row>
    <row r="26" spans="2:11" ht="15" customHeight="1" x14ac:dyDescent="0.25">
      <c r="B26" s="195" t="s">
        <v>19</v>
      </c>
      <c r="C26" s="21">
        <f>C24-C25</f>
        <v>-100</v>
      </c>
      <c r="D26" s="21">
        <f t="shared" ref="D26:H26" si="22">D24-D25</f>
        <v>420</v>
      </c>
      <c r="E26" s="21">
        <f t="shared" si="22"/>
        <v>1240</v>
      </c>
      <c r="F26" s="21">
        <f t="shared" si="22"/>
        <v>130</v>
      </c>
      <c r="G26" s="21">
        <f t="shared" si="22"/>
        <v>1295</v>
      </c>
      <c r="H26" s="21">
        <f t="shared" si="22"/>
        <v>1700</v>
      </c>
      <c r="I26" s="21">
        <f>I24-I25</f>
        <v>2290</v>
      </c>
    </row>
    <row r="27" spans="2:11" ht="15" customHeight="1" x14ac:dyDescent="0.25">
      <c r="B27" s="195" t="s">
        <v>22</v>
      </c>
      <c r="C27" s="21">
        <f t="shared" ref="C27:I27" si="23">+IF(C26&lt;0,0,C26*C7)</f>
        <v>0</v>
      </c>
      <c r="D27" s="21">
        <f t="shared" si="23"/>
        <v>42</v>
      </c>
      <c r="E27" s="21">
        <f t="shared" si="23"/>
        <v>124</v>
      </c>
      <c r="F27" s="21">
        <f t="shared" si="23"/>
        <v>11.7</v>
      </c>
      <c r="G27" s="21">
        <f t="shared" si="23"/>
        <v>116.55</v>
      </c>
      <c r="H27" s="21">
        <f t="shared" si="23"/>
        <v>153</v>
      </c>
      <c r="I27" s="21">
        <f t="shared" si="23"/>
        <v>206.1</v>
      </c>
    </row>
    <row r="28" spans="2:11" ht="15" customHeight="1" x14ac:dyDescent="0.25">
      <c r="B28" s="195" t="s">
        <v>24</v>
      </c>
      <c r="C28" s="21">
        <f t="shared" ref="C28:I28" si="24">C26-C27</f>
        <v>-100</v>
      </c>
      <c r="D28" s="21">
        <f t="shared" si="24"/>
        <v>378</v>
      </c>
      <c r="E28" s="21">
        <f t="shared" si="24"/>
        <v>1116</v>
      </c>
      <c r="F28" s="21">
        <f t="shared" si="24"/>
        <v>118.3</v>
      </c>
      <c r="G28" s="21">
        <f t="shared" si="24"/>
        <v>1178.45</v>
      </c>
      <c r="H28" s="21">
        <f t="shared" si="24"/>
        <v>1547</v>
      </c>
      <c r="I28" s="21">
        <f t="shared" si="24"/>
        <v>2083.9</v>
      </c>
    </row>
    <row r="29" spans="2:11" ht="15" customHeight="1" x14ac:dyDescent="0.25">
      <c r="B29" s="195" t="s">
        <v>26</v>
      </c>
      <c r="C29" s="21">
        <f>+C28-C30</f>
        <v>0</v>
      </c>
      <c r="D29" s="21">
        <f t="shared" ref="D29:H29" si="25">+D28-D30</f>
        <v>0</v>
      </c>
      <c r="E29" s="21">
        <f t="shared" si="25"/>
        <v>1116</v>
      </c>
      <c r="F29" s="21">
        <f t="shared" si="25"/>
        <v>0</v>
      </c>
      <c r="G29" s="21">
        <f>+G28-G30</f>
        <v>0</v>
      </c>
      <c r="H29" s="21">
        <f t="shared" si="25"/>
        <v>0</v>
      </c>
      <c r="I29" s="21">
        <f>+I28-I30</f>
        <v>0</v>
      </c>
    </row>
    <row r="30" spans="2:11" ht="15" customHeight="1" x14ac:dyDescent="0.25">
      <c r="B30" s="195" t="s">
        <v>130</v>
      </c>
      <c r="C30" s="21">
        <f>+IF(C28&lt;0,C28,MAX(0,MIN(C28,C31)))</f>
        <v>-100</v>
      </c>
      <c r="D30" s="21">
        <f t="shared" ref="D30:H30" si="26">+IF(D28&lt;0,D28,MAX(0,MIN(D28,D31)))</f>
        <v>378</v>
      </c>
      <c r="E30" s="21">
        <f t="shared" si="26"/>
        <v>0</v>
      </c>
      <c r="F30" s="21">
        <f t="shared" si="26"/>
        <v>118.3</v>
      </c>
      <c r="G30" s="21">
        <f t="shared" si="26"/>
        <v>1178.45</v>
      </c>
      <c r="H30" s="21">
        <f t="shared" si="26"/>
        <v>1547</v>
      </c>
      <c r="I30" s="21">
        <f>+IF(I28&lt;0,I28,MAX(0,MIN(I28,I31)))</f>
        <v>2083.9</v>
      </c>
    </row>
    <row r="31" spans="2:11" ht="15" customHeight="1" x14ac:dyDescent="0.25">
      <c r="B31" s="195" t="s">
        <v>131</v>
      </c>
      <c r="C31" s="21">
        <f t="shared" ref="C31:I31" si="27">+D20-C20</f>
        <v>2000</v>
      </c>
      <c r="D31" s="21">
        <f t="shared" si="27"/>
        <v>2500</v>
      </c>
      <c r="E31" s="21">
        <f t="shared" si="27"/>
        <v>-1400</v>
      </c>
      <c r="F31" s="21">
        <f t="shared" si="27"/>
        <v>4000</v>
      </c>
      <c r="G31" s="21">
        <f t="shared" si="27"/>
        <v>1700</v>
      </c>
      <c r="H31" s="21">
        <f t="shared" si="27"/>
        <v>3000</v>
      </c>
      <c r="I31" s="21">
        <f t="shared" si="27"/>
        <v>8500</v>
      </c>
    </row>
    <row r="32" spans="2:11" ht="15" customHeight="1" x14ac:dyDescent="0.25">
      <c r="B32" s="195" t="s">
        <v>31</v>
      </c>
      <c r="C32" s="21">
        <f t="shared" ref="C32:I32" si="28">+C31-C30</f>
        <v>2100</v>
      </c>
      <c r="D32" s="21">
        <f t="shared" si="28"/>
        <v>2122</v>
      </c>
      <c r="E32" s="21">
        <f t="shared" si="28"/>
        <v>-1400</v>
      </c>
      <c r="F32" s="21">
        <f t="shared" si="28"/>
        <v>3881.7</v>
      </c>
      <c r="G32" s="21">
        <f t="shared" si="28"/>
        <v>521.54999999999995</v>
      </c>
      <c r="H32" s="21">
        <f t="shared" si="28"/>
        <v>1453</v>
      </c>
      <c r="I32" s="21">
        <f t="shared" si="28"/>
        <v>6416.1</v>
      </c>
    </row>
    <row r="33" spans="2:9" ht="15" customHeight="1" x14ac:dyDescent="0.25">
      <c r="B33" s="195" t="s">
        <v>33</v>
      </c>
      <c r="C33" s="23">
        <f t="shared" ref="C33:I33" si="29">C29/C28</f>
        <v>0</v>
      </c>
      <c r="D33" s="23">
        <f t="shared" si="29"/>
        <v>0</v>
      </c>
      <c r="E33" s="23">
        <f t="shared" si="29"/>
        <v>1</v>
      </c>
      <c r="F33" s="23">
        <f t="shared" si="29"/>
        <v>0</v>
      </c>
      <c r="G33" s="23">
        <f t="shared" si="29"/>
        <v>0</v>
      </c>
      <c r="H33" s="23">
        <f t="shared" si="29"/>
        <v>0</v>
      </c>
      <c r="I33" s="23">
        <f t="shared" si="29"/>
        <v>0</v>
      </c>
    </row>
    <row r="34" spans="2:9" ht="15.75" x14ac:dyDescent="0.25">
      <c r="B34" s="201" t="s">
        <v>35</v>
      </c>
      <c r="C34" s="24">
        <f t="shared" ref="C34:I34" si="30">+C27/C26</f>
        <v>0</v>
      </c>
      <c r="D34" s="24">
        <f t="shared" si="30"/>
        <v>0.1</v>
      </c>
      <c r="E34" s="24">
        <f t="shared" si="30"/>
        <v>0.1</v>
      </c>
      <c r="F34" s="24">
        <f t="shared" si="30"/>
        <v>0.09</v>
      </c>
      <c r="G34" s="24">
        <f t="shared" si="30"/>
        <v>0.09</v>
      </c>
      <c r="H34" s="24">
        <f t="shared" si="30"/>
        <v>0.09</v>
      </c>
      <c r="I34" s="24">
        <f t="shared" si="30"/>
        <v>0.09</v>
      </c>
    </row>
    <row r="35" spans="2:9" ht="15.75" x14ac:dyDescent="0.25">
      <c r="I35" s="3"/>
    </row>
    <row r="37" spans="2:9" ht="15.75" x14ac:dyDescent="0.25">
      <c r="B37" s="204" t="s">
        <v>37</v>
      </c>
      <c r="C37" s="206">
        <v>2022</v>
      </c>
      <c r="D37" s="206">
        <v>2023</v>
      </c>
      <c r="E37" s="206">
        <v>2024</v>
      </c>
      <c r="F37" s="206">
        <v>2025</v>
      </c>
      <c r="G37" s="208">
        <f t="shared" ref="G37" si="31">+F37+1</f>
        <v>2026</v>
      </c>
      <c r="H37" s="208">
        <f t="shared" ref="H37" si="32">+G37+1</f>
        <v>2027</v>
      </c>
      <c r="I37" s="208">
        <f t="shared" ref="I37" si="33">+H37+1</f>
        <v>2028</v>
      </c>
    </row>
    <row r="38" spans="2:9" x14ac:dyDescent="0.25">
      <c r="B38" s="205" t="s">
        <v>38</v>
      </c>
      <c r="C38" s="21">
        <f t="shared" ref="C38:I38" si="34">C24*(1-C34)</f>
        <v>100</v>
      </c>
      <c r="D38" s="21">
        <f t="shared" si="34"/>
        <v>540</v>
      </c>
      <c r="E38" s="21">
        <f t="shared" si="34"/>
        <v>1260</v>
      </c>
      <c r="F38" s="21">
        <f t="shared" si="34"/>
        <v>436.8</v>
      </c>
      <c r="G38" s="21">
        <f t="shared" si="34"/>
        <v>1474.2</v>
      </c>
      <c r="H38" s="21">
        <f t="shared" si="34"/>
        <v>1820</v>
      </c>
      <c r="I38" s="21">
        <f t="shared" si="34"/>
        <v>2402.4</v>
      </c>
    </row>
    <row r="39" spans="2:9" ht="15" customHeight="1" x14ac:dyDescent="0.25">
      <c r="B39" s="205" t="s">
        <v>132</v>
      </c>
      <c r="C39" s="21">
        <f t="shared" ref="C39:I39" si="35">C4</f>
        <v>1500</v>
      </c>
      <c r="D39" s="21">
        <f t="shared" si="35"/>
        <v>2000</v>
      </c>
      <c r="E39" s="21">
        <f t="shared" si="35"/>
        <v>1600</v>
      </c>
      <c r="F39" s="21">
        <f t="shared" si="35"/>
        <v>3500</v>
      </c>
      <c r="G39" s="21">
        <f t="shared" si="35"/>
        <v>1200</v>
      </c>
      <c r="H39" s="21">
        <f t="shared" si="35"/>
        <v>4000</v>
      </c>
      <c r="I39" s="21">
        <f t="shared" si="35"/>
        <v>1500</v>
      </c>
    </row>
    <row r="40" spans="2:9" x14ac:dyDescent="0.25">
      <c r="B40" s="206" t="s">
        <v>25</v>
      </c>
      <c r="C40" s="26">
        <f>C38-C39</f>
        <v>-1400</v>
      </c>
      <c r="D40" s="26">
        <f t="shared" ref="D40:I40" si="36">D38-D39</f>
        <v>-1460</v>
      </c>
      <c r="E40" s="26">
        <f t="shared" si="36"/>
        <v>-340</v>
      </c>
      <c r="F40" s="26">
        <f t="shared" si="36"/>
        <v>-3063.2</v>
      </c>
      <c r="G40" s="26">
        <f t="shared" si="36"/>
        <v>274.20000000000005</v>
      </c>
      <c r="H40" s="26">
        <f t="shared" si="36"/>
        <v>-2180</v>
      </c>
      <c r="I40" s="26">
        <f t="shared" si="36"/>
        <v>902.40000000000009</v>
      </c>
    </row>
    <row r="41" spans="2:9" ht="15" customHeight="1" x14ac:dyDescent="0.25">
      <c r="B41" s="207" t="s">
        <v>17</v>
      </c>
      <c r="C41" s="22">
        <f t="shared" ref="C41:I41" si="37">-C25</f>
        <v>-200</v>
      </c>
      <c r="D41" s="22">
        <f t="shared" si="37"/>
        <v>-180</v>
      </c>
      <c r="E41" s="22">
        <f t="shared" si="37"/>
        <v>-160</v>
      </c>
      <c r="F41" s="22">
        <f t="shared" si="37"/>
        <v>-350</v>
      </c>
      <c r="G41" s="22">
        <f t="shared" si="37"/>
        <v>-325</v>
      </c>
      <c r="H41" s="22">
        <f t="shared" si="37"/>
        <v>-300</v>
      </c>
      <c r="I41" s="22">
        <f t="shared" si="37"/>
        <v>-350</v>
      </c>
    </row>
    <row r="42" spans="2:9" ht="15.75" x14ac:dyDescent="0.25">
      <c r="B42" s="207" t="s">
        <v>47</v>
      </c>
      <c r="C42" s="25">
        <f t="shared" ref="C42:I42" si="38">-C41*C34</f>
        <v>0</v>
      </c>
      <c r="D42" s="25">
        <f t="shared" si="38"/>
        <v>18</v>
      </c>
      <c r="E42" s="25">
        <f t="shared" si="38"/>
        <v>16</v>
      </c>
      <c r="F42" s="25">
        <f t="shared" si="38"/>
        <v>31.5</v>
      </c>
      <c r="G42" s="25">
        <f t="shared" si="38"/>
        <v>29.25</v>
      </c>
      <c r="H42" s="25">
        <f t="shared" si="38"/>
        <v>27</v>
      </c>
      <c r="I42" s="25">
        <f t="shared" si="38"/>
        <v>31.5</v>
      </c>
    </row>
    <row r="43" spans="2:9" ht="15.75" x14ac:dyDescent="0.25">
      <c r="B43" s="207" t="s">
        <v>133</v>
      </c>
      <c r="C43" s="25">
        <f t="shared" ref="C43:I43" si="39">D19-C19</f>
        <v>-500</v>
      </c>
      <c r="D43" s="25">
        <f t="shared" si="39"/>
        <v>-500</v>
      </c>
      <c r="E43" s="25">
        <f t="shared" si="39"/>
        <v>3000</v>
      </c>
      <c r="F43" s="25">
        <f t="shared" si="39"/>
        <v>-500</v>
      </c>
      <c r="G43" s="25">
        <f t="shared" si="39"/>
        <v>-500</v>
      </c>
      <c r="H43" s="25">
        <f t="shared" si="39"/>
        <v>1000</v>
      </c>
      <c r="I43" s="25">
        <f t="shared" si="39"/>
        <v>-7000</v>
      </c>
    </row>
    <row r="44" spans="2:9" x14ac:dyDescent="0.25">
      <c r="B44" s="206" t="s">
        <v>39</v>
      </c>
      <c r="C44" s="26">
        <f t="shared" ref="C44:G44" si="40">C40+C41+C42+C43</f>
        <v>-2100</v>
      </c>
      <c r="D44" s="26">
        <f t="shared" si="40"/>
        <v>-2122</v>
      </c>
      <c r="E44" s="26">
        <f t="shared" si="40"/>
        <v>2516</v>
      </c>
      <c r="F44" s="26">
        <f t="shared" si="40"/>
        <v>-3881.7</v>
      </c>
      <c r="G44" s="26">
        <f t="shared" si="40"/>
        <v>-521.54999999999995</v>
      </c>
      <c r="H44" s="26">
        <f>H40+H41+H42+H43</f>
        <v>-1453</v>
      </c>
      <c r="I44" s="26">
        <f>I40+I41+I42+I43</f>
        <v>-6416.1</v>
      </c>
    </row>
    <row r="45" spans="2:9" ht="15" customHeight="1" x14ac:dyDescent="0.25">
      <c r="B45" s="207" t="s">
        <v>26</v>
      </c>
      <c r="C45" s="25">
        <f t="shared" ref="C45:I45" si="41">-C29</f>
        <v>0</v>
      </c>
      <c r="D45" s="25">
        <f t="shared" si="41"/>
        <v>0</v>
      </c>
      <c r="E45" s="25">
        <f t="shared" si="41"/>
        <v>-1116</v>
      </c>
      <c r="F45" s="25">
        <f t="shared" si="41"/>
        <v>0</v>
      </c>
      <c r="G45" s="25">
        <f t="shared" si="41"/>
        <v>0</v>
      </c>
      <c r="H45" s="25">
        <f t="shared" si="41"/>
        <v>0</v>
      </c>
      <c r="I45" s="25">
        <f t="shared" si="41"/>
        <v>0</v>
      </c>
    </row>
    <row r="46" spans="2:9" ht="15.75" x14ac:dyDescent="0.25">
      <c r="B46" s="207" t="s">
        <v>134</v>
      </c>
      <c r="C46" s="25">
        <f t="shared" ref="C46:I46" si="42">D20-C20-C30</f>
        <v>2100</v>
      </c>
      <c r="D46" s="25">
        <f t="shared" si="42"/>
        <v>2122</v>
      </c>
      <c r="E46" s="25">
        <f t="shared" si="42"/>
        <v>-1400</v>
      </c>
      <c r="F46" s="25">
        <f t="shared" si="42"/>
        <v>3881.7</v>
      </c>
      <c r="G46" s="25">
        <f t="shared" si="42"/>
        <v>521.54999999999995</v>
      </c>
      <c r="H46" s="25">
        <f t="shared" si="42"/>
        <v>1453</v>
      </c>
      <c r="I46" s="25">
        <f t="shared" si="42"/>
        <v>6416.1</v>
      </c>
    </row>
    <row r="47" spans="2:9" x14ac:dyDescent="0.25">
      <c r="B47" s="205" t="s">
        <v>135</v>
      </c>
      <c r="C47" s="25">
        <f>SUM(C44:C46)</f>
        <v>0</v>
      </c>
      <c r="D47" s="25">
        <f t="shared" ref="D47:H47" si="43">SUM(D44:D46)</f>
        <v>0</v>
      </c>
      <c r="E47" s="25">
        <f t="shared" si="43"/>
        <v>0</v>
      </c>
      <c r="F47" s="25">
        <f t="shared" si="43"/>
        <v>0</v>
      </c>
      <c r="G47" s="25">
        <f t="shared" si="43"/>
        <v>0</v>
      </c>
      <c r="H47" s="25">
        <f t="shared" si="43"/>
        <v>0</v>
      </c>
      <c r="I47" s="25">
        <f>SUM(I44:I46)</f>
        <v>0</v>
      </c>
    </row>
    <row r="48" spans="2:9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48"/>
  <sheetViews>
    <sheetView zoomScale="91" zoomScaleNormal="91" workbookViewId="0">
      <selection activeCell="AA12" sqref="AA12"/>
    </sheetView>
  </sheetViews>
  <sheetFormatPr defaultRowHeight="15" x14ac:dyDescent="0.25"/>
  <cols>
    <col min="2" max="2" width="22.85546875" style="30" customWidth="1"/>
    <col min="3" max="5" width="10.140625" style="30" bestFit="1" customWidth="1"/>
    <col min="7" max="7" width="9.140625" style="95"/>
    <col min="8" max="8" width="8.28515625" style="95" bestFit="1" customWidth="1"/>
    <col min="9" max="9" width="9.140625" style="95"/>
    <col min="27" max="27" width="26" customWidth="1"/>
    <col min="28" max="28" width="14.7109375" customWidth="1"/>
  </cols>
  <sheetData>
    <row r="1" spans="2:28" ht="16.5" customHeight="1" thickBot="1" x14ac:dyDescent="0.3">
      <c r="B1" s="156"/>
      <c r="C1" s="157">
        <f ca="1">+D1-1</f>
        <v>2020</v>
      </c>
      <c r="D1" s="157">
        <f ca="1">+E1-1</f>
        <v>2021</v>
      </c>
      <c r="E1" s="157">
        <f ca="1">+YEAR(TODAY())-1</f>
        <v>2022</v>
      </c>
      <c r="G1" s="212" t="s">
        <v>37</v>
      </c>
      <c r="H1" s="253">
        <f ca="1">+I1-1</f>
        <v>2021</v>
      </c>
      <c r="I1" s="253">
        <f ca="1">+YEAR(TODAY())-1</f>
        <v>2022</v>
      </c>
      <c r="K1" s="30"/>
      <c r="L1" s="157">
        <f ca="1">+M1-1</f>
        <v>2020</v>
      </c>
      <c r="M1" s="157">
        <f ca="1">+N1-1</f>
        <v>2021</v>
      </c>
      <c r="N1" s="157">
        <f ca="1">+YEAR(TODAY())-1</f>
        <v>2022</v>
      </c>
    </row>
    <row r="2" spans="2:28" ht="16.5" thickBot="1" x14ac:dyDescent="0.3">
      <c r="B2" s="158" t="s">
        <v>121</v>
      </c>
      <c r="C2" s="159">
        <v>12000</v>
      </c>
      <c r="D2" s="159">
        <v>13200</v>
      </c>
      <c r="E2" s="159">
        <v>14256</v>
      </c>
      <c r="G2" s="205" t="s">
        <v>38</v>
      </c>
      <c r="H2" s="21">
        <f>(D7)*(1-D32)</f>
        <v>824.33861144945183</v>
      </c>
      <c r="I2" s="21">
        <f>(E7)*(1-E32)</f>
        <v>874.1629286185904</v>
      </c>
      <c r="K2" s="31" t="s">
        <v>136</v>
      </c>
      <c r="L2" s="47">
        <v>0.03</v>
      </c>
      <c r="M2" s="34">
        <v>0.12</v>
      </c>
      <c r="N2" s="34">
        <v>0.06</v>
      </c>
      <c r="Z2" s="31" t="s">
        <v>37</v>
      </c>
      <c r="AA2" s="31" t="s">
        <v>137</v>
      </c>
      <c r="AB2" s="31" t="s">
        <v>138</v>
      </c>
    </row>
    <row r="3" spans="2:28" ht="16.5" thickBot="1" x14ac:dyDescent="0.3">
      <c r="B3" s="158" t="s">
        <v>139</v>
      </c>
      <c r="C3" s="159">
        <v>0</v>
      </c>
      <c r="D3" s="159">
        <v>396</v>
      </c>
      <c r="E3" s="159">
        <v>712.8</v>
      </c>
      <c r="G3" s="205" t="s">
        <v>140</v>
      </c>
      <c r="H3" s="21">
        <f>D6</f>
        <v>150</v>
      </c>
      <c r="I3" s="21">
        <f>E6</f>
        <v>180</v>
      </c>
      <c r="K3" s="31" t="s">
        <v>141</v>
      </c>
      <c r="L3" s="35">
        <f>C32</f>
        <v>8.8461538461538466E-2</v>
      </c>
      <c r="M3" s="35">
        <f>D32</f>
        <v>9.0133982947624841E-2</v>
      </c>
      <c r="N3" s="35">
        <f>E32</f>
        <v>8.9868681681461338E-2</v>
      </c>
      <c r="Z3" s="31" t="s">
        <v>142</v>
      </c>
      <c r="AA3" s="31" t="s">
        <v>143</v>
      </c>
      <c r="AB3" s="31" t="s">
        <v>144</v>
      </c>
    </row>
    <row r="4" spans="2:28" ht="16.5" thickBot="1" x14ac:dyDescent="0.3">
      <c r="B4" s="158" t="s">
        <v>145</v>
      </c>
      <c r="C4" s="159">
        <v>7680</v>
      </c>
      <c r="D4" s="159">
        <v>8580</v>
      </c>
      <c r="E4" s="159">
        <v>9408.9599999999991</v>
      </c>
      <c r="G4" s="250" t="s">
        <v>146</v>
      </c>
      <c r="H4" s="21">
        <f>-(D21-C21)</f>
        <v>-620.83000000000004</v>
      </c>
      <c r="I4" s="21">
        <f>-(E21-D21)</f>
        <v>102.59000000000003</v>
      </c>
      <c r="K4" s="31" t="s">
        <v>147</v>
      </c>
      <c r="L4" s="31"/>
      <c r="M4" s="35">
        <f>D2/C2-1</f>
        <v>0.10000000000000009</v>
      </c>
      <c r="N4" s="35">
        <f>E2/D2-1</f>
        <v>8.0000000000000071E-2</v>
      </c>
      <c r="Z4" s="31" t="s">
        <v>148</v>
      </c>
      <c r="AA4" s="31" t="s">
        <v>149</v>
      </c>
      <c r="AB4" s="31" t="s">
        <v>150</v>
      </c>
    </row>
    <row r="5" spans="2:28" ht="16.5" thickBot="1" x14ac:dyDescent="0.3">
      <c r="B5" s="158" t="s">
        <v>151</v>
      </c>
      <c r="C5" s="159">
        <v>3840</v>
      </c>
      <c r="D5" s="159">
        <v>3960</v>
      </c>
      <c r="E5" s="159">
        <v>4419.3599999999997</v>
      </c>
      <c r="G5" s="250" t="s">
        <v>152</v>
      </c>
      <c r="H5" s="21">
        <f>-(D20-C20)</f>
        <v>-433.33000000000004</v>
      </c>
      <c r="I5" s="21">
        <f>-(E20-D20)</f>
        <v>-375.46999999999991</v>
      </c>
      <c r="K5" s="31" t="s">
        <v>153</v>
      </c>
      <c r="L5" s="36">
        <f>C20/C2*360</f>
        <v>9</v>
      </c>
      <c r="M5" s="36">
        <f>D20/D2*360</f>
        <v>19.999909090909092</v>
      </c>
      <c r="N5" s="36">
        <f>E20/E2*360</f>
        <v>28</v>
      </c>
      <c r="Z5" s="31" t="s">
        <v>154</v>
      </c>
      <c r="AA5" s="31" t="s">
        <v>155</v>
      </c>
      <c r="AB5" s="31" t="s">
        <v>156</v>
      </c>
    </row>
    <row r="6" spans="2:28" ht="16.5" thickBot="1" x14ac:dyDescent="0.3">
      <c r="B6" s="158" t="s">
        <v>140</v>
      </c>
      <c r="C6" s="159">
        <v>250</v>
      </c>
      <c r="D6" s="159">
        <v>150</v>
      </c>
      <c r="E6" s="159">
        <v>180</v>
      </c>
      <c r="G6" s="205" t="s">
        <v>157</v>
      </c>
      <c r="H6" s="21">
        <f>-(D18-C18)</f>
        <v>524.83000000000004</v>
      </c>
      <c r="I6" s="21">
        <f>-(E18-D18)</f>
        <v>72.230000000000018</v>
      </c>
      <c r="K6" s="31" t="s">
        <v>158</v>
      </c>
      <c r="L6" s="36">
        <f>C26/(C4+C5)*360</f>
        <v>9.375</v>
      </c>
      <c r="M6" s="36">
        <f>D26/(D4+D5)*360</f>
        <v>6.8420095693779901</v>
      </c>
      <c r="N6" s="36">
        <f>E26/(E4+E5)*360</f>
        <v>11.566958242215975</v>
      </c>
      <c r="Z6" s="31" t="s">
        <v>159</v>
      </c>
      <c r="AA6" s="31" t="s">
        <v>160</v>
      </c>
      <c r="AB6" s="31" t="s">
        <v>161</v>
      </c>
    </row>
    <row r="7" spans="2:28" ht="16.5" thickBot="1" x14ac:dyDescent="0.3">
      <c r="B7" s="160" t="s">
        <v>162</v>
      </c>
      <c r="C7" s="161">
        <f>+C2+C3-C4-C5-C6</f>
        <v>230</v>
      </c>
      <c r="D7" s="161">
        <f t="shared" ref="D7:E7" si="0">+D2+D3-D4-D5-D6</f>
        <v>906</v>
      </c>
      <c r="E7" s="161">
        <f t="shared" si="0"/>
        <v>960.48000000000047</v>
      </c>
      <c r="G7" s="250" t="s">
        <v>163</v>
      </c>
      <c r="H7" s="21">
        <f>D26-C26</f>
        <v>-61.669999999999987</v>
      </c>
      <c r="I7" s="21">
        <f>E26-D26</f>
        <v>205.98</v>
      </c>
      <c r="K7" s="31" t="s">
        <v>164</v>
      </c>
      <c r="L7" s="36">
        <f>C21/C4*360</f>
        <v>11.71875</v>
      </c>
      <c r="M7" s="36">
        <f>D21/D4*360</f>
        <v>36.53832167832168</v>
      </c>
      <c r="N7" s="36">
        <f>E21/E4*360</f>
        <v>29.393939393939394</v>
      </c>
    </row>
    <row r="8" spans="2:28" ht="16.5" thickBot="1" x14ac:dyDescent="0.3">
      <c r="B8" s="158" t="s">
        <v>165</v>
      </c>
      <c r="C8" s="159">
        <v>100</v>
      </c>
      <c r="D8" s="159">
        <v>0</v>
      </c>
      <c r="E8" s="159">
        <v>120</v>
      </c>
      <c r="G8" s="207" t="s">
        <v>166</v>
      </c>
      <c r="H8" s="21">
        <f>D25-C25</f>
        <v>-50</v>
      </c>
      <c r="I8" s="21">
        <f>E25-D25</f>
        <v>-150</v>
      </c>
      <c r="K8" s="31" t="s">
        <v>167</v>
      </c>
      <c r="L8" s="37">
        <f>C28/C29</f>
        <v>0.39123630672926446</v>
      </c>
      <c r="M8" s="37">
        <f>D28/D29</f>
        <v>0.29694150252400281</v>
      </c>
      <c r="N8" s="37">
        <f>E28/E29</f>
        <v>0.11048624998618922</v>
      </c>
    </row>
    <row r="9" spans="2:28" ht="16.5" thickBot="1" x14ac:dyDescent="0.3">
      <c r="B9" s="158" t="s">
        <v>168</v>
      </c>
      <c r="C9" s="159">
        <v>10</v>
      </c>
      <c r="D9" s="159">
        <v>0</v>
      </c>
      <c r="E9" s="159">
        <v>50</v>
      </c>
      <c r="G9" s="205" t="s">
        <v>169</v>
      </c>
      <c r="H9" s="21">
        <f>SUM(H3:H8)</f>
        <v>-491</v>
      </c>
      <c r="I9" s="21">
        <f>SUM(I3:I8)</f>
        <v>35.330000000000126</v>
      </c>
      <c r="K9" s="31" t="s">
        <v>170</v>
      </c>
      <c r="L9" s="34">
        <f>C14/C29</f>
        <v>0.18544600938967137</v>
      </c>
      <c r="M9" s="34">
        <f>D14/D29</f>
        <v>0.36969217064238347</v>
      </c>
      <c r="N9" s="34">
        <f>E14/E29</f>
        <v>0.3655179779543104</v>
      </c>
    </row>
    <row r="10" spans="2:28" ht="16.5" thickBot="1" x14ac:dyDescent="0.3">
      <c r="B10" s="158" t="s">
        <v>171</v>
      </c>
      <c r="C10" s="159">
        <v>80</v>
      </c>
      <c r="D10" s="159">
        <v>85</v>
      </c>
      <c r="E10" s="159">
        <v>40</v>
      </c>
      <c r="G10" s="206" t="s">
        <v>172</v>
      </c>
      <c r="H10" s="27">
        <f>H2+H9-H6</f>
        <v>-191.49138855054821</v>
      </c>
      <c r="I10" s="27">
        <f>I2+I9-I6</f>
        <v>837.26292861859054</v>
      </c>
      <c r="K10" s="31" t="s">
        <v>173</v>
      </c>
      <c r="L10" s="35">
        <f>(C28+C27)/C29</f>
        <v>0.86071987480438183</v>
      </c>
      <c r="M10" s="35">
        <f>(D28+D27)/D29</f>
        <v>0.5386172424032466</v>
      </c>
      <c r="N10" s="35">
        <f>(E28+E27)/E29</f>
        <v>0.31094881908613137</v>
      </c>
    </row>
    <row r="11" spans="2:28" ht="16.5" thickBot="1" x14ac:dyDescent="0.3">
      <c r="B11" s="160" t="s">
        <v>174</v>
      </c>
      <c r="C11" s="161">
        <f>+C8+C9-C10</f>
        <v>30</v>
      </c>
      <c r="D11" s="161">
        <f t="shared" ref="D11:E11" si="1">+D8+D9-D10</f>
        <v>-85</v>
      </c>
      <c r="E11" s="161">
        <f t="shared" si="1"/>
        <v>130</v>
      </c>
      <c r="G11" s="205" t="s">
        <v>175</v>
      </c>
      <c r="H11" s="21">
        <f>-(D23-C23)</f>
        <v>-200</v>
      </c>
      <c r="I11" s="21">
        <f>-(E23-D23)</f>
        <v>-300</v>
      </c>
      <c r="K11" s="31" t="s">
        <v>176</v>
      </c>
      <c r="L11" s="37">
        <f>C7*(1-L3)/(C28+C29+C26-C18)</f>
        <v>0.1614709227925494</v>
      </c>
      <c r="M11" s="37">
        <f>D7*(1-M3)/(D28+D29+D26-D18)</f>
        <v>0.31654683715649262</v>
      </c>
      <c r="N11" s="37">
        <f>E7*(1-N3)/(E28+E29+E26-E18)</f>
        <v>0.26675381704788176</v>
      </c>
    </row>
    <row r="12" spans="2:28" ht="16.5" thickBot="1" x14ac:dyDescent="0.3">
      <c r="B12" s="158" t="s">
        <v>19</v>
      </c>
      <c r="C12" s="159">
        <f>+C11+C7</f>
        <v>260</v>
      </c>
      <c r="D12" s="159">
        <f t="shared" ref="D12:E12" si="2">+D11+D7</f>
        <v>821</v>
      </c>
      <c r="E12" s="159">
        <f t="shared" si="2"/>
        <v>1090.4800000000005</v>
      </c>
      <c r="G12" s="205" t="s">
        <v>140</v>
      </c>
      <c r="H12" s="21">
        <f>-D6</f>
        <v>-150</v>
      </c>
      <c r="I12" s="21">
        <f>-E6</f>
        <v>-180</v>
      </c>
      <c r="K12" s="31" t="s">
        <v>177</v>
      </c>
      <c r="L12" s="34">
        <f>(C14-C8)/C29</f>
        <v>0.10719874804381847</v>
      </c>
      <c r="M12" s="34">
        <f>(D14-D8)/D29</f>
        <v>0.36969217064238347</v>
      </c>
      <c r="N12" s="34">
        <f>(E14-E8)/E29</f>
        <v>0.32132347795983474</v>
      </c>
      <c r="O12" s="30" t="s">
        <v>178</v>
      </c>
    </row>
    <row r="13" spans="2:28" ht="16.5" thickBot="1" x14ac:dyDescent="0.3">
      <c r="B13" s="158" t="s">
        <v>22</v>
      </c>
      <c r="C13" s="159">
        <v>23</v>
      </c>
      <c r="D13" s="159">
        <v>74</v>
      </c>
      <c r="E13" s="159">
        <v>98</v>
      </c>
      <c r="G13" s="205" t="s">
        <v>179</v>
      </c>
      <c r="H13" s="21">
        <f>-(D19-C19)</f>
        <v>-1.6000000000000014</v>
      </c>
      <c r="I13" s="21">
        <f>-(E19-D19)</f>
        <v>50</v>
      </c>
    </row>
    <row r="14" spans="2:28" ht="16.5" thickBot="1" x14ac:dyDescent="0.3">
      <c r="B14" s="160" t="s">
        <v>24</v>
      </c>
      <c r="C14" s="161">
        <f>+C12-C13</f>
        <v>237</v>
      </c>
      <c r="D14" s="161">
        <f t="shared" ref="D14:E14" si="3">+D12-D13</f>
        <v>747</v>
      </c>
      <c r="E14" s="161">
        <f t="shared" si="3"/>
        <v>992.48000000000047</v>
      </c>
      <c r="G14" s="206" t="s">
        <v>180</v>
      </c>
      <c r="H14" s="27">
        <f>SUM(H11:H13)</f>
        <v>-351.6</v>
      </c>
      <c r="I14" s="27">
        <f>SUM(I11:I13)</f>
        <v>-430</v>
      </c>
      <c r="K14" s="38"/>
    </row>
    <row r="15" spans="2:28" ht="16.5" thickBot="1" x14ac:dyDescent="0.3">
      <c r="B15" s="158" t="s">
        <v>26</v>
      </c>
      <c r="C15" s="159">
        <v>30</v>
      </c>
      <c r="D15" s="159">
        <v>164.2</v>
      </c>
      <c r="E15" s="159">
        <v>297.70999999999998</v>
      </c>
      <c r="G15" s="206" t="s">
        <v>25</v>
      </c>
      <c r="H15" s="27">
        <f>H10+H14+H6</f>
        <v>-18.26138855054819</v>
      </c>
      <c r="I15" s="27">
        <f>I10+I14+I6</f>
        <v>479.49292861859055</v>
      </c>
      <c r="K15" s="40" t="s">
        <v>181</v>
      </c>
      <c r="L15" s="36">
        <f>IF(C2&lt;=L18,(C2*$L$19),IF(C2&lt;=$M$18,($M$19*C2),($N$19*C2)))</f>
        <v>5640</v>
      </c>
      <c r="M15" s="36">
        <f>IF(D2&lt;=M18,(D2*$L$19),IF(D2&lt;=$M$18,($M$19*D2),($N$19*D2)))</f>
        <v>6072</v>
      </c>
      <c r="N15" s="36">
        <f>IF(E2&lt;=N18,(E2*$L$19),IF(E2&lt;=$M$18,($M$19*E2),($N$19*E2)))</f>
        <v>6842.88</v>
      </c>
    </row>
    <row r="16" spans="2:28" ht="16.5" thickBot="1" x14ac:dyDescent="0.3">
      <c r="B16" s="158" t="s">
        <v>130</v>
      </c>
      <c r="C16" s="159">
        <f>+C14-C15</f>
        <v>207</v>
      </c>
      <c r="D16" s="159">
        <f t="shared" ref="D16:E16" si="4">+D14-D15</f>
        <v>582.79999999999995</v>
      </c>
      <c r="E16" s="159">
        <f t="shared" si="4"/>
        <v>694.77000000000044</v>
      </c>
      <c r="G16" s="207" t="s">
        <v>17</v>
      </c>
      <c r="H16" s="21">
        <f>-D10</f>
        <v>-85</v>
      </c>
      <c r="I16" s="21">
        <f>-E10</f>
        <v>-40</v>
      </c>
      <c r="K16" s="31" t="s">
        <v>182</v>
      </c>
      <c r="L16" s="36">
        <f>IF(C2&lt;=$L$20,(C2*$L$21),IF(C2&lt;=$M$20,($M$21*C2),($N$21*C2)))</f>
        <v>2160</v>
      </c>
      <c r="M16" s="36">
        <f t="shared" ref="M16:N16" si="5">IF(D2&lt;=$L$20,(D2*$L$21),IF(D2&lt;=$M$20,($M$21*D2),($N$21*D2)))</f>
        <v>2376</v>
      </c>
      <c r="N16" s="36">
        <f t="shared" si="5"/>
        <v>2566.08</v>
      </c>
    </row>
    <row r="17" spans="2:14" ht="16.5" thickBot="1" x14ac:dyDescent="0.3">
      <c r="B17" s="162"/>
      <c r="C17" s="163"/>
      <c r="D17" s="163"/>
      <c r="E17" s="163"/>
      <c r="G17" s="207" t="s">
        <v>47</v>
      </c>
      <c r="H17" s="21">
        <f>-H16*D32</f>
        <v>7.6613885505481116</v>
      </c>
      <c r="I17" s="21">
        <f>-I16*E32</f>
        <v>3.5947472672584535</v>
      </c>
    </row>
    <row r="18" spans="2:14" ht="16.5" thickBot="1" x14ac:dyDescent="0.3">
      <c r="B18" s="158" t="s">
        <v>183</v>
      </c>
      <c r="C18" s="159">
        <v>779.6</v>
      </c>
      <c r="D18" s="159">
        <v>254.77</v>
      </c>
      <c r="E18" s="159">
        <v>182.54</v>
      </c>
      <c r="G18" s="207" t="s">
        <v>184</v>
      </c>
      <c r="H18" s="21">
        <f>D28-C28</f>
        <v>100</v>
      </c>
      <c r="I18" s="21">
        <f>E28-D28</f>
        <v>-300</v>
      </c>
      <c r="K18" s="40" t="s">
        <v>185</v>
      </c>
      <c r="L18" s="40">
        <v>10000</v>
      </c>
      <c r="M18" s="40">
        <v>13000</v>
      </c>
      <c r="N18" s="40" t="s">
        <v>186</v>
      </c>
    </row>
    <row r="19" spans="2:14" ht="16.5" thickBot="1" x14ac:dyDescent="0.3">
      <c r="B19" s="158" t="s">
        <v>187</v>
      </c>
      <c r="C19" s="159">
        <v>48.4</v>
      </c>
      <c r="D19" s="159">
        <v>50</v>
      </c>
      <c r="E19" s="159">
        <v>0</v>
      </c>
      <c r="G19" s="251" t="s">
        <v>188</v>
      </c>
      <c r="H19" s="21">
        <f>D8</f>
        <v>0</v>
      </c>
      <c r="I19" s="21">
        <f>E8</f>
        <v>120</v>
      </c>
      <c r="K19" s="40" t="s">
        <v>189</v>
      </c>
      <c r="L19" s="41">
        <v>0.48</v>
      </c>
      <c r="M19" s="41">
        <v>0.47</v>
      </c>
      <c r="N19" s="41">
        <v>0.46</v>
      </c>
    </row>
    <row r="20" spans="2:14" ht="16.5" thickBot="1" x14ac:dyDescent="0.3">
      <c r="B20" s="158" t="s">
        <v>190</v>
      </c>
      <c r="C20" s="159">
        <v>300</v>
      </c>
      <c r="D20" s="159">
        <v>733.33</v>
      </c>
      <c r="E20" s="159">
        <v>1108.8</v>
      </c>
      <c r="G20" s="251" t="s">
        <v>191</v>
      </c>
      <c r="H20" s="21">
        <f>-D32*H19</f>
        <v>0</v>
      </c>
      <c r="I20" s="21">
        <f>-E32*I19</f>
        <v>-10.784241801775361</v>
      </c>
      <c r="K20" s="40" t="s">
        <v>185</v>
      </c>
      <c r="L20" s="40">
        <v>10000</v>
      </c>
      <c r="M20" s="40">
        <v>11000</v>
      </c>
      <c r="N20" s="40" t="s">
        <v>186</v>
      </c>
    </row>
    <row r="21" spans="2:14" ht="16.5" thickBot="1" x14ac:dyDescent="0.3">
      <c r="B21" s="158" t="s">
        <v>192</v>
      </c>
      <c r="C21" s="159">
        <v>250</v>
      </c>
      <c r="D21" s="159">
        <v>870.83</v>
      </c>
      <c r="E21" s="159">
        <v>768.24</v>
      </c>
      <c r="G21" s="251" t="s">
        <v>193</v>
      </c>
      <c r="H21" s="21">
        <f>D9</f>
        <v>0</v>
      </c>
      <c r="I21" s="21">
        <f>E9</f>
        <v>50</v>
      </c>
      <c r="K21" s="40" t="s">
        <v>194</v>
      </c>
      <c r="L21" s="41">
        <v>0.2</v>
      </c>
      <c r="M21" s="41">
        <v>0.19</v>
      </c>
      <c r="N21" s="41">
        <v>0.18</v>
      </c>
    </row>
    <row r="22" spans="2:14" ht="16.5" thickBot="1" x14ac:dyDescent="0.3">
      <c r="B22" s="160" t="s">
        <v>195</v>
      </c>
      <c r="C22" s="164">
        <f>SUM(C18:C21)</f>
        <v>1378</v>
      </c>
      <c r="D22" s="164">
        <f t="shared" ref="D22:E22" si="6">SUM(D18:D21)</f>
        <v>1908.9299999999998</v>
      </c>
      <c r="E22" s="164">
        <f t="shared" si="6"/>
        <v>2059.58</v>
      </c>
      <c r="G22" s="251" t="s">
        <v>196</v>
      </c>
      <c r="H22" s="21">
        <f>-D32*H21</f>
        <v>0</v>
      </c>
      <c r="I22" s="21">
        <f>-E32*I21</f>
        <v>-4.4934340840730673</v>
      </c>
    </row>
    <row r="23" spans="2:14" ht="19.5" thickBot="1" x14ac:dyDescent="0.3">
      <c r="B23" s="158" t="s">
        <v>197</v>
      </c>
      <c r="C23" s="159">
        <v>1000</v>
      </c>
      <c r="D23" s="159">
        <v>1200</v>
      </c>
      <c r="E23" s="159">
        <v>1500</v>
      </c>
      <c r="G23" s="206" t="s">
        <v>198</v>
      </c>
      <c r="H23" s="27">
        <f>SUM(H16:H22)</f>
        <v>22.661388550548111</v>
      </c>
      <c r="I23" s="27">
        <f>SUM(I16:I22)</f>
        <v>-181.68292861858995</v>
      </c>
      <c r="K23" s="42" t="s">
        <v>199</v>
      </c>
      <c r="L23" s="43">
        <v>0.01</v>
      </c>
    </row>
    <row r="24" spans="2:14" ht="19.5" thickBot="1" x14ac:dyDescent="0.3">
      <c r="B24" s="160" t="s">
        <v>200</v>
      </c>
      <c r="C24" s="161">
        <f>+C23+C22</f>
        <v>2378</v>
      </c>
      <c r="D24" s="161">
        <f t="shared" ref="D24:E24" si="7">+D23+D22</f>
        <v>3108.93</v>
      </c>
      <c r="E24" s="161">
        <f t="shared" si="7"/>
        <v>3559.58</v>
      </c>
      <c r="G24" s="206" t="s">
        <v>39</v>
      </c>
      <c r="H24" s="27">
        <f>H15+H23</f>
        <v>4.3999999999999204</v>
      </c>
      <c r="I24" s="27">
        <f>I15+I23</f>
        <v>297.81000000000063</v>
      </c>
      <c r="K24" s="42" t="s">
        <v>201</v>
      </c>
      <c r="L24" s="43">
        <v>0.02</v>
      </c>
    </row>
    <row r="25" spans="2:14" ht="19.5" thickBot="1" x14ac:dyDescent="0.3">
      <c r="B25" s="158" t="s">
        <v>202</v>
      </c>
      <c r="C25" s="159">
        <v>300</v>
      </c>
      <c r="D25" s="159">
        <v>250</v>
      </c>
      <c r="E25" s="159">
        <v>100</v>
      </c>
      <c r="G25" s="207" t="s">
        <v>26</v>
      </c>
      <c r="H25" s="21">
        <f>-D15</f>
        <v>-164.2</v>
      </c>
      <c r="I25" s="21">
        <f>-E15</f>
        <v>-297.70999999999998</v>
      </c>
      <c r="K25" s="42" t="s">
        <v>203</v>
      </c>
      <c r="L25" s="43">
        <v>7.0000000000000007E-2</v>
      </c>
    </row>
    <row r="26" spans="2:14" ht="19.5" thickBot="1" x14ac:dyDescent="0.3">
      <c r="B26" s="158" t="s">
        <v>204</v>
      </c>
      <c r="C26" s="159">
        <v>300</v>
      </c>
      <c r="D26" s="159">
        <v>238.33</v>
      </c>
      <c r="E26" s="159">
        <v>444.31</v>
      </c>
      <c r="G26" s="207" t="s">
        <v>134</v>
      </c>
      <c r="H26" s="21">
        <f>D29-C29-D16</f>
        <v>159.79999999999995</v>
      </c>
      <c r="I26" s="21">
        <f>E29-D29-E16</f>
        <v>-0.1000000000003638</v>
      </c>
      <c r="K26" s="42" t="s">
        <v>205</v>
      </c>
      <c r="L26" s="44">
        <v>0.85</v>
      </c>
    </row>
    <row r="27" spans="2:14" ht="16.5" thickBot="1" x14ac:dyDescent="0.3">
      <c r="B27" s="160" t="s">
        <v>206</v>
      </c>
      <c r="C27" s="161">
        <f>+C25+C26</f>
        <v>600</v>
      </c>
      <c r="D27" s="161">
        <f t="shared" ref="D27:E27" si="8">+D25+D26</f>
        <v>488.33000000000004</v>
      </c>
      <c r="E27" s="161">
        <f t="shared" si="8"/>
        <v>544.30999999999995</v>
      </c>
      <c r="G27" s="206" t="s">
        <v>207</v>
      </c>
      <c r="H27" s="27">
        <f>H25+H26+H17+H16+H18+H19+H20+H21+H22</f>
        <v>18.261388550548077</v>
      </c>
      <c r="I27" s="27">
        <f>I25+I26+I17+I16+I18+I19+I20+I21+I22</f>
        <v>-479.49292861859027</v>
      </c>
      <c r="K27" s="40" t="s">
        <v>208</v>
      </c>
      <c r="L27" s="45">
        <f>L25*L26+L23</f>
        <v>6.9500000000000006E-2</v>
      </c>
    </row>
    <row r="28" spans="2:14" ht="16.5" thickBot="1" x14ac:dyDescent="0.3">
      <c r="B28" s="158" t="s">
        <v>209</v>
      </c>
      <c r="C28" s="159">
        <v>500</v>
      </c>
      <c r="D28" s="159">
        <v>600</v>
      </c>
      <c r="E28" s="159">
        <v>300</v>
      </c>
      <c r="G28" s="250" t="s">
        <v>210</v>
      </c>
      <c r="H28" s="21">
        <f>H10+H14+H27</f>
        <v>-524.83000000000015</v>
      </c>
      <c r="I28" s="21">
        <f>I10+I14+I27</f>
        <v>-72.229999999999734</v>
      </c>
      <c r="K28" s="40" t="s">
        <v>211</v>
      </c>
      <c r="L28" s="46">
        <f>(L23*(1+$L$2))+$L$2</f>
        <v>4.0300000000000002E-2</v>
      </c>
    </row>
    <row r="29" spans="2:14" ht="16.5" thickBot="1" x14ac:dyDescent="0.3">
      <c r="B29" s="158" t="s">
        <v>212</v>
      </c>
      <c r="C29" s="159">
        <v>1278</v>
      </c>
      <c r="D29" s="159">
        <v>2020.6</v>
      </c>
      <c r="E29" s="159">
        <v>2715.27</v>
      </c>
      <c r="G29" s="250" t="s">
        <v>213</v>
      </c>
      <c r="H29" s="21">
        <f>H10+H14+H27-H28</f>
        <v>0</v>
      </c>
      <c r="I29" s="21">
        <f>I10+I14+I27-I28</f>
        <v>0</v>
      </c>
      <c r="K29" s="40" t="s">
        <v>125</v>
      </c>
      <c r="L29" s="46">
        <f>L22+L28</f>
        <v>4.0300000000000002E-2</v>
      </c>
    </row>
    <row r="30" spans="2:14" ht="16.5" thickBot="1" x14ac:dyDescent="0.3">
      <c r="B30" s="160" t="s">
        <v>214</v>
      </c>
      <c r="C30" s="161">
        <f>+C27+C28+C29</f>
        <v>2378</v>
      </c>
      <c r="D30" s="161">
        <f t="shared" ref="D30:E30" si="9">+D27+D28+D29</f>
        <v>3108.93</v>
      </c>
      <c r="E30" s="161">
        <f t="shared" si="9"/>
        <v>3559.58</v>
      </c>
      <c r="G30" s="252" t="s">
        <v>215</v>
      </c>
      <c r="H30" s="27">
        <f>SUM(H24:H26)</f>
        <v>0</v>
      </c>
      <c r="I30" s="27">
        <f>SUM(I24:I26)</f>
        <v>2.8421709430404007E-13</v>
      </c>
    </row>
    <row r="31" spans="2:14" ht="16.5" thickBot="1" x14ac:dyDescent="0.3">
      <c r="B31" s="259"/>
      <c r="C31" s="258"/>
      <c r="D31" s="258"/>
      <c r="E31" s="258"/>
    </row>
    <row r="32" spans="2:14" ht="16.5" thickBot="1" x14ac:dyDescent="0.3">
      <c r="B32" s="252" t="s">
        <v>35</v>
      </c>
      <c r="C32" s="260">
        <f>C13/C12</f>
        <v>8.8461538461538466E-2</v>
      </c>
      <c r="D32" s="260">
        <f>D13/D12</f>
        <v>9.0133982947624841E-2</v>
      </c>
      <c r="E32" s="260">
        <f>E13/E12</f>
        <v>8.9868681681461338E-2</v>
      </c>
    </row>
    <row r="33" spans="2:6" x14ac:dyDescent="0.25">
      <c r="B33" s="95"/>
      <c r="C33" s="95"/>
      <c r="D33" s="95"/>
      <c r="E33" s="95"/>
      <c r="F33" s="95"/>
    </row>
    <row r="34" spans="2:6" x14ac:dyDescent="0.25">
      <c r="B34" s="95"/>
      <c r="C34" s="95"/>
      <c r="D34" s="95"/>
      <c r="E34" s="95"/>
      <c r="F34" s="95"/>
    </row>
    <row r="35" spans="2:6" x14ac:dyDescent="0.25">
      <c r="B35" s="95"/>
      <c r="C35" s="95"/>
      <c r="D35" s="95"/>
      <c r="E35" s="95"/>
      <c r="F35" s="95"/>
    </row>
    <row r="36" spans="2:6" x14ac:dyDescent="0.25">
      <c r="B36" s="95"/>
      <c r="C36" s="95"/>
      <c r="D36" s="95"/>
      <c r="E36" s="95"/>
      <c r="F36" s="95"/>
    </row>
    <row r="37" spans="2:6" x14ac:dyDescent="0.25">
      <c r="B37" s="95"/>
      <c r="C37" s="95"/>
      <c r="D37" s="95"/>
      <c r="E37" s="95"/>
      <c r="F37" s="95"/>
    </row>
    <row r="38" spans="2:6" x14ac:dyDescent="0.25">
      <c r="B38" s="95"/>
      <c r="C38" s="95"/>
      <c r="D38" s="95"/>
      <c r="E38" s="95"/>
      <c r="F38" s="95"/>
    </row>
    <row r="39" spans="2:6" x14ac:dyDescent="0.25">
      <c r="B39" s="95"/>
      <c r="C39" s="95"/>
      <c r="D39" s="95"/>
      <c r="E39" s="95"/>
      <c r="F39" s="95"/>
    </row>
    <row r="40" spans="2:6" x14ac:dyDescent="0.25">
      <c r="B40" s="95"/>
      <c r="C40" s="95"/>
      <c r="D40" s="95"/>
      <c r="E40" s="95"/>
      <c r="F40" s="95"/>
    </row>
    <row r="41" spans="2:6" x14ac:dyDescent="0.25">
      <c r="B41" s="95"/>
      <c r="C41" s="95"/>
      <c r="D41" s="95"/>
      <c r="E41" s="95"/>
      <c r="F41" s="95"/>
    </row>
    <row r="42" spans="2:6" x14ac:dyDescent="0.25">
      <c r="B42" s="95"/>
      <c r="C42" s="95"/>
      <c r="D42" s="95"/>
      <c r="E42" s="95"/>
      <c r="F42" s="95"/>
    </row>
    <row r="43" spans="2:6" x14ac:dyDescent="0.25">
      <c r="B43" s="95"/>
      <c r="C43" s="95"/>
      <c r="D43" s="95"/>
      <c r="E43" s="95"/>
      <c r="F43" s="95"/>
    </row>
    <row r="44" spans="2:6" x14ac:dyDescent="0.25">
      <c r="B44" s="95"/>
      <c r="C44" s="95"/>
      <c r="D44" s="95"/>
      <c r="E44" s="95"/>
      <c r="F44" s="95"/>
    </row>
    <row r="45" spans="2:6" x14ac:dyDescent="0.25">
      <c r="B45" s="95"/>
      <c r="C45" s="95"/>
      <c r="D45" s="95"/>
      <c r="E45" s="95"/>
      <c r="F45" s="95"/>
    </row>
    <row r="46" spans="2:6" x14ac:dyDescent="0.25">
      <c r="B46" s="95"/>
      <c r="C46" s="95"/>
      <c r="D46" s="95"/>
      <c r="E46" s="95"/>
      <c r="F46" s="95"/>
    </row>
    <row r="47" spans="2:6" x14ac:dyDescent="0.25">
      <c r="B47" s="95"/>
      <c r="C47" s="95"/>
      <c r="D47" s="95"/>
      <c r="E47" s="95"/>
      <c r="F47" s="95"/>
    </row>
    <row r="48" spans="2:6" x14ac:dyDescent="0.25">
      <c r="B48" s="95"/>
      <c r="C48" s="95"/>
      <c r="D48" s="95"/>
      <c r="E48" s="95"/>
      <c r="F48" s="9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8"/>
  <sheetViews>
    <sheetView workbookViewId="0">
      <selection activeCell="N8" sqref="N8"/>
    </sheetView>
  </sheetViews>
  <sheetFormatPr defaultRowHeight="15" x14ac:dyDescent="0.25"/>
  <cols>
    <col min="1" max="1" width="27.140625" customWidth="1"/>
    <col min="2" max="6" width="11.28515625" bestFit="1" customWidth="1"/>
    <col min="7" max="7" width="11.28515625" style="95" bestFit="1" customWidth="1"/>
    <col min="8" max="8" width="18.85546875" style="95" bestFit="1" customWidth="1"/>
    <col min="9" max="10" width="11" style="95" bestFit="1" customWidth="1"/>
    <col min="11" max="13" width="11.28515625" style="95" bestFit="1" customWidth="1"/>
    <col min="14" max="14" width="11" style="95" bestFit="1" customWidth="1"/>
    <col min="15" max="15" width="9.140625" style="95"/>
    <col min="16" max="16" width="34.28515625" style="95" bestFit="1" customWidth="1"/>
    <col min="17" max="17" width="11" style="95" bestFit="1" customWidth="1"/>
    <col min="18" max="18" width="10.140625" style="95" bestFit="1" customWidth="1"/>
    <col min="19" max="20" width="11" style="95" bestFit="1" customWidth="1"/>
    <col min="21" max="21" width="11.28515625" style="95" bestFit="1" customWidth="1"/>
    <col min="22" max="23" width="9.140625" style="95"/>
  </cols>
  <sheetData>
    <row r="1" spans="1:21" ht="15.75" x14ac:dyDescent="0.25">
      <c r="A1" s="84"/>
      <c r="B1" s="85">
        <v>2022</v>
      </c>
      <c r="C1" s="85">
        <v>2023</v>
      </c>
      <c r="D1" s="85">
        <v>2024</v>
      </c>
      <c r="E1" s="85">
        <v>2025</v>
      </c>
      <c r="F1" s="85">
        <v>2026</v>
      </c>
    </row>
    <row r="2" spans="1:21" ht="79.5" customHeight="1" x14ac:dyDescent="0.25">
      <c r="A2" s="86" t="s">
        <v>121</v>
      </c>
      <c r="B2" s="87">
        <v>120000</v>
      </c>
      <c r="C2" s="87">
        <v>120000</v>
      </c>
      <c r="D2" s="87">
        <v>140000</v>
      </c>
      <c r="E2" s="87">
        <v>160000</v>
      </c>
      <c r="F2" s="87">
        <v>180000</v>
      </c>
      <c r="H2" s="261" t="s">
        <v>216</v>
      </c>
      <c r="I2" s="261"/>
      <c r="J2" s="261"/>
      <c r="K2" s="261"/>
      <c r="L2" s="178"/>
      <c r="M2" s="178"/>
      <c r="N2" s="178"/>
    </row>
    <row r="3" spans="1:21" ht="15.75" customHeight="1" x14ac:dyDescent="0.25">
      <c r="A3" s="86" t="s">
        <v>123</v>
      </c>
      <c r="B3" s="88">
        <v>-0.05</v>
      </c>
      <c r="C3" s="88">
        <v>0.05</v>
      </c>
      <c r="D3" s="88">
        <v>0.1</v>
      </c>
      <c r="E3" s="88">
        <v>0.15</v>
      </c>
      <c r="F3" s="88">
        <v>0.18</v>
      </c>
      <c r="H3" s="261" t="s">
        <v>217</v>
      </c>
      <c r="I3" s="261"/>
      <c r="J3" s="261"/>
      <c r="K3" s="261"/>
      <c r="L3" s="261"/>
      <c r="M3" s="261"/>
      <c r="N3" s="261"/>
      <c r="O3" s="261"/>
      <c r="P3" s="261"/>
    </row>
    <row r="4" spans="1:21" ht="31.5" x14ac:dyDescent="0.25">
      <c r="A4" s="86" t="s">
        <v>218</v>
      </c>
      <c r="B4" s="87">
        <v>50000</v>
      </c>
      <c r="C4" s="87">
        <v>60000</v>
      </c>
      <c r="D4" s="87">
        <v>65000</v>
      </c>
      <c r="E4" s="87">
        <v>63000</v>
      </c>
      <c r="F4" s="87">
        <v>43000</v>
      </c>
      <c r="H4" s="261"/>
      <c r="I4" s="261"/>
      <c r="J4" s="261"/>
      <c r="K4" s="261"/>
      <c r="L4" s="261"/>
      <c r="M4" s="261"/>
      <c r="N4" s="261"/>
      <c r="O4" s="261"/>
      <c r="P4" s="261"/>
    </row>
    <row r="5" spans="1:21" ht="31.5" x14ac:dyDescent="0.25">
      <c r="A5" s="86" t="s">
        <v>219</v>
      </c>
      <c r="B5" s="87">
        <v>10000</v>
      </c>
      <c r="C5" s="87">
        <v>20000</v>
      </c>
      <c r="D5" s="87">
        <v>25000</v>
      </c>
      <c r="E5" s="87">
        <v>40000</v>
      </c>
      <c r="F5" s="87">
        <v>50000</v>
      </c>
      <c r="H5" s="261"/>
      <c r="I5" s="261"/>
      <c r="J5" s="261"/>
      <c r="K5" s="261"/>
      <c r="L5" s="261"/>
      <c r="M5" s="261"/>
      <c r="N5" s="261"/>
      <c r="O5" s="261"/>
      <c r="P5" s="261"/>
    </row>
    <row r="6" spans="1:21" ht="31.5" x14ac:dyDescent="0.25">
      <c r="A6" s="86" t="s">
        <v>220</v>
      </c>
      <c r="B6" s="87">
        <v>0</v>
      </c>
      <c r="C6" s="87">
        <v>10000</v>
      </c>
      <c r="D6" s="87">
        <v>20000</v>
      </c>
      <c r="E6" s="87">
        <v>30000</v>
      </c>
      <c r="F6" s="87">
        <v>40000</v>
      </c>
    </row>
    <row r="7" spans="1:21" ht="31.5" x14ac:dyDescent="0.25">
      <c r="A7" s="86" t="s">
        <v>221</v>
      </c>
      <c r="B7" s="87">
        <v>30</v>
      </c>
      <c r="C7" s="87">
        <v>33</v>
      </c>
      <c r="D7" s="87">
        <v>36</v>
      </c>
      <c r="E7" s="87">
        <v>45</v>
      </c>
      <c r="F7" s="87">
        <v>0</v>
      </c>
    </row>
    <row r="8" spans="1:21" ht="47.25" x14ac:dyDescent="0.25">
      <c r="A8" s="86" t="s">
        <v>222</v>
      </c>
      <c r="B8" s="88">
        <v>0.05</v>
      </c>
      <c r="C8" s="88">
        <v>0.04</v>
      </c>
      <c r="D8" s="88">
        <v>0.03</v>
      </c>
      <c r="E8" s="88">
        <v>0.02</v>
      </c>
      <c r="F8" s="88">
        <v>0.02</v>
      </c>
      <c r="H8" s="95" t="s">
        <v>223</v>
      </c>
    </row>
    <row r="9" spans="1:21" ht="15.75" x14ac:dyDescent="0.25">
      <c r="A9" s="86" t="s">
        <v>141</v>
      </c>
      <c r="B9" s="88">
        <v>0.1</v>
      </c>
      <c r="C9" s="88">
        <v>0.1</v>
      </c>
      <c r="D9" s="88">
        <v>0.1</v>
      </c>
      <c r="E9" s="88">
        <v>0.1</v>
      </c>
      <c r="F9" s="88">
        <v>0.1</v>
      </c>
    </row>
    <row r="10" spans="1:21" ht="31.5" x14ac:dyDescent="0.25">
      <c r="A10" s="86" t="s">
        <v>224</v>
      </c>
      <c r="B10" s="88">
        <v>0.5</v>
      </c>
      <c r="C10" s="88">
        <v>0.5</v>
      </c>
      <c r="D10" s="88">
        <v>0.5</v>
      </c>
      <c r="E10" s="88">
        <v>0.5</v>
      </c>
      <c r="F10" s="88">
        <v>0.5</v>
      </c>
    </row>
    <row r="11" spans="1:21" ht="15.75" x14ac:dyDescent="0.25">
      <c r="A11" s="86" t="s">
        <v>225</v>
      </c>
      <c r="B11" s="88">
        <v>0.05</v>
      </c>
      <c r="C11" s="88">
        <v>0.05</v>
      </c>
      <c r="D11" s="88">
        <v>0.05</v>
      </c>
      <c r="E11" s="88">
        <v>0.05</v>
      </c>
      <c r="F11" s="88">
        <v>0.05</v>
      </c>
    </row>
    <row r="12" spans="1:21" x14ac:dyDescent="0.25">
      <c r="A12" s="48"/>
    </row>
    <row r="15" spans="1:21" ht="15.75" x14ac:dyDescent="0.25">
      <c r="A15" s="54" t="s">
        <v>12</v>
      </c>
      <c r="B15" s="49">
        <v>2022</v>
      </c>
      <c r="C15" s="49">
        <v>2023</v>
      </c>
      <c r="D15" s="49">
        <v>2024</v>
      </c>
      <c r="E15" s="49">
        <v>2025</v>
      </c>
      <c r="F15" s="49">
        <v>2026</v>
      </c>
      <c r="H15" s="56" t="s">
        <v>1</v>
      </c>
      <c r="I15" s="51">
        <v>2021</v>
      </c>
      <c r="J15" s="51">
        <v>2022</v>
      </c>
      <c r="K15" s="51">
        <v>2023</v>
      </c>
      <c r="L15" s="51">
        <v>2024</v>
      </c>
      <c r="M15" s="51">
        <v>2025</v>
      </c>
      <c r="N15" s="51">
        <v>2026</v>
      </c>
      <c r="P15" s="83" t="s">
        <v>226</v>
      </c>
      <c r="Q15" s="53">
        <v>2022</v>
      </c>
      <c r="R15" s="53">
        <v>2023</v>
      </c>
      <c r="S15" s="53">
        <v>2024</v>
      </c>
      <c r="T15" s="53">
        <v>2025</v>
      </c>
      <c r="U15" s="53">
        <v>2026</v>
      </c>
    </row>
    <row r="16" spans="1:21" ht="15.75" x14ac:dyDescent="0.25">
      <c r="A16" s="54" t="s">
        <v>121</v>
      </c>
      <c r="B16" s="55">
        <v>120000</v>
      </c>
      <c r="C16" s="55">
        <v>120000</v>
      </c>
      <c r="D16" s="55">
        <v>140000</v>
      </c>
      <c r="E16" s="55">
        <v>160000</v>
      </c>
      <c r="F16" s="55">
        <v>180000</v>
      </c>
      <c r="H16" s="56" t="s">
        <v>227</v>
      </c>
      <c r="I16" s="57">
        <f>SUM(I17:I20)</f>
        <v>66000</v>
      </c>
      <c r="J16" s="57">
        <f>SUM(J17:J20)</f>
        <v>94800</v>
      </c>
      <c r="K16" s="57">
        <f>SUM(K17:K20)</f>
        <v>105200</v>
      </c>
      <c r="L16" s="57">
        <f>SUM(L17:L20)</f>
        <v>120200</v>
      </c>
      <c r="M16" s="57">
        <f>SUM(M17:M20)</f>
        <v>116600</v>
      </c>
      <c r="N16" s="57">
        <v>0</v>
      </c>
      <c r="P16" s="269" t="s">
        <v>228</v>
      </c>
      <c r="Q16" s="270"/>
      <c r="R16" s="270"/>
      <c r="S16" s="270"/>
      <c r="T16" s="270"/>
      <c r="U16" s="271"/>
    </row>
    <row r="17" spans="1:21" ht="15.75" x14ac:dyDescent="0.25">
      <c r="A17" s="54" t="s">
        <v>229</v>
      </c>
      <c r="B17" s="89" t="s">
        <v>49</v>
      </c>
      <c r="C17" s="90"/>
      <c r="D17" s="90"/>
      <c r="E17" s="91"/>
      <c r="F17" s="55">
        <f>F4+F5</f>
        <v>93000</v>
      </c>
      <c r="H17" s="50" t="s">
        <v>197</v>
      </c>
      <c r="I17" s="58">
        <f t="shared" ref="I17:M18" si="0">B4</f>
        <v>50000</v>
      </c>
      <c r="J17" s="58">
        <f t="shared" si="0"/>
        <v>60000</v>
      </c>
      <c r="K17" s="58">
        <f t="shared" si="0"/>
        <v>65000</v>
      </c>
      <c r="L17" s="58">
        <f t="shared" si="0"/>
        <v>63000</v>
      </c>
      <c r="M17" s="58">
        <f t="shared" si="0"/>
        <v>43000</v>
      </c>
      <c r="N17" s="58">
        <v>0</v>
      </c>
      <c r="P17" s="52" t="s">
        <v>162</v>
      </c>
      <c r="Q17" s="59">
        <f>B19</f>
        <v>-6000</v>
      </c>
      <c r="R17" s="59">
        <f t="shared" ref="R17:U17" si="1">C19</f>
        <v>6000</v>
      </c>
      <c r="S17" s="59">
        <f t="shared" si="1"/>
        <v>14000</v>
      </c>
      <c r="T17" s="59">
        <f t="shared" si="1"/>
        <v>24000</v>
      </c>
      <c r="U17" s="59">
        <f t="shared" si="1"/>
        <v>32400</v>
      </c>
    </row>
    <row r="18" spans="1:21" ht="15.75" x14ac:dyDescent="0.25">
      <c r="A18" s="54" t="s">
        <v>230</v>
      </c>
      <c r="B18" s="92"/>
      <c r="C18" s="93"/>
      <c r="D18" s="93"/>
      <c r="E18" s="94"/>
      <c r="F18" s="55">
        <f>F4+F5</f>
        <v>93000</v>
      </c>
      <c r="H18" s="50" t="s">
        <v>231</v>
      </c>
      <c r="I18" s="58">
        <f t="shared" si="0"/>
        <v>10000</v>
      </c>
      <c r="J18" s="58">
        <f t="shared" si="0"/>
        <v>20000</v>
      </c>
      <c r="K18" s="58">
        <f t="shared" si="0"/>
        <v>25000</v>
      </c>
      <c r="L18" s="58">
        <f t="shared" si="0"/>
        <v>40000</v>
      </c>
      <c r="M18" s="58">
        <f t="shared" si="0"/>
        <v>50000</v>
      </c>
      <c r="N18" s="58">
        <v>0</v>
      </c>
      <c r="P18" s="52" t="s">
        <v>232</v>
      </c>
      <c r="Q18" s="60">
        <f>+IF(Q17&gt;0,Q17*B9,0)</f>
        <v>0</v>
      </c>
      <c r="R18" s="60">
        <f t="shared" ref="R18:U18" si="2">+IF(R17&gt;0,R17*C9,0)</f>
        <v>600</v>
      </c>
      <c r="S18" s="60">
        <f t="shared" si="2"/>
        <v>1400</v>
      </c>
      <c r="T18" s="60">
        <f t="shared" si="2"/>
        <v>2400</v>
      </c>
      <c r="U18" s="60">
        <f t="shared" si="2"/>
        <v>3240</v>
      </c>
    </row>
    <row r="19" spans="1:21" ht="15.75" x14ac:dyDescent="0.25">
      <c r="A19" s="54" t="s">
        <v>162</v>
      </c>
      <c r="B19" s="61">
        <f>B3*B2</f>
        <v>-6000</v>
      </c>
      <c r="C19" s="61">
        <f>C3*C2</f>
        <v>6000</v>
      </c>
      <c r="D19" s="61">
        <f>D3*D2</f>
        <v>14000</v>
      </c>
      <c r="E19" s="61">
        <f>E3*E2</f>
        <v>24000</v>
      </c>
      <c r="F19" s="61">
        <f>F3*F2+F17-F18</f>
        <v>32400</v>
      </c>
      <c r="H19" s="50" t="s">
        <v>233</v>
      </c>
      <c r="I19" s="165">
        <v>0</v>
      </c>
      <c r="J19" s="58">
        <f>B7/360*B2</f>
        <v>10000</v>
      </c>
      <c r="K19" s="58">
        <f>C7/360*C2</f>
        <v>11000</v>
      </c>
      <c r="L19" s="58">
        <f>D7/360*D2</f>
        <v>14000</v>
      </c>
      <c r="M19" s="58">
        <f>E7/360*E2</f>
        <v>20000</v>
      </c>
      <c r="N19" s="58">
        <v>0</v>
      </c>
      <c r="P19" s="62" t="s">
        <v>234</v>
      </c>
      <c r="Q19" s="59">
        <f>Q17-Q18</f>
        <v>-6000</v>
      </c>
      <c r="R19" s="59">
        <f t="shared" ref="R19:U19" si="3">R17-R18</f>
        <v>5400</v>
      </c>
      <c r="S19" s="59">
        <f t="shared" si="3"/>
        <v>12600</v>
      </c>
      <c r="T19" s="59">
        <f t="shared" si="3"/>
        <v>21600</v>
      </c>
      <c r="U19" s="59">
        <f t="shared" si="3"/>
        <v>29160</v>
      </c>
    </row>
    <row r="20" spans="1:21" ht="15.75" x14ac:dyDescent="0.25">
      <c r="A20" s="54" t="s">
        <v>17</v>
      </c>
      <c r="B20" s="55">
        <f>I23*B11</f>
        <v>1650</v>
      </c>
      <c r="C20" s="55">
        <f>J23*C11</f>
        <v>2120</v>
      </c>
      <c r="D20" s="55">
        <f>K23*D11</f>
        <v>2130</v>
      </c>
      <c r="E20" s="55">
        <f>L23*E11</f>
        <v>2255</v>
      </c>
      <c r="F20" s="55">
        <f>M23*F11</f>
        <v>1915</v>
      </c>
      <c r="H20" s="50" t="s">
        <v>183</v>
      </c>
      <c r="I20" s="58">
        <f>B8*B2</f>
        <v>6000</v>
      </c>
      <c r="J20" s="58">
        <f>C8*C2</f>
        <v>4800</v>
      </c>
      <c r="K20" s="58">
        <f>D8*D2</f>
        <v>4200</v>
      </c>
      <c r="L20" s="58">
        <f>E8*E2</f>
        <v>3200</v>
      </c>
      <c r="M20" s="58">
        <f>F8*F2</f>
        <v>3600</v>
      </c>
      <c r="N20" s="58">
        <v>0</v>
      </c>
      <c r="P20" s="52" t="s">
        <v>235</v>
      </c>
      <c r="Q20" s="59">
        <f>I20-J20</f>
        <v>1200</v>
      </c>
      <c r="R20" s="59">
        <f t="shared" ref="R20:U20" si="4">J20-K20</f>
        <v>600</v>
      </c>
      <c r="S20" s="59">
        <f t="shared" si="4"/>
        <v>1000</v>
      </c>
      <c r="T20" s="59">
        <f t="shared" si="4"/>
        <v>-400</v>
      </c>
      <c r="U20" s="59">
        <f t="shared" si="4"/>
        <v>3600</v>
      </c>
    </row>
    <row r="21" spans="1:21" ht="15.75" x14ac:dyDescent="0.25">
      <c r="A21" s="54" t="s">
        <v>19</v>
      </c>
      <c r="B21" s="55">
        <f>+B19-B20</f>
        <v>-7650</v>
      </c>
      <c r="C21" s="55">
        <f>+C19-C20</f>
        <v>3880</v>
      </c>
      <c r="D21" s="55">
        <f t="shared" ref="D21:F21" si="5">+D19-D20</f>
        <v>11870</v>
      </c>
      <c r="E21" s="55">
        <f t="shared" si="5"/>
        <v>21745</v>
      </c>
      <c r="F21" s="55">
        <f t="shared" si="5"/>
        <v>30485</v>
      </c>
      <c r="H21" s="56" t="s">
        <v>236</v>
      </c>
      <c r="I21" s="57">
        <f>I16</f>
        <v>66000</v>
      </c>
      <c r="J21" s="57">
        <f>J16</f>
        <v>94800</v>
      </c>
      <c r="K21" s="57">
        <f>K16</f>
        <v>105200</v>
      </c>
      <c r="L21" s="57">
        <f>L16</f>
        <v>120200</v>
      </c>
      <c r="M21" s="57">
        <f>M16</f>
        <v>116600</v>
      </c>
      <c r="N21" s="57">
        <v>0</v>
      </c>
      <c r="P21" s="62" t="s">
        <v>237</v>
      </c>
      <c r="Q21" s="59">
        <f>I18-J18</f>
        <v>-10000</v>
      </c>
      <c r="R21" s="59">
        <f t="shared" ref="R21:U21" si="6">J18-K18</f>
        <v>-5000</v>
      </c>
      <c r="S21" s="59">
        <f t="shared" si="6"/>
        <v>-15000</v>
      </c>
      <c r="T21" s="59">
        <f t="shared" si="6"/>
        <v>-10000</v>
      </c>
      <c r="U21" s="59">
        <f t="shared" si="6"/>
        <v>50000</v>
      </c>
    </row>
    <row r="22" spans="1:21" ht="15.75" x14ac:dyDescent="0.25">
      <c r="A22" s="54" t="s">
        <v>22</v>
      </c>
      <c r="B22" s="55">
        <f>+IF(B21&gt;0,B21*B9,0)</f>
        <v>0</v>
      </c>
      <c r="C22" s="55">
        <f>+IF(C21&gt;0,C21*C9,0)</f>
        <v>388</v>
      </c>
      <c r="D22" s="55">
        <f>+IF(D21&gt;0,D21*D9,0)</f>
        <v>1187</v>
      </c>
      <c r="E22" s="55">
        <f>+IF(E21&gt;0,E21*E9,0)</f>
        <v>2174.5</v>
      </c>
      <c r="F22" s="55">
        <f>+IF(F21&gt;0,F21*F9,0)</f>
        <v>3048.5</v>
      </c>
      <c r="H22" s="50" t="s">
        <v>204</v>
      </c>
      <c r="I22" s="58">
        <f>B6</f>
        <v>0</v>
      </c>
      <c r="J22" s="58">
        <f>C6</f>
        <v>10000</v>
      </c>
      <c r="K22" s="58">
        <f>D6</f>
        <v>20000</v>
      </c>
      <c r="L22" s="58">
        <f>E6</f>
        <v>30000</v>
      </c>
      <c r="M22" s="58">
        <f>F6</f>
        <v>40000</v>
      </c>
      <c r="N22" s="58">
        <v>0</v>
      </c>
      <c r="P22" s="62" t="s">
        <v>238</v>
      </c>
      <c r="Q22" s="63">
        <f>J22-I22</f>
        <v>10000</v>
      </c>
      <c r="R22" s="63">
        <f t="shared" ref="R22:U22" si="7">K22-J22</f>
        <v>10000</v>
      </c>
      <c r="S22" s="63">
        <f t="shared" si="7"/>
        <v>10000</v>
      </c>
      <c r="T22" s="63">
        <f t="shared" si="7"/>
        <v>10000</v>
      </c>
      <c r="U22" s="63">
        <f t="shared" si="7"/>
        <v>-40000</v>
      </c>
    </row>
    <row r="23" spans="1:21" ht="15.75" x14ac:dyDescent="0.25">
      <c r="A23" s="54" t="s">
        <v>24</v>
      </c>
      <c r="B23" s="61">
        <f>+B21-B22</f>
        <v>-7650</v>
      </c>
      <c r="C23" s="61">
        <f t="shared" ref="C23:F23" si="8">+C21-C22</f>
        <v>3492</v>
      </c>
      <c r="D23" s="61">
        <f t="shared" si="8"/>
        <v>10683</v>
      </c>
      <c r="E23" s="61">
        <f t="shared" si="8"/>
        <v>19570.5</v>
      </c>
      <c r="F23" s="61">
        <f t="shared" si="8"/>
        <v>27436.5</v>
      </c>
      <c r="H23" s="50" t="s">
        <v>239</v>
      </c>
      <c r="I23" s="58">
        <f>(I21-I22)*B10</f>
        <v>33000</v>
      </c>
      <c r="J23" s="58">
        <f t="shared" ref="J23:N23" si="9">(J21-J22)*C10</f>
        <v>42400</v>
      </c>
      <c r="K23" s="58">
        <f t="shared" si="9"/>
        <v>42600</v>
      </c>
      <c r="L23" s="58">
        <f t="shared" si="9"/>
        <v>45100</v>
      </c>
      <c r="M23" s="58">
        <f t="shared" si="9"/>
        <v>38300</v>
      </c>
      <c r="N23" s="58">
        <f t="shared" si="9"/>
        <v>0</v>
      </c>
      <c r="P23" s="52" t="s">
        <v>240</v>
      </c>
      <c r="Q23" s="59">
        <f>I19-J19</f>
        <v>-10000</v>
      </c>
      <c r="R23" s="59">
        <f t="shared" ref="R23:U23" si="10">J19-K19</f>
        <v>-1000</v>
      </c>
      <c r="S23" s="59">
        <f t="shared" si="10"/>
        <v>-3000</v>
      </c>
      <c r="T23" s="59">
        <f t="shared" si="10"/>
        <v>-6000</v>
      </c>
      <c r="U23" s="59">
        <f t="shared" si="10"/>
        <v>20000</v>
      </c>
    </row>
    <row r="24" spans="1:21" ht="15.75" x14ac:dyDescent="0.25">
      <c r="A24" s="54" t="s">
        <v>241</v>
      </c>
      <c r="B24" s="55">
        <f>+B23-B25</f>
        <v>0</v>
      </c>
      <c r="C24" s="55">
        <f t="shared" ref="C24:E24" si="11">+C23-C25</f>
        <v>3292</v>
      </c>
      <c r="D24" s="55">
        <f t="shared" si="11"/>
        <v>8183</v>
      </c>
      <c r="E24" s="55">
        <f t="shared" si="11"/>
        <v>19570.5</v>
      </c>
      <c r="F24" s="55">
        <f>+F23-F25</f>
        <v>27436.5</v>
      </c>
      <c r="H24" s="50" t="s">
        <v>212</v>
      </c>
      <c r="I24" s="58">
        <f>I21-I22-I23</f>
        <v>33000</v>
      </c>
      <c r="J24" s="58">
        <f t="shared" ref="J24:M24" si="12">J21-J22-J23</f>
        <v>42400</v>
      </c>
      <c r="K24" s="58">
        <f t="shared" si="12"/>
        <v>42600</v>
      </c>
      <c r="L24" s="58">
        <f t="shared" si="12"/>
        <v>45100</v>
      </c>
      <c r="M24" s="58">
        <f t="shared" si="12"/>
        <v>38300</v>
      </c>
      <c r="N24" s="58">
        <v>0</v>
      </c>
      <c r="P24" s="64" t="s">
        <v>242</v>
      </c>
      <c r="Q24" s="65">
        <f>SUM(Q19:Q23)</f>
        <v>-14800</v>
      </c>
      <c r="R24" s="65">
        <f t="shared" ref="R24:U24" si="13">SUM(R19:R23)</f>
        <v>10000</v>
      </c>
      <c r="S24" s="65">
        <f t="shared" si="13"/>
        <v>5600</v>
      </c>
      <c r="T24" s="65">
        <f t="shared" si="13"/>
        <v>15200</v>
      </c>
      <c r="U24" s="65">
        <f t="shared" si="13"/>
        <v>62760</v>
      </c>
    </row>
    <row r="25" spans="1:21" ht="15.75" x14ac:dyDescent="0.25">
      <c r="A25" s="54" t="s">
        <v>130</v>
      </c>
      <c r="B25" s="61">
        <f>+IF(B23&lt;0,B23,MAX(0,MIN(B23,J26)))</f>
        <v>-7650</v>
      </c>
      <c r="C25" s="61">
        <f>+IF(C23&lt;0,C23,MAX(0,MIN(C23,K26)))</f>
        <v>200</v>
      </c>
      <c r="D25" s="61">
        <f>+IF(D23&lt;0,D23,MAX(0,MIN(D23,L26)))</f>
        <v>2500</v>
      </c>
      <c r="E25" s="61">
        <f>+IF(E23&lt;0,E23,MAX(0,MIN(E23,M26)))</f>
        <v>0</v>
      </c>
      <c r="F25" s="61">
        <f>+IF(F23&lt;0,F23,MAX(0,MIN(F23,N26)))</f>
        <v>0</v>
      </c>
      <c r="H25" s="173"/>
      <c r="I25" s="173"/>
      <c r="J25" s="51">
        <v>2022</v>
      </c>
      <c r="K25" s="51">
        <v>2023</v>
      </c>
      <c r="L25" s="51">
        <v>2024</v>
      </c>
      <c r="M25" s="51">
        <v>2025</v>
      </c>
      <c r="N25" s="51">
        <v>2026</v>
      </c>
      <c r="P25" s="269" t="s">
        <v>243</v>
      </c>
      <c r="Q25" s="270"/>
      <c r="R25" s="270"/>
      <c r="S25" s="270"/>
      <c r="T25" s="270"/>
      <c r="U25" s="271"/>
    </row>
    <row r="26" spans="1:21" ht="15.75" x14ac:dyDescent="0.25">
      <c r="A26" s="48"/>
      <c r="H26" s="272" t="s">
        <v>244</v>
      </c>
      <c r="I26" s="272"/>
      <c r="J26" s="60">
        <f>+J24-I24</f>
        <v>9400</v>
      </c>
      <c r="K26" s="60">
        <f t="shared" ref="K26:N26" si="14">+K24-J24</f>
        <v>200</v>
      </c>
      <c r="L26" s="60">
        <f t="shared" si="14"/>
        <v>2500</v>
      </c>
      <c r="M26" s="60">
        <f t="shared" si="14"/>
        <v>-6800</v>
      </c>
      <c r="N26" s="60">
        <f t="shared" si="14"/>
        <v>-38300</v>
      </c>
      <c r="P26" s="52" t="s">
        <v>245</v>
      </c>
      <c r="Q26" s="59">
        <f>I17-J17</f>
        <v>-10000</v>
      </c>
      <c r="R26" s="59">
        <f t="shared" ref="R26:U26" si="15">J17-K17</f>
        <v>-5000</v>
      </c>
      <c r="S26" s="59">
        <f t="shared" si="15"/>
        <v>2000</v>
      </c>
      <c r="T26" s="59">
        <f t="shared" si="15"/>
        <v>20000</v>
      </c>
      <c r="U26" s="59">
        <f t="shared" si="15"/>
        <v>43000</v>
      </c>
    </row>
    <row r="27" spans="1:21" ht="15.75" x14ac:dyDescent="0.25">
      <c r="A27" s="48"/>
      <c r="H27" s="273" t="s">
        <v>246</v>
      </c>
      <c r="I27" s="273"/>
      <c r="J27" s="60">
        <f>+J26-B25</f>
        <v>17050</v>
      </c>
      <c r="K27" s="60">
        <f>+K26-C25</f>
        <v>0</v>
      </c>
      <c r="L27" s="60">
        <f>+L26-D25</f>
        <v>0</v>
      </c>
      <c r="M27" s="60">
        <f>+M26-E25</f>
        <v>-6800</v>
      </c>
      <c r="N27" s="60">
        <f>+N26-F25</f>
        <v>-38300</v>
      </c>
      <c r="P27" s="64" t="s">
        <v>247</v>
      </c>
      <c r="Q27" s="65">
        <f>Q26</f>
        <v>-10000</v>
      </c>
      <c r="R27" s="66">
        <f t="shared" ref="R27:U27" si="16">R26</f>
        <v>-5000</v>
      </c>
      <c r="S27" s="66">
        <f t="shared" si="16"/>
        <v>2000</v>
      </c>
      <c r="T27" s="66">
        <f t="shared" si="16"/>
        <v>20000</v>
      </c>
      <c r="U27" s="66">
        <f t="shared" si="16"/>
        <v>43000</v>
      </c>
    </row>
    <row r="28" spans="1:21" ht="15.75" x14ac:dyDescent="0.25">
      <c r="A28" s="48"/>
      <c r="H28" s="274" t="s">
        <v>141</v>
      </c>
      <c r="I28" s="275"/>
      <c r="J28" s="176">
        <f>+B22/B21</f>
        <v>0</v>
      </c>
      <c r="K28" s="176">
        <f>+C22/C21</f>
        <v>0.1</v>
      </c>
      <c r="L28" s="176">
        <f>+D22/D21</f>
        <v>0.1</v>
      </c>
      <c r="M28" s="176">
        <f>+E22/E21</f>
        <v>0.1</v>
      </c>
      <c r="N28" s="176">
        <f>+F22/F21</f>
        <v>0.1</v>
      </c>
      <c r="P28" s="64" t="s">
        <v>25</v>
      </c>
      <c r="Q28" s="67">
        <f>Q27+Q24</f>
        <v>-24800</v>
      </c>
      <c r="R28" s="67">
        <f t="shared" ref="R28:U28" si="17">R27+R24</f>
        <v>5000</v>
      </c>
      <c r="S28" s="67">
        <f t="shared" si="17"/>
        <v>7600</v>
      </c>
      <c r="T28" s="67">
        <f t="shared" si="17"/>
        <v>35200</v>
      </c>
      <c r="U28" s="67">
        <f t="shared" si="17"/>
        <v>105760</v>
      </c>
    </row>
    <row r="29" spans="1:21" ht="15.75" x14ac:dyDescent="0.25">
      <c r="A29" s="48"/>
      <c r="P29" s="269" t="s">
        <v>248</v>
      </c>
      <c r="Q29" s="270"/>
      <c r="R29" s="270"/>
      <c r="S29" s="270"/>
      <c r="T29" s="270"/>
      <c r="U29" s="271"/>
    </row>
    <row r="30" spans="1:21" ht="15.75" x14ac:dyDescent="0.25">
      <c r="P30" s="62" t="str">
        <f>+A20</f>
        <v>Interest payment</v>
      </c>
      <c r="Q30" s="60">
        <f>-B20</f>
        <v>-1650</v>
      </c>
      <c r="R30" s="60">
        <f>-C20</f>
        <v>-2120</v>
      </c>
      <c r="S30" s="60">
        <f>-D20</f>
        <v>-2130</v>
      </c>
      <c r="T30" s="60">
        <f>-E20</f>
        <v>-2255</v>
      </c>
      <c r="U30" s="60">
        <f>-F20</f>
        <v>-1915</v>
      </c>
    </row>
    <row r="31" spans="1:21" ht="15.75" x14ac:dyDescent="0.25">
      <c r="P31" s="62" t="s">
        <v>47</v>
      </c>
      <c r="Q31" s="60">
        <f>IF(J28&gt;0,(-Q30*J28),0)</f>
        <v>0</v>
      </c>
      <c r="R31" s="60">
        <f>IF(K28&gt;0,(-R30*K28),0)</f>
        <v>212</v>
      </c>
      <c r="S31" s="60">
        <f>IF(L28&gt;0,(-S30*L28),0)</f>
        <v>213</v>
      </c>
      <c r="T31" s="60">
        <f>IF(M28&gt;0,(-T30*M28),0)</f>
        <v>225.5</v>
      </c>
      <c r="U31" s="60">
        <f>IF(N28&gt;0,(-U30*N28),0)</f>
        <v>191.5</v>
      </c>
    </row>
    <row r="32" spans="1:21" ht="15.75" x14ac:dyDescent="0.25">
      <c r="A32" s="76" t="s">
        <v>249</v>
      </c>
      <c r="B32" s="69">
        <v>2021</v>
      </c>
      <c r="C32" s="69">
        <v>2022</v>
      </c>
      <c r="D32" s="69">
        <v>2023</v>
      </c>
      <c r="E32" s="69">
        <v>2024</v>
      </c>
      <c r="F32" s="69">
        <v>2025</v>
      </c>
      <c r="G32" s="69">
        <v>2026</v>
      </c>
      <c r="H32" s="81">
        <v>2027</v>
      </c>
      <c r="P32" s="62" t="s">
        <v>250</v>
      </c>
      <c r="Q32" s="60">
        <f>J23-I23</f>
        <v>9400</v>
      </c>
      <c r="R32" s="60">
        <f t="shared" ref="R32:U32" si="18">K23-J23</f>
        <v>200</v>
      </c>
      <c r="S32" s="60">
        <f t="shared" si="18"/>
        <v>2500</v>
      </c>
      <c r="T32" s="60">
        <f t="shared" si="18"/>
        <v>-6800</v>
      </c>
      <c r="U32" s="60">
        <f t="shared" si="18"/>
        <v>-38300</v>
      </c>
    </row>
    <row r="33" spans="1:21" ht="15.75" x14ac:dyDescent="0.25">
      <c r="A33" s="68" t="s">
        <v>251</v>
      </c>
      <c r="B33" s="70">
        <f t="shared" ref="B33:H33" si="19">I16-I22</f>
        <v>66000</v>
      </c>
      <c r="C33" s="70">
        <f t="shared" si="19"/>
        <v>84800</v>
      </c>
      <c r="D33" s="70">
        <f t="shared" si="19"/>
        <v>85200</v>
      </c>
      <c r="E33" s="70">
        <f t="shared" si="19"/>
        <v>90200</v>
      </c>
      <c r="F33" s="70">
        <f t="shared" si="19"/>
        <v>76600</v>
      </c>
      <c r="G33" s="70">
        <f t="shared" si="19"/>
        <v>0</v>
      </c>
      <c r="H33" s="70">
        <f t="shared" si="19"/>
        <v>0</v>
      </c>
      <c r="P33" s="64" t="s">
        <v>252</v>
      </c>
      <c r="Q33" s="59">
        <f>Q30+Q31+Q32</f>
        <v>7750</v>
      </c>
      <c r="R33" s="59">
        <f t="shared" ref="R33:U33" si="20">SUM(R30:R32)</f>
        <v>-1708</v>
      </c>
      <c r="S33" s="59">
        <f t="shared" si="20"/>
        <v>583</v>
      </c>
      <c r="T33" s="59">
        <f t="shared" si="20"/>
        <v>-8829.5</v>
      </c>
      <c r="U33" s="59">
        <f t="shared" si="20"/>
        <v>-40023.5</v>
      </c>
    </row>
    <row r="34" spans="1:21" ht="15.75" customHeight="1" x14ac:dyDescent="0.25">
      <c r="A34" s="71" t="s">
        <v>253</v>
      </c>
      <c r="B34" s="72">
        <f>-B33</f>
        <v>-66000</v>
      </c>
      <c r="C34" s="70">
        <f t="shared" ref="C34:H34" si="21">B33-C33</f>
        <v>-18800</v>
      </c>
      <c r="D34" s="70">
        <f t="shared" si="21"/>
        <v>-400</v>
      </c>
      <c r="E34" s="70">
        <f t="shared" si="21"/>
        <v>-5000</v>
      </c>
      <c r="F34" s="70">
        <f t="shared" si="21"/>
        <v>13600</v>
      </c>
      <c r="G34" s="70">
        <f>F33-G33</f>
        <v>76600</v>
      </c>
      <c r="H34" s="70">
        <f t="shared" si="21"/>
        <v>0</v>
      </c>
      <c r="P34" s="64" t="s">
        <v>39</v>
      </c>
      <c r="Q34" s="67">
        <f>Q28+Q33</f>
        <v>-17050</v>
      </c>
      <c r="R34" s="67">
        <f t="shared" ref="R34:U34" si="22">R28+R33</f>
        <v>3292</v>
      </c>
      <c r="S34" s="67">
        <f t="shared" si="22"/>
        <v>8183</v>
      </c>
      <c r="T34" s="67">
        <f t="shared" si="22"/>
        <v>26370.5</v>
      </c>
      <c r="U34" s="67">
        <f t="shared" si="22"/>
        <v>65736.5</v>
      </c>
    </row>
    <row r="35" spans="1:21" ht="15.75" x14ac:dyDescent="0.25">
      <c r="A35" s="68" t="s">
        <v>234</v>
      </c>
      <c r="B35" s="72">
        <v>0</v>
      </c>
      <c r="C35" s="70">
        <f t="shared" ref="C35:H35" si="23">+B19*(1-J28)</f>
        <v>-6000</v>
      </c>
      <c r="D35" s="70">
        <f t="shared" si="23"/>
        <v>5400</v>
      </c>
      <c r="E35" s="70">
        <f t="shared" si="23"/>
        <v>12600</v>
      </c>
      <c r="F35" s="70">
        <f t="shared" si="23"/>
        <v>21600</v>
      </c>
      <c r="G35" s="70">
        <f t="shared" si="23"/>
        <v>29160</v>
      </c>
      <c r="H35" s="70">
        <f t="shared" si="23"/>
        <v>0</v>
      </c>
      <c r="P35" s="52" t="s">
        <v>254</v>
      </c>
      <c r="Q35" s="59">
        <f>-B24</f>
        <v>0</v>
      </c>
      <c r="R35" s="59">
        <f t="shared" ref="R35:U35" si="24">-C24</f>
        <v>-3292</v>
      </c>
      <c r="S35" s="59">
        <f t="shared" si="24"/>
        <v>-8183</v>
      </c>
      <c r="T35" s="59">
        <f t="shared" si="24"/>
        <v>-19570.5</v>
      </c>
      <c r="U35" s="59">
        <f t="shared" si="24"/>
        <v>-27436.5</v>
      </c>
    </row>
    <row r="36" spans="1:21" ht="15.75" x14ac:dyDescent="0.25">
      <c r="A36" s="73" t="s">
        <v>255</v>
      </c>
      <c r="B36" s="72"/>
      <c r="C36" s="72">
        <f>C35</f>
        <v>-6000</v>
      </c>
      <c r="D36" s="72">
        <f>D35-C35</f>
        <v>11400</v>
      </c>
      <c r="E36" s="72">
        <f>E35-D35</f>
        <v>7200</v>
      </c>
      <c r="F36" s="72">
        <f>F35-E35</f>
        <v>9000</v>
      </c>
      <c r="G36" s="72">
        <f>G35-F35</f>
        <v>7560</v>
      </c>
      <c r="H36" s="72">
        <f>H35-G35</f>
        <v>-29160</v>
      </c>
      <c r="P36" s="74" t="s">
        <v>256</v>
      </c>
      <c r="Q36" s="59">
        <f>J24-I24-B25</f>
        <v>17050</v>
      </c>
      <c r="R36" s="59">
        <f t="shared" ref="R36:U36" si="25">K24-J24-C25</f>
        <v>0</v>
      </c>
      <c r="S36" s="59">
        <f t="shared" si="25"/>
        <v>0</v>
      </c>
      <c r="T36" s="59">
        <f t="shared" si="25"/>
        <v>-6800</v>
      </c>
      <c r="U36" s="59">
        <f t="shared" si="25"/>
        <v>-38300</v>
      </c>
    </row>
    <row r="37" spans="1:21" ht="15.75" x14ac:dyDescent="0.25">
      <c r="A37" s="73" t="s">
        <v>257</v>
      </c>
      <c r="B37" s="72"/>
      <c r="C37" s="72"/>
      <c r="D37" s="75">
        <f>D36/C35</f>
        <v>-1.9</v>
      </c>
      <c r="E37" s="75">
        <f t="shared" ref="E37:H37" si="26">E36/D35</f>
        <v>1.3333333333333333</v>
      </c>
      <c r="F37" s="75">
        <f t="shared" si="26"/>
        <v>0.7142857142857143</v>
      </c>
      <c r="G37" s="75">
        <f t="shared" si="26"/>
        <v>0.35</v>
      </c>
      <c r="H37" s="75">
        <f t="shared" si="26"/>
        <v>-1</v>
      </c>
      <c r="P37" s="74" t="s">
        <v>135</v>
      </c>
      <c r="Q37" s="59">
        <f>SUM(Q34:Q36)</f>
        <v>0</v>
      </c>
      <c r="R37" s="59">
        <f t="shared" ref="R37:T37" si="27">SUM(R34:R36)</f>
        <v>0</v>
      </c>
      <c r="S37" s="59">
        <f t="shared" si="27"/>
        <v>0</v>
      </c>
      <c r="T37" s="59">
        <f t="shared" si="27"/>
        <v>0</v>
      </c>
      <c r="U37" s="59">
        <f>SUM(U34:U36)</f>
        <v>0</v>
      </c>
    </row>
    <row r="38" spans="1:21" ht="15.75" x14ac:dyDescent="0.25">
      <c r="A38" s="76" t="s">
        <v>258</v>
      </c>
      <c r="B38" s="77">
        <f>B35+B34</f>
        <v>-66000</v>
      </c>
      <c r="C38" s="77">
        <f t="shared" ref="C38:H38" si="28">C35+C34</f>
        <v>-24800</v>
      </c>
      <c r="D38" s="77">
        <f t="shared" si="28"/>
        <v>5000</v>
      </c>
      <c r="E38" s="77">
        <f t="shared" si="28"/>
        <v>7600</v>
      </c>
      <c r="F38" s="77">
        <f t="shared" si="28"/>
        <v>35200</v>
      </c>
      <c r="G38" s="77">
        <f t="shared" si="28"/>
        <v>105760</v>
      </c>
      <c r="H38" s="77">
        <f t="shared" si="28"/>
        <v>0</v>
      </c>
    </row>
    <row r="39" spans="1:21" ht="15.75" x14ac:dyDescent="0.25">
      <c r="A39" s="73" t="s">
        <v>9</v>
      </c>
      <c r="B39" s="72"/>
      <c r="C39" s="75">
        <f>C34/C35</f>
        <v>3.1333333333333333</v>
      </c>
      <c r="D39" s="75">
        <f t="shared" ref="D39:F39" si="29">D34/D35</f>
        <v>-7.407407407407407E-2</v>
      </c>
      <c r="E39" s="75">
        <f t="shared" si="29"/>
        <v>-0.3968253968253968</v>
      </c>
      <c r="F39" s="75">
        <f t="shared" si="29"/>
        <v>0.62962962962962965</v>
      </c>
      <c r="G39" s="75">
        <f>G34/G35</f>
        <v>2.6268861454046641</v>
      </c>
      <c r="H39" s="78"/>
    </row>
    <row r="40" spans="1:21" ht="15.75" x14ac:dyDescent="0.25">
      <c r="A40" s="73" t="s">
        <v>3</v>
      </c>
      <c r="B40" s="72"/>
      <c r="C40" s="75">
        <f>C35/B33</f>
        <v>-9.0909090909090912E-2</v>
      </c>
      <c r="D40" s="75">
        <f t="shared" ref="D40:H41" si="30">D35/C33</f>
        <v>6.3679245283018868E-2</v>
      </c>
      <c r="E40" s="75">
        <f t="shared" si="30"/>
        <v>0.14788732394366197</v>
      </c>
      <c r="F40" s="75">
        <f t="shared" si="30"/>
        <v>0.23946784922394679</v>
      </c>
      <c r="G40" s="75">
        <f t="shared" si="30"/>
        <v>0.38067885117493472</v>
      </c>
      <c r="H40" s="72"/>
    </row>
    <row r="41" spans="1:21" ht="15.75" x14ac:dyDescent="0.25">
      <c r="A41" s="68" t="s">
        <v>6</v>
      </c>
      <c r="B41" s="72"/>
      <c r="C41" s="79">
        <f>C36/B34</f>
        <v>9.0909090909090912E-2</v>
      </c>
      <c r="D41" s="79">
        <f t="shared" si="30"/>
        <v>-0.6063829787234043</v>
      </c>
      <c r="E41" s="79">
        <f t="shared" si="30"/>
        <v>-18</v>
      </c>
      <c r="F41" s="79">
        <f t="shared" si="30"/>
        <v>-1.8</v>
      </c>
      <c r="G41" s="79">
        <f t="shared" si="30"/>
        <v>0.55588235294117649</v>
      </c>
      <c r="H41" s="79">
        <f t="shared" si="30"/>
        <v>-0.38067885117493472</v>
      </c>
    </row>
    <row r="42" spans="1:21" x14ac:dyDescent="0.25">
      <c r="A42" s="48"/>
    </row>
    <row r="43" spans="1:21" x14ac:dyDescent="0.25">
      <c r="A43" s="48"/>
    </row>
    <row r="44" spans="1:21" ht="15.75" x14ac:dyDescent="0.25">
      <c r="C44" s="80"/>
      <c r="D44" s="80"/>
      <c r="E44" s="80"/>
      <c r="F44" s="80"/>
      <c r="J44" s="177"/>
      <c r="K44" s="177"/>
      <c r="L44" s="177"/>
      <c r="M44" s="177"/>
    </row>
    <row r="45" spans="1:21" ht="15.75" x14ac:dyDescent="0.25">
      <c r="A45" s="76" t="s">
        <v>259</v>
      </c>
      <c r="B45" s="69">
        <v>2022</v>
      </c>
      <c r="C45" s="69">
        <v>2023</v>
      </c>
      <c r="D45" s="69">
        <v>2024</v>
      </c>
      <c r="E45" s="69">
        <v>2025</v>
      </c>
      <c r="F45" s="69">
        <v>2026</v>
      </c>
      <c r="H45" s="76" t="s">
        <v>260</v>
      </c>
      <c r="I45" s="81">
        <v>2021</v>
      </c>
      <c r="J45" s="69">
        <v>2022</v>
      </c>
      <c r="K45" s="69">
        <v>2023</v>
      </c>
      <c r="L45" s="69">
        <v>2024</v>
      </c>
      <c r="M45" s="69">
        <v>2025</v>
      </c>
      <c r="N45" s="69">
        <v>2026</v>
      </c>
    </row>
    <row r="46" spans="1:21" ht="15.75" x14ac:dyDescent="0.25">
      <c r="A46" s="68" t="s">
        <v>261</v>
      </c>
      <c r="B46" s="75">
        <f>B24/B23</f>
        <v>0</v>
      </c>
      <c r="C46" s="75">
        <f t="shared" ref="C46:F46" si="31">C24/C23</f>
        <v>0.94272623138602518</v>
      </c>
      <c r="D46" s="75">
        <f t="shared" si="31"/>
        <v>0.76598333801366658</v>
      </c>
      <c r="E46" s="75">
        <f t="shared" si="31"/>
        <v>1</v>
      </c>
      <c r="F46" s="75">
        <f t="shared" si="31"/>
        <v>1</v>
      </c>
      <c r="H46" s="82" t="s">
        <v>39</v>
      </c>
      <c r="I46" s="72">
        <f>-I24</f>
        <v>-33000</v>
      </c>
      <c r="J46" s="72">
        <f>Q34</f>
        <v>-17050</v>
      </c>
      <c r="K46" s="72">
        <f>R34</f>
        <v>3292</v>
      </c>
      <c r="L46" s="72">
        <f>S34</f>
        <v>8183</v>
      </c>
      <c r="M46" s="72">
        <f>T34</f>
        <v>26370.5</v>
      </c>
      <c r="N46" s="72">
        <f>U34</f>
        <v>65736.5</v>
      </c>
    </row>
    <row r="47" spans="1:21" ht="15.75" x14ac:dyDescent="0.25">
      <c r="A47" s="68" t="s">
        <v>170</v>
      </c>
      <c r="B47" s="75">
        <f>B23/I24</f>
        <v>-0.23181818181818181</v>
      </c>
      <c r="C47" s="75">
        <f t="shared" ref="C47:F47" si="32">C23/J24</f>
        <v>8.2358490566037737E-2</v>
      </c>
      <c r="D47" s="75">
        <f t="shared" si="32"/>
        <v>0.25077464788732395</v>
      </c>
      <c r="E47" s="75">
        <f t="shared" si="32"/>
        <v>0.43393569844789359</v>
      </c>
      <c r="F47" s="75">
        <f t="shared" si="32"/>
        <v>0.7163577023498694</v>
      </c>
      <c r="G47" s="108"/>
      <c r="H47" s="264" t="s">
        <v>260</v>
      </c>
      <c r="I47" s="265"/>
      <c r="J47" s="265"/>
      <c r="K47" s="266"/>
      <c r="L47" s="267">
        <f>IRR(I46:N46)</f>
        <v>0.19337942505178907</v>
      </c>
      <c r="M47" s="268"/>
    </row>
    <row r="48" spans="1:21" x14ac:dyDescent="0.25">
      <c r="A48" s="48"/>
    </row>
  </sheetData>
  <mergeCells count="10">
    <mergeCell ref="H3:P5"/>
    <mergeCell ref="H2:K2"/>
    <mergeCell ref="H47:K47"/>
    <mergeCell ref="L47:M47"/>
    <mergeCell ref="P16:U16"/>
    <mergeCell ref="P25:U25"/>
    <mergeCell ref="H26:I26"/>
    <mergeCell ref="H27:I27"/>
    <mergeCell ref="H28:I28"/>
    <mergeCell ref="P29:U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2"/>
  <sheetViews>
    <sheetView topLeftCell="A15" workbookViewId="0">
      <selection activeCell="D43" sqref="D43"/>
    </sheetView>
  </sheetViews>
  <sheetFormatPr defaultRowHeight="15" x14ac:dyDescent="0.25"/>
  <cols>
    <col min="1" max="2" width="9.140625" style="95"/>
    <col min="3" max="3" width="26.7109375" style="95" bestFit="1" customWidth="1"/>
    <col min="4" max="4" width="11.5703125" style="95" bestFit="1" customWidth="1"/>
    <col min="5" max="5" width="15.28515625" style="95" bestFit="1" customWidth="1"/>
    <col min="6" max="6" width="12.7109375" style="95" bestFit="1" customWidth="1"/>
    <col min="7" max="9" width="9.140625" style="95"/>
    <col min="10" max="10" width="9.140625" style="131"/>
    <col min="11" max="12" width="9.140625" style="95"/>
    <col min="13" max="13" width="18.7109375" style="95" bestFit="1" customWidth="1"/>
    <col min="14" max="14" width="24.42578125" style="95" bestFit="1" customWidth="1"/>
    <col min="16" max="16" width="24.5703125" customWidth="1"/>
    <col min="17" max="17" width="24.140625" customWidth="1"/>
  </cols>
  <sheetData>
    <row r="1" spans="1:21" x14ac:dyDescent="0.25">
      <c r="A1" s="95" t="s">
        <v>262</v>
      </c>
    </row>
    <row r="2" spans="1:21" ht="15.75" x14ac:dyDescent="0.25">
      <c r="C2" s="111" t="s">
        <v>263</v>
      </c>
      <c r="D2" s="111" t="s">
        <v>264</v>
      </c>
      <c r="E2" s="111" t="s">
        <v>265</v>
      </c>
      <c r="F2" s="111" t="s">
        <v>266</v>
      </c>
      <c r="U2" t="s">
        <v>267</v>
      </c>
    </row>
    <row r="3" spans="1:21" ht="15.75" x14ac:dyDescent="0.25">
      <c r="C3" s="112" t="s">
        <v>197</v>
      </c>
      <c r="D3" s="120">
        <v>137000</v>
      </c>
      <c r="E3" s="120">
        <v>12000</v>
      </c>
      <c r="F3" s="120">
        <v>125000</v>
      </c>
    </row>
    <row r="4" spans="1:21" ht="15.75" x14ac:dyDescent="0.25">
      <c r="C4" s="112" t="s">
        <v>192</v>
      </c>
      <c r="D4" s="120">
        <v>48200</v>
      </c>
      <c r="E4" s="120">
        <v>5200</v>
      </c>
      <c r="F4" s="120">
        <v>43000</v>
      </c>
    </row>
    <row r="5" spans="1:21" ht="15.75" x14ac:dyDescent="0.25">
      <c r="C5" s="112" t="s">
        <v>190</v>
      </c>
      <c r="D5" s="120">
        <v>15200</v>
      </c>
      <c r="E5" s="120">
        <v>1200</v>
      </c>
      <c r="F5" s="120">
        <v>14000</v>
      </c>
    </row>
    <row r="6" spans="1:21" ht="15.75" x14ac:dyDescent="0.25">
      <c r="C6" s="112" t="s">
        <v>183</v>
      </c>
      <c r="D6" s="120">
        <v>19000</v>
      </c>
      <c r="E6" s="120">
        <v>3000</v>
      </c>
      <c r="F6" s="120">
        <v>16000</v>
      </c>
    </row>
    <row r="7" spans="1:21" ht="15.75" x14ac:dyDescent="0.25">
      <c r="C7" s="112" t="s">
        <v>206</v>
      </c>
      <c r="D7" s="120">
        <v>19500</v>
      </c>
      <c r="E7" s="120">
        <v>4500</v>
      </c>
      <c r="F7" s="120">
        <v>15000</v>
      </c>
    </row>
    <row r="8" spans="1:21" ht="15.75" x14ac:dyDescent="0.25">
      <c r="B8" s="95" t="s">
        <v>268</v>
      </c>
      <c r="C8" s="112" t="s">
        <v>239</v>
      </c>
      <c r="D8" s="120">
        <v>85000</v>
      </c>
      <c r="E8" s="120">
        <v>5000</v>
      </c>
      <c r="F8" s="120">
        <v>80000</v>
      </c>
      <c r="U8" t="s">
        <v>269</v>
      </c>
    </row>
    <row r="9" spans="1:21" ht="15.75" x14ac:dyDescent="0.25">
      <c r="B9" s="95" t="s">
        <v>270</v>
      </c>
      <c r="C9" s="112" t="s">
        <v>212</v>
      </c>
      <c r="D9" s="120">
        <v>114900</v>
      </c>
      <c r="E9" s="120">
        <v>11900</v>
      </c>
      <c r="F9" s="120">
        <v>103000</v>
      </c>
    </row>
    <row r="10" spans="1:21" x14ac:dyDescent="0.25">
      <c r="C10" s="121"/>
      <c r="D10" s="121"/>
      <c r="E10" s="121"/>
      <c r="F10" s="121"/>
    </row>
    <row r="11" spans="1:21" ht="15.75" x14ac:dyDescent="0.25">
      <c r="A11" s="95" t="s">
        <v>271</v>
      </c>
      <c r="B11" s="95" t="s">
        <v>272</v>
      </c>
      <c r="C11" s="112" t="s">
        <v>121</v>
      </c>
      <c r="D11" s="120">
        <v>228000</v>
      </c>
      <c r="E11" s="120">
        <v>38000</v>
      </c>
      <c r="F11" s="120">
        <v>190000</v>
      </c>
    </row>
    <row r="12" spans="1:21" ht="15.75" x14ac:dyDescent="0.25">
      <c r="A12" s="95" t="s">
        <v>273</v>
      </c>
      <c r="B12" s="95" t="s">
        <v>274</v>
      </c>
      <c r="C12" s="112" t="s">
        <v>162</v>
      </c>
      <c r="D12" s="120">
        <v>44000</v>
      </c>
      <c r="E12" s="120">
        <v>8000</v>
      </c>
      <c r="F12" s="120">
        <v>36000</v>
      </c>
      <c r="U12" t="s">
        <v>275</v>
      </c>
    </row>
    <row r="13" spans="1:21" ht="15.75" x14ac:dyDescent="0.25">
      <c r="C13" s="112" t="s">
        <v>276</v>
      </c>
      <c r="D13" s="120">
        <v>-8000</v>
      </c>
      <c r="E13" s="44">
        <v>-500</v>
      </c>
      <c r="F13" s="120">
        <v>-7500</v>
      </c>
    </row>
    <row r="14" spans="1:21" ht="15.75" x14ac:dyDescent="0.25">
      <c r="B14" s="95" t="s">
        <v>277</v>
      </c>
      <c r="C14" s="112" t="s">
        <v>19</v>
      </c>
      <c r="D14" s="120">
        <v>36000</v>
      </c>
      <c r="E14" s="120">
        <v>7500</v>
      </c>
      <c r="F14" s="122">
        <v>28500</v>
      </c>
      <c r="U14" t="s">
        <v>275</v>
      </c>
    </row>
    <row r="15" spans="1:21" ht="15.75" x14ac:dyDescent="0.25">
      <c r="B15" s="95" t="s">
        <v>278</v>
      </c>
      <c r="C15" s="112" t="s">
        <v>24</v>
      </c>
      <c r="D15" s="120">
        <v>32850</v>
      </c>
      <c r="E15" s="120">
        <v>7200</v>
      </c>
      <c r="F15" s="122">
        <v>25650</v>
      </c>
    </row>
    <row r="16" spans="1:21" x14ac:dyDescent="0.25">
      <c r="C16" s="121" t="s">
        <v>141</v>
      </c>
      <c r="D16" s="167">
        <f>+(D14-D15)/D14</f>
        <v>8.7499999999999994E-2</v>
      </c>
      <c r="E16" s="167">
        <f>+(E14-E15)/E14</f>
        <v>0.04</v>
      </c>
      <c r="F16" s="167">
        <f>(F14-F15)/F14</f>
        <v>0.1</v>
      </c>
      <c r="G16" s="123"/>
    </row>
    <row r="17" spans="1:25" ht="15.75" x14ac:dyDescent="0.25">
      <c r="B17" s="95" t="s">
        <v>279</v>
      </c>
      <c r="C17" s="112" t="s">
        <v>280</v>
      </c>
      <c r="D17" s="121"/>
      <c r="E17" s="124">
        <v>0.2</v>
      </c>
      <c r="F17" s="124">
        <v>0.05</v>
      </c>
      <c r="P17" t="s">
        <v>281</v>
      </c>
    </row>
    <row r="18" spans="1:25" x14ac:dyDescent="0.25">
      <c r="O18" s="95"/>
    </row>
    <row r="19" spans="1:25" x14ac:dyDescent="0.25">
      <c r="G19" s="95" t="s">
        <v>282</v>
      </c>
      <c r="P19" t="s">
        <v>283</v>
      </c>
    </row>
    <row r="20" spans="1:25" ht="15.75" x14ac:dyDescent="0.25">
      <c r="C20" s="111" t="s">
        <v>284</v>
      </c>
      <c r="D20" s="111" t="s">
        <v>285</v>
      </c>
      <c r="E20" s="111" t="s">
        <v>286</v>
      </c>
      <c r="F20" s="111" t="s">
        <v>287</v>
      </c>
      <c r="G20" s="111" t="s">
        <v>21</v>
      </c>
      <c r="H20" s="179" t="s">
        <v>288</v>
      </c>
      <c r="P20" t="s">
        <v>289</v>
      </c>
    </row>
    <row r="21" spans="1:25" ht="15.75" x14ac:dyDescent="0.25">
      <c r="C21" s="185" t="s">
        <v>290</v>
      </c>
      <c r="D21" s="185" t="s">
        <v>291</v>
      </c>
      <c r="E21" s="185" t="s">
        <v>292</v>
      </c>
      <c r="F21" s="186">
        <v>6</v>
      </c>
      <c r="G21" s="187">
        <v>7.0000000000000007E-2</v>
      </c>
      <c r="H21" s="180">
        <f>AVERAGE(F21:F23)</f>
        <v>9.6666666666666661</v>
      </c>
      <c r="M21" s="32" t="s">
        <v>293</v>
      </c>
      <c r="N21" s="32" t="s">
        <v>294</v>
      </c>
    </row>
    <row r="22" spans="1:25" ht="15.75" customHeight="1" x14ac:dyDescent="0.25">
      <c r="C22" s="185" t="s">
        <v>295</v>
      </c>
      <c r="D22" s="185" t="s">
        <v>296</v>
      </c>
      <c r="E22" s="185" t="s">
        <v>292</v>
      </c>
      <c r="F22" s="186">
        <v>9</v>
      </c>
      <c r="G22" s="187">
        <v>0.05</v>
      </c>
      <c r="I22" s="115"/>
      <c r="M22" s="31" t="s">
        <v>297</v>
      </c>
      <c r="N22" s="31" t="s">
        <v>298</v>
      </c>
      <c r="P22" t="s">
        <v>299</v>
      </c>
      <c r="R22" t="s">
        <v>300</v>
      </c>
      <c r="Y22" t="s">
        <v>301</v>
      </c>
    </row>
    <row r="23" spans="1:25" ht="15.75" x14ac:dyDescent="0.25">
      <c r="C23" s="185" t="s">
        <v>302</v>
      </c>
      <c r="D23" s="185" t="s">
        <v>303</v>
      </c>
      <c r="E23" s="185" t="s">
        <v>292</v>
      </c>
      <c r="F23" s="186">
        <v>14</v>
      </c>
      <c r="G23" s="187">
        <v>0.21</v>
      </c>
      <c r="I23" s="115"/>
      <c r="M23" s="31" t="s">
        <v>304</v>
      </c>
      <c r="N23" s="31" t="s">
        <v>305</v>
      </c>
    </row>
    <row r="24" spans="1:25" ht="15.75" x14ac:dyDescent="0.25">
      <c r="C24" s="181" t="s">
        <v>306</v>
      </c>
      <c r="D24" s="181" t="s">
        <v>307</v>
      </c>
      <c r="E24" s="181" t="s">
        <v>308</v>
      </c>
      <c r="F24" s="182" t="s">
        <v>309</v>
      </c>
      <c r="G24" s="183">
        <v>0.15</v>
      </c>
      <c r="M24" s="31" t="s">
        <v>310</v>
      </c>
      <c r="N24" s="31" t="s">
        <v>311</v>
      </c>
    </row>
    <row r="25" spans="1:25" ht="15.75" x14ac:dyDescent="0.25">
      <c r="C25" s="121"/>
      <c r="D25" s="121"/>
      <c r="E25" s="121" t="s">
        <v>312</v>
      </c>
      <c r="F25" s="111" t="s">
        <v>272</v>
      </c>
      <c r="G25" s="111" t="s">
        <v>21</v>
      </c>
      <c r="M25" s="31"/>
      <c r="N25" s="31" t="s">
        <v>313</v>
      </c>
    </row>
    <row r="26" spans="1:25" ht="15.75" x14ac:dyDescent="0.25">
      <c r="C26" s="185" t="s">
        <v>314</v>
      </c>
      <c r="D26" s="185" t="s">
        <v>291</v>
      </c>
      <c r="E26" s="185" t="s">
        <v>315</v>
      </c>
      <c r="F26" s="188">
        <v>3.1</v>
      </c>
      <c r="G26" s="187">
        <v>0.06</v>
      </c>
      <c r="H26" s="127">
        <f>AVERAGE(F26:F27)</f>
        <v>2.85</v>
      </c>
      <c r="M26" s="31"/>
      <c r="N26" s="31" t="s">
        <v>316</v>
      </c>
    </row>
    <row r="27" spans="1:25" ht="15.75" x14ac:dyDescent="0.25">
      <c r="C27" s="185" t="s">
        <v>317</v>
      </c>
      <c r="D27" s="185" t="s">
        <v>291</v>
      </c>
      <c r="E27" s="185" t="s">
        <v>315</v>
      </c>
      <c r="F27" s="188">
        <v>2.6</v>
      </c>
      <c r="G27" s="187">
        <v>0.05</v>
      </c>
    </row>
    <row r="28" spans="1:25" ht="15.75" x14ac:dyDescent="0.25">
      <c r="C28" s="181" t="s">
        <v>318</v>
      </c>
      <c r="D28" s="181" t="s">
        <v>291</v>
      </c>
      <c r="E28" s="181" t="s">
        <v>319</v>
      </c>
      <c r="F28" s="184">
        <v>2.2000000000000002</v>
      </c>
      <c r="G28" s="183">
        <v>0.04</v>
      </c>
      <c r="M28" s="2" t="s">
        <v>320</v>
      </c>
    </row>
    <row r="29" spans="1:25" ht="15.75" x14ac:dyDescent="0.25">
      <c r="C29" s="181" t="s">
        <v>321</v>
      </c>
      <c r="D29" s="181" t="s">
        <v>322</v>
      </c>
      <c r="E29" s="181" t="s">
        <v>315</v>
      </c>
      <c r="F29" s="184">
        <v>2.4</v>
      </c>
      <c r="G29" s="183">
        <v>0.04</v>
      </c>
      <c r="M29" s="95" t="s">
        <v>323</v>
      </c>
    </row>
    <row r="30" spans="1:25" x14ac:dyDescent="0.25">
      <c r="M30" s="95" t="s">
        <v>324</v>
      </c>
    </row>
    <row r="31" spans="1:25" x14ac:dyDescent="0.25">
      <c r="C31" s="2" t="s">
        <v>325</v>
      </c>
      <c r="M31" s="95" t="s">
        <v>326</v>
      </c>
    </row>
    <row r="32" spans="1:25" ht="15.75" x14ac:dyDescent="0.25">
      <c r="A32" s="95" t="s">
        <v>327</v>
      </c>
      <c r="B32" s="95" t="s">
        <v>328</v>
      </c>
      <c r="C32" s="111" t="s">
        <v>287</v>
      </c>
      <c r="D32" s="31">
        <f>H21</f>
        <v>9.6666666666666661</v>
      </c>
      <c r="E32" s="95" t="s">
        <v>329</v>
      </c>
    </row>
    <row r="33" spans="3:15" ht="15.75" customHeight="1" x14ac:dyDescent="0.25">
      <c r="C33" s="112" t="s">
        <v>330</v>
      </c>
      <c r="D33" s="31">
        <f>D32*E15</f>
        <v>69600</v>
      </c>
      <c r="M33" s="2" t="s">
        <v>331</v>
      </c>
    </row>
    <row r="34" spans="3:15" ht="45" x14ac:dyDescent="0.25">
      <c r="C34" s="112" t="s">
        <v>332</v>
      </c>
      <c r="D34" s="31">
        <f>D33*(1+E17)</f>
        <v>83520</v>
      </c>
      <c r="E34" s="189" t="s">
        <v>333</v>
      </c>
      <c r="F34" s="125">
        <f>D34/D33-1</f>
        <v>0.19999999999999996</v>
      </c>
      <c r="G34" s="95" t="s">
        <v>334</v>
      </c>
      <c r="M34" s="31" t="s">
        <v>335</v>
      </c>
      <c r="N34" s="31" t="s">
        <v>336</v>
      </c>
      <c r="O34" s="32" t="s">
        <v>337</v>
      </c>
    </row>
    <row r="35" spans="3:15" ht="15.75" x14ac:dyDescent="0.25">
      <c r="C35" s="112" t="s">
        <v>338</v>
      </c>
      <c r="D35" s="31">
        <f>D32*E14*(1+E17)*(1-10%)</f>
        <v>78300</v>
      </c>
      <c r="E35" s="189"/>
      <c r="F35" s="125">
        <f>D35/D33-1</f>
        <v>0.125</v>
      </c>
      <c r="G35" s="95" t="s">
        <v>339</v>
      </c>
      <c r="L35" s="128" t="s">
        <v>340</v>
      </c>
      <c r="M35" s="34">
        <v>0.93069999999999997</v>
      </c>
      <c r="N35" s="47">
        <v>0.8</v>
      </c>
      <c r="O35" s="32">
        <v>15.2</v>
      </c>
    </row>
    <row r="36" spans="3:15" x14ac:dyDescent="0.25">
      <c r="E36" s="189"/>
      <c r="L36" s="128" t="s">
        <v>21</v>
      </c>
      <c r="M36" s="34">
        <v>7.2999999999999995E-2</v>
      </c>
      <c r="N36" s="47">
        <v>0.08</v>
      </c>
      <c r="O36" s="30"/>
    </row>
    <row r="37" spans="3:15" x14ac:dyDescent="0.25">
      <c r="C37" s="2" t="s">
        <v>341</v>
      </c>
      <c r="E37" s="131"/>
      <c r="L37" s="31" t="s">
        <v>342</v>
      </c>
      <c r="M37" s="130">
        <f>M35/O35</f>
        <v>6.1230263157894739E-2</v>
      </c>
    </row>
    <row r="38" spans="3:15" ht="15.75" x14ac:dyDescent="0.25">
      <c r="C38" s="111" t="s">
        <v>272</v>
      </c>
      <c r="D38" s="36">
        <f>H26</f>
        <v>2.85</v>
      </c>
      <c r="E38" s="131" t="s">
        <v>343</v>
      </c>
      <c r="L38" s="31" t="s">
        <v>344</v>
      </c>
      <c r="M38" s="34">
        <f>M37-(N36-M36)</f>
        <v>5.4230263157894733E-2</v>
      </c>
    </row>
    <row r="39" spans="3:15" x14ac:dyDescent="0.25">
      <c r="C39" s="31" t="s">
        <v>345</v>
      </c>
      <c r="D39" s="31">
        <f>D38*F11</f>
        <v>541500</v>
      </c>
      <c r="E39" s="131"/>
      <c r="L39" s="32" t="s">
        <v>346</v>
      </c>
      <c r="M39" s="129">
        <f>N35/M38</f>
        <v>14.751910712119376</v>
      </c>
    </row>
    <row r="40" spans="3:15" x14ac:dyDescent="0.25">
      <c r="C40" s="31" t="s">
        <v>347</v>
      </c>
      <c r="D40" s="31">
        <f>F11*(1+F17)*D38</f>
        <v>568575</v>
      </c>
      <c r="E40" s="131"/>
    </row>
    <row r="41" spans="3:15" x14ac:dyDescent="0.25">
      <c r="C41" s="31" t="s">
        <v>348</v>
      </c>
      <c r="D41" s="126">
        <f>D39+F6-F8</f>
        <v>477500</v>
      </c>
      <c r="E41" s="131" t="s">
        <v>349</v>
      </c>
    </row>
    <row r="42" spans="3:15" x14ac:dyDescent="0.25">
      <c r="C42" s="190" t="s">
        <v>350</v>
      </c>
      <c r="D42" s="191">
        <f>D40-F8+F6</f>
        <v>504575</v>
      </c>
      <c r="E42" s="13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7"/>
  <sheetViews>
    <sheetView topLeftCell="O1" workbookViewId="0">
      <selection activeCell="E37" sqref="E37"/>
    </sheetView>
  </sheetViews>
  <sheetFormatPr defaultRowHeight="15" x14ac:dyDescent="0.25"/>
  <cols>
    <col min="1" max="1" width="9.140625" style="95"/>
    <col min="2" max="2" width="18.42578125" style="95" customWidth="1"/>
    <col min="3" max="4" width="9.140625" style="95"/>
    <col min="5" max="5" width="23.85546875" style="95" bestFit="1" customWidth="1"/>
    <col min="6" max="6" width="9.140625" style="95"/>
    <col min="7" max="7" width="19.5703125" style="95" customWidth="1"/>
    <col min="8" max="8" width="18.5703125" style="95" bestFit="1" customWidth="1"/>
    <col min="9" max="11" width="9.140625" style="95"/>
    <col min="12" max="12" width="9.140625" style="131"/>
    <col min="13" max="14" width="9.140625" style="95"/>
    <col min="15" max="15" width="25.28515625" style="95" customWidth="1"/>
    <col min="16" max="16" width="50.7109375" style="95" customWidth="1"/>
    <col min="18" max="18" width="13.140625" bestFit="1" customWidth="1"/>
    <col min="19" max="19" width="59.42578125" bestFit="1" customWidth="1"/>
    <col min="20" max="20" width="30.7109375" bestFit="1" customWidth="1"/>
  </cols>
  <sheetData>
    <row r="1" spans="2:17" x14ac:dyDescent="0.25">
      <c r="B1" s="31" t="s">
        <v>351</v>
      </c>
      <c r="C1" s="31"/>
    </row>
    <row r="2" spans="2:17" ht="15.75" customHeight="1" x14ac:dyDescent="0.25">
      <c r="B2" s="31" t="s">
        <v>352</v>
      </c>
      <c r="C2" s="47">
        <v>0.1</v>
      </c>
      <c r="N2" s="30"/>
      <c r="O2" s="30"/>
      <c r="P2" s="170" t="s">
        <v>353</v>
      </c>
      <c r="Q2" s="170"/>
    </row>
    <row r="3" spans="2:17" ht="31.5" x14ac:dyDescent="0.25">
      <c r="B3" s="31" t="s">
        <v>354</v>
      </c>
      <c r="C3" s="47">
        <v>0.12</v>
      </c>
      <c r="E3" s="2"/>
      <c r="N3" s="168" t="s">
        <v>355</v>
      </c>
      <c r="O3" s="168" t="s">
        <v>356</v>
      </c>
      <c r="P3" s="168" t="s">
        <v>357</v>
      </c>
      <c r="Q3" s="168" t="s">
        <v>358</v>
      </c>
    </row>
    <row r="4" spans="2:17" ht="28.5" customHeight="1" x14ac:dyDescent="0.25">
      <c r="B4" s="31" t="s">
        <v>359</v>
      </c>
      <c r="C4" s="47">
        <v>0.15</v>
      </c>
      <c r="E4" s="2" t="s">
        <v>360</v>
      </c>
      <c r="N4" s="168" t="s">
        <v>361</v>
      </c>
      <c r="O4" s="169" t="s">
        <v>362</v>
      </c>
      <c r="P4" s="169" t="s">
        <v>363</v>
      </c>
      <c r="Q4" s="169" t="s">
        <v>364</v>
      </c>
    </row>
    <row r="5" spans="2:17" ht="18" customHeight="1" x14ac:dyDescent="0.25">
      <c r="B5" s="31" t="s">
        <v>365</v>
      </c>
      <c r="C5" s="31">
        <v>200</v>
      </c>
      <c r="E5" s="31" t="s">
        <v>366</v>
      </c>
      <c r="F5" s="31">
        <f>C6*C5</f>
        <v>1200</v>
      </c>
      <c r="N5" s="168" t="s">
        <v>367</v>
      </c>
      <c r="O5" s="169" t="s">
        <v>364</v>
      </c>
      <c r="P5" s="169" t="s">
        <v>368</v>
      </c>
      <c r="Q5" s="169" t="s">
        <v>369</v>
      </c>
    </row>
    <row r="6" spans="2:17" x14ac:dyDescent="0.25">
      <c r="B6" s="31" t="s">
        <v>273</v>
      </c>
      <c r="C6" s="31">
        <v>6</v>
      </c>
      <c r="E6" s="31" t="s">
        <v>370</v>
      </c>
      <c r="F6" s="31">
        <f>(C8*(1-C12))/(C2-C9)*(1+C2)</f>
        <v>211.20000000000005</v>
      </c>
      <c r="G6" s="95" t="s">
        <v>371</v>
      </c>
      <c r="H6" s="95" t="s">
        <v>372</v>
      </c>
    </row>
    <row r="7" spans="2:17" x14ac:dyDescent="0.25">
      <c r="B7" s="31" t="s">
        <v>373</v>
      </c>
      <c r="C7" s="31">
        <v>120</v>
      </c>
      <c r="E7" s="31" t="s">
        <v>374</v>
      </c>
      <c r="F7" s="31">
        <f>F5-F6</f>
        <v>988.8</v>
      </c>
      <c r="G7" s="95" t="s">
        <v>360</v>
      </c>
      <c r="N7" s="2" t="s">
        <v>375</v>
      </c>
    </row>
    <row r="8" spans="2:17" x14ac:dyDescent="0.25">
      <c r="B8" s="31" t="s">
        <v>376</v>
      </c>
      <c r="C8" s="31">
        <v>12</v>
      </c>
      <c r="E8" s="117" t="s">
        <v>377</v>
      </c>
      <c r="F8" s="117">
        <f>F7-C7</f>
        <v>868.8</v>
      </c>
      <c r="N8" s="2" t="s">
        <v>378</v>
      </c>
    </row>
    <row r="9" spans="2:17" x14ac:dyDescent="0.25">
      <c r="B9" s="31" t="s">
        <v>21</v>
      </c>
      <c r="C9" s="47">
        <v>0.05</v>
      </c>
      <c r="E9" s="95" t="s">
        <v>379</v>
      </c>
      <c r="G9" s="95">
        <v>2</v>
      </c>
      <c r="H9" s="95" t="s">
        <v>380</v>
      </c>
      <c r="N9" s="95" t="s">
        <v>381</v>
      </c>
    </row>
    <row r="10" spans="2:17" x14ac:dyDescent="0.25">
      <c r="B10" s="31" t="s">
        <v>382</v>
      </c>
      <c r="C10" s="47">
        <v>0.1</v>
      </c>
      <c r="E10" s="95" t="s">
        <v>383</v>
      </c>
      <c r="G10" s="95">
        <v>1100</v>
      </c>
      <c r="N10" s="95" t="s">
        <v>384</v>
      </c>
    </row>
    <row r="11" spans="2:17" x14ac:dyDescent="0.25">
      <c r="B11" s="31" t="s">
        <v>385</v>
      </c>
      <c r="C11" s="31">
        <v>30</v>
      </c>
      <c r="N11" s="95" t="s">
        <v>386</v>
      </c>
    </row>
    <row r="12" spans="2:17" x14ac:dyDescent="0.25">
      <c r="B12" s="31" t="s">
        <v>387</v>
      </c>
      <c r="C12" s="47">
        <v>0.2</v>
      </c>
      <c r="N12" s="95" t="s">
        <v>388</v>
      </c>
    </row>
    <row r="13" spans="2:17" x14ac:dyDescent="0.25">
      <c r="N13" s="95" t="s">
        <v>389</v>
      </c>
    </row>
    <row r="16" spans="2:17" x14ac:dyDescent="0.25">
      <c r="B16" s="2" t="s">
        <v>390</v>
      </c>
      <c r="E16" s="2" t="s">
        <v>391</v>
      </c>
      <c r="H16" s="2" t="s">
        <v>392</v>
      </c>
      <c r="I16" s="2"/>
    </row>
    <row r="17" spans="1:13" x14ac:dyDescent="0.25">
      <c r="B17" s="31" t="s">
        <v>393</v>
      </c>
      <c r="C17" s="47">
        <v>0.2</v>
      </c>
      <c r="E17" s="31" t="s">
        <v>393</v>
      </c>
      <c r="F17" s="47">
        <v>0.6</v>
      </c>
      <c r="H17" s="276" t="s">
        <v>394</v>
      </c>
      <c r="I17" s="277"/>
    </row>
    <row r="18" spans="1:13" x14ac:dyDescent="0.25">
      <c r="B18" s="31" t="s">
        <v>395</v>
      </c>
      <c r="C18" s="31">
        <v>10</v>
      </c>
      <c r="E18" s="31" t="s">
        <v>396</v>
      </c>
      <c r="F18" s="47">
        <v>0.6</v>
      </c>
      <c r="H18" s="31" t="s">
        <v>397</v>
      </c>
      <c r="I18" s="31">
        <v>30</v>
      </c>
    </row>
    <row r="19" spans="1:13" x14ac:dyDescent="0.25">
      <c r="B19" s="31" t="s">
        <v>139</v>
      </c>
      <c r="C19" s="31">
        <v>10</v>
      </c>
      <c r="E19" s="31" t="s">
        <v>398</v>
      </c>
      <c r="F19" s="31">
        <v>1250</v>
      </c>
      <c r="H19" s="31" t="s">
        <v>399</v>
      </c>
      <c r="I19" s="31">
        <v>20</v>
      </c>
    </row>
    <row r="20" spans="1:13" x14ac:dyDescent="0.25">
      <c r="A20" s="95" t="s">
        <v>400</v>
      </c>
      <c r="B20" s="31" t="s">
        <v>401</v>
      </c>
      <c r="C20" s="31">
        <f>C11*C17</f>
        <v>6</v>
      </c>
      <c r="D20" s="95" t="s">
        <v>402</v>
      </c>
      <c r="E20" s="31" t="s">
        <v>403</v>
      </c>
      <c r="F20" s="31">
        <f>F18*G10</f>
        <v>660</v>
      </c>
      <c r="H20" s="31" t="s">
        <v>404</v>
      </c>
      <c r="I20" s="31">
        <v>60</v>
      </c>
      <c r="J20" s="95" t="s">
        <v>405</v>
      </c>
    </row>
    <row r="21" spans="1:13" x14ac:dyDescent="0.25">
      <c r="B21" s="31" t="s">
        <v>406</v>
      </c>
      <c r="C21" s="31">
        <v>4</v>
      </c>
      <c r="E21" s="31" t="s">
        <v>407</v>
      </c>
      <c r="F21" s="31">
        <f>F17*C11</f>
        <v>18</v>
      </c>
      <c r="H21" s="31" t="s">
        <v>21</v>
      </c>
      <c r="I21" s="47">
        <v>0.05</v>
      </c>
    </row>
    <row r="22" spans="1:13" x14ac:dyDescent="0.25">
      <c r="B22" s="31" t="s">
        <v>387</v>
      </c>
      <c r="C22" s="31">
        <f>C21*C12</f>
        <v>0.8</v>
      </c>
      <c r="E22" s="31" t="s">
        <v>406</v>
      </c>
      <c r="F22" s="31">
        <f>F19-F20-F21</f>
        <v>572</v>
      </c>
      <c r="H22" s="31" t="s">
        <v>393</v>
      </c>
      <c r="I22" s="47">
        <f>1-C17-F17</f>
        <v>0.20000000000000007</v>
      </c>
      <c r="J22" s="95" t="s">
        <v>408</v>
      </c>
    </row>
    <row r="23" spans="1:13" x14ac:dyDescent="0.25">
      <c r="B23" s="117" t="s">
        <v>409</v>
      </c>
      <c r="C23" s="117">
        <f>C19-C22</f>
        <v>9.1999999999999993</v>
      </c>
      <c r="E23" s="31" t="s">
        <v>387</v>
      </c>
      <c r="F23" s="31">
        <f>F22*C12</f>
        <v>114.4</v>
      </c>
      <c r="H23" s="31" t="s">
        <v>410</v>
      </c>
      <c r="I23" s="47">
        <f>1-F18</f>
        <v>0.4</v>
      </c>
      <c r="J23" s="95" t="s">
        <v>411</v>
      </c>
    </row>
    <row r="24" spans="1:13" x14ac:dyDescent="0.25">
      <c r="E24" s="31" t="s">
        <v>412</v>
      </c>
      <c r="F24" s="31">
        <f>F19-F20-F23</f>
        <v>475.6</v>
      </c>
      <c r="H24" s="31" t="s">
        <v>403</v>
      </c>
      <c r="I24" s="31">
        <f>I23*G10</f>
        <v>440</v>
      </c>
    </row>
    <row r="25" spans="1:13" x14ac:dyDescent="0.25">
      <c r="E25" s="117" t="s">
        <v>413</v>
      </c>
      <c r="F25" s="117">
        <f>F24/(1+C4)^G9</f>
        <v>359.62192816635167</v>
      </c>
      <c r="H25" s="31" t="s">
        <v>140</v>
      </c>
      <c r="I25" s="31">
        <f>I24/I19</f>
        <v>22</v>
      </c>
      <c r="J25" s="95" t="s">
        <v>414</v>
      </c>
      <c r="K25" s="95">
        <f>I24*$C$12</f>
        <v>88</v>
      </c>
    </row>
    <row r="26" spans="1:13" x14ac:dyDescent="0.25">
      <c r="H26" s="31" t="s">
        <v>415</v>
      </c>
      <c r="I26" s="31">
        <f>-(I24-K25)/(1+C4)^G9</f>
        <v>-266.16257088846885</v>
      </c>
    </row>
    <row r="27" spans="1:13" x14ac:dyDescent="0.25">
      <c r="H27" s="276" t="s">
        <v>416</v>
      </c>
      <c r="I27" s="277"/>
      <c r="J27" s="95" t="s">
        <v>417</v>
      </c>
      <c r="K27" s="95" t="s">
        <v>418</v>
      </c>
    </row>
    <row r="28" spans="1:13" x14ac:dyDescent="0.25">
      <c r="B28" s="2" t="s">
        <v>419</v>
      </c>
      <c r="F28" s="95" t="s">
        <v>420</v>
      </c>
      <c r="G28" s="31">
        <f>(I32/(C2-I21)*(1-(1+I21)^I18/(1+C2)^I18))*(1+C2)</f>
        <v>867.26957934154859</v>
      </c>
      <c r="H28" s="31" t="s">
        <v>421</v>
      </c>
      <c r="I28" s="31">
        <f>I20*(1-C12)</f>
        <v>48</v>
      </c>
    </row>
    <row r="29" spans="1:13" x14ac:dyDescent="0.25">
      <c r="B29" s="119">
        <f>F8+C23+F25+I37</f>
        <v>1600.4991278318862</v>
      </c>
      <c r="H29" s="31" t="s">
        <v>422</v>
      </c>
      <c r="I29" s="31">
        <f>(I28/(C2-I21)*(1-(1+I21)^I18/(1+C2)^I18))*(1+C2)</f>
        <v>794.44541619073152</v>
      </c>
      <c r="J29" s="95" t="s">
        <v>423</v>
      </c>
    </row>
    <row r="30" spans="1:13" x14ac:dyDescent="0.25">
      <c r="H30" s="31" t="s">
        <v>406</v>
      </c>
      <c r="I30" s="31">
        <f>I20-I25</f>
        <v>38</v>
      </c>
      <c r="J30" s="95" t="s">
        <v>424</v>
      </c>
    </row>
    <row r="31" spans="1:13" x14ac:dyDescent="0.25">
      <c r="H31" s="31" t="s">
        <v>387</v>
      </c>
      <c r="I31" s="31">
        <f>C12*I30</f>
        <v>7.6000000000000005</v>
      </c>
      <c r="J31" s="95" t="s">
        <v>425</v>
      </c>
    </row>
    <row r="32" spans="1:13" x14ac:dyDescent="0.25">
      <c r="H32" s="31" t="s">
        <v>37</v>
      </c>
      <c r="I32" s="31">
        <f>I20-I31</f>
        <v>52.4</v>
      </c>
      <c r="M32" s="95" t="s">
        <v>426</v>
      </c>
    </row>
    <row r="33" spans="8:10" x14ac:dyDescent="0.25">
      <c r="H33" s="31" t="s">
        <v>47</v>
      </c>
      <c r="I33" s="116">
        <f>I25*C12</f>
        <v>4.4000000000000004</v>
      </c>
    </row>
    <row r="34" spans="8:10" x14ac:dyDescent="0.25">
      <c r="H34" s="31" t="s">
        <v>427</v>
      </c>
      <c r="I34" s="116">
        <f>+I33/C2*(1-1/(1+C2)^I19)</f>
        <v>37.45968036693769</v>
      </c>
      <c r="J34" s="95" t="s">
        <v>428</v>
      </c>
    </row>
    <row r="35" spans="8:10" x14ac:dyDescent="0.25">
      <c r="H35" s="31" t="s">
        <v>429</v>
      </c>
      <c r="I35" s="116">
        <f>I29+I34</f>
        <v>831.90509655766925</v>
      </c>
    </row>
    <row r="36" spans="8:10" x14ac:dyDescent="0.25">
      <c r="H36" s="31" t="s">
        <v>430</v>
      </c>
      <c r="I36" s="116">
        <f>I35/(1+C4)^G9</f>
        <v>629.03977055400333</v>
      </c>
    </row>
    <row r="37" spans="8:10" x14ac:dyDescent="0.25">
      <c r="H37" s="117" t="s">
        <v>431</v>
      </c>
      <c r="I37" s="118">
        <f>I36+I26</f>
        <v>362.87719966553448</v>
      </c>
    </row>
  </sheetData>
  <mergeCells count="2">
    <mergeCell ref="H17:I17"/>
    <mergeCell ref="H27:I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U31"/>
  <sheetViews>
    <sheetView workbookViewId="0">
      <selection activeCell="D26" sqref="D26"/>
    </sheetView>
  </sheetViews>
  <sheetFormatPr defaultRowHeight="15" x14ac:dyDescent="0.25"/>
  <cols>
    <col min="2" max="2" width="31.7109375" customWidth="1"/>
    <col min="3" max="3" width="10.42578125" bestFit="1" customWidth="1"/>
    <col min="5" max="5" width="10.5703125" customWidth="1"/>
    <col min="11" max="11" width="9.140625" style="131"/>
  </cols>
  <sheetData>
    <row r="1" spans="2:9" x14ac:dyDescent="0.25">
      <c r="B1" s="32" t="s">
        <v>432</v>
      </c>
      <c r="C1" s="32">
        <v>2022</v>
      </c>
      <c r="D1" s="32">
        <v>2023</v>
      </c>
      <c r="E1" s="32">
        <v>2024</v>
      </c>
      <c r="F1" s="32">
        <v>2025</v>
      </c>
      <c r="G1" s="32">
        <v>2026</v>
      </c>
    </row>
    <row r="2" spans="2:9" ht="15.75" x14ac:dyDescent="0.25">
      <c r="B2" s="148" t="s">
        <v>373</v>
      </c>
      <c r="C2" s="149">
        <v>144.46496797821715</v>
      </c>
      <c r="D2" s="149">
        <v>152.56636604320025</v>
      </c>
      <c r="E2" s="149">
        <v>160.12808783037053</v>
      </c>
      <c r="F2" s="149">
        <v>168.17881979695414</v>
      </c>
      <c r="G2" s="149">
        <v>176.58776078680177</v>
      </c>
      <c r="H2" s="95"/>
      <c r="I2" s="95"/>
    </row>
    <row r="3" spans="2:9" ht="15.75" x14ac:dyDescent="0.25">
      <c r="B3" s="150" t="s">
        <v>433</v>
      </c>
      <c r="C3" s="151">
        <v>481.54989326072342</v>
      </c>
      <c r="D3" s="151">
        <v>508.55455347733357</v>
      </c>
      <c r="E3" s="151">
        <v>533.76029276790109</v>
      </c>
      <c r="F3" s="151">
        <v>560.59606598984635</v>
      </c>
      <c r="G3" s="151">
        <v>588.62586928933854</v>
      </c>
    </row>
    <row r="4" spans="2:9" ht="15.75" x14ac:dyDescent="0.25">
      <c r="B4" s="148" t="s">
        <v>434</v>
      </c>
      <c r="C4" s="149">
        <v>337.08492528250628</v>
      </c>
      <c r="D4" s="149">
        <v>355.98818743413335</v>
      </c>
      <c r="E4" s="149">
        <v>373.63220493753056</v>
      </c>
      <c r="F4" s="149">
        <v>392.41724619289221</v>
      </c>
      <c r="G4" s="149">
        <v>412.03810850253677</v>
      </c>
    </row>
    <row r="5" spans="2:9" x14ac:dyDescent="0.25">
      <c r="B5" t="s">
        <v>435</v>
      </c>
    </row>
    <row r="7" spans="2:9" x14ac:dyDescent="0.25">
      <c r="B7" s="132" t="s">
        <v>436</v>
      </c>
      <c r="C7" s="95"/>
      <c r="D7" s="95"/>
      <c r="E7" s="278" t="s">
        <v>437</v>
      </c>
      <c r="F7" s="278"/>
      <c r="G7" s="278"/>
      <c r="H7" s="278"/>
      <c r="I7" s="278"/>
    </row>
    <row r="8" spans="2:9" x14ac:dyDescent="0.25">
      <c r="B8" s="31" t="s">
        <v>438</v>
      </c>
      <c r="C8" s="152">
        <v>1928.2780594201199</v>
      </c>
      <c r="D8" s="95"/>
      <c r="E8" s="31" t="s">
        <v>439</v>
      </c>
      <c r="F8" s="152">
        <v>1735.4502534781082</v>
      </c>
      <c r="G8" s="95"/>
      <c r="H8" s="95"/>
      <c r="I8" s="95"/>
    </row>
    <row r="9" spans="2:9" x14ac:dyDescent="0.25">
      <c r="B9" s="31" t="s">
        <v>440</v>
      </c>
      <c r="C9" s="152">
        <v>19</v>
      </c>
      <c r="D9" s="95"/>
      <c r="E9" s="31" t="s">
        <v>441</v>
      </c>
      <c r="F9" s="152">
        <v>481.54989326072388</v>
      </c>
      <c r="G9" s="95"/>
      <c r="H9" s="95"/>
      <c r="I9" s="95"/>
    </row>
    <row r="10" spans="2:9" x14ac:dyDescent="0.25">
      <c r="B10" s="31" t="s">
        <v>442</v>
      </c>
      <c r="C10" s="152">
        <v>485.48694592945367</v>
      </c>
      <c r="D10" s="95"/>
      <c r="E10" s="133" t="s">
        <v>443</v>
      </c>
      <c r="F10" s="134">
        <f>F8+F9</f>
        <v>2217.000146738832</v>
      </c>
      <c r="G10" s="95"/>
      <c r="H10" s="95"/>
      <c r="I10" s="95"/>
    </row>
    <row r="11" spans="2:9" x14ac:dyDescent="0.25">
      <c r="B11" s="31" t="s">
        <v>444</v>
      </c>
      <c r="C11" s="152">
        <v>60</v>
      </c>
      <c r="D11" s="95"/>
      <c r="E11" s="133" t="s">
        <v>445</v>
      </c>
      <c r="F11" s="134">
        <f>'[1]NiceFood Adult Club'!L8+'[1]DreamWell Cases'!S7</f>
        <v>1465.127590043277</v>
      </c>
      <c r="G11" s="95"/>
      <c r="H11" s="95"/>
      <c r="I11" s="95"/>
    </row>
    <row r="12" spans="2:9" x14ac:dyDescent="0.25">
      <c r="B12" s="133" t="s">
        <v>446</v>
      </c>
      <c r="C12" s="134">
        <f>SUM(C8:C11)</f>
        <v>2492.7650053495736</v>
      </c>
      <c r="D12" s="95"/>
      <c r="E12" s="133" t="s">
        <v>46</v>
      </c>
      <c r="F12" s="134">
        <f>F10-F11</f>
        <v>751.87255669555498</v>
      </c>
      <c r="G12" s="95"/>
      <c r="H12" s="95"/>
      <c r="I12" s="95"/>
    </row>
    <row r="13" spans="2:9" x14ac:dyDescent="0.25">
      <c r="B13" s="133" t="s">
        <v>445</v>
      </c>
      <c r="C13" s="134">
        <f>'[1]NiceFood Merged'!L8+'[1]DreamWell Cases'!K14+'[1]DreamWell Cases'!D14</f>
        <v>1604.67290618075</v>
      </c>
      <c r="D13" s="95"/>
      <c r="E13" s="95"/>
      <c r="F13" s="95"/>
      <c r="G13" s="95"/>
      <c r="H13" s="95"/>
      <c r="I13" s="95"/>
    </row>
    <row r="14" spans="2:9" x14ac:dyDescent="0.25">
      <c r="B14" s="133" t="s">
        <v>46</v>
      </c>
      <c r="C14" s="134">
        <f>C12-C13</f>
        <v>888.09209916882355</v>
      </c>
      <c r="D14" s="95"/>
      <c r="E14" s="95"/>
      <c r="F14" s="95"/>
      <c r="G14" s="95"/>
      <c r="H14" s="95"/>
      <c r="I14" s="95"/>
    </row>
    <row r="15" spans="2:9" x14ac:dyDescent="0.25">
      <c r="B15" s="95"/>
      <c r="C15" s="95"/>
      <c r="D15" s="95"/>
      <c r="E15" s="95"/>
      <c r="F15" s="95"/>
      <c r="G15" s="95"/>
      <c r="H15" s="95"/>
      <c r="I15" s="95"/>
    </row>
    <row r="16" spans="2:9" ht="15.75" x14ac:dyDescent="0.25">
      <c r="B16" s="63"/>
      <c r="C16" s="135" t="s">
        <v>447</v>
      </c>
      <c r="D16" s="136">
        <f>C12-F10</f>
        <v>275.76485861074161</v>
      </c>
      <c r="E16" s="137"/>
      <c r="F16" s="137"/>
      <c r="G16" s="137"/>
      <c r="H16" s="95"/>
      <c r="I16" s="95"/>
    </row>
    <row r="17" spans="2:21" ht="15.75" x14ac:dyDescent="0.25">
      <c r="B17" s="66" t="s">
        <v>448</v>
      </c>
      <c r="C17" s="63" t="s">
        <v>449</v>
      </c>
      <c r="D17" s="138">
        <f>C4</f>
        <v>337.08492528250628</v>
      </c>
      <c r="E17" s="63" t="s">
        <v>450</v>
      </c>
      <c r="F17" s="66" t="s">
        <v>451</v>
      </c>
      <c r="G17" s="139">
        <v>3</v>
      </c>
      <c r="H17" s="95"/>
      <c r="I17" s="95"/>
    </row>
    <row r="18" spans="2:21" ht="15.75" x14ac:dyDescent="0.25">
      <c r="B18" s="63"/>
      <c r="C18" s="63" t="s">
        <v>452</v>
      </c>
      <c r="D18" s="140">
        <f>D16+D17</f>
        <v>612.84978389324783</v>
      </c>
      <c r="E18" s="63" t="s">
        <v>453</v>
      </c>
      <c r="F18" s="66" t="s">
        <v>451</v>
      </c>
      <c r="G18" s="139">
        <v>6</v>
      </c>
      <c r="H18" s="95"/>
      <c r="I18" s="95"/>
    </row>
    <row r="19" spans="2:21" ht="15.75" x14ac:dyDescent="0.25">
      <c r="B19" s="66" t="s">
        <v>454</v>
      </c>
      <c r="C19" s="135" t="s">
        <v>455</v>
      </c>
      <c r="D19" s="141">
        <f>D17+G17</f>
        <v>340.08492528250628</v>
      </c>
      <c r="E19" s="143"/>
      <c r="F19" s="144"/>
      <c r="G19" s="137"/>
      <c r="H19" s="95"/>
      <c r="I19" s="95"/>
      <c r="U19" s="2" t="s">
        <v>456</v>
      </c>
    </row>
    <row r="20" spans="2:21" ht="15.75" x14ac:dyDescent="0.25">
      <c r="B20" s="63"/>
      <c r="C20" s="135" t="s">
        <v>457</v>
      </c>
      <c r="D20" s="141">
        <f>D18-G18</f>
        <v>606.84978389324783</v>
      </c>
      <c r="E20" s="145"/>
      <c r="F20" s="146"/>
      <c r="G20" s="137"/>
      <c r="H20" s="95"/>
      <c r="I20" s="95"/>
      <c r="U20" s="95" t="s">
        <v>458</v>
      </c>
    </row>
    <row r="21" spans="2:21" ht="27" customHeight="1" x14ac:dyDescent="0.25">
      <c r="B21" s="66" t="s">
        <v>459</v>
      </c>
      <c r="C21" s="138">
        <f>D20-D19</f>
        <v>266.76485861074156</v>
      </c>
      <c r="D21" s="142" t="s">
        <v>460</v>
      </c>
      <c r="E21" s="166" t="s">
        <v>461</v>
      </c>
      <c r="F21" s="147"/>
      <c r="G21" s="137"/>
      <c r="H21" s="95"/>
      <c r="I21" s="95"/>
      <c r="U21" s="95" t="s">
        <v>462</v>
      </c>
    </row>
    <row r="24" spans="2:21" x14ac:dyDescent="0.25">
      <c r="B24" s="31" t="s">
        <v>463</v>
      </c>
      <c r="C24" s="153">
        <v>0.35</v>
      </c>
    </row>
    <row r="25" spans="2:21" x14ac:dyDescent="0.25">
      <c r="B25" s="31" t="s">
        <v>464</v>
      </c>
      <c r="C25" s="36">
        <f>+D19+C24*D16</f>
        <v>436.60262579626584</v>
      </c>
    </row>
    <row r="26" spans="2:21" x14ac:dyDescent="0.25">
      <c r="B26" s="31" t="s">
        <v>183</v>
      </c>
      <c r="C26" s="36">
        <f>+C25*50%</f>
        <v>218.30131289813292</v>
      </c>
      <c r="D26" s="95" t="s">
        <v>465</v>
      </c>
    </row>
    <row r="27" spans="2:21" x14ac:dyDescent="0.25">
      <c r="B27" s="31" t="s">
        <v>466</v>
      </c>
      <c r="C27" s="36">
        <f>+C25-C26</f>
        <v>218.30131289813292</v>
      </c>
    </row>
    <row r="28" spans="2:21" x14ac:dyDescent="0.25">
      <c r="B28" s="31" t="s">
        <v>467</v>
      </c>
      <c r="C28" s="154">
        <f>+C27/C14</f>
        <v>0.2458093176399653</v>
      </c>
    </row>
    <row r="29" spans="2:21" x14ac:dyDescent="0.25">
      <c r="B29" s="31" t="s">
        <v>468</v>
      </c>
      <c r="C29" s="31">
        <v>500</v>
      </c>
    </row>
    <row r="30" spans="2:21" x14ac:dyDescent="0.25">
      <c r="B30" s="31" t="s">
        <v>469</v>
      </c>
      <c r="C30" s="155">
        <f>1-C28</f>
        <v>0.75419068236003473</v>
      </c>
    </row>
    <row r="31" spans="2:21" x14ac:dyDescent="0.25">
      <c r="B31" s="31" t="s">
        <v>470</v>
      </c>
      <c r="C31" s="36">
        <f>+C29/C30*C28</f>
        <v>162.9623140336154</v>
      </c>
    </row>
  </sheetData>
  <mergeCells count="1">
    <mergeCell ref="E7:I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29"/>
  <sheetViews>
    <sheetView workbookViewId="0">
      <selection activeCell="D9" sqref="D9"/>
    </sheetView>
  </sheetViews>
  <sheetFormatPr defaultRowHeight="15" x14ac:dyDescent="0.25"/>
  <cols>
    <col min="1" max="1" width="23.7109375" style="95" bestFit="1" customWidth="1"/>
    <col min="2" max="2" width="12" style="95" bestFit="1" customWidth="1"/>
    <col min="3" max="3" width="9.140625" style="95"/>
    <col min="4" max="4" width="14.5703125" style="95" customWidth="1"/>
    <col min="5" max="5" width="9.140625" style="95"/>
    <col min="6" max="6" width="16.28515625" style="95" customWidth="1"/>
    <col min="7" max="7" width="15.7109375" style="95" bestFit="1" customWidth="1"/>
    <col min="8" max="15" width="9.140625" style="95"/>
  </cols>
  <sheetData>
    <row r="2" spans="1:15" x14ac:dyDescent="0.25">
      <c r="A2" s="32" t="s">
        <v>471</v>
      </c>
      <c r="B2" s="31"/>
      <c r="D2" s="31" t="s">
        <v>472</v>
      </c>
      <c r="E2" s="31"/>
      <c r="F2" s="31"/>
      <c r="G2" s="255" t="s">
        <v>473</v>
      </c>
      <c r="H2" s="256">
        <f>B22+E23+H24</f>
        <v>824.85446472903232</v>
      </c>
    </row>
    <row r="3" spans="1:15" x14ac:dyDescent="0.25">
      <c r="A3" s="32" t="s">
        <v>474</v>
      </c>
      <c r="B3" s="47">
        <v>0.13</v>
      </c>
      <c r="D3" s="31" t="s">
        <v>475</v>
      </c>
      <c r="E3" s="153">
        <f>100%/5</f>
        <v>0.2</v>
      </c>
      <c r="F3" s="31" t="s">
        <v>476</v>
      </c>
    </row>
    <row r="4" spans="1:15" x14ac:dyDescent="0.25">
      <c r="A4" s="32" t="s">
        <v>477</v>
      </c>
      <c r="B4" s="47">
        <v>0.11</v>
      </c>
      <c r="D4" s="31" t="s">
        <v>478</v>
      </c>
      <c r="E4" s="153">
        <f t="shared" ref="E4:E7" si="0">100%/5</f>
        <v>0.2</v>
      </c>
      <c r="F4" s="31" t="s">
        <v>478</v>
      </c>
      <c r="G4" s="153">
        <f>100%/4</f>
        <v>0.25</v>
      </c>
      <c r="H4" s="96" t="s">
        <v>479</v>
      </c>
    </row>
    <row r="5" spans="1:15" x14ac:dyDescent="0.25">
      <c r="A5" s="32" t="s">
        <v>480</v>
      </c>
      <c r="B5" s="47">
        <v>0.12</v>
      </c>
      <c r="D5" s="31" t="s">
        <v>481</v>
      </c>
      <c r="E5" s="153">
        <f t="shared" si="0"/>
        <v>0.2</v>
      </c>
      <c r="F5" s="31" t="s">
        <v>481</v>
      </c>
      <c r="G5" s="153">
        <f t="shared" ref="G5:G7" si="1">100%/4</f>
        <v>0.25</v>
      </c>
      <c r="H5" s="96" t="s">
        <v>479</v>
      </c>
    </row>
    <row r="6" spans="1:15" x14ac:dyDescent="0.25">
      <c r="A6" s="32" t="s">
        <v>482</v>
      </c>
      <c r="B6" s="47">
        <v>0.04</v>
      </c>
      <c r="D6" s="31" t="s">
        <v>483</v>
      </c>
      <c r="E6" s="153">
        <f t="shared" si="0"/>
        <v>0.2</v>
      </c>
      <c r="F6" s="31" t="s">
        <v>483</v>
      </c>
      <c r="G6" s="153">
        <f t="shared" si="1"/>
        <v>0.25</v>
      </c>
      <c r="H6" s="96" t="s">
        <v>479</v>
      </c>
    </row>
    <row r="7" spans="1:15" x14ac:dyDescent="0.25">
      <c r="A7" s="32" t="s">
        <v>484</v>
      </c>
      <c r="B7" s="47">
        <v>0.1</v>
      </c>
      <c r="D7" s="31" t="s">
        <v>485</v>
      </c>
      <c r="E7" s="153">
        <f t="shared" si="0"/>
        <v>0.2</v>
      </c>
      <c r="F7" s="31" t="s">
        <v>485</v>
      </c>
      <c r="G7" s="153">
        <f t="shared" si="1"/>
        <v>0.25</v>
      </c>
      <c r="H7" s="96" t="s">
        <v>479</v>
      </c>
    </row>
    <row r="10" spans="1:15" ht="15.75" x14ac:dyDescent="0.25">
      <c r="A10" s="254" t="s">
        <v>486</v>
      </c>
      <c r="D10" s="254" t="s">
        <v>487</v>
      </c>
      <c r="G10" s="254" t="s">
        <v>488</v>
      </c>
    </row>
    <row r="11" spans="1:15" x14ac:dyDescent="0.25">
      <c r="A11" s="31" t="s">
        <v>25</v>
      </c>
      <c r="B11" s="31">
        <v>400</v>
      </c>
      <c r="D11" s="31" t="s">
        <v>121</v>
      </c>
      <c r="E11" s="31">
        <v>250</v>
      </c>
      <c r="G11" s="31" t="s">
        <v>489</v>
      </c>
      <c r="H11" s="31">
        <v>30</v>
      </c>
    </row>
    <row r="12" spans="1:15" x14ac:dyDescent="0.25">
      <c r="A12" s="31" t="s">
        <v>21</v>
      </c>
      <c r="B12" s="47">
        <v>0.04</v>
      </c>
      <c r="D12" s="31" t="s">
        <v>490</v>
      </c>
      <c r="E12" s="31">
        <v>50</v>
      </c>
      <c r="G12" s="31" t="s">
        <v>491</v>
      </c>
      <c r="H12" s="31">
        <v>15</v>
      </c>
      <c r="I12" s="95" t="s">
        <v>492</v>
      </c>
    </row>
    <row r="13" spans="1:15" x14ac:dyDescent="0.25">
      <c r="A13" s="31" t="s">
        <v>493</v>
      </c>
      <c r="B13" s="47">
        <v>0.47</v>
      </c>
      <c r="D13" s="31" t="s">
        <v>21</v>
      </c>
      <c r="E13" s="47">
        <v>0.03</v>
      </c>
      <c r="F13" s="115"/>
      <c r="G13" s="31" t="s">
        <v>21</v>
      </c>
      <c r="H13" s="47">
        <v>0.05</v>
      </c>
    </row>
    <row r="14" spans="1:15" x14ac:dyDescent="0.25">
      <c r="A14" s="31" t="s">
        <v>494</v>
      </c>
      <c r="B14" s="47">
        <v>0.47</v>
      </c>
      <c r="D14" s="31" t="s">
        <v>26</v>
      </c>
      <c r="E14" s="31">
        <v>50</v>
      </c>
      <c r="G14" s="31" t="s">
        <v>495</v>
      </c>
      <c r="H14" s="31"/>
    </row>
    <row r="15" spans="1:15" x14ac:dyDescent="0.25">
      <c r="A15" s="31" t="s">
        <v>496</v>
      </c>
      <c r="B15" s="47">
        <f>1-B13-B14</f>
        <v>6.0000000000000053E-2</v>
      </c>
      <c r="D15" s="31" t="s">
        <v>239</v>
      </c>
      <c r="E15" s="31">
        <v>500</v>
      </c>
      <c r="G15" s="31" t="s">
        <v>18</v>
      </c>
      <c r="H15" s="47">
        <v>0</v>
      </c>
      <c r="O15" s="2" t="s">
        <v>497</v>
      </c>
    </row>
    <row r="16" spans="1:15" x14ac:dyDescent="0.25">
      <c r="A16" s="31" t="s">
        <v>498</v>
      </c>
      <c r="B16" s="31"/>
      <c r="D16" s="31" t="s">
        <v>125</v>
      </c>
      <c r="E16" s="47">
        <v>0.06</v>
      </c>
      <c r="G16" s="31" t="s">
        <v>16</v>
      </c>
      <c r="H16" s="31">
        <v>5</v>
      </c>
      <c r="I16" s="31">
        <v>10</v>
      </c>
      <c r="O16" s="95" t="s">
        <v>499</v>
      </c>
    </row>
    <row r="17" spans="1:21" x14ac:dyDescent="0.25">
      <c r="A17" s="31" t="s">
        <v>18</v>
      </c>
      <c r="B17" s="47">
        <v>0</v>
      </c>
      <c r="D17" s="31" t="s">
        <v>500</v>
      </c>
      <c r="E17" s="47">
        <v>0.1</v>
      </c>
      <c r="G17" s="31" t="s">
        <v>39</v>
      </c>
      <c r="H17" s="31">
        <f>(H12/(B5-H13)*(1-(1+H13)^H16/(1+B5)^H16))</f>
        <v>59.100764138358009</v>
      </c>
      <c r="I17" s="31"/>
      <c r="O17" s="95" t="s">
        <v>501</v>
      </c>
    </row>
    <row r="18" spans="1:21" x14ac:dyDescent="0.25">
      <c r="A18" s="31" t="s">
        <v>433</v>
      </c>
      <c r="B18" s="36">
        <f>B11/(B3-B12)</f>
        <v>4444.4444444444443</v>
      </c>
      <c r="D18" s="31" t="s">
        <v>502</v>
      </c>
      <c r="E18" s="47">
        <v>0.05</v>
      </c>
      <c r="G18" s="47">
        <v>0.25</v>
      </c>
      <c r="H18" s="31">
        <v>3</v>
      </c>
      <c r="I18" s="175">
        <f>+H17</f>
        <v>59.100764138358009</v>
      </c>
      <c r="J18" s="95" t="s">
        <v>503</v>
      </c>
      <c r="O18" s="31" t="s">
        <v>504</v>
      </c>
      <c r="P18" s="30">
        <v>100</v>
      </c>
    </row>
    <row r="19" spans="1:21" x14ac:dyDescent="0.25">
      <c r="A19" s="31" t="s">
        <v>434</v>
      </c>
      <c r="B19" s="36">
        <f>B18*(1-B17)</f>
        <v>4444.4444444444443</v>
      </c>
      <c r="D19" s="31" t="s">
        <v>505</v>
      </c>
      <c r="E19" s="47">
        <f>1-E17-E18</f>
        <v>0.85</v>
      </c>
      <c r="G19" s="47">
        <v>0.25</v>
      </c>
      <c r="H19" s="31">
        <v>2</v>
      </c>
      <c r="I19" s="175">
        <f>I18*2/3</f>
        <v>39.400509425572004</v>
      </c>
      <c r="J19" s="95" t="s">
        <v>506</v>
      </c>
      <c r="O19" s="31" t="s">
        <v>507</v>
      </c>
      <c r="P19" s="30">
        <v>150</v>
      </c>
    </row>
    <row r="20" spans="1:21" x14ac:dyDescent="0.25">
      <c r="A20" s="31" t="s">
        <v>508</v>
      </c>
      <c r="B20" s="36">
        <f>B15*B19</f>
        <v>266.66666666666691</v>
      </c>
      <c r="D20" s="31" t="s">
        <v>509</v>
      </c>
      <c r="E20" s="36">
        <v>5</v>
      </c>
      <c r="G20" s="47">
        <v>0.25</v>
      </c>
      <c r="H20" s="31">
        <v>1</v>
      </c>
      <c r="I20" s="175">
        <f>I18*1/3</f>
        <v>19.700254712786002</v>
      </c>
      <c r="J20" s="95" t="s">
        <v>510</v>
      </c>
      <c r="O20" s="31" t="s">
        <v>511</v>
      </c>
      <c r="P20" s="30">
        <f>49.9%*P19</f>
        <v>74.849999999999994</v>
      </c>
    </row>
    <row r="21" spans="1:21" x14ac:dyDescent="0.25">
      <c r="A21" s="31" t="s">
        <v>512</v>
      </c>
      <c r="B21" s="31">
        <v>110</v>
      </c>
      <c r="D21" s="31" t="s">
        <v>395</v>
      </c>
      <c r="E21" s="31">
        <f>E20*E11</f>
        <v>1250</v>
      </c>
      <c r="G21" s="47">
        <v>0.25</v>
      </c>
      <c r="H21" s="31">
        <v>0</v>
      </c>
      <c r="I21" s="175">
        <f>H11</f>
        <v>30</v>
      </c>
      <c r="J21" s="95" t="s">
        <v>513</v>
      </c>
      <c r="O21" s="31" t="s">
        <v>514</v>
      </c>
      <c r="P21" s="30">
        <f>49.9%*P18</f>
        <v>49.9</v>
      </c>
    </row>
    <row r="22" spans="1:21" x14ac:dyDescent="0.25">
      <c r="A22" s="255" t="s">
        <v>515</v>
      </c>
      <c r="B22" s="255">
        <f>B21/(1+B12)</f>
        <v>105.76923076923076</v>
      </c>
      <c r="D22" s="31" t="s">
        <v>516</v>
      </c>
      <c r="E22" s="31">
        <f>E21-E15</f>
        <v>750</v>
      </c>
      <c r="G22" s="31" t="s">
        <v>517</v>
      </c>
      <c r="H22" s="175">
        <f>+G18*I18+G19*I19+G20*I21+G21*I21</f>
        <v>39.6253183909825</v>
      </c>
      <c r="I22" s="95" t="s">
        <v>518</v>
      </c>
      <c r="O22" s="31" t="s">
        <v>519</v>
      </c>
      <c r="P22" s="257">
        <f>1-P21/P20</f>
        <v>0.33333333333333326</v>
      </c>
    </row>
    <row r="23" spans="1:21" x14ac:dyDescent="0.25">
      <c r="D23" s="255" t="s">
        <v>520</v>
      </c>
      <c r="E23" s="255">
        <f>E22*E19</f>
        <v>637.5</v>
      </c>
      <c r="F23" s="95" t="s">
        <v>521</v>
      </c>
      <c r="G23" s="31" t="s">
        <v>522</v>
      </c>
      <c r="H23" s="175">
        <f>+H22/(1+B5)^5</f>
        <v>22.484469821443582</v>
      </c>
    </row>
    <row r="24" spans="1:21" x14ac:dyDescent="0.25">
      <c r="D24" s="31" t="s">
        <v>434</v>
      </c>
      <c r="E24" s="31">
        <f>E12/(E26-E13)</f>
        <v>312.50000000000006</v>
      </c>
      <c r="G24" s="255" t="s">
        <v>523</v>
      </c>
      <c r="H24" s="255">
        <f>H23+H17</f>
        <v>81.585233959801599</v>
      </c>
      <c r="O24" s="2" t="s">
        <v>524</v>
      </c>
    </row>
    <row r="25" spans="1:21" x14ac:dyDescent="0.25">
      <c r="D25" s="31" t="s">
        <v>433</v>
      </c>
      <c r="E25" s="31">
        <f>E24+E15</f>
        <v>812.5</v>
      </c>
      <c r="O25" s="95" t="s">
        <v>525</v>
      </c>
    </row>
    <row r="26" spans="1:21" x14ac:dyDescent="0.25">
      <c r="D26" s="31" t="s">
        <v>526</v>
      </c>
      <c r="E26" s="47">
        <f>(B4-E16*E27)/(1-E27)</f>
        <v>0.18999999999999997</v>
      </c>
      <c r="U26" t="s">
        <v>527</v>
      </c>
    </row>
    <row r="27" spans="1:21" x14ac:dyDescent="0.25">
      <c r="D27" s="31" t="s">
        <v>18</v>
      </c>
      <c r="E27" s="34">
        <v>0.61538461538461531</v>
      </c>
      <c r="F27" s="95" t="s">
        <v>528</v>
      </c>
      <c r="R27" t="s">
        <v>529</v>
      </c>
    </row>
    <row r="28" spans="1:21" x14ac:dyDescent="0.25">
      <c r="D28" s="31" t="s">
        <v>18</v>
      </c>
      <c r="E28" s="34">
        <f>E15/E25</f>
        <v>0.61538461538461542</v>
      </c>
    </row>
    <row r="29" spans="1:21" x14ac:dyDescent="0.25">
      <c r="D29" s="31" t="s">
        <v>530</v>
      </c>
      <c r="E29" s="47">
        <f>E27-E28</f>
        <v>0</v>
      </c>
      <c r="F29" s="95" t="s">
        <v>531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0"/>
  <sheetViews>
    <sheetView topLeftCell="A22" workbookViewId="0">
      <selection activeCell="G21" sqref="G21"/>
    </sheetView>
  </sheetViews>
  <sheetFormatPr defaultRowHeight="15" x14ac:dyDescent="0.25"/>
  <sheetData>
    <row r="2" spans="2:10" x14ac:dyDescent="0.25">
      <c r="B2" s="95"/>
      <c r="C2" s="95"/>
      <c r="D2" s="95"/>
      <c r="E2" s="95"/>
      <c r="F2" s="95"/>
      <c r="G2" s="95"/>
      <c r="H2" s="95"/>
      <c r="I2" s="95"/>
      <c r="J2" s="95"/>
    </row>
    <row r="3" spans="2:10" ht="15.75" x14ac:dyDescent="0.25">
      <c r="B3" s="95"/>
      <c r="C3" s="31"/>
      <c r="D3" s="111" t="s">
        <v>532</v>
      </c>
      <c r="E3" s="111" t="s">
        <v>533</v>
      </c>
      <c r="F3" s="111" t="s">
        <v>534</v>
      </c>
      <c r="G3" s="95"/>
      <c r="H3" s="95"/>
      <c r="I3" s="95"/>
      <c r="J3" s="95"/>
    </row>
    <row r="4" spans="2:10" ht="15.75" x14ac:dyDescent="0.25">
      <c r="B4" s="95"/>
      <c r="C4" s="112" t="s">
        <v>535</v>
      </c>
      <c r="D4" s="113">
        <v>3.5000000000000003E-2</v>
      </c>
      <c r="E4" s="113">
        <v>2.5000000000000001E-2</v>
      </c>
      <c r="F4" s="113">
        <v>0.02</v>
      </c>
      <c r="G4" s="95"/>
    </row>
    <row r="5" spans="2:10" ht="15.75" x14ac:dyDescent="0.25">
      <c r="B5" s="95"/>
      <c r="C5" s="112" t="s">
        <v>136</v>
      </c>
      <c r="D5" s="113">
        <v>0.03</v>
      </c>
      <c r="E5" s="113">
        <v>0.02</v>
      </c>
      <c r="F5" s="113">
        <v>1.7999999999999999E-2</v>
      </c>
      <c r="G5" s="95"/>
    </row>
    <row r="6" spans="2:10" ht="18.75" x14ac:dyDescent="0.25">
      <c r="B6" s="95"/>
      <c r="C6" s="112" t="s">
        <v>205</v>
      </c>
      <c r="D6" s="114">
        <v>1.25</v>
      </c>
      <c r="E6" s="114">
        <v>1.1000000000000001</v>
      </c>
      <c r="F6" s="114">
        <v>0.95</v>
      </c>
      <c r="G6" s="95"/>
    </row>
    <row r="7" spans="2:10" ht="15.75" x14ac:dyDescent="0.25">
      <c r="B7" s="95" t="s">
        <v>536</v>
      </c>
      <c r="C7" s="112" t="s">
        <v>537</v>
      </c>
      <c r="D7" s="113">
        <v>0.06</v>
      </c>
      <c r="E7" s="113">
        <v>0.05</v>
      </c>
      <c r="F7" s="113">
        <v>0.04</v>
      </c>
      <c r="G7" s="95"/>
    </row>
    <row r="8" spans="2:10" ht="15.75" x14ac:dyDescent="0.25">
      <c r="B8" s="95"/>
      <c r="C8" s="112" t="s">
        <v>538</v>
      </c>
      <c r="D8" s="113">
        <v>0.03</v>
      </c>
      <c r="E8" s="113">
        <v>0.04</v>
      </c>
      <c r="F8" s="113">
        <v>0.05</v>
      </c>
      <c r="G8" s="95"/>
    </row>
    <row r="9" spans="2:10" x14ac:dyDescent="0.25">
      <c r="B9" s="95"/>
      <c r="C9" s="95"/>
      <c r="D9" s="95"/>
      <c r="E9" s="95"/>
      <c r="F9" s="95"/>
      <c r="G9" s="95"/>
    </row>
    <row r="10" spans="2:10" ht="15.75" x14ac:dyDescent="0.25">
      <c r="B10" s="95"/>
      <c r="C10" s="106" t="s">
        <v>539</v>
      </c>
      <c r="D10" s="95"/>
      <c r="E10" s="107">
        <f>+E7*E6+E4</f>
        <v>8.0000000000000016E-2</v>
      </c>
      <c r="F10" s="107">
        <f>+F6*F7+F4</f>
        <v>5.7999999999999996E-2</v>
      </c>
      <c r="G10" s="95"/>
    </row>
    <row r="11" spans="2:10" ht="15.75" x14ac:dyDescent="0.25">
      <c r="B11" s="95"/>
      <c r="C11" s="106" t="s">
        <v>540</v>
      </c>
      <c r="D11" s="95"/>
      <c r="E11" s="95"/>
      <c r="F11" s="107">
        <f>+F10+F8</f>
        <v>0.108</v>
      </c>
      <c r="G11" s="95"/>
      <c r="H11" s="95"/>
      <c r="I11" s="95"/>
      <c r="J11" s="95"/>
    </row>
    <row r="12" spans="2:10" ht="15.75" x14ac:dyDescent="0.25">
      <c r="B12" s="95"/>
      <c r="C12" s="106" t="s">
        <v>541</v>
      </c>
      <c r="D12" s="107">
        <f>+D6*D7+D4</f>
        <v>0.11</v>
      </c>
      <c r="E12" s="107">
        <f>+(1+E10)/(1+E5)*(1+D5)-1</f>
        <v>9.0588235294117636E-2</v>
      </c>
      <c r="F12" s="95"/>
      <c r="G12" s="95"/>
      <c r="H12" s="95"/>
      <c r="I12" s="95"/>
      <c r="J12" s="95"/>
    </row>
    <row r="13" spans="2:10" ht="15.75" x14ac:dyDescent="0.25">
      <c r="B13" s="95"/>
      <c r="C13" s="106" t="s">
        <v>542</v>
      </c>
      <c r="D13" s="107">
        <f>+D12+D8</f>
        <v>0.14000000000000001</v>
      </c>
      <c r="E13" s="107">
        <f>+E12+E8</f>
        <v>0.13058823529411764</v>
      </c>
      <c r="F13" s="110">
        <f>+(1+F11)/(1+F5)*(1+D5)-1</f>
        <v>0.12106090373280942</v>
      </c>
      <c r="G13" s="95"/>
      <c r="H13" s="95"/>
      <c r="I13" s="95"/>
      <c r="J13" s="95"/>
    </row>
    <row r="14" spans="2:10" x14ac:dyDescent="0.25">
      <c r="B14" s="95"/>
      <c r="C14" s="95" t="s">
        <v>543</v>
      </c>
      <c r="D14" s="109">
        <v>0.1</v>
      </c>
      <c r="E14" s="95"/>
      <c r="G14" s="95"/>
      <c r="H14" s="95"/>
      <c r="I14" s="95"/>
      <c r="J14" s="95"/>
    </row>
    <row r="15" spans="2:10" x14ac:dyDescent="0.25">
      <c r="B15" s="95"/>
      <c r="C15" s="95" t="s">
        <v>544</v>
      </c>
      <c r="D15" s="109">
        <v>0.02</v>
      </c>
      <c r="E15" s="95"/>
      <c r="F15" s="95"/>
      <c r="G15" s="95"/>
      <c r="H15" s="95"/>
      <c r="I15" s="95"/>
      <c r="J15" s="95"/>
    </row>
    <row r="16" spans="2:10" x14ac:dyDescent="0.25">
      <c r="B16" s="95"/>
      <c r="C16" s="95" t="s">
        <v>545</v>
      </c>
      <c r="D16" s="109">
        <f>+(1+D14)*(1+D15)-1</f>
        <v>0.12200000000000011</v>
      </c>
      <c r="E16" s="95"/>
      <c r="F16" s="95"/>
      <c r="G16" s="95"/>
      <c r="H16" s="95"/>
      <c r="I16" s="95"/>
      <c r="J16" s="95"/>
    </row>
    <row r="17" spans="3:5" ht="15.75" x14ac:dyDescent="0.25">
      <c r="C17" s="103"/>
      <c r="D17" s="95" t="s">
        <v>546</v>
      </c>
      <c r="E17" s="95" t="s">
        <v>547</v>
      </c>
    </row>
    <row r="18" spans="3:5" ht="15.75" x14ac:dyDescent="0.25">
      <c r="C18" s="95" t="s">
        <v>548</v>
      </c>
      <c r="D18" s="104">
        <v>100</v>
      </c>
      <c r="E18" s="105">
        <f>+D18*(1+D16)</f>
        <v>112.20000000000002</v>
      </c>
    </row>
    <row r="19" spans="3:5" x14ac:dyDescent="0.25">
      <c r="C19" s="95" t="s">
        <v>549</v>
      </c>
      <c r="D19" s="95"/>
      <c r="E19" s="105">
        <f>+E18/(1+D15)</f>
        <v>110.00000000000001</v>
      </c>
    </row>
    <row r="20" spans="3:5" x14ac:dyDescent="0.25">
      <c r="C20" s="95" t="s">
        <v>550</v>
      </c>
      <c r="D20" s="108">
        <f>+(E19/D18)-1</f>
        <v>0.10000000000000009</v>
      </c>
      <c r="E20" s="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DCFs &amp; FS</vt:lpstr>
      <vt:lpstr>FSs</vt:lpstr>
      <vt:lpstr>CF and Ratios</vt:lpstr>
      <vt:lpstr>Value drivers</vt:lpstr>
      <vt:lpstr>Multiples</vt:lpstr>
      <vt:lpstr>Asset-based</vt:lpstr>
      <vt:lpstr>MandA</vt:lpstr>
      <vt:lpstr>Stakes</vt:lpstr>
      <vt:lpstr>rA estimation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2023-12-18T16:21:11Z</dcterms:modified>
  <cp:category/>
  <cp:contentStatus/>
</cp:coreProperties>
</file>