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github\digitalmodel\specs\modules\orcawave\prepare-diffraction-analysis-inputs\data\"/>
    </mc:Choice>
  </mc:AlternateContent>
  <xr:revisionPtr revIDLastSave="0" documentId="13_ncr:1_{DB0AB399-CE9C-4816-B90D-F4D247F1F916}" xr6:coauthVersionLast="47" xr6:coauthVersionMax="47" xr10:uidLastSave="{00000000-0000-0000-0000-000000000000}"/>
  <bookViews>
    <workbookView xWindow="-120" yWindow="-120" windowWidth="19440" windowHeight="15000" xr2:uid="{54F80643-2836-47AA-9B77-D950EA900DC6}"/>
  </bookViews>
  <sheets>
    <sheet name="Cal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1" l="1"/>
  <c r="K28" i="1"/>
  <c r="U43" i="1"/>
  <c r="E22" i="1"/>
  <c r="F22" i="1"/>
  <c r="O36" i="1"/>
  <c r="P36" i="1"/>
  <c r="Q36" i="1"/>
  <c r="O37" i="1"/>
  <c r="P37" i="1"/>
  <c r="Q37" i="1"/>
  <c r="O40" i="1"/>
  <c r="P40" i="1"/>
  <c r="Q40" i="1"/>
  <c r="O41" i="1"/>
  <c r="P41" i="1"/>
  <c r="Q41" i="1"/>
  <c r="P35" i="1"/>
  <c r="Q35" i="1"/>
  <c r="O35" i="1"/>
  <c r="E40" i="1"/>
  <c r="F40" i="1"/>
  <c r="G40" i="1"/>
  <c r="H40" i="1"/>
  <c r="L50" i="1"/>
  <c r="L49" i="1"/>
  <c r="L48" i="1"/>
  <c r="L28" i="1"/>
  <c r="L27" i="1"/>
  <c r="L26" i="1"/>
  <c r="E36" i="1"/>
  <c r="E37" i="1"/>
  <c r="E41" i="1"/>
  <c r="E35" i="1"/>
  <c r="F36" i="1"/>
  <c r="G36" i="1"/>
  <c r="H36" i="1"/>
  <c r="F37" i="1"/>
  <c r="G37" i="1"/>
  <c r="H37" i="1"/>
  <c r="F41" i="1"/>
  <c r="G35" i="1"/>
  <c r="H35" i="1"/>
  <c r="F35" i="1"/>
  <c r="R14" i="1" a="1"/>
  <c r="R14" i="1" s="1"/>
  <c r="E21" i="1"/>
  <c r="F21" i="1" s="1"/>
  <c r="U21" i="1" l="1"/>
  <c r="H21" i="1"/>
  <c r="H22" i="1" s="1"/>
  <c r="G21" i="1"/>
  <c r="G22" i="1" s="1"/>
  <c r="E43" i="1" l="1"/>
  <c r="F43" i="1" l="1"/>
  <c r="F44" i="1" s="1"/>
  <c r="E44" i="1"/>
  <c r="I35" i="1" a="1"/>
  <c r="I35" i="1" s="1"/>
  <c r="C47" i="1"/>
  <c r="G43" i="1"/>
  <c r="G44" i="1" s="1"/>
  <c r="H43" i="1"/>
  <c r="H44" i="1" s="1"/>
  <c r="P9" i="1"/>
  <c r="P8" i="1"/>
  <c r="J35" i="1" l="1" a="1"/>
  <c r="J35" i="1" s="1"/>
  <c r="K49" i="1"/>
  <c r="K35" i="1" a="1"/>
  <c r="K35" i="1" s="1"/>
  <c r="K48" i="1"/>
  <c r="M35" i="1" l="1" a="1"/>
  <c r="M35" i="1" s="1"/>
  <c r="M43" i="1" s="1"/>
  <c r="L35" i="1" a="1"/>
  <c r="L35" i="1" s="1"/>
  <c r="L43" i="1" s="1"/>
  <c r="N35" i="1" a="1"/>
  <c r="N35" i="1" s="1"/>
  <c r="I14" i="1" a="1"/>
  <c r="I14" i="1" s="1"/>
  <c r="C25" i="1"/>
  <c r="K14" i="1" a="1"/>
  <c r="K14" i="1" s="1"/>
  <c r="J14" i="1" a="1"/>
  <c r="J14" i="1" s="1"/>
  <c r="L14" i="1" l="1" a="1"/>
  <c r="L14" i="1" s="1"/>
  <c r="C26" i="1" s="1"/>
  <c r="G26" i="1" s="1"/>
  <c r="M14" i="1" a="1"/>
  <c r="M14" i="1" s="1"/>
  <c r="N14" i="1" a="1"/>
  <c r="N14" i="1" s="1"/>
  <c r="K27" i="1"/>
  <c r="K26" i="1"/>
  <c r="N43" i="1"/>
  <c r="N21" i="1" l="1"/>
  <c r="L21" i="1"/>
  <c r="M21" i="1"/>
  <c r="P7" i="1"/>
  <c r="T14" i="1" a="1"/>
  <c r="T14" i="1" s="1"/>
  <c r="T21" i="1" s="1"/>
  <c r="C28" i="1" l="1"/>
  <c r="G28" i="1" s="1"/>
  <c r="S14" i="1" a="1"/>
  <c r="S14" i="1" s="1"/>
  <c r="C27" i="1" s="1"/>
  <c r="G27" i="1" s="1"/>
  <c r="R35" i="1" l="1" a="1"/>
  <c r="R35" i="1" s="1"/>
  <c r="C48" i="1" s="1"/>
  <c r="G48" i="1" s="1"/>
  <c r="R21" i="1"/>
  <c r="S21" i="1"/>
  <c r="S35" i="1" a="1"/>
  <c r="S35" i="1" s="1"/>
  <c r="C49" i="1" s="1"/>
  <c r="G49" i="1" s="1"/>
  <c r="R43" i="1" l="1"/>
  <c r="T35" i="1" a="1"/>
  <c r="T35" i="1" s="1"/>
  <c r="C50" i="1" s="1"/>
  <c r="G50" i="1" s="1"/>
  <c r="S43" i="1"/>
  <c r="T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<sst xmlns="http://schemas.openxmlformats.org/spreadsheetml/2006/main" count="146" uniqueCount="68">
  <si>
    <t xml:space="preserve">Moment of Inertia (Self)
</t>
  </si>
  <si>
    <t>Item
No.</t>
  </si>
  <si>
    <t>Description</t>
  </si>
  <si>
    <t>Dist. from Vessel COG (m)</t>
  </si>
  <si>
    <t>Length</t>
  </si>
  <si>
    <t>Width</t>
  </si>
  <si>
    <t>Height</t>
  </si>
  <si>
    <t>Ixx</t>
  </si>
  <si>
    <t>Iyy</t>
  </si>
  <si>
    <t>Izz</t>
  </si>
  <si>
    <t>X</t>
  </si>
  <si>
    <t>Y</t>
  </si>
  <si>
    <t>Z</t>
  </si>
  <si>
    <t>TOTAL</t>
  </si>
  <si>
    <t>Ixx=</t>
  </si>
  <si>
    <t>Kxx=</t>
  </si>
  <si>
    <t>Iyy=</t>
  </si>
  <si>
    <t>Kyy=</t>
  </si>
  <si>
    <t>Izz=</t>
  </si>
  <si>
    <t>Kzz=</t>
  </si>
  <si>
    <t>LBP</t>
  </si>
  <si>
    <t>Beam</t>
  </si>
  <si>
    <t>Depth</t>
  </si>
  <si>
    <t>Y:</t>
  </si>
  <si>
    <t>X:</t>
  </si>
  <si>
    <t>Z:</t>
  </si>
  <si>
    <t xml:space="preserve">kxx = 34% of B = </t>
  </si>
  <si>
    <t xml:space="preserve">kyy = 25% of L = </t>
  </si>
  <si>
    <t xml:space="preserve">kzz = 26% of L = </t>
  </si>
  <si>
    <t>Estimates:</t>
  </si>
  <si>
    <t>Job:</t>
  </si>
  <si>
    <t>Task:</t>
  </si>
  <si>
    <t>Alan C McClure Associates, Inc</t>
  </si>
  <si>
    <t xml:space="preserve">Mass = </t>
  </si>
  <si>
    <t>Radius of Gyration:</t>
  </si>
  <si>
    <t>Center of Gravity:</t>
  </si>
  <si>
    <t>Calculation Summary:</t>
  </si>
  <si>
    <t>Fluids</t>
  </si>
  <si>
    <t>ft</t>
  </si>
  <si>
    <t>Gross Weight (LT)</t>
  </si>
  <si>
    <t>Gross Wt. CoG (ft)</t>
  </si>
  <si>
    <t>X (Fr 0, + Fwd)</t>
  </si>
  <si>
    <t>Y (CL, + Port)</t>
  </si>
  <si>
    <t>Z (ABL, + Up)</t>
  </si>
  <si>
    <t>Fr. 0, + Fwd.</t>
  </si>
  <si>
    <t>CL, + Port</t>
  </si>
  <si>
    <t>ABL, + Up</t>
  </si>
  <si>
    <t>(ft)</t>
  </si>
  <si>
    <t>(LT ft2)</t>
  </si>
  <si>
    <t>LT</t>
  </si>
  <si>
    <t>LT-ft2</t>
  </si>
  <si>
    <t xml:space="preserve">Characteristics </t>
  </si>
  <si>
    <t>B1512 Nork &amp; Mendez Hyundai Peacepai vs Sea Cypress</t>
  </si>
  <si>
    <t>Sea Cypress Station Keeping</t>
  </si>
  <si>
    <t>Origin</t>
  </si>
  <si>
    <t>Misc.</t>
  </si>
  <si>
    <t>Water in Eng Rm</t>
  </si>
  <si>
    <t>Structure</t>
  </si>
  <si>
    <t xml:space="preserve">Mom. of Inertia (LT ft2)
</t>
  </si>
  <si>
    <t>Machinery</t>
  </si>
  <si>
    <t>Outfitting</t>
  </si>
  <si>
    <t>Ref: 'Sea Cypress Displacement &amp; Ctrs rev 1.xlsx'.</t>
  </si>
  <si>
    <t>Stores</t>
  </si>
  <si>
    <t>Crew &amp; Effects</t>
  </si>
  <si>
    <t>FS Z Correction</t>
  </si>
  <si>
    <t>upright Draft</t>
  </si>
  <si>
    <t>fuel oil shift to Port (4070 Gallons)</t>
  </si>
  <si>
    <t>For Orcawave (With FS Correction)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</si>
</sst>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0"/>
  </numFmts>
  <fonts count="26" x14ac:knownFonts="1">
    <font>
      <sz val="12"/>
      <color theme="1"/>
      <name val="Times New Roman"/>
      <family val="2"/>
    </font>
    <font>
      <b/>
      <sz val="12"/>
      <color theme="0"/>
      <name val="Times New Roman"/>
      <family val="2"/>
    </font>
    <font>
      <b/>
      <u/>
      <sz val="16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u/>
      <sz val="14"/>
      <name val="Aptos Narrow"/>
      <family val="2"/>
      <scheme val="minor"/>
    </font>
    <font>
      <b/>
      <u/>
      <sz val="14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ptos Narrow"/>
      <family val="2"/>
      <scheme val="minor"/>
    </font>
    <font>
      <b/>
      <sz val="10"/>
      <color theme="0"/>
      <name val="Aptos Display"/>
      <family val="2"/>
    </font>
    <font>
      <b/>
      <sz val="12"/>
      <color theme="0"/>
      <name val="Aptos Display"/>
      <family val="2"/>
    </font>
    <font>
      <b/>
      <sz val="14"/>
      <color theme="3" tint="9.9948118533890809E-2"/>
      <name val="Arial"/>
      <family val="2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3" tint="9.9948118533890809E-2"/>
      <name val="Aptos Narrow"/>
      <family val="2"/>
      <scheme val="minor"/>
    </font>
    <font>
      <sz val="16"/>
      <color theme="1"/>
      <name val="Arial"/>
      <family val="2"/>
    </font>
    <font>
      <sz val="18"/>
      <color theme="1"/>
      <name val="Tahoma"/>
      <family val="2"/>
    </font>
    <font>
      <b/>
      <sz val="14"/>
      <color theme="0"/>
      <name val="Aptos Display"/>
      <family val="2"/>
    </font>
    <font>
      <b/>
      <sz val="10"/>
      <color theme="1"/>
      <name val="Arial"/>
      <family val="2"/>
    </font>
    <font>
      <sz val="8"/>
      <name val="Times New Roman"/>
      <family val="2"/>
    </font>
    <font>
      <b/>
      <sz val="14"/>
      <name val="Aptos Display"/>
      <family val="2"/>
    </font>
    <font>
      <b/>
      <sz val="12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24994659260841701"/>
        <bgColor indexed="64"/>
      </patternFill>
    </fill>
    <fill>
      <patternFill patternType="solid">
        <fgColor theme="3" tint="0.749961851863155"/>
        <bgColor indexed="64"/>
      </patternFill>
    </fill>
  </fills>
  <borders count="13">
    <border>
      <left/>
      <right/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 style="thin">
        <color theme="3" tint="0.499984740745262"/>
      </bottom>
      <diagonal/>
    </border>
    <border>
      <left/>
      <right/>
      <top style="thin">
        <color theme="3" tint="0.499984740745262"/>
      </top>
      <bottom style="thin">
        <color theme="3" tint="0.499984740745262"/>
      </bottom>
      <diagonal/>
    </border>
    <border>
      <left/>
      <right style="thin">
        <color theme="3" tint="0.499984740745262"/>
      </right>
      <top style="thin">
        <color theme="3" tint="0.499984740745262"/>
      </top>
      <bottom style="thin">
        <color theme="3" tint="0.499984740745262"/>
      </bottom>
      <diagonal/>
    </border>
    <border>
      <left style="thin">
        <color theme="3" tint="0.499984740745262"/>
      </left>
      <right/>
      <top/>
      <bottom/>
      <diagonal/>
    </border>
    <border>
      <left/>
      <right style="thin">
        <color theme="3" tint="0.499984740745262"/>
      </right>
      <top/>
      <bottom/>
      <diagonal/>
    </border>
    <border>
      <left style="thin">
        <color theme="3" tint="0.499984740745262"/>
      </left>
      <right/>
      <top style="thin">
        <color theme="3" tint="0.499984740745262"/>
      </top>
      <bottom/>
      <diagonal/>
    </border>
    <border>
      <left/>
      <right/>
      <top style="thin">
        <color theme="3" tint="0.499984740745262"/>
      </top>
      <bottom/>
      <diagonal/>
    </border>
    <border>
      <left/>
      <right style="thin">
        <color theme="3" tint="0.499984740745262"/>
      </right>
      <top style="thin">
        <color theme="3" tint="0.499984740745262"/>
      </top>
      <bottom/>
      <diagonal/>
    </border>
    <border>
      <left style="thin">
        <color theme="3" tint="0.499984740745262"/>
      </left>
      <right/>
      <top/>
      <bottom style="thin">
        <color theme="3" tint="0.499984740745262"/>
      </bottom>
      <diagonal/>
    </border>
    <border>
      <left/>
      <right/>
      <top/>
      <bottom style="thin">
        <color theme="3" tint="0.499984740745262"/>
      </bottom>
      <diagonal/>
    </border>
    <border>
      <left/>
      <right style="thin">
        <color theme="3" tint="0.499984740745262"/>
      </right>
      <top/>
      <bottom style="thin">
        <color theme="3" tint="0.499984740745262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 indent="1"/>
    </xf>
    <xf numFmtId="0" fontId="10" fillId="0" borderId="0" xfId="0" applyFont="1" applyAlignment="1">
      <alignment vertical="center"/>
    </xf>
    <xf numFmtId="0" fontId="11" fillId="2" borderId="0" xfId="0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 wrapText="1"/>
    </xf>
    <xf numFmtId="2" fontId="11" fillId="2" borderId="0" xfId="0" applyNumberFormat="1" applyFont="1" applyFill="1" applyAlignment="1">
      <alignment horizontal="center" vertical="center" wrapText="1"/>
    </xf>
    <xf numFmtId="0" fontId="12" fillId="2" borderId="0" xfId="1" applyFont="1" applyFill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15" fillId="0" borderId="0" xfId="0" applyFont="1"/>
    <xf numFmtId="0" fontId="1" fillId="2" borderId="0" xfId="1" applyFont="1" applyFill="1" applyAlignment="1">
      <alignment horizontal="center" vertical="center" wrapText="1"/>
    </xf>
    <xf numFmtId="2" fontId="6" fillId="0" borderId="2" xfId="0" applyNumberFormat="1" applyFont="1" applyBorder="1" applyAlignment="1">
      <alignment horizontal="right" vertical="center" indent="1"/>
    </xf>
    <xf numFmtId="165" fontId="4" fillId="0" borderId="2" xfId="0" applyNumberFormat="1" applyFont="1" applyBorder="1" applyAlignment="1" applyProtection="1">
      <alignment horizontal="right" vertical="center" indent="1"/>
      <protection locked="0"/>
    </xf>
    <xf numFmtId="1" fontId="4" fillId="0" borderId="2" xfId="0" applyNumberFormat="1" applyFont="1" applyBorder="1" applyAlignment="1" applyProtection="1">
      <alignment horizontal="right" vertical="center" indent="1"/>
      <protection locked="0"/>
    </xf>
    <xf numFmtId="1" fontId="4" fillId="0" borderId="3" xfId="0" applyNumberFormat="1" applyFont="1" applyBorder="1" applyAlignment="1" applyProtection="1">
      <alignment horizontal="right" vertical="center" indent="1"/>
      <protection locked="0"/>
    </xf>
    <xf numFmtId="2" fontId="6" fillId="0" borderId="2" xfId="0" applyNumberFormat="1" applyFont="1" applyBorder="1" applyAlignment="1" applyProtection="1">
      <alignment horizontal="right" vertical="center" indent="1"/>
      <protection locked="0"/>
    </xf>
    <xf numFmtId="2" fontId="4" fillId="0" borderId="1" xfId="0" applyNumberFormat="1" applyFont="1" applyBorder="1" applyAlignment="1" applyProtection="1">
      <alignment horizontal="right" vertical="center" indent="1"/>
      <protection locked="0"/>
    </xf>
    <xf numFmtId="2" fontId="4" fillId="0" borderId="2" xfId="0" applyNumberFormat="1" applyFont="1" applyBorder="1" applyAlignment="1">
      <alignment horizontal="right" vertical="center" inden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9" fontId="4" fillId="0" borderId="2" xfId="0" applyNumberFormat="1" applyFont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right" vertical="center" indent="1"/>
    </xf>
    <xf numFmtId="2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2" fillId="2" borderId="4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 applyProtection="1">
      <alignment horizontal="right" vertical="center" indent="1"/>
      <protection locked="0"/>
    </xf>
    <xf numFmtId="1" fontId="13" fillId="2" borderId="9" xfId="0" applyNumberFormat="1" applyFont="1" applyFill="1" applyBorder="1" applyAlignment="1" applyProtection="1">
      <alignment horizontal="right" vertical="center" indent="1"/>
      <protection locked="0"/>
    </xf>
    <xf numFmtId="1" fontId="13" fillId="2" borderId="10" xfId="0" applyNumberFormat="1" applyFont="1" applyFill="1" applyBorder="1" applyAlignment="1" applyProtection="1">
      <alignment horizontal="right" vertical="center" indent="1"/>
      <protection locked="0"/>
    </xf>
    <xf numFmtId="1" fontId="13" fillId="2" borderId="11" xfId="0" applyNumberFormat="1" applyFont="1" applyFill="1" applyBorder="1" applyAlignment="1" applyProtection="1">
      <alignment horizontal="right" vertical="center" indent="1"/>
      <protection locked="0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 applyProtection="1">
      <alignment horizontal="right" vertical="center" indent="1"/>
      <protection locked="0"/>
    </xf>
    <xf numFmtId="165" fontId="4" fillId="0" borderId="3" xfId="0" applyNumberFormat="1" applyFont="1" applyBorder="1" applyAlignment="1" applyProtection="1">
      <alignment horizontal="right" vertical="center" indent="1"/>
      <protection locked="0"/>
    </xf>
    <xf numFmtId="1" fontId="13" fillId="2" borderId="10" xfId="0" applyNumberFormat="1" applyFont="1" applyFill="1" applyBorder="1" applyAlignment="1">
      <alignment horizontal="right" vertical="center" inden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2" fontId="11" fillId="2" borderId="5" xfId="0" applyNumberFormat="1" applyFont="1" applyFill="1" applyBorder="1" applyAlignment="1">
      <alignment horizontal="center" vertical="center" wrapText="1"/>
    </xf>
    <xf numFmtId="0" fontId="13" fillId="2" borderId="9" xfId="0" applyFont="1" applyFill="1" applyBorder="1" applyAlignment="1" applyProtection="1">
      <alignment horizontal="center" vertical="center"/>
      <protection locked="0"/>
    </xf>
    <xf numFmtId="0" fontId="13" fillId="2" borderId="10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/>
    <xf numFmtId="0" fontId="0" fillId="0" borderId="7" xfId="0" applyBorder="1"/>
    <xf numFmtId="0" fontId="0" fillId="0" borderId="8" xfId="0" applyBorder="1"/>
    <xf numFmtId="0" fontId="16" fillId="0" borderId="4" xfId="0" applyFont="1" applyBorder="1" applyAlignment="1">
      <alignment horizontal="right" vertical="center" indent="1"/>
    </xf>
    <xf numFmtId="0" fontId="0" fillId="0" borderId="5" xfId="0" applyBorder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 indent="1"/>
    </xf>
    <xf numFmtId="0" fontId="19" fillId="0" borderId="12" xfId="0" applyFont="1" applyBorder="1" applyAlignment="1">
      <alignment horizontal="right" indent="1"/>
    </xf>
    <xf numFmtId="0" fontId="19" fillId="0" borderId="12" xfId="0" applyFont="1" applyBorder="1"/>
    <xf numFmtId="0" fontId="0" fillId="0" borderId="12" xfId="0" applyBorder="1"/>
    <xf numFmtId="2" fontId="14" fillId="2" borderId="10" xfId="0" applyNumberFormat="1" applyFont="1" applyFill="1" applyBorder="1" applyAlignment="1">
      <alignment horizontal="right" vertical="center" indent="1"/>
    </xf>
    <xf numFmtId="165" fontId="14" fillId="2" borderId="10" xfId="0" applyNumberFormat="1" applyFont="1" applyFill="1" applyBorder="1" applyAlignment="1" applyProtection="1">
      <alignment horizontal="right" vertical="center" indent="1"/>
      <protection locked="0"/>
    </xf>
    <xf numFmtId="165" fontId="14" fillId="2" borderId="11" xfId="0" applyNumberFormat="1" applyFont="1" applyFill="1" applyBorder="1" applyAlignment="1" applyProtection="1">
      <alignment horizontal="right" vertical="center" indent="1"/>
      <protection locked="0"/>
    </xf>
    <xf numFmtId="2" fontId="11" fillId="2" borderId="4" xfId="0" applyNumberFormat="1" applyFont="1" applyFill="1" applyBorder="1" applyAlignment="1">
      <alignment horizontal="center" vertical="center" wrapText="1"/>
    </xf>
    <xf numFmtId="165" fontId="14" fillId="2" borderId="9" xfId="0" applyNumberFormat="1" applyFont="1" applyFill="1" applyBorder="1" applyAlignment="1" applyProtection="1">
      <alignment horizontal="right" vertical="center" inden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15" fillId="0" borderId="6" xfId="0" applyFont="1" applyBorder="1"/>
    <xf numFmtId="0" fontId="18" fillId="3" borderId="4" xfId="0" applyFont="1" applyFill="1" applyBorder="1" applyAlignment="1">
      <alignment horizontal="right" vertical="center" indent="1"/>
    </xf>
    <xf numFmtId="2" fontId="18" fillId="3" borderId="0" xfId="0" applyNumberFormat="1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22" fillId="0" borderId="0" xfId="0" applyFont="1"/>
    <xf numFmtId="166" fontId="16" fillId="0" borderId="0" xfId="0" applyNumberFormat="1" applyFont="1" applyAlignment="1">
      <alignment vertical="center"/>
    </xf>
    <xf numFmtId="0" fontId="18" fillId="3" borderId="0" xfId="0" applyFont="1" applyFill="1" applyAlignment="1">
      <alignment horizontal="right" vertical="center" indent="1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5" fontId="18" fillId="3" borderId="0" xfId="0" applyNumberFormat="1" applyFont="1" applyFill="1" applyAlignment="1">
      <alignment vertical="center"/>
    </xf>
    <xf numFmtId="2" fontId="0" fillId="0" borderId="0" xfId="0" applyNumberFormat="1"/>
    <xf numFmtId="164" fontId="8" fillId="0" borderId="0" xfId="0" applyNumberFormat="1" applyFont="1"/>
    <xf numFmtId="2" fontId="8" fillId="0" borderId="0" xfId="0" applyNumberFormat="1" applyFont="1"/>
    <xf numFmtId="1" fontId="13" fillId="0" borderId="10" xfId="0" applyNumberFormat="1" applyFont="1" applyBorder="1" applyAlignment="1" applyProtection="1">
      <alignment horizontal="right" vertical="center" indent="1"/>
      <protection locked="0"/>
    </xf>
    <xf numFmtId="1" fontId="13" fillId="0" borderId="10" xfId="0" applyNumberFormat="1" applyFont="1" applyBorder="1" applyAlignment="1">
      <alignment horizontal="right" vertical="center" indent="1"/>
    </xf>
    <xf numFmtId="1" fontId="13" fillId="0" borderId="11" xfId="0" applyNumberFormat="1" applyFont="1" applyBorder="1" applyAlignment="1" applyProtection="1">
      <alignment horizontal="right" vertical="center" indent="1"/>
      <protection locked="0"/>
    </xf>
    <xf numFmtId="2" fontId="25" fillId="0" borderId="10" xfId="0" applyNumberFormat="1" applyFont="1" applyBorder="1" applyAlignment="1">
      <alignment horizontal="right" vertical="center" indent="1"/>
    </xf>
    <xf numFmtId="165" fontId="25" fillId="0" borderId="10" xfId="0" applyNumberFormat="1" applyFont="1" applyBorder="1" applyAlignment="1" applyProtection="1">
      <alignment horizontal="right" vertical="center" indent="1"/>
      <protection locked="0"/>
    </xf>
    <xf numFmtId="0" fontId="24" fillId="0" borderId="2" xfId="0" applyFont="1" applyBorder="1" applyAlignment="1" applyProtection="1">
      <alignment horizontal="center" vertical="center" wrapText="1"/>
      <protection locked="0"/>
    </xf>
    <xf numFmtId="0" fontId="12" fillId="2" borderId="6" xfId="1" applyFont="1" applyFill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vertical="top" wrapText="1"/>
    </xf>
    <xf numFmtId="0" fontId="12" fillId="2" borderId="8" xfId="1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2" borderId="6" xfId="0" applyNumberFormat="1" applyFont="1" applyFill="1" applyBorder="1" applyAlignment="1">
      <alignment horizontal="center" vertical="center"/>
    </xf>
    <xf numFmtId="2" fontId="11" fillId="2" borderId="7" xfId="0" applyNumberFormat="1" applyFont="1" applyFill="1" applyBorder="1" applyAlignment="1">
      <alignment horizontal="center" vertical="center"/>
    </xf>
    <xf numFmtId="2" fontId="11" fillId="2" borderId="8" xfId="0" applyNumberFormat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24" fillId="0" borderId="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978CA1A7-E4BC-40CF-8BD4-CE5488BE3154}"/>
  </cellStyles>
  <dxfs count="1">
    <dxf>
      <fill>
        <patternFill>
          <bgColor theme="3" tint="0.8999603259376811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D6C9-C6D6-4380-8C76-48588FCD90E2}">
  <sheetPr>
    <tabColor theme="3" tint="0.499984740745262"/>
  </sheetPr>
  <dimension ref="B2:V53"/>
  <sheetViews>
    <sheetView tabSelected="1" topLeftCell="A20" zoomScale="70" zoomScaleNormal="70" workbookViewId="0">
      <selection activeCell="B22" sqref="B22:D22"/>
    </sheetView>
  </sheetViews>
  <sheetFormatPr defaultRowHeight="15.75" x14ac:dyDescent="0.25"/>
  <cols>
    <col min="1" max="1" width="1.5" customWidth="1"/>
    <col min="2" max="2" width="10.625" customWidth="1"/>
    <col min="3" max="3" width="15.625" customWidth="1"/>
    <col min="4" max="4" width="9.625" customWidth="1"/>
    <col min="5" max="5" width="12.625" customWidth="1"/>
    <col min="6" max="6" width="10.625" customWidth="1"/>
    <col min="7" max="11" width="8.625" customWidth="1"/>
    <col min="12" max="14" width="9.5" customWidth="1"/>
    <col min="15" max="17" width="8.625" customWidth="1"/>
    <col min="18" max="20" width="10" customWidth="1"/>
  </cols>
  <sheetData>
    <row r="2" spans="2:21" ht="22.5" x14ac:dyDescent="0.3">
      <c r="B2" s="61" t="s">
        <v>32</v>
      </c>
    </row>
    <row r="3" spans="2:21" ht="20.25" x14ac:dyDescent="0.3">
      <c r="B3" s="62" t="s">
        <v>30</v>
      </c>
      <c r="C3" s="60" t="s">
        <v>52</v>
      </c>
    </row>
    <row r="4" spans="2:21" ht="20.25" x14ac:dyDescent="0.3">
      <c r="B4" s="63" t="s">
        <v>31</v>
      </c>
      <c r="C4" s="64" t="s">
        <v>53</v>
      </c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</row>
    <row r="5" spans="2:21" ht="20.25" x14ac:dyDescent="0.3">
      <c r="B5" s="60"/>
    </row>
    <row r="6" spans="2:21" ht="20.25" x14ac:dyDescent="0.3">
      <c r="B6" s="1" t="s">
        <v>51</v>
      </c>
      <c r="C6" s="2"/>
      <c r="D6" s="2"/>
      <c r="E6" s="3"/>
      <c r="F6" s="4"/>
      <c r="G6" s="4"/>
      <c r="H6" s="11" t="s">
        <v>54</v>
      </c>
      <c r="I6" s="2"/>
      <c r="J6" s="2"/>
      <c r="K6" s="2"/>
      <c r="L6" s="2"/>
      <c r="M6" s="2"/>
      <c r="N6" s="32" t="s">
        <v>29</v>
      </c>
      <c r="O6" s="30"/>
      <c r="P6" s="31"/>
      <c r="Q6" s="29"/>
      <c r="R6" s="2"/>
      <c r="S6" s="2"/>
      <c r="T6" s="2"/>
    </row>
    <row r="7" spans="2:21" s="7" customFormat="1" ht="18.75" x14ac:dyDescent="0.3">
      <c r="C7" s="8" t="s">
        <v>20</v>
      </c>
      <c r="D7" s="84">
        <v>75</v>
      </c>
      <c r="E7" s="8" t="s">
        <v>38</v>
      </c>
      <c r="G7" s="9"/>
      <c r="H7" s="10" t="s">
        <v>24</v>
      </c>
      <c r="I7" s="7" t="s">
        <v>44</v>
      </c>
      <c r="N7" s="29"/>
      <c r="O7" s="30" t="s">
        <v>26</v>
      </c>
      <c r="P7" s="31">
        <f>34%*D8</f>
        <v>9.5200000000000014</v>
      </c>
      <c r="Q7" s="29" t="s">
        <v>38</v>
      </c>
    </row>
    <row r="8" spans="2:21" s="7" customFormat="1" ht="18.75" x14ac:dyDescent="0.3">
      <c r="C8" s="8" t="s">
        <v>21</v>
      </c>
      <c r="D8" s="84">
        <v>28</v>
      </c>
      <c r="E8" s="8" t="s">
        <v>38</v>
      </c>
      <c r="G8" s="9"/>
      <c r="H8" s="10" t="s">
        <v>23</v>
      </c>
      <c r="I8" s="7" t="s">
        <v>45</v>
      </c>
      <c r="N8" s="29"/>
      <c r="O8" s="30" t="s">
        <v>27</v>
      </c>
      <c r="P8" s="31">
        <f>25%*D7</f>
        <v>18.75</v>
      </c>
      <c r="Q8" s="29" t="s">
        <v>38</v>
      </c>
    </row>
    <row r="9" spans="2:21" s="7" customFormat="1" ht="18.75" x14ac:dyDescent="0.3">
      <c r="C9" s="8" t="s">
        <v>22</v>
      </c>
      <c r="D9" s="84">
        <v>10</v>
      </c>
      <c r="E9" s="8" t="s">
        <v>38</v>
      </c>
      <c r="G9" s="9"/>
      <c r="H9" s="10" t="s">
        <v>25</v>
      </c>
      <c r="I9" s="7" t="s">
        <v>46</v>
      </c>
      <c r="N9" s="29"/>
      <c r="O9" s="30" t="s">
        <v>28</v>
      </c>
      <c r="P9" s="31">
        <f>26%*D7</f>
        <v>19.5</v>
      </c>
      <c r="Q9" s="29" t="s">
        <v>38</v>
      </c>
    </row>
    <row r="10" spans="2:21" s="7" customFormat="1" ht="18.75" x14ac:dyDescent="0.3">
      <c r="C10" s="8"/>
      <c r="D10" s="8"/>
      <c r="E10" s="85"/>
      <c r="F10" s="8"/>
      <c r="G10" s="9"/>
      <c r="H10" s="10"/>
    </row>
    <row r="11" spans="2:21" ht="18" x14ac:dyDescent="0.25">
      <c r="B11" s="18" t="s">
        <v>65</v>
      </c>
      <c r="C11" s="5"/>
      <c r="D11" s="5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92" t="s">
        <v>0</v>
      </c>
      <c r="S11" s="93"/>
      <c r="T11" s="94"/>
    </row>
    <row r="12" spans="2:21" x14ac:dyDescent="0.25">
      <c r="B12" s="95" t="s">
        <v>1</v>
      </c>
      <c r="C12" s="97" t="s">
        <v>2</v>
      </c>
      <c r="D12" s="46"/>
      <c r="E12" s="47"/>
      <c r="F12" s="99" t="s">
        <v>40</v>
      </c>
      <c r="G12" s="100"/>
      <c r="H12" s="101"/>
      <c r="I12" s="102" t="s">
        <v>3</v>
      </c>
      <c r="J12" s="103"/>
      <c r="K12" s="104"/>
      <c r="L12" s="92" t="s">
        <v>58</v>
      </c>
      <c r="M12" s="93"/>
      <c r="N12" s="94"/>
      <c r="O12" s="39" t="s">
        <v>4</v>
      </c>
      <c r="P12" s="40" t="s">
        <v>5</v>
      </c>
      <c r="Q12" s="40" t="s">
        <v>6</v>
      </c>
      <c r="R12" s="33" t="s">
        <v>7</v>
      </c>
      <c r="S12" s="15" t="s">
        <v>8</v>
      </c>
      <c r="T12" s="34" t="s">
        <v>9</v>
      </c>
    </row>
    <row r="13" spans="2:21" ht="47.25" x14ac:dyDescent="0.25">
      <c r="B13" s="96"/>
      <c r="C13" s="98"/>
      <c r="D13" s="12"/>
      <c r="E13" s="13" t="s">
        <v>39</v>
      </c>
      <c r="F13" s="69" t="s">
        <v>41</v>
      </c>
      <c r="G13" s="14" t="s">
        <v>42</v>
      </c>
      <c r="H13" s="48" t="s">
        <v>43</v>
      </c>
      <c r="I13" s="33" t="s">
        <v>10</v>
      </c>
      <c r="J13" s="15" t="s">
        <v>11</v>
      </c>
      <c r="K13" s="34" t="s">
        <v>12</v>
      </c>
      <c r="L13" s="33" t="s">
        <v>7</v>
      </c>
      <c r="M13" s="15" t="s">
        <v>8</v>
      </c>
      <c r="N13" s="34" t="s">
        <v>9</v>
      </c>
      <c r="O13" s="33" t="s">
        <v>47</v>
      </c>
      <c r="P13" s="15" t="s">
        <v>47</v>
      </c>
      <c r="Q13" s="15" t="s">
        <v>47</v>
      </c>
      <c r="R13" s="44" t="s">
        <v>48</v>
      </c>
      <c r="S13" s="19" t="s">
        <v>48</v>
      </c>
      <c r="T13" s="45" t="s">
        <v>48</v>
      </c>
      <c r="U13" s="19" t="s">
        <v>64</v>
      </c>
    </row>
    <row r="14" spans="2:21" x14ac:dyDescent="0.25">
      <c r="B14" s="16">
        <v>1</v>
      </c>
      <c r="C14" s="17" t="s">
        <v>57</v>
      </c>
      <c r="D14" s="27"/>
      <c r="E14" s="20">
        <v>97.78</v>
      </c>
      <c r="F14" s="41">
        <v>38.18</v>
      </c>
      <c r="G14" s="21">
        <v>0</v>
      </c>
      <c r="H14" s="42">
        <v>9.5299999999999994</v>
      </c>
      <c r="I14" s="41" cm="1">
        <f t="array" ref="I14:I20">F14:F20-$F$21</f>
        <v>1.1357820097244726</v>
      </c>
      <c r="J14" s="21" cm="1">
        <f t="array" ref="J14:J20">G14:G20-$G$21</f>
        <v>1.4772420313344142E-3</v>
      </c>
      <c r="K14" s="42" cm="1">
        <f t="array" ref="K14:K20">H14:H20-$H$21</f>
        <v>1.5472707320367345</v>
      </c>
      <c r="L14" s="35" cm="1">
        <f t="array" ref="L14:L20">E14:E20*(_xlfn.ANCHORARRAY(J14)^2+_xlfn.ANCHORARRAY(K14)^2)</f>
        <v>234.09010148712659</v>
      </c>
      <c r="M14" s="22" cm="1">
        <f t="array" ref="M14:M20">E14:E20*(_xlfn.ANCHORARRAY(I14)^2+_xlfn.ANCHORARRAY(K14)^2)</f>
        <v>360.22616375126</v>
      </c>
      <c r="N14" s="23" cm="1">
        <f t="array" ref="N14:N20">E14:E20*(_xlfn.ANCHORARRAY(I14)^2+_xlfn.ANCHORARRAY(J14)^2)</f>
        <v>126.13648902377383</v>
      </c>
      <c r="O14" s="25">
        <v>50</v>
      </c>
      <c r="P14" s="26">
        <v>24</v>
      </c>
      <c r="Q14" s="26">
        <v>8</v>
      </c>
      <c r="R14" s="35" cm="1">
        <f t="array" ref="R14:R20">((Q14:Q20^2+P14:P20^2)/12)*E14:E20</f>
        <v>5214.9333333333334</v>
      </c>
      <c r="S14" s="22" cm="1">
        <f t="array" ref="S14:S20">((Q14:Q20^2+O14:O20^2)/12)*E14:E20</f>
        <v>20892.326666666668</v>
      </c>
      <c r="T14" s="23" cm="1">
        <f t="array" ref="T14:T20">((P14:P20^2+O14:O20^2)/12)*E14:E20</f>
        <v>25064.273333333331</v>
      </c>
    </row>
    <row r="15" spans="2:21" x14ac:dyDescent="0.25">
      <c r="B15" s="16">
        <v>2</v>
      </c>
      <c r="C15" s="17" t="s">
        <v>59</v>
      </c>
      <c r="D15" s="27"/>
      <c r="E15" s="24">
        <v>64.42</v>
      </c>
      <c r="F15" s="41">
        <v>35.659999999999997</v>
      </c>
      <c r="G15" s="21">
        <v>0</v>
      </c>
      <c r="H15" s="42">
        <v>9.11</v>
      </c>
      <c r="I15" s="41">
        <v>-1.3842179902755305</v>
      </c>
      <c r="J15" s="21">
        <v>1.4772420313344142E-3</v>
      </c>
      <c r="K15" s="42">
        <v>1.1272707320367346</v>
      </c>
      <c r="L15" s="35">
        <v>81.861166499173166</v>
      </c>
      <c r="M15" s="22">
        <v>205.29357534030191</v>
      </c>
      <c r="N15" s="23">
        <v>123.43269000144817</v>
      </c>
      <c r="O15" s="25">
        <v>50</v>
      </c>
      <c r="P15" s="26">
        <v>28</v>
      </c>
      <c r="Q15" s="26">
        <v>20</v>
      </c>
      <c r="R15" s="35">
        <v>6356.1066666666675</v>
      </c>
      <c r="S15" s="22">
        <v>15568.166666666666</v>
      </c>
      <c r="T15" s="23">
        <v>17629.606666666667</v>
      </c>
    </row>
    <row r="16" spans="2:21" x14ac:dyDescent="0.25">
      <c r="B16" s="16">
        <v>3</v>
      </c>
      <c r="C16" s="17" t="s">
        <v>60</v>
      </c>
      <c r="D16" s="27"/>
      <c r="E16" s="24">
        <v>6.25</v>
      </c>
      <c r="F16" s="41">
        <v>48.92</v>
      </c>
      <c r="G16" s="21">
        <v>-7.0000000000000007E-2</v>
      </c>
      <c r="H16" s="42">
        <v>15.87</v>
      </c>
      <c r="I16" s="41">
        <v>11.875782009724475</v>
      </c>
      <c r="J16" s="21">
        <v>-6.8522757968665596E-2</v>
      </c>
      <c r="K16" s="42">
        <v>7.8872707320367343</v>
      </c>
      <c r="L16" s="35">
        <v>388.83584355501824</v>
      </c>
      <c r="M16" s="22">
        <v>1270.2702371433672</v>
      </c>
      <c r="N16" s="23">
        <v>881.49308569284437</v>
      </c>
      <c r="O16" s="25">
        <v>75</v>
      </c>
      <c r="P16" s="26">
        <v>28</v>
      </c>
      <c r="Q16" s="26">
        <v>12</v>
      </c>
      <c r="R16" s="35">
        <v>483.33333333333331</v>
      </c>
      <c r="S16" s="22">
        <v>3004.6875</v>
      </c>
      <c r="T16" s="23">
        <v>3338.0208333333335</v>
      </c>
    </row>
    <row r="17" spans="2:22" x14ac:dyDescent="0.25">
      <c r="B17" s="16">
        <v>4</v>
      </c>
      <c r="C17" s="17" t="s">
        <v>63</v>
      </c>
      <c r="D17" s="27"/>
      <c r="E17" s="24">
        <v>0.36</v>
      </c>
      <c r="F17" s="41">
        <v>50</v>
      </c>
      <c r="G17" s="21">
        <v>0</v>
      </c>
      <c r="H17" s="42">
        <v>14.5</v>
      </c>
      <c r="I17" s="41">
        <v>12.955782009724473</v>
      </c>
      <c r="J17" s="21">
        <v>1.4772420313344142E-3</v>
      </c>
      <c r="K17" s="42">
        <v>6.5172707320367351</v>
      </c>
      <c r="L17" s="35">
        <v>15.290935191686396</v>
      </c>
      <c r="M17" s="22">
        <v>75.717757900138665</v>
      </c>
      <c r="N17" s="23">
        <v>60.426824279667962</v>
      </c>
      <c r="O17" s="25">
        <v>1</v>
      </c>
      <c r="P17" s="26">
        <v>1</v>
      </c>
      <c r="Q17" s="26">
        <v>1</v>
      </c>
      <c r="R17" s="35">
        <v>0.06</v>
      </c>
      <c r="S17" s="22">
        <v>0.06</v>
      </c>
      <c r="T17" s="23">
        <v>0.06</v>
      </c>
    </row>
    <row r="18" spans="2:22" x14ac:dyDescent="0.25">
      <c r="B18" s="16">
        <v>5</v>
      </c>
      <c r="C18" s="17" t="s">
        <v>62</v>
      </c>
      <c r="D18" s="27"/>
      <c r="E18" s="24">
        <v>0.42</v>
      </c>
      <c r="F18" s="41">
        <v>45</v>
      </c>
      <c r="G18" s="21">
        <v>0</v>
      </c>
      <c r="H18" s="42">
        <v>12</v>
      </c>
      <c r="I18" s="41">
        <v>7.9557820097244729</v>
      </c>
      <c r="J18" s="21">
        <v>1.4772420313344142E-3</v>
      </c>
      <c r="K18" s="42">
        <v>4.0172707320367351</v>
      </c>
      <c r="L18" s="35">
        <v>6.7781558530236525</v>
      </c>
      <c r="M18" s="22">
        <v>33.361831238708504</v>
      </c>
      <c r="N18" s="23">
        <v>26.583677218769829</v>
      </c>
      <c r="O18" s="25">
        <v>5</v>
      </c>
      <c r="P18" s="26">
        <v>5</v>
      </c>
      <c r="Q18" s="26">
        <v>5</v>
      </c>
      <c r="R18" s="35">
        <v>1.75</v>
      </c>
      <c r="S18" s="22">
        <v>1.75</v>
      </c>
      <c r="T18" s="23">
        <v>1.75</v>
      </c>
    </row>
    <row r="19" spans="2:22" x14ac:dyDescent="0.25">
      <c r="B19" s="16">
        <v>6</v>
      </c>
      <c r="C19" s="17" t="s">
        <v>55</v>
      </c>
      <c r="D19" s="27"/>
      <c r="E19" s="24">
        <v>18</v>
      </c>
      <c r="F19" s="41">
        <v>40</v>
      </c>
      <c r="G19" s="21">
        <v>0</v>
      </c>
      <c r="H19" s="42">
        <v>7</v>
      </c>
      <c r="I19" s="41">
        <v>2.9557820097244729</v>
      </c>
      <c r="J19" s="21">
        <v>1.4772420313344142E-3</v>
      </c>
      <c r="K19" s="42">
        <v>-0.98272926796326487</v>
      </c>
      <c r="L19" s="35">
        <v>17.383661934401403</v>
      </c>
      <c r="M19" s="22">
        <v>174.64327385620425</v>
      </c>
      <c r="N19" s="23">
        <v>157.25969048258753</v>
      </c>
      <c r="O19" s="25">
        <v>35</v>
      </c>
      <c r="P19" s="26">
        <v>20</v>
      </c>
      <c r="Q19" s="26">
        <v>10</v>
      </c>
      <c r="R19" s="35">
        <v>750</v>
      </c>
      <c r="S19" s="22">
        <v>1987.5</v>
      </c>
      <c r="T19" s="23">
        <v>2437.5</v>
      </c>
    </row>
    <row r="20" spans="2:22" x14ac:dyDescent="0.25">
      <c r="B20" s="16">
        <v>7</v>
      </c>
      <c r="C20" s="17" t="s">
        <v>37</v>
      </c>
      <c r="D20" s="28"/>
      <c r="E20" s="24">
        <v>108.93</v>
      </c>
      <c r="F20" s="41">
        <v>35.6</v>
      </c>
      <c r="G20" s="21">
        <v>0</v>
      </c>
      <c r="H20" s="42">
        <v>5.6</v>
      </c>
      <c r="I20" s="41">
        <v>-1.4442179902755257</v>
      </c>
      <c r="J20" s="21">
        <v>1.4772420313344142E-3</v>
      </c>
      <c r="K20" s="42">
        <v>-2.3827292679632652</v>
      </c>
      <c r="L20" s="35">
        <v>618.43928511888703</v>
      </c>
      <c r="M20" s="22">
        <v>845.64149458927272</v>
      </c>
      <c r="N20" s="23">
        <v>227.20268489406769</v>
      </c>
      <c r="O20" s="25">
        <v>75</v>
      </c>
      <c r="P20" s="26">
        <v>28</v>
      </c>
      <c r="Q20" s="26">
        <v>10</v>
      </c>
      <c r="R20" s="35">
        <v>8024.5100000000011</v>
      </c>
      <c r="S20" s="22">
        <v>51968.6875</v>
      </c>
      <c r="T20" s="23">
        <v>58177.697500000009</v>
      </c>
      <c r="V20" s="83"/>
    </row>
    <row r="21" spans="2:22" ht="18.75" x14ac:dyDescent="0.25">
      <c r="B21" s="49"/>
      <c r="C21" s="50"/>
      <c r="D21" s="71" t="s">
        <v>13</v>
      </c>
      <c r="E21" s="66">
        <f>SUM(E14:E20)</f>
        <v>296.15999999999997</v>
      </c>
      <c r="F21" s="70">
        <f>SUMPRODUCT(E14:E20,F14:F20)/E21</f>
        <v>37.044217990275527</v>
      </c>
      <c r="G21" s="67">
        <f>SUMPRODUCT($E$14:$E$20,G14:G20)/$E$21</f>
        <v>-1.4772420313344142E-3</v>
      </c>
      <c r="H21" s="68">
        <f>SUMPRODUCT($E$14:$E$20,H14:H20)/$E$21</f>
        <v>7.9827292679632649</v>
      </c>
      <c r="I21" s="36"/>
      <c r="J21" s="37"/>
      <c r="K21" s="38"/>
      <c r="L21" s="36">
        <f>SUM(L14:L20)</f>
        <v>1362.6791496393164</v>
      </c>
      <c r="M21" s="37">
        <f>SUM(M14:M20)</f>
        <v>2965.1543338192532</v>
      </c>
      <c r="N21" s="38">
        <f>SUM(N14:N20)</f>
        <v>1602.5351415931596</v>
      </c>
      <c r="O21" s="36"/>
      <c r="P21" s="37"/>
      <c r="Q21" s="43"/>
      <c r="R21" s="36">
        <f>SUM(L14:L20,R14:R20)</f>
        <v>22193.372482972653</v>
      </c>
      <c r="S21" s="37">
        <f>SUM(M14:M20,S14:S20)</f>
        <v>96388.332667152587</v>
      </c>
      <c r="T21" s="38">
        <f>SUM(N14:N20,T14:T20)</f>
        <v>108251.44347492649</v>
      </c>
      <c r="U21" s="83">
        <f>412.3/E21</f>
        <v>1.3921528903295517</v>
      </c>
    </row>
    <row r="22" spans="2:22" ht="18.75" x14ac:dyDescent="0.25">
      <c r="B22" s="105" t="s">
        <v>67</v>
      </c>
      <c r="C22" s="91"/>
      <c r="D22" s="91"/>
      <c r="E22" s="89">
        <f>E21</f>
        <v>296.15999999999997</v>
      </c>
      <c r="F22" s="90">
        <f>F21</f>
        <v>37.044217990275527</v>
      </c>
      <c r="G22" s="90">
        <f>G21</f>
        <v>-1.4772420313344142E-3</v>
      </c>
      <c r="H22" s="90">
        <f>H21+U21</f>
        <v>9.3748821582928166</v>
      </c>
      <c r="I22" s="86"/>
      <c r="J22" s="86"/>
      <c r="K22" s="86"/>
      <c r="L22" s="86"/>
      <c r="M22" s="86"/>
      <c r="N22" s="86"/>
      <c r="O22" s="86"/>
      <c r="P22" s="86"/>
      <c r="Q22" s="87"/>
      <c r="R22" s="86"/>
      <c r="S22" s="86"/>
      <c r="T22" s="88"/>
      <c r="U22" s="83"/>
    </row>
    <row r="23" spans="2:22" x14ac:dyDescent="0.25">
      <c r="B23" s="51"/>
      <c r="C23" s="52" t="s">
        <v>61</v>
      </c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3"/>
      <c r="P23" s="53"/>
      <c r="Q23" s="53"/>
      <c r="R23" s="53"/>
      <c r="S23" s="53"/>
      <c r="T23" s="54"/>
    </row>
    <row r="24" spans="2:22" ht="18" x14ac:dyDescent="0.25">
      <c r="B24" s="72" t="s">
        <v>36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6"/>
      <c r="P24" s="56"/>
      <c r="Q24" s="56"/>
      <c r="R24" s="56"/>
      <c r="S24" s="56"/>
      <c r="T24" s="57"/>
    </row>
    <row r="25" spans="2:22" x14ac:dyDescent="0.25">
      <c r="B25" s="73" t="s">
        <v>33</v>
      </c>
      <c r="C25" s="74">
        <f>E21</f>
        <v>296.15999999999997</v>
      </c>
      <c r="D25" s="75" t="s">
        <v>49</v>
      </c>
      <c r="E25" s="2"/>
      <c r="F25" s="76" t="s">
        <v>34</v>
      </c>
      <c r="G25" s="2"/>
      <c r="H25" s="2"/>
      <c r="I25" s="2"/>
      <c r="J25" s="76" t="s">
        <v>35</v>
      </c>
      <c r="K25" s="2"/>
      <c r="L25" s="2"/>
      <c r="M25" s="2"/>
      <c r="N25" s="2"/>
      <c r="T25" s="59"/>
    </row>
    <row r="26" spans="2:22" x14ac:dyDescent="0.25">
      <c r="B26" s="58" t="s">
        <v>14</v>
      </c>
      <c r="C26" s="77">
        <f>SUM(_xlfn.ANCHORARRAY(L14),_xlfn.ANCHORARRAY(R14))</f>
        <v>22193.372482972653</v>
      </c>
      <c r="D26" s="29" t="s">
        <v>50</v>
      </c>
      <c r="F26" s="78" t="s">
        <v>15</v>
      </c>
      <c r="G26" s="82">
        <f>SQRT(C26/E21)</f>
        <v>8.6566219276056842</v>
      </c>
      <c r="H26" s="75" t="s">
        <v>38</v>
      </c>
      <c r="I26" s="29"/>
      <c r="J26" s="78" t="s">
        <v>24</v>
      </c>
      <c r="K26" s="82">
        <f>F21</f>
        <v>37.044217990275527</v>
      </c>
      <c r="L26" s="75" t="str">
        <f>"ft, "&amp;$I$7</f>
        <v>ft, Fr. 0, + Fwd.</v>
      </c>
      <c r="M26" s="78"/>
      <c r="N26" s="2"/>
      <c r="T26" s="59"/>
    </row>
    <row r="27" spans="2:22" x14ac:dyDescent="0.25">
      <c r="B27" s="58" t="s">
        <v>16</v>
      </c>
      <c r="C27" s="77">
        <f>SUM(_xlfn.ANCHORARRAY(M14),_xlfn.ANCHORARRAY(S14))</f>
        <v>96388.332667152587</v>
      </c>
      <c r="D27" s="29" t="s">
        <v>50</v>
      </c>
      <c r="F27" s="78" t="s">
        <v>17</v>
      </c>
      <c r="G27" s="82">
        <f>SQRT(C27/E21)</f>
        <v>18.040519241571527</v>
      </c>
      <c r="H27" s="75" t="s">
        <v>38</v>
      </c>
      <c r="I27" s="29"/>
      <c r="J27" s="78" t="s">
        <v>23</v>
      </c>
      <c r="K27" s="82">
        <f>G21</f>
        <v>-1.4772420313344142E-3</v>
      </c>
      <c r="L27" s="75" t="str">
        <f>"ft, "&amp;$I$8</f>
        <v>ft, CL, + Port</v>
      </c>
      <c r="M27" s="78"/>
      <c r="N27" s="2"/>
      <c r="T27" s="59"/>
    </row>
    <row r="28" spans="2:22" x14ac:dyDescent="0.25">
      <c r="B28" s="58" t="s">
        <v>18</v>
      </c>
      <c r="C28" s="77">
        <f>SUM(_xlfn.ANCHORARRAY(N14),_xlfn.ANCHORARRAY(T14))</f>
        <v>108251.44347492649</v>
      </c>
      <c r="D28" s="29" t="s">
        <v>50</v>
      </c>
      <c r="F28" s="78" t="s">
        <v>19</v>
      </c>
      <c r="G28" s="82">
        <f>SQRT(C28/E21)</f>
        <v>19.118492603686569</v>
      </c>
      <c r="H28" s="75" t="s">
        <v>38</v>
      </c>
      <c r="I28" s="29"/>
      <c r="J28" s="78" t="s">
        <v>25</v>
      </c>
      <c r="K28" s="82">
        <f>H22</f>
        <v>9.3748821582928166</v>
      </c>
      <c r="L28" s="75" t="str">
        <f>"ft, "&amp;$I$9</f>
        <v>ft, ABL, + Up</v>
      </c>
      <c r="M28" s="78"/>
      <c r="T28" s="59"/>
    </row>
    <row r="29" spans="2:22" x14ac:dyDescent="0.25"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1"/>
    </row>
    <row r="32" spans="2:22" ht="18" x14ac:dyDescent="0.25">
      <c r="B32" s="18" t="s">
        <v>66</v>
      </c>
      <c r="C32" s="5"/>
      <c r="D32" s="5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92" t="s">
        <v>0</v>
      </c>
      <c r="S32" s="93"/>
      <c r="T32" s="94"/>
    </row>
    <row r="33" spans="2:21" ht="15.75" customHeight="1" x14ac:dyDescent="0.25">
      <c r="B33" s="95" t="s">
        <v>1</v>
      </c>
      <c r="C33" s="97" t="s">
        <v>2</v>
      </c>
      <c r="D33" s="46"/>
      <c r="E33" s="47"/>
      <c r="F33" s="99" t="s">
        <v>40</v>
      </c>
      <c r="G33" s="100"/>
      <c r="H33" s="101"/>
      <c r="I33" s="102" t="s">
        <v>3</v>
      </c>
      <c r="J33" s="103"/>
      <c r="K33" s="104"/>
      <c r="L33" s="92" t="s">
        <v>58</v>
      </c>
      <c r="M33" s="93"/>
      <c r="N33" s="94"/>
      <c r="O33" s="39" t="s">
        <v>4</v>
      </c>
      <c r="P33" s="40" t="s">
        <v>5</v>
      </c>
      <c r="Q33" s="40" t="s">
        <v>6</v>
      </c>
      <c r="R33" s="33" t="s">
        <v>7</v>
      </c>
      <c r="S33" s="15" t="s">
        <v>8</v>
      </c>
      <c r="T33" s="34" t="s">
        <v>9</v>
      </c>
    </row>
    <row r="34" spans="2:21" ht="47.25" x14ac:dyDescent="0.25">
      <c r="B34" s="96"/>
      <c r="C34" s="98"/>
      <c r="D34" s="12"/>
      <c r="E34" s="13" t="s">
        <v>39</v>
      </c>
      <c r="F34" s="69" t="s">
        <v>41</v>
      </c>
      <c r="G34" s="14" t="s">
        <v>42</v>
      </c>
      <c r="H34" s="48" t="s">
        <v>43</v>
      </c>
      <c r="I34" s="33" t="s">
        <v>10</v>
      </c>
      <c r="J34" s="15" t="s">
        <v>11</v>
      </c>
      <c r="K34" s="34" t="s">
        <v>12</v>
      </c>
      <c r="L34" s="33" t="s">
        <v>7</v>
      </c>
      <c r="M34" s="15" t="s">
        <v>8</v>
      </c>
      <c r="N34" s="34" t="s">
        <v>9</v>
      </c>
      <c r="O34" s="33" t="s">
        <v>47</v>
      </c>
      <c r="P34" s="15" t="s">
        <v>47</v>
      </c>
      <c r="Q34" s="15" t="s">
        <v>47</v>
      </c>
      <c r="R34" s="44" t="s">
        <v>48</v>
      </c>
      <c r="S34" s="19" t="s">
        <v>48</v>
      </c>
      <c r="T34" s="45" t="s">
        <v>48</v>
      </c>
      <c r="U34" s="19" t="s">
        <v>64</v>
      </c>
    </row>
    <row r="35" spans="2:21" x14ac:dyDescent="0.25">
      <c r="B35" s="16">
        <v>1</v>
      </c>
      <c r="C35" s="17" t="s">
        <v>57</v>
      </c>
      <c r="D35" s="27"/>
      <c r="E35" s="20">
        <f t="shared" ref="E35:H37" si="0">E14</f>
        <v>97.78</v>
      </c>
      <c r="F35" s="41">
        <f t="shared" si="0"/>
        <v>38.18</v>
      </c>
      <c r="G35" s="41">
        <f t="shared" si="0"/>
        <v>0</v>
      </c>
      <c r="H35" s="41">
        <f t="shared" si="0"/>
        <v>9.5299999999999994</v>
      </c>
      <c r="I35" s="41" cm="1">
        <f t="array" ref="I35:I42">F35:F42-$F$43</f>
        <v>1.1357820097244726</v>
      </c>
      <c r="J35" s="21" cm="1">
        <f t="array" ref="J35:J42">G35:G42-$G$43</f>
        <v>-0.30012527012425716</v>
      </c>
      <c r="K35" s="42" cm="1">
        <f t="array" ref="K35:K42">H35:H42-$H$43</f>
        <v>1.528880334954076</v>
      </c>
      <c r="L35" s="35" cm="1">
        <f t="array" ref="L35:L42">E35:E42*(_xlfn.ANCHORARRAY(J35)^2+_xlfn.ANCHORARRAY(K35)^2)</f>
        <v>237.36586406848892</v>
      </c>
      <c r="M35" s="22" cm="1">
        <f t="array" ref="M35:M42">E35:E42*(_xlfn.ANCHORARRAY(I35)^2+_xlfn.ANCHORARRAY(K35)^2)</f>
        <v>354.69458883036981</v>
      </c>
      <c r="N35" s="23" cm="1">
        <f t="array" ref="N35:N42">E35:E42*(_xlfn.ANCHORARRAY(I35)^2+_xlfn.ANCHORARRAY(J35)^2)</f>
        <v>134.94382652602638</v>
      </c>
      <c r="O35" s="25">
        <f t="shared" ref="O35:Q36" si="1">O14</f>
        <v>50</v>
      </c>
      <c r="P35" s="26">
        <f t="shared" si="1"/>
        <v>24</v>
      </c>
      <c r="Q35" s="26">
        <f t="shared" si="1"/>
        <v>8</v>
      </c>
      <c r="R35" s="35" cm="1">
        <f t="array" ref="R35:R42">((Q35:Q42^2+P35:P42^2)/12)*E35:E42</f>
        <v>5214.9333333333334</v>
      </c>
      <c r="S35" s="22" cm="1">
        <f t="array" ref="S35:S42">((Q35:Q42^2+O35:O42^2)/12)*E35:E42</f>
        <v>20892.326666666668</v>
      </c>
      <c r="T35" s="23" cm="1">
        <f t="array" ref="T35:T42">((P35:P42^2+O35:O42^2)/12)*E35:E42</f>
        <v>25064.273333333331</v>
      </c>
    </row>
    <row r="36" spans="2:21" x14ac:dyDescent="0.25">
      <c r="B36" s="16">
        <v>2</v>
      </c>
      <c r="C36" s="17" t="s">
        <v>59</v>
      </c>
      <c r="D36" s="27"/>
      <c r="E36" s="20">
        <f t="shared" si="0"/>
        <v>64.42</v>
      </c>
      <c r="F36" s="41">
        <f t="shared" si="0"/>
        <v>35.659999999999997</v>
      </c>
      <c r="G36" s="21">
        <f t="shared" si="0"/>
        <v>0</v>
      </c>
      <c r="H36" s="42">
        <f t="shared" si="0"/>
        <v>9.11</v>
      </c>
      <c r="I36" s="41">
        <v>-1.3842179902755305</v>
      </c>
      <c r="J36" s="21">
        <v>-0.30012527012425716</v>
      </c>
      <c r="K36" s="42">
        <v>1.1088803349540761</v>
      </c>
      <c r="L36" s="35">
        <v>85.014479726467727</v>
      </c>
      <c r="M36" s="22">
        <v>202.64438619599588</v>
      </c>
      <c r="N36" s="23">
        <v>129.23519237304879</v>
      </c>
      <c r="O36" s="25">
        <f t="shared" si="1"/>
        <v>50</v>
      </c>
      <c r="P36" s="26">
        <f t="shared" si="1"/>
        <v>28</v>
      </c>
      <c r="Q36" s="26">
        <f t="shared" si="1"/>
        <v>20</v>
      </c>
      <c r="R36" s="35">
        <v>6356.1066666666675</v>
      </c>
      <c r="S36" s="22">
        <v>15568.166666666666</v>
      </c>
      <c r="T36" s="23">
        <v>17629.606666666667</v>
      </c>
    </row>
    <row r="37" spans="2:21" x14ac:dyDescent="0.25">
      <c r="B37" s="16">
        <v>3</v>
      </c>
      <c r="C37" s="17" t="s">
        <v>60</v>
      </c>
      <c r="D37" s="27"/>
      <c r="E37" s="24">
        <f t="shared" si="0"/>
        <v>6.25</v>
      </c>
      <c r="F37" s="41">
        <f t="shared" si="0"/>
        <v>48.92</v>
      </c>
      <c r="G37" s="21">
        <f t="shared" si="0"/>
        <v>-7.0000000000000007E-2</v>
      </c>
      <c r="H37" s="42">
        <f t="shared" si="0"/>
        <v>15.87</v>
      </c>
      <c r="I37" s="41">
        <v>11.875782009724475</v>
      </c>
      <c r="J37" s="21">
        <v>-0.37012527012425717</v>
      </c>
      <c r="K37" s="42">
        <v>7.8688803349540759</v>
      </c>
      <c r="L37" s="35">
        <v>387.85169025882203</v>
      </c>
      <c r="M37" s="22">
        <v>1268.4592254270153</v>
      </c>
      <c r="N37" s="23">
        <v>882.31994411300002</v>
      </c>
      <c r="O37" s="25">
        <f t="shared" ref="O37:Q37" si="2">O16</f>
        <v>75</v>
      </c>
      <c r="P37" s="26">
        <f t="shared" si="2"/>
        <v>28</v>
      </c>
      <c r="Q37" s="26">
        <f t="shared" si="2"/>
        <v>12</v>
      </c>
      <c r="R37" s="35">
        <v>483.33333333333331</v>
      </c>
      <c r="S37" s="22">
        <v>3004.6875</v>
      </c>
      <c r="T37" s="23">
        <v>3338.0208333333335</v>
      </c>
    </row>
    <row r="38" spans="2:21" x14ac:dyDescent="0.25">
      <c r="B38" s="16">
        <v>4</v>
      </c>
      <c r="C38" s="17" t="s">
        <v>63</v>
      </c>
      <c r="D38" s="27"/>
      <c r="E38" s="24">
        <v>0.36</v>
      </c>
      <c r="F38" s="41">
        <v>50</v>
      </c>
      <c r="G38" s="21">
        <v>0</v>
      </c>
      <c r="H38" s="42">
        <v>14.5</v>
      </c>
      <c r="I38" s="41">
        <v>12.955782009724473</v>
      </c>
      <c r="J38" s="21">
        <v>-0.30012527012425716</v>
      </c>
      <c r="K38" s="42">
        <v>6.4988803349540767</v>
      </c>
      <c r="L38" s="35">
        <v>15.237187482895191</v>
      </c>
      <c r="M38" s="22">
        <v>75.631583912959115</v>
      </c>
      <c r="N38" s="23">
        <v>60.459250558056283</v>
      </c>
      <c r="O38" s="25">
        <v>1</v>
      </c>
      <c r="P38" s="26">
        <v>1</v>
      </c>
      <c r="Q38" s="26">
        <v>1</v>
      </c>
      <c r="R38" s="35">
        <v>0.06</v>
      </c>
      <c r="S38" s="22">
        <v>0.06</v>
      </c>
      <c r="T38" s="23">
        <v>0.06</v>
      </c>
    </row>
    <row r="39" spans="2:21" x14ac:dyDescent="0.25">
      <c r="B39" s="16">
        <v>5</v>
      </c>
      <c r="C39" s="17" t="s">
        <v>62</v>
      </c>
      <c r="D39" s="27"/>
      <c r="E39" s="24">
        <v>0.42</v>
      </c>
      <c r="F39" s="41">
        <v>45</v>
      </c>
      <c r="G39" s="21">
        <v>0</v>
      </c>
      <c r="H39" s="42">
        <v>12</v>
      </c>
      <c r="I39" s="41">
        <v>7.9557820097244729</v>
      </c>
      <c r="J39" s="21">
        <v>-0.30012527012425716</v>
      </c>
      <c r="K39" s="42">
        <v>3.9988803349540767</v>
      </c>
      <c r="L39" s="35">
        <v>6.7540700266408269</v>
      </c>
      <c r="M39" s="22">
        <v>33.299914754205957</v>
      </c>
      <c r="N39" s="23">
        <v>26.621507876889549</v>
      </c>
      <c r="O39" s="25">
        <v>5</v>
      </c>
      <c r="P39" s="26">
        <v>5</v>
      </c>
      <c r="Q39" s="26">
        <v>5</v>
      </c>
      <c r="R39" s="35">
        <v>1.75</v>
      </c>
      <c r="S39" s="22">
        <v>1.75</v>
      </c>
      <c r="T39" s="23">
        <v>1.75</v>
      </c>
    </row>
    <row r="40" spans="2:21" x14ac:dyDescent="0.25">
      <c r="B40" s="16">
        <v>6</v>
      </c>
      <c r="C40" s="17" t="s">
        <v>55</v>
      </c>
      <c r="D40" s="27"/>
      <c r="E40" s="24">
        <f t="shared" ref="E40:H40" si="3">E19</f>
        <v>18</v>
      </c>
      <c r="F40" s="41">
        <f t="shared" si="3"/>
        <v>40</v>
      </c>
      <c r="G40" s="21">
        <f t="shared" si="3"/>
        <v>0</v>
      </c>
      <c r="H40" s="42">
        <f t="shared" si="3"/>
        <v>7</v>
      </c>
      <c r="I40" s="41">
        <v>2.9557820097244729</v>
      </c>
      <c r="J40" s="21">
        <v>-0.30012527012425716</v>
      </c>
      <c r="K40" s="42">
        <v>-1.0011196650459233</v>
      </c>
      <c r="L40" s="35">
        <v>19.661683707158758</v>
      </c>
      <c r="M40" s="22">
        <v>175.29998170954508</v>
      </c>
      <c r="N40" s="23">
        <v>158.88100440200401</v>
      </c>
      <c r="O40" s="25">
        <f t="shared" ref="O40:Q40" si="4">O19</f>
        <v>35</v>
      </c>
      <c r="P40" s="26">
        <f t="shared" si="4"/>
        <v>20</v>
      </c>
      <c r="Q40" s="26">
        <f t="shared" si="4"/>
        <v>10</v>
      </c>
      <c r="R40" s="35">
        <v>750</v>
      </c>
      <c r="S40" s="22">
        <v>1987.5</v>
      </c>
      <c r="T40" s="23">
        <v>2437.5</v>
      </c>
    </row>
    <row r="41" spans="2:21" x14ac:dyDescent="0.25">
      <c r="B41" s="16">
        <v>7</v>
      </c>
      <c r="C41" s="17" t="s">
        <v>37</v>
      </c>
      <c r="D41" s="27"/>
      <c r="E41" s="24">
        <f t="shared" ref="E41" si="5">E20</f>
        <v>108.93</v>
      </c>
      <c r="F41" s="41">
        <f>F20</f>
        <v>35.6</v>
      </c>
      <c r="G41" s="21">
        <v>0.82</v>
      </c>
      <c r="H41" s="42">
        <v>5.65</v>
      </c>
      <c r="I41" s="41">
        <v>-1.4442179902755257</v>
      </c>
      <c r="J41" s="21">
        <v>0.51987472987574279</v>
      </c>
      <c r="K41" s="42">
        <v>-2.351119665045923</v>
      </c>
      <c r="L41" s="35">
        <v>631.57977980107512</v>
      </c>
      <c r="M41" s="22">
        <v>829.34174477552733</v>
      </c>
      <c r="N41" s="23">
        <v>256.64292939000131</v>
      </c>
      <c r="O41" s="25">
        <f t="shared" ref="O41:Q41" si="6">O20</f>
        <v>75</v>
      </c>
      <c r="P41" s="26">
        <f t="shared" si="6"/>
        <v>28</v>
      </c>
      <c r="Q41" s="26">
        <f t="shared" si="6"/>
        <v>10</v>
      </c>
      <c r="R41" s="35">
        <v>8024.5100000000011</v>
      </c>
      <c r="S41" s="22">
        <v>51968.6875</v>
      </c>
      <c r="T41" s="23">
        <v>58177.697500000009</v>
      </c>
    </row>
    <row r="42" spans="2:21" x14ac:dyDescent="0.25">
      <c r="B42" s="16">
        <v>8</v>
      </c>
      <c r="C42" s="17" t="s">
        <v>56</v>
      </c>
      <c r="D42" s="28"/>
      <c r="E42" s="24">
        <v>0</v>
      </c>
      <c r="F42" s="41">
        <v>0</v>
      </c>
      <c r="G42" s="21">
        <v>0</v>
      </c>
      <c r="H42" s="42">
        <v>0</v>
      </c>
      <c r="I42" s="41">
        <v>-37.044217990275527</v>
      </c>
      <c r="J42" s="21">
        <v>-0.30012527012425716</v>
      </c>
      <c r="K42" s="42">
        <v>-8.0011196650459233</v>
      </c>
      <c r="L42" s="35">
        <v>0</v>
      </c>
      <c r="M42" s="22">
        <v>0</v>
      </c>
      <c r="N42" s="23">
        <v>0</v>
      </c>
      <c r="O42" s="25">
        <v>24</v>
      </c>
      <c r="P42" s="26">
        <v>23.34</v>
      </c>
      <c r="Q42" s="26">
        <v>1.5</v>
      </c>
      <c r="R42" s="35">
        <v>0</v>
      </c>
      <c r="S42" s="22">
        <v>0</v>
      </c>
      <c r="T42" s="23">
        <v>0</v>
      </c>
    </row>
    <row r="43" spans="2:21" ht="18.75" x14ac:dyDescent="0.25">
      <c r="B43" s="49"/>
      <c r="C43" s="50"/>
      <c r="D43" s="71" t="s">
        <v>13</v>
      </c>
      <c r="E43" s="66">
        <f>SUM(E35:E42)</f>
        <v>296.15999999999997</v>
      </c>
      <c r="F43" s="70">
        <f>SUMPRODUCT(E35:E42,F35:F42)/E43</f>
        <v>37.044217990275527</v>
      </c>
      <c r="G43" s="67">
        <f>SUMPRODUCT(E35:E42,G35:G42)/E43</f>
        <v>0.30012527012425716</v>
      </c>
      <c r="H43" s="68">
        <f>SUMPRODUCT(E35:E42,H35:H42)/E43</f>
        <v>8.0011196650459233</v>
      </c>
      <c r="I43" s="36"/>
      <c r="J43" s="37"/>
      <c r="K43" s="38"/>
      <c r="L43" s="36">
        <f>SUM(_xlfn.ANCHORARRAY(L35))</f>
        <v>1383.4647550715486</v>
      </c>
      <c r="M43" s="37">
        <f>SUM(_xlfn.ANCHORARRAY(M35))</f>
        <v>2939.3714256056182</v>
      </c>
      <c r="N43" s="38">
        <f>SUM(_xlfn.ANCHORARRAY(N35))</f>
        <v>1649.1036552390265</v>
      </c>
      <c r="O43" s="36"/>
      <c r="P43" s="37"/>
      <c r="Q43" s="43"/>
      <c r="R43" s="36">
        <f>SUM(_xlfn.ANCHORARRAY(L35),_xlfn.ANCHORARRAY(R35))</f>
        <v>22214.158088404885</v>
      </c>
      <c r="S43" s="37">
        <f>SUM(_xlfn.ANCHORARRAY(M35),_xlfn.ANCHORARRAY(S35))</f>
        <v>96362.549758938956</v>
      </c>
      <c r="T43" s="38">
        <f>SUM(_xlfn.ANCHORARRAY(N35),_xlfn.ANCHORARRAY(T35))</f>
        <v>108298.01198857237</v>
      </c>
      <c r="U43" s="83">
        <f>294.6/E43</f>
        <v>0.99473257698541351</v>
      </c>
    </row>
    <row r="44" spans="2:21" ht="18.75" customHeight="1" x14ac:dyDescent="0.25">
      <c r="B44" s="105" t="s">
        <v>67</v>
      </c>
      <c r="C44" s="91"/>
      <c r="D44" s="91"/>
      <c r="E44" s="89">
        <f>E43</f>
        <v>296.15999999999997</v>
      </c>
      <c r="F44" s="90">
        <f>F43</f>
        <v>37.044217990275527</v>
      </c>
      <c r="G44" s="90">
        <f>G43</f>
        <v>0.30012527012425716</v>
      </c>
      <c r="H44" s="90">
        <f>H43+U43</f>
        <v>8.9958522420313365</v>
      </c>
      <c r="I44" s="86"/>
      <c r="J44" s="86"/>
      <c r="K44" s="86"/>
      <c r="L44" s="86"/>
      <c r="M44" s="86"/>
      <c r="N44" s="86"/>
      <c r="O44" s="86"/>
      <c r="P44" s="86"/>
      <c r="Q44" s="87"/>
      <c r="R44" s="86"/>
      <c r="S44" s="86"/>
      <c r="T44" s="88"/>
      <c r="U44" s="83"/>
    </row>
    <row r="45" spans="2:21" x14ac:dyDescent="0.25"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53"/>
      <c r="Q45" s="53"/>
      <c r="R45" s="53"/>
      <c r="S45" s="53"/>
      <c r="T45" s="54"/>
    </row>
    <row r="46" spans="2:21" ht="18" x14ac:dyDescent="0.25">
      <c r="B46" s="72" t="s">
        <v>36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56"/>
      <c r="Q46" s="56"/>
      <c r="R46" s="56"/>
      <c r="S46" s="56"/>
      <c r="T46" s="57"/>
    </row>
    <row r="47" spans="2:21" x14ac:dyDescent="0.25">
      <c r="B47" s="73" t="s">
        <v>33</v>
      </c>
      <c r="C47" s="74">
        <f>E43</f>
        <v>296.15999999999997</v>
      </c>
      <c r="D47" s="75" t="s">
        <v>49</v>
      </c>
      <c r="E47" s="2"/>
      <c r="F47" s="76" t="s">
        <v>34</v>
      </c>
      <c r="G47" s="2"/>
      <c r="H47" s="2"/>
      <c r="I47" s="2"/>
      <c r="J47" s="76" t="s">
        <v>35</v>
      </c>
      <c r="K47" s="2"/>
      <c r="L47" s="2"/>
      <c r="M47" s="2"/>
      <c r="N47" s="2"/>
      <c r="T47" s="59"/>
    </row>
    <row r="48" spans="2:21" x14ac:dyDescent="0.25">
      <c r="B48" s="58" t="s">
        <v>14</v>
      </c>
      <c r="C48" s="77">
        <f>SUM(_xlfn.ANCHORARRAY(L35),_xlfn.ANCHORARRAY(R35))</f>
        <v>22214.158088404885</v>
      </c>
      <c r="D48" s="29" t="s">
        <v>50</v>
      </c>
      <c r="F48" s="78" t="s">
        <v>15</v>
      </c>
      <c r="G48" s="82">
        <f>SQRT(C48/E43)</f>
        <v>8.6606747370133146</v>
      </c>
      <c r="H48" s="75" t="s">
        <v>38</v>
      </c>
      <c r="I48" s="29"/>
      <c r="J48" s="78" t="s">
        <v>24</v>
      </c>
      <c r="K48" s="82">
        <f>F43</f>
        <v>37.044217990275527</v>
      </c>
      <c r="L48" s="75" t="str">
        <f>"ft, "&amp;$I$7</f>
        <v>ft, Fr. 0, + Fwd.</v>
      </c>
      <c r="M48" s="78"/>
      <c r="N48" s="2"/>
      <c r="T48" s="59"/>
    </row>
    <row r="49" spans="2:20" x14ac:dyDescent="0.25">
      <c r="B49" s="58" t="s">
        <v>16</v>
      </c>
      <c r="C49" s="77">
        <f>SUM(_xlfn.ANCHORARRAY(M35),_xlfn.ANCHORARRAY(S35))</f>
        <v>96362.549758938956</v>
      </c>
      <c r="D49" s="29" t="s">
        <v>50</v>
      </c>
      <c r="F49" s="78" t="s">
        <v>17</v>
      </c>
      <c r="G49" s="82">
        <f>SQRT(C49/E43)</f>
        <v>18.038106251597068</v>
      </c>
      <c r="H49" s="75" t="s">
        <v>38</v>
      </c>
      <c r="I49" s="29"/>
      <c r="J49" s="78" t="s">
        <v>23</v>
      </c>
      <c r="K49" s="82">
        <f>G43</f>
        <v>0.30012527012425716</v>
      </c>
      <c r="L49" s="75" t="str">
        <f>"ft, "&amp;$I$8</f>
        <v>ft, CL, + Port</v>
      </c>
      <c r="M49" s="78"/>
      <c r="N49" s="2"/>
      <c r="T49" s="59"/>
    </row>
    <row r="50" spans="2:20" x14ac:dyDescent="0.25">
      <c r="B50" s="58" t="s">
        <v>18</v>
      </c>
      <c r="C50" s="77">
        <f>SUM(_xlfn.ANCHORARRAY(N35),_xlfn.ANCHORARRAY(T35))</f>
        <v>108298.01198857237</v>
      </c>
      <c r="D50" s="29" t="s">
        <v>50</v>
      </c>
      <c r="F50" s="78" t="s">
        <v>19</v>
      </c>
      <c r="G50" s="82">
        <f>SQRT(C50/E43)</f>
        <v>19.122604438246967</v>
      </c>
      <c r="H50" s="75" t="s">
        <v>38</v>
      </c>
      <c r="I50" s="29"/>
      <c r="J50" s="78" t="s">
        <v>25</v>
      </c>
      <c r="K50" s="82">
        <f>H44</f>
        <v>8.9958522420313365</v>
      </c>
      <c r="L50" s="75" t="str">
        <f>"ft, "&amp;$I$9</f>
        <v>ft, ABL, + Up</v>
      </c>
      <c r="M50" s="78"/>
      <c r="T50" s="59"/>
    </row>
    <row r="51" spans="2:20" x14ac:dyDescent="0.25">
      <c r="B51" s="79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1"/>
    </row>
    <row r="52" spans="2:20" x14ac:dyDescent="0.25">
      <c r="B52" s="29"/>
      <c r="I52" s="29"/>
      <c r="J52" s="29"/>
    </row>
    <row r="53" spans="2:20" x14ac:dyDescent="0.25">
      <c r="B53" s="29"/>
      <c r="C53" s="29"/>
      <c r="D53" s="29"/>
      <c r="E53" s="29"/>
      <c r="F53" s="30"/>
      <c r="G53" s="31"/>
      <c r="H53" s="29"/>
      <c r="I53" s="29"/>
      <c r="J53" s="29"/>
    </row>
  </sheetData>
  <mergeCells count="14">
    <mergeCell ref="B44:D44"/>
    <mergeCell ref="B22:D22"/>
    <mergeCell ref="R11:T11"/>
    <mergeCell ref="B12:B13"/>
    <mergeCell ref="C12:C13"/>
    <mergeCell ref="F12:H12"/>
    <mergeCell ref="I12:K12"/>
    <mergeCell ref="L12:N12"/>
    <mergeCell ref="R32:T32"/>
    <mergeCell ref="B33:B34"/>
    <mergeCell ref="C33:C34"/>
    <mergeCell ref="F33:H33"/>
    <mergeCell ref="I33:K33"/>
    <mergeCell ref="L33:N33"/>
  </mergeCells>
  <phoneticPr fontId="23" type="noConversion"/>
  <conditionalFormatting sqref="B14:T20 B35:T42">
    <cfRule type="expression" dxfId="0" priority="8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Marucci</dc:creator>
  <cp:lastModifiedBy>Vamsee Achanta</cp:lastModifiedBy>
  <dcterms:created xsi:type="dcterms:W3CDTF">2025-06-26T16:14:05Z</dcterms:created>
  <dcterms:modified xsi:type="dcterms:W3CDTF">2025-08-26T21:51:38Z</dcterms:modified>
</cp:coreProperties>
</file>