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J:\B1512 Nork &amp; Mendez (legal) Hyundai Peacepia vs Sea Cypress sinking\ACMA Work\Sea Cypress Tug Data\Sea Cypress Weight Est\"/>
    </mc:Choice>
  </mc:AlternateContent>
  <xr:revisionPtr revIDLastSave="0" documentId="13_ncr:1_{B068DE9B-8909-41B4-9FB9-649BFBE132C8}" xr6:coauthVersionLast="47" xr6:coauthVersionMax="47" xr10:uidLastSave="{00000000-0000-0000-0000-000000000000}"/>
  <bookViews>
    <workbookView xWindow="2625" yWindow="330" windowWidth="14250" windowHeight="15945" activeTab="1" xr2:uid="{54F80643-2836-47AA-9B77-D950EA900DC6}"/>
  </bookViews>
  <sheets>
    <sheet name="Calcs" sheetId="1" r:id="rId1"/>
    <sheet name="Summary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7" i="2" l="1"/>
  <c r="D7" i="2"/>
  <c r="E7" i="2"/>
  <c r="F7" i="2"/>
  <c r="C8" i="2"/>
  <c r="D8" i="2"/>
  <c r="E8" i="2"/>
  <c r="F8" i="2"/>
  <c r="F6" i="2"/>
  <c r="E6" i="2"/>
  <c r="D6" i="2"/>
  <c r="C6" i="2"/>
  <c r="O62" i="1"/>
  <c r="O83" i="1" s="1"/>
  <c r="P62" i="1"/>
  <c r="P83" i="1" s="1"/>
  <c r="Q62" i="1"/>
  <c r="Q83" i="1" s="1"/>
  <c r="O35" i="1"/>
  <c r="O56" i="1" s="1"/>
  <c r="O77" i="1" s="1"/>
  <c r="P35" i="1"/>
  <c r="P56" i="1" s="1"/>
  <c r="P77" i="1" s="1"/>
  <c r="Q35" i="1"/>
  <c r="Q56" i="1" s="1"/>
  <c r="Q77" i="1" s="1"/>
  <c r="O36" i="1"/>
  <c r="O57" i="1" s="1"/>
  <c r="O78" i="1" s="1"/>
  <c r="P36" i="1"/>
  <c r="P57" i="1" s="1"/>
  <c r="P78" i="1" s="1"/>
  <c r="Q36" i="1"/>
  <c r="Q57" i="1" s="1"/>
  <c r="Q78" i="1" s="1"/>
  <c r="O39" i="1"/>
  <c r="O60" i="1" s="1"/>
  <c r="O81" i="1" s="1"/>
  <c r="P39" i="1"/>
  <c r="P60" i="1" s="1"/>
  <c r="P81" i="1" s="1"/>
  <c r="Q39" i="1"/>
  <c r="Q60" i="1" s="1"/>
  <c r="Q81" i="1" s="1"/>
  <c r="O40" i="1"/>
  <c r="O61" i="1" s="1"/>
  <c r="O82" i="1" s="1"/>
  <c r="P40" i="1"/>
  <c r="P61" i="1" s="1"/>
  <c r="P82" i="1" s="1"/>
  <c r="Q40" i="1"/>
  <c r="Q61" i="1" s="1"/>
  <c r="Q82" i="1" s="1"/>
  <c r="P34" i="1"/>
  <c r="P55" i="1" s="1"/>
  <c r="P76" i="1" s="1"/>
  <c r="Q34" i="1"/>
  <c r="Q55" i="1" s="1"/>
  <c r="Q76" i="1" s="1"/>
  <c r="O34" i="1"/>
  <c r="O55" i="1" s="1"/>
  <c r="O76" i="1" s="1"/>
  <c r="L90" i="1"/>
  <c r="L89" i="1"/>
  <c r="L88" i="1"/>
  <c r="G61" i="1"/>
  <c r="G82" i="1" s="1"/>
  <c r="H61" i="1"/>
  <c r="H82" i="1" s="1"/>
  <c r="L69" i="1"/>
  <c r="L68" i="1"/>
  <c r="L67" i="1"/>
  <c r="E39" i="1"/>
  <c r="E60" i="1" s="1"/>
  <c r="E81" i="1" s="1"/>
  <c r="F39" i="1"/>
  <c r="F60" i="1" s="1"/>
  <c r="F81" i="1" s="1"/>
  <c r="G39" i="1"/>
  <c r="G60" i="1" s="1"/>
  <c r="G81" i="1" s="1"/>
  <c r="H39" i="1"/>
  <c r="H60" i="1" s="1"/>
  <c r="H81" i="1" s="1"/>
  <c r="L48" i="1"/>
  <c r="L47" i="1"/>
  <c r="L46" i="1"/>
  <c r="L27" i="1"/>
  <c r="L26" i="1"/>
  <c r="L25" i="1"/>
  <c r="E35" i="1"/>
  <c r="E56" i="1" s="1"/>
  <c r="E77" i="1" s="1"/>
  <c r="E36" i="1"/>
  <c r="E57" i="1" s="1"/>
  <c r="E78" i="1" s="1"/>
  <c r="E40" i="1"/>
  <c r="E61" i="1" s="1"/>
  <c r="E82" i="1" s="1"/>
  <c r="E34" i="1"/>
  <c r="E55" i="1" s="1"/>
  <c r="E76" i="1" s="1"/>
  <c r="F35" i="1"/>
  <c r="F56" i="1" s="1"/>
  <c r="F77" i="1" s="1"/>
  <c r="G35" i="1"/>
  <c r="G56" i="1" s="1"/>
  <c r="G77" i="1" s="1"/>
  <c r="H35" i="1"/>
  <c r="H56" i="1" s="1"/>
  <c r="H77" i="1" s="1"/>
  <c r="F36" i="1"/>
  <c r="F57" i="1" s="1"/>
  <c r="F78" i="1" s="1"/>
  <c r="G36" i="1"/>
  <c r="G57" i="1" s="1"/>
  <c r="G78" i="1" s="1"/>
  <c r="H36" i="1"/>
  <c r="H57" i="1" s="1"/>
  <c r="H78" i="1" s="1"/>
  <c r="F40" i="1"/>
  <c r="F61" i="1" s="1"/>
  <c r="F82" i="1" s="1"/>
  <c r="G34" i="1"/>
  <c r="G55" i="1" s="1"/>
  <c r="G76" i="1" s="1"/>
  <c r="H34" i="1"/>
  <c r="H55" i="1" s="1"/>
  <c r="H76" i="1" s="1"/>
  <c r="F34" i="1"/>
  <c r="F55" i="1" s="1"/>
  <c r="F76" i="1" s="1"/>
  <c r="R14" i="1" a="1"/>
  <c r="R14" i="1" s="1"/>
  <c r="E21" i="1"/>
  <c r="F21" i="1" s="1"/>
  <c r="E84" i="1" l="1"/>
  <c r="G84" i="1" s="1"/>
  <c r="K89" i="1" s="1"/>
  <c r="E63" i="1"/>
  <c r="G63" i="1" s="1"/>
  <c r="K68" i="1" s="1"/>
  <c r="H21" i="1"/>
  <c r="G21" i="1"/>
  <c r="F84" i="1" l="1"/>
  <c r="K88" i="1" s="1"/>
  <c r="C87" i="1"/>
  <c r="H84" i="1"/>
  <c r="K90" i="1" s="1"/>
  <c r="F63" i="1"/>
  <c r="K67" i="1" s="1"/>
  <c r="C66" i="1"/>
  <c r="H63" i="1"/>
  <c r="K69" i="1" s="1"/>
  <c r="E42" i="1" l="1"/>
  <c r="F42" i="1" s="1"/>
  <c r="I55" i="1" l="1" a="1"/>
  <c r="I55" i="1" s="1"/>
  <c r="I76" i="1" a="1"/>
  <c r="I76" i="1" s="1"/>
  <c r="I34" i="1" a="1"/>
  <c r="I34" i="1" s="1"/>
  <c r="C45" i="1"/>
  <c r="G42" i="1"/>
  <c r="H42" i="1"/>
  <c r="P9" i="1"/>
  <c r="P8" i="1"/>
  <c r="K76" i="1" l="1" a="1"/>
  <c r="K76" i="1" s="1"/>
  <c r="M76" i="1" s="1" a="1"/>
  <c r="M76" i="1" s="1"/>
  <c r="M84" i="1" s="1"/>
  <c r="K55" i="1" a="1"/>
  <c r="K55" i="1" s="1"/>
  <c r="M55" i="1" s="1" a="1"/>
  <c r="M55" i="1" s="1"/>
  <c r="M63" i="1" s="1"/>
  <c r="J76" i="1" a="1"/>
  <c r="J76" i="1" s="1"/>
  <c r="N76" i="1" s="1" a="1"/>
  <c r="N76" i="1" s="1"/>
  <c r="N84" i="1" s="1"/>
  <c r="J55" i="1" a="1"/>
  <c r="J55" i="1" s="1"/>
  <c r="N55" i="1" s="1" a="1"/>
  <c r="N55" i="1" s="1"/>
  <c r="N63" i="1" s="1"/>
  <c r="J34" i="1" a="1"/>
  <c r="J34" i="1" s="1"/>
  <c r="K47" i="1"/>
  <c r="K34" i="1" a="1"/>
  <c r="K34" i="1" s="1"/>
  <c r="K48" i="1"/>
  <c r="K46" i="1"/>
  <c r="L55" i="1" l="1" a="1"/>
  <c r="L55" i="1" s="1"/>
  <c r="L63" i="1" s="1"/>
  <c r="L76" i="1" a="1"/>
  <c r="L76" i="1" s="1"/>
  <c r="L84" i="1" s="1"/>
  <c r="M34" i="1" a="1"/>
  <c r="M34" i="1" s="1"/>
  <c r="M42" i="1" s="1"/>
  <c r="L34" i="1" a="1"/>
  <c r="L34" i="1" s="1"/>
  <c r="L42" i="1" s="1"/>
  <c r="N34" i="1" a="1"/>
  <c r="N34" i="1" s="1"/>
  <c r="I14" i="1" a="1"/>
  <c r="I14" i="1" s="1"/>
  <c r="C24" i="1"/>
  <c r="K14" i="1" a="1"/>
  <c r="K14" i="1" s="1"/>
  <c r="J14" i="1" a="1"/>
  <c r="J14" i="1" s="1"/>
  <c r="L14" i="1" l="1" a="1"/>
  <c r="L14" i="1" s="1"/>
  <c r="C25" i="1" s="1"/>
  <c r="G25" i="1" s="1"/>
  <c r="M14" i="1" a="1"/>
  <c r="M14" i="1" s="1"/>
  <c r="N14" i="1" a="1"/>
  <c r="N14" i="1" s="1"/>
  <c r="K27" i="1"/>
  <c r="K26" i="1"/>
  <c r="K25" i="1"/>
  <c r="N42" i="1"/>
  <c r="N21" i="1" l="1"/>
  <c r="L21" i="1"/>
  <c r="M21" i="1"/>
  <c r="P7" i="1"/>
  <c r="T14" i="1" a="1"/>
  <c r="T14" i="1" s="1"/>
  <c r="T21" i="1" s="1"/>
  <c r="C27" i="1" l="1"/>
  <c r="G27" i="1" s="1"/>
  <c r="S14" i="1" a="1"/>
  <c r="S14" i="1" s="1"/>
  <c r="C26" i="1" s="1"/>
  <c r="G26" i="1" s="1"/>
  <c r="R34" i="1" l="1" a="1"/>
  <c r="R34" i="1" s="1"/>
  <c r="C46" i="1" s="1"/>
  <c r="G46" i="1" s="1"/>
  <c r="R21" i="1"/>
  <c r="S21" i="1"/>
  <c r="S34" i="1" a="1"/>
  <c r="S34" i="1" s="1"/>
  <c r="C47" i="1" s="1"/>
  <c r="G47" i="1" s="1"/>
  <c r="R42" i="1" l="1"/>
  <c r="R55" i="1" a="1"/>
  <c r="R55" i="1" s="1"/>
  <c r="S55" i="1" a="1"/>
  <c r="S55" i="1" s="1"/>
  <c r="T34" i="1" a="1"/>
  <c r="T34" i="1" s="1"/>
  <c r="C48" i="1" s="1"/>
  <c r="G48" i="1" s="1"/>
  <c r="S42" i="1"/>
  <c r="T55" i="1" l="1" a="1"/>
  <c r="T55" i="1" s="1"/>
  <c r="C69" i="1" s="1"/>
  <c r="G69" i="1" s="1"/>
  <c r="C68" i="1"/>
  <c r="G68" i="1" s="1"/>
  <c r="S63" i="1"/>
  <c r="R63" i="1"/>
  <c r="C67" i="1"/>
  <c r="G67" i="1" s="1"/>
  <c r="T76" i="1" a="1"/>
  <c r="T76" i="1" s="1"/>
  <c r="R76" i="1" a="1"/>
  <c r="R76" i="1" s="1"/>
  <c r="T42" i="1"/>
  <c r="S76" i="1" l="1" a="1"/>
  <c r="S76" i="1" s="1"/>
  <c r="S84" i="1" s="1"/>
  <c r="T63" i="1"/>
  <c r="C90" i="1"/>
  <c r="G90" i="1" s="1"/>
  <c r="T84" i="1"/>
  <c r="C88" i="1"/>
  <c r="G88" i="1" s="1"/>
  <c r="R84" i="1"/>
  <c r="C89" i="1" l="1"/>
  <c r="G89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<sst xmlns="http://schemas.openxmlformats.org/spreadsheetml/2006/main" count="266" uniqueCount="76">
  <si>
    <t xml:space="preserve">Moment of Inertia (Self)
</t>
  </si>
  <si>
    <t>Item
No.</t>
  </si>
  <si>
    <t>Description</t>
  </si>
  <si>
    <t>Dist. from Vessel COG (m)</t>
  </si>
  <si>
    <t>Length</t>
  </si>
  <si>
    <t>Width</t>
  </si>
  <si>
    <t>Height</t>
  </si>
  <si>
    <t>Ixx</t>
  </si>
  <si>
    <t>Iyy</t>
  </si>
  <si>
    <t>Izz</t>
  </si>
  <si>
    <t>X</t>
  </si>
  <si>
    <t>Y</t>
  </si>
  <si>
    <t>Z</t>
  </si>
  <si>
    <t>TOTAL</t>
  </si>
  <si>
    <t>Ixx=</t>
  </si>
  <si>
    <t>Kxx=</t>
  </si>
  <si>
    <t>Iyy=</t>
  </si>
  <si>
    <t>Kyy=</t>
  </si>
  <si>
    <t>Izz=</t>
  </si>
  <si>
    <t>Kzz=</t>
  </si>
  <si>
    <t>LBP</t>
  </si>
  <si>
    <t>Beam</t>
  </si>
  <si>
    <t>Depth</t>
  </si>
  <si>
    <t>Y:</t>
  </si>
  <si>
    <t>X:</t>
  </si>
  <si>
    <t>Z:</t>
  </si>
  <si>
    <t xml:space="preserve">kxx = 34% of B = </t>
  </si>
  <si>
    <t xml:space="preserve">kyy = 25% of L = </t>
  </si>
  <si>
    <t xml:space="preserve">kzz = 26% of L = </t>
  </si>
  <si>
    <t>Estimates:</t>
  </si>
  <si>
    <t>Job:</t>
  </si>
  <si>
    <t>Task:</t>
  </si>
  <si>
    <t>Alan C McClure Associates, Inc</t>
  </si>
  <si>
    <t xml:space="preserve">Mass = </t>
  </si>
  <si>
    <t>Radius of Gyration:</t>
  </si>
  <si>
    <t>Center of Gravity:</t>
  </si>
  <si>
    <t>Calculation Summary:</t>
  </si>
  <si>
    <t>Fluids</t>
  </si>
  <si>
    <t>ft</t>
  </si>
  <si>
    <t>Gross Weight (LT)</t>
  </si>
  <si>
    <t>Gross Wt. CoG (ft)</t>
  </si>
  <si>
    <t>X (Fr 0, + Fwd)</t>
  </si>
  <si>
    <t>Y (CL, + Port)</t>
  </si>
  <si>
    <t>Z (ABL, + Up)</t>
  </si>
  <si>
    <t>Fr. 0, + Fwd.</t>
  </si>
  <si>
    <t>CL, + Port</t>
  </si>
  <si>
    <t>ABL, + Up</t>
  </si>
  <si>
    <t>(ft)</t>
  </si>
  <si>
    <t>(LT ft2)</t>
  </si>
  <si>
    <t>LT</t>
  </si>
  <si>
    <t>LT-ft2</t>
  </si>
  <si>
    <t xml:space="preserve">Characteristics </t>
  </si>
  <si>
    <t>B1512 Nork &amp; Mendez Hyundai Peacepai vs Sea Cypress</t>
  </si>
  <si>
    <t>Sea Cypress Station Keeping</t>
  </si>
  <si>
    <t>Origin</t>
  </si>
  <si>
    <t>Incident Draft</t>
  </si>
  <si>
    <t>4070 Gallons FO to Port</t>
  </si>
  <si>
    <t>Misc.</t>
  </si>
  <si>
    <t>4070 Gallons FO to Port w/ 5% Engine Room Fill</t>
  </si>
  <si>
    <t>4070 Gallons FO to Port w/ 10% Engine Room Fill</t>
  </si>
  <si>
    <t>Water in Eng Rm</t>
  </si>
  <si>
    <t>Structure</t>
  </si>
  <si>
    <t xml:space="preserve">Mom. of Inertia (LT ft2)
</t>
  </si>
  <si>
    <t>Machinery</t>
  </si>
  <si>
    <t>Outfitting</t>
  </si>
  <si>
    <t>Ref: 'Sea Cypress Displacement &amp; Ctrs rev 1.xlsx'.</t>
  </si>
  <si>
    <t>Incident Draft Fuel centered</t>
  </si>
  <si>
    <t>4070 gallons FO to Port</t>
  </si>
  <si>
    <t>4070 gallons FO to Port w/ 5% Eng Rm Ingress</t>
  </si>
  <si>
    <t xml:space="preserve">Kzz </t>
  </si>
  <si>
    <t>4070 gallons FO to Port w/ 10% Eng Rm Ingress</t>
  </si>
  <si>
    <t xml:space="preserve">Kxx </t>
  </si>
  <si>
    <t xml:space="preserve">Kyy </t>
  </si>
  <si>
    <t xml:space="preserve"> Gyradii</t>
  </si>
  <si>
    <t>Stores</t>
  </si>
  <si>
    <t>Crew &amp; Effects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</si>
</sst>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"/>
    <numFmt numFmtId="166" formatCode="0.000E+00"/>
  </numFmts>
  <fonts count="26" x14ac:knownFonts="1">
    <font>
      <sz val="12"/>
      <color theme="1"/>
      <name val="Times New Roman"/>
      <family val="2"/>
    </font>
    <font>
      <b/>
      <sz val="12"/>
      <color theme="0"/>
      <name val="Times New Roman"/>
      <family val="2"/>
    </font>
    <font>
      <b/>
      <u/>
      <sz val="16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sz val="11"/>
      <color theme="1"/>
      <name val="Aptos Narrow"/>
      <family val="2"/>
      <scheme val="minor"/>
    </font>
    <font>
      <b/>
      <sz val="10"/>
      <name val="Arial"/>
      <family val="2"/>
    </font>
    <font>
      <sz val="14"/>
      <color theme="1"/>
      <name val="Aptos Narrow"/>
      <family val="2"/>
      <scheme val="minor"/>
    </font>
    <font>
      <sz val="14"/>
      <name val="Aptos Narrow"/>
      <family val="2"/>
      <scheme val="minor"/>
    </font>
    <font>
      <u/>
      <sz val="14"/>
      <name val="Aptos Narrow"/>
      <family val="2"/>
      <scheme val="minor"/>
    </font>
    <font>
      <b/>
      <u/>
      <sz val="14"/>
      <color theme="1"/>
      <name val="Arial"/>
      <family val="2"/>
    </font>
    <font>
      <b/>
      <sz val="10"/>
      <color theme="0"/>
      <name val="Arial"/>
      <family val="2"/>
    </font>
    <font>
      <b/>
      <sz val="11"/>
      <color theme="0"/>
      <name val="Aptos Narrow"/>
      <family val="2"/>
      <scheme val="minor"/>
    </font>
    <font>
      <b/>
      <sz val="10"/>
      <color theme="0"/>
      <name val="Aptos Display"/>
      <family val="2"/>
    </font>
    <font>
      <b/>
      <sz val="12"/>
      <color theme="0"/>
      <name val="Aptos Display"/>
      <family val="2"/>
    </font>
    <font>
      <b/>
      <sz val="14"/>
      <color theme="3" tint="9.9948118533890809E-2"/>
      <name val="Arial"/>
      <family val="2"/>
    </font>
    <font>
      <sz val="12"/>
      <color theme="1"/>
      <name val="Aptos Narrow"/>
      <family val="2"/>
      <scheme val="minor"/>
    </font>
    <font>
      <u/>
      <sz val="12"/>
      <color theme="1"/>
      <name val="Aptos Narrow"/>
      <family val="2"/>
      <scheme val="minor"/>
    </font>
    <font>
      <b/>
      <sz val="12"/>
      <color theme="3" tint="9.9948118533890809E-2"/>
      <name val="Aptos Narrow"/>
      <family val="2"/>
      <scheme val="minor"/>
    </font>
    <font>
      <sz val="16"/>
      <color theme="1"/>
      <name val="Arial"/>
      <family val="2"/>
    </font>
    <font>
      <sz val="18"/>
      <color theme="1"/>
      <name val="Tahoma"/>
      <family val="2"/>
    </font>
    <font>
      <b/>
      <sz val="14"/>
      <color theme="0"/>
      <name val="Aptos Display"/>
      <family val="2"/>
    </font>
    <font>
      <b/>
      <sz val="10"/>
      <color theme="1"/>
      <name val="Arial"/>
      <family val="2"/>
    </font>
    <font>
      <sz val="8"/>
      <name val="Times New Roman"/>
      <family val="2"/>
    </font>
    <font>
      <b/>
      <sz val="12"/>
      <color theme="1"/>
      <name val="Times New Roman"/>
      <family val="1"/>
    </font>
    <font>
      <b/>
      <sz val="16"/>
      <color theme="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3" tint="0.24994659260841701"/>
        <bgColor indexed="64"/>
      </patternFill>
    </fill>
    <fill>
      <patternFill patternType="solid">
        <fgColor theme="3" tint="0.749961851863155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6" tint="0.79998168889431442"/>
        <bgColor indexed="64"/>
      </patternFill>
    </fill>
  </fills>
  <borders count="29">
    <border>
      <left/>
      <right/>
      <top/>
      <bottom/>
      <diagonal/>
    </border>
    <border>
      <left style="thin">
        <color theme="3" tint="0.499984740745262"/>
      </left>
      <right/>
      <top style="thin">
        <color theme="3" tint="0.499984740745262"/>
      </top>
      <bottom style="thin">
        <color theme="3" tint="0.499984740745262"/>
      </bottom>
      <diagonal/>
    </border>
    <border>
      <left/>
      <right/>
      <top style="thin">
        <color theme="3" tint="0.499984740745262"/>
      </top>
      <bottom style="thin">
        <color theme="3" tint="0.499984740745262"/>
      </bottom>
      <diagonal/>
    </border>
    <border>
      <left/>
      <right style="thin">
        <color theme="3" tint="0.499984740745262"/>
      </right>
      <top style="thin">
        <color theme="3" tint="0.499984740745262"/>
      </top>
      <bottom style="thin">
        <color theme="3" tint="0.499984740745262"/>
      </bottom>
      <diagonal/>
    </border>
    <border>
      <left style="thin">
        <color theme="3" tint="0.499984740745262"/>
      </left>
      <right/>
      <top/>
      <bottom/>
      <diagonal/>
    </border>
    <border>
      <left/>
      <right style="thin">
        <color theme="3" tint="0.499984740745262"/>
      </right>
      <top/>
      <bottom/>
      <diagonal/>
    </border>
    <border>
      <left style="thin">
        <color theme="3" tint="0.499984740745262"/>
      </left>
      <right/>
      <top style="thin">
        <color theme="3" tint="0.499984740745262"/>
      </top>
      <bottom/>
      <diagonal/>
    </border>
    <border>
      <left/>
      <right/>
      <top style="thin">
        <color theme="3" tint="0.499984740745262"/>
      </top>
      <bottom/>
      <diagonal/>
    </border>
    <border>
      <left/>
      <right style="thin">
        <color theme="3" tint="0.499984740745262"/>
      </right>
      <top style="thin">
        <color theme="3" tint="0.499984740745262"/>
      </top>
      <bottom/>
      <diagonal/>
    </border>
    <border>
      <left style="thin">
        <color theme="3" tint="0.499984740745262"/>
      </left>
      <right/>
      <top/>
      <bottom style="thin">
        <color theme="3" tint="0.499984740745262"/>
      </bottom>
      <diagonal/>
    </border>
    <border>
      <left/>
      <right/>
      <top/>
      <bottom style="thin">
        <color theme="3" tint="0.499984740745262"/>
      </bottom>
      <diagonal/>
    </border>
    <border>
      <left/>
      <right style="thin">
        <color theme="3" tint="0.499984740745262"/>
      </right>
      <top/>
      <bottom style="thin">
        <color theme="3" tint="0.499984740745262"/>
      </bottom>
      <diagonal/>
    </border>
    <border>
      <left/>
      <right/>
      <top/>
      <bottom style="thin">
        <color auto="1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5" fillId="0" borderId="0"/>
  </cellStyleXfs>
  <cellXfs count="119">
    <xf numFmtId="0" fontId="0" fillId="0" borderId="0" xfId="0"/>
    <xf numFmtId="0" fontId="2" fillId="0" borderId="0" xfId="0" applyFont="1"/>
    <xf numFmtId="0" fontId="3" fillId="0" borderId="0" xfId="0" applyFont="1"/>
    <xf numFmtId="164" fontId="3" fillId="0" borderId="0" xfId="0" applyNumberFormat="1" applyFont="1" applyAlignment="1">
      <alignment horizontal="center" vertical="center"/>
    </xf>
    <xf numFmtId="2" fontId="3" fillId="0" borderId="0" xfId="0" applyNumberFormat="1" applyFont="1" applyAlignment="1">
      <alignment horizontal="center" vertical="center"/>
    </xf>
    <xf numFmtId="0" fontId="4" fillId="0" borderId="0" xfId="0" applyFont="1"/>
    <xf numFmtId="164" fontId="4" fillId="0" borderId="0" xfId="0" applyNumberFormat="1" applyFont="1" applyAlignment="1">
      <alignment horizontal="center" vertical="center"/>
    </xf>
    <xf numFmtId="0" fontId="7" fillId="0" borderId="0" xfId="0" applyFont="1"/>
    <xf numFmtId="0" fontId="8" fillId="0" borderId="0" xfId="0" applyFont="1"/>
    <xf numFmtId="0" fontId="9" fillId="0" borderId="0" xfId="0" applyFont="1"/>
    <xf numFmtId="0" fontId="8" fillId="0" borderId="0" xfId="0" applyFont="1" applyAlignment="1">
      <alignment horizontal="right" indent="1"/>
    </xf>
    <xf numFmtId="0" fontId="10" fillId="0" borderId="0" xfId="0" applyFont="1" applyAlignment="1">
      <alignment vertical="center"/>
    </xf>
    <xf numFmtId="0" fontId="11" fillId="2" borderId="0" xfId="0" applyFont="1" applyFill="1" applyAlignment="1">
      <alignment horizontal="center" vertical="center"/>
    </xf>
    <xf numFmtId="164" fontId="11" fillId="2" borderId="0" xfId="0" applyNumberFormat="1" applyFont="1" applyFill="1" applyAlignment="1">
      <alignment horizontal="center" vertical="center" wrapText="1"/>
    </xf>
    <xf numFmtId="2" fontId="11" fillId="2" borderId="0" xfId="0" applyNumberFormat="1" applyFont="1" applyFill="1" applyAlignment="1">
      <alignment horizontal="center" vertical="center" wrapText="1"/>
    </xf>
    <xf numFmtId="0" fontId="12" fillId="2" borderId="0" xfId="1" applyFont="1" applyFill="1" applyAlignment="1">
      <alignment horizontal="center" vertical="center" wrapText="1"/>
    </xf>
    <xf numFmtId="0" fontId="4" fillId="0" borderId="1" xfId="0" applyFont="1" applyBorder="1" applyAlignment="1" applyProtection="1">
      <alignment horizontal="center" vertical="center"/>
      <protection locked="0"/>
    </xf>
    <xf numFmtId="0" fontId="4" fillId="0" borderId="2" xfId="0" applyFont="1" applyBorder="1" applyAlignment="1" applyProtection="1">
      <alignment horizontal="left" vertical="center" wrapText="1"/>
      <protection locked="0"/>
    </xf>
    <xf numFmtId="0" fontId="15" fillId="0" borderId="0" xfId="0" applyFont="1"/>
    <xf numFmtId="0" fontId="1" fillId="2" borderId="0" xfId="1" applyFont="1" applyFill="1" applyAlignment="1">
      <alignment horizontal="center" vertical="center" wrapText="1"/>
    </xf>
    <xf numFmtId="2" fontId="6" fillId="0" borderId="2" xfId="0" applyNumberFormat="1" applyFont="1" applyBorder="1" applyAlignment="1">
      <alignment horizontal="right" vertical="center" indent="1"/>
    </xf>
    <xf numFmtId="165" fontId="4" fillId="0" borderId="2" xfId="0" applyNumberFormat="1" applyFont="1" applyBorder="1" applyAlignment="1" applyProtection="1">
      <alignment horizontal="right" vertical="center" indent="1"/>
      <protection locked="0"/>
    </xf>
    <xf numFmtId="1" fontId="4" fillId="0" borderId="2" xfId="0" applyNumberFormat="1" applyFont="1" applyBorder="1" applyAlignment="1" applyProtection="1">
      <alignment horizontal="right" vertical="center" indent="1"/>
      <protection locked="0"/>
    </xf>
    <xf numFmtId="1" fontId="4" fillId="0" borderId="3" xfId="0" applyNumberFormat="1" applyFont="1" applyBorder="1" applyAlignment="1" applyProtection="1">
      <alignment horizontal="right" vertical="center" indent="1"/>
      <protection locked="0"/>
    </xf>
    <xf numFmtId="2" fontId="6" fillId="0" borderId="2" xfId="0" applyNumberFormat="1" applyFont="1" applyBorder="1" applyAlignment="1" applyProtection="1">
      <alignment horizontal="right" vertical="center" indent="1"/>
      <protection locked="0"/>
    </xf>
    <xf numFmtId="2" fontId="4" fillId="0" borderId="1" xfId="0" applyNumberFormat="1" applyFont="1" applyBorder="1" applyAlignment="1" applyProtection="1">
      <alignment horizontal="right" vertical="center" indent="1"/>
      <protection locked="0"/>
    </xf>
    <xf numFmtId="2" fontId="4" fillId="0" borderId="2" xfId="0" applyNumberFormat="1" applyFont="1" applyBorder="1" applyAlignment="1">
      <alignment horizontal="right" vertical="center" indent="1"/>
    </xf>
    <xf numFmtId="0" fontId="4" fillId="0" borderId="2" xfId="0" applyFont="1" applyBorder="1" applyAlignment="1" applyProtection="1">
      <alignment horizontal="center" vertical="center" wrapText="1"/>
      <protection locked="0"/>
    </xf>
    <xf numFmtId="9" fontId="4" fillId="0" borderId="2" xfId="0" applyNumberFormat="1" applyFont="1" applyBorder="1" applyAlignment="1" applyProtection="1">
      <alignment horizontal="center" vertical="center" wrapText="1"/>
      <protection locked="0"/>
    </xf>
    <xf numFmtId="0" fontId="16" fillId="0" borderId="0" xfId="0" applyFont="1" applyAlignment="1">
      <alignment vertical="center"/>
    </xf>
    <xf numFmtId="0" fontId="16" fillId="0" borderId="0" xfId="0" applyFont="1" applyAlignment="1">
      <alignment horizontal="right" vertical="center" indent="1"/>
    </xf>
    <xf numFmtId="2" fontId="16" fillId="0" borderId="0" xfId="0" applyNumberFormat="1" applyFont="1" applyAlignment="1">
      <alignment vertical="center"/>
    </xf>
    <xf numFmtId="0" fontId="17" fillId="0" borderId="0" xfId="0" applyFont="1" applyAlignment="1">
      <alignment vertical="center"/>
    </xf>
    <xf numFmtId="0" fontId="12" fillId="2" borderId="4" xfId="1" applyFont="1" applyFill="1" applyBorder="1" applyAlignment="1">
      <alignment horizontal="center" vertical="center" wrapText="1"/>
    </xf>
    <xf numFmtId="0" fontId="12" fillId="2" borderId="5" xfId="1" applyFont="1" applyFill="1" applyBorder="1" applyAlignment="1">
      <alignment horizontal="center" vertical="center" wrapText="1"/>
    </xf>
    <xf numFmtId="1" fontId="4" fillId="0" borderId="1" xfId="0" applyNumberFormat="1" applyFont="1" applyBorder="1" applyAlignment="1" applyProtection="1">
      <alignment horizontal="right" vertical="center" indent="1"/>
      <protection locked="0"/>
    </xf>
    <xf numFmtId="1" fontId="13" fillId="2" borderId="9" xfId="0" applyNumberFormat="1" applyFont="1" applyFill="1" applyBorder="1" applyAlignment="1" applyProtection="1">
      <alignment horizontal="right" vertical="center" indent="1"/>
      <protection locked="0"/>
    </xf>
    <xf numFmtId="1" fontId="13" fillId="2" borderId="10" xfId="0" applyNumberFormat="1" applyFont="1" applyFill="1" applyBorder="1" applyAlignment="1" applyProtection="1">
      <alignment horizontal="right" vertical="center" indent="1"/>
      <protection locked="0"/>
    </xf>
    <xf numFmtId="1" fontId="13" fillId="2" borderId="11" xfId="0" applyNumberFormat="1" applyFont="1" applyFill="1" applyBorder="1" applyAlignment="1" applyProtection="1">
      <alignment horizontal="right" vertical="center" indent="1"/>
      <protection locked="0"/>
    </xf>
    <xf numFmtId="0" fontId="12" fillId="2" borderId="6" xfId="1" applyFont="1" applyFill="1" applyBorder="1" applyAlignment="1">
      <alignment horizontal="center" vertical="center" wrapText="1"/>
    </xf>
    <xf numFmtId="0" fontId="12" fillId="2" borderId="7" xfId="1" applyFont="1" applyFill="1" applyBorder="1" applyAlignment="1">
      <alignment horizontal="center" vertical="center" wrapText="1"/>
    </xf>
    <xf numFmtId="165" fontId="4" fillId="0" borderId="1" xfId="0" applyNumberFormat="1" applyFont="1" applyBorder="1" applyAlignment="1" applyProtection="1">
      <alignment horizontal="right" vertical="center" indent="1"/>
      <protection locked="0"/>
    </xf>
    <xf numFmtId="165" fontId="4" fillId="0" borderId="3" xfId="0" applyNumberFormat="1" applyFont="1" applyBorder="1" applyAlignment="1" applyProtection="1">
      <alignment horizontal="right" vertical="center" indent="1"/>
      <protection locked="0"/>
    </xf>
    <xf numFmtId="1" fontId="13" fillId="2" borderId="10" xfId="0" applyNumberFormat="1" applyFont="1" applyFill="1" applyBorder="1" applyAlignment="1">
      <alignment horizontal="right" vertical="center" indent="1"/>
    </xf>
    <xf numFmtId="0" fontId="1" fillId="2" borderId="4" xfId="1" applyFont="1" applyFill="1" applyBorder="1" applyAlignment="1">
      <alignment horizontal="center" vertical="center" wrapText="1"/>
    </xf>
    <xf numFmtId="0" fontId="1" fillId="2" borderId="5" xfId="1" applyFont="1" applyFill="1" applyBorder="1" applyAlignment="1">
      <alignment horizontal="center" vertical="center" wrapText="1"/>
    </xf>
    <xf numFmtId="0" fontId="11" fillId="2" borderId="7" xfId="0" applyFont="1" applyFill="1" applyBorder="1" applyAlignment="1">
      <alignment horizontal="center" vertical="center"/>
    </xf>
    <xf numFmtId="0" fontId="11" fillId="2" borderId="7" xfId="0" applyFont="1" applyFill="1" applyBorder="1" applyAlignment="1">
      <alignment vertical="center"/>
    </xf>
    <xf numFmtId="2" fontId="11" fillId="2" borderId="5" xfId="0" applyNumberFormat="1" applyFont="1" applyFill="1" applyBorder="1" applyAlignment="1">
      <alignment horizontal="center" vertical="center" wrapText="1"/>
    </xf>
    <xf numFmtId="0" fontId="13" fillId="2" borderId="9" xfId="0" applyFont="1" applyFill="1" applyBorder="1" applyAlignment="1" applyProtection="1">
      <alignment horizontal="center" vertical="center"/>
      <protection locked="0"/>
    </xf>
    <xf numFmtId="0" fontId="13" fillId="2" borderId="10" xfId="0" applyFont="1" applyFill="1" applyBorder="1" applyAlignment="1" applyProtection="1">
      <alignment horizontal="center" vertical="center" wrapText="1"/>
      <protection locked="0"/>
    </xf>
    <xf numFmtId="0" fontId="3" fillId="0" borderId="1" xfId="0" applyFont="1" applyBorder="1"/>
    <xf numFmtId="0" fontId="3" fillId="0" borderId="2" xfId="0" applyFont="1" applyBorder="1"/>
    <xf numFmtId="0" fontId="0" fillId="0" borderId="2" xfId="0" applyBorder="1"/>
    <xf numFmtId="0" fontId="0" fillId="0" borderId="3" xfId="0" applyBorder="1"/>
    <xf numFmtId="0" fontId="3" fillId="0" borderId="7" xfId="0" applyFont="1" applyBorder="1"/>
    <xf numFmtId="0" fontId="0" fillId="0" borderId="7" xfId="0" applyBorder="1"/>
    <xf numFmtId="0" fontId="0" fillId="0" borderId="8" xfId="0" applyBorder="1"/>
    <xf numFmtId="0" fontId="16" fillId="0" borderId="4" xfId="0" applyFont="1" applyBorder="1" applyAlignment="1">
      <alignment horizontal="right" vertical="center" indent="1"/>
    </xf>
    <xf numFmtId="0" fontId="0" fillId="0" borderId="5" xfId="0" applyBorder="1"/>
    <xf numFmtId="0" fontId="19" fillId="0" borderId="0" xfId="0" applyFont="1"/>
    <xf numFmtId="0" fontId="20" fillId="0" borderId="0" xfId="0" applyFont="1"/>
    <xf numFmtId="0" fontId="19" fillId="0" borderId="0" xfId="0" applyFont="1" applyAlignment="1">
      <alignment horizontal="right" indent="1"/>
    </xf>
    <xf numFmtId="0" fontId="19" fillId="0" borderId="12" xfId="0" applyFont="1" applyBorder="1" applyAlignment="1">
      <alignment horizontal="right" indent="1"/>
    </xf>
    <xf numFmtId="0" fontId="19" fillId="0" borderId="12" xfId="0" applyFont="1" applyBorder="1"/>
    <xf numFmtId="0" fontId="0" fillId="0" borderId="12" xfId="0" applyBorder="1"/>
    <xf numFmtId="2" fontId="14" fillId="2" borderId="10" xfId="0" applyNumberFormat="1" applyFont="1" applyFill="1" applyBorder="1" applyAlignment="1">
      <alignment horizontal="right" vertical="center" indent="1"/>
    </xf>
    <xf numFmtId="165" fontId="14" fillId="2" borderId="10" xfId="0" applyNumberFormat="1" applyFont="1" applyFill="1" applyBorder="1" applyAlignment="1" applyProtection="1">
      <alignment horizontal="right" vertical="center" indent="1"/>
      <protection locked="0"/>
    </xf>
    <xf numFmtId="165" fontId="14" fillId="2" borderId="11" xfId="0" applyNumberFormat="1" applyFont="1" applyFill="1" applyBorder="1" applyAlignment="1" applyProtection="1">
      <alignment horizontal="right" vertical="center" indent="1"/>
      <protection locked="0"/>
    </xf>
    <xf numFmtId="2" fontId="11" fillId="2" borderId="4" xfId="0" applyNumberFormat="1" applyFont="1" applyFill="1" applyBorder="1" applyAlignment="1">
      <alignment horizontal="center" vertical="center" wrapText="1"/>
    </xf>
    <xf numFmtId="165" fontId="14" fillId="2" borderId="9" xfId="0" applyNumberFormat="1" applyFont="1" applyFill="1" applyBorder="1" applyAlignment="1" applyProtection="1">
      <alignment horizontal="right" vertical="center" indent="1"/>
      <protection locked="0"/>
    </xf>
    <xf numFmtId="0" fontId="21" fillId="2" borderId="10" xfId="0" applyFont="1" applyFill="1" applyBorder="1" applyAlignment="1" applyProtection="1">
      <alignment horizontal="center" vertical="center" wrapText="1"/>
      <protection locked="0"/>
    </xf>
    <xf numFmtId="0" fontId="15" fillId="0" borderId="6" xfId="0" applyFont="1" applyBorder="1"/>
    <xf numFmtId="0" fontId="18" fillId="3" borderId="4" xfId="0" applyFont="1" applyFill="1" applyBorder="1" applyAlignment="1">
      <alignment horizontal="right" vertical="center" indent="1"/>
    </xf>
    <xf numFmtId="2" fontId="18" fillId="3" borderId="0" xfId="0" applyNumberFormat="1" applyFont="1" applyFill="1" applyAlignment="1">
      <alignment vertical="center"/>
    </xf>
    <xf numFmtId="0" fontId="18" fillId="3" borderId="0" xfId="0" applyFont="1" applyFill="1" applyAlignment="1">
      <alignment vertical="center"/>
    </xf>
    <xf numFmtId="0" fontId="22" fillId="0" borderId="0" xfId="0" applyFont="1"/>
    <xf numFmtId="166" fontId="16" fillId="0" borderId="0" xfId="0" applyNumberFormat="1" applyFont="1" applyAlignment="1">
      <alignment vertical="center"/>
    </xf>
    <xf numFmtId="0" fontId="18" fillId="3" borderId="0" xfId="0" applyFont="1" applyFill="1" applyAlignment="1">
      <alignment horizontal="right" vertical="center" indent="1"/>
    </xf>
    <xf numFmtId="0" fontId="0" fillId="2" borderId="9" xfId="0" applyFill="1" applyBorder="1"/>
    <xf numFmtId="0" fontId="0" fillId="2" borderId="10" xfId="0" applyFill="1" applyBorder="1"/>
    <xf numFmtId="0" fontId="0" fillId="2" borderId="11" xfId="0" applyFill="1" applyBorder="1"/>
    <xf numFmtId="165" fontId="18" fillId="3" borderId="0" xfId="0" applyNumberFormat="1" applyFont="1" applyFill="1" applyAlignment="1">
      <alignment vertical="center"/>
    </xf>
    <xf numFmtId="2" fontId="0" fillId="0" borderId="0" xfId="0" applyNumberFormat="1"/>
    <xf numFmtId="164" fontId="8" fillId="0" borderId="0" xfId="0" applyNumberFormat="1" applyFont="1"/>
    <xf numFmtId="2" fontId="8" fillId="0" borderId="0" xfId="0" applyNumberFormat="1" applyFont="1"/>
    <xf numFmtId="0" fontId="0" fillId="0" borderId="15" xfId="0" applyBorder="1"/>
    <xf numFmtId="165" fontId="0" fillId="0" borderId="16" xfId="0" applyNumberFormat="1" applyBorder="1" applyAlignment="1">
      <alignment horizontal="center"/>
    </xf>
    <xf numFmtId="165" fontId="0" fillId="0" borderId="18" xfId="0" applyNumberFormat="1" applyBorder="1" applyAlignment="1">
      <alignment horizontal="center"/>
    </xf>
    <xf numFmtId="165" fontId="0" fillId="0" borderId="13" xfId="0" applyNumberFormat="1" applyBorder="1" applyAlignment="1">
      <alignment horizontal="center"/>
    </xf>
    <xf numFmtId="165" fontId="0" fillId="0" borderId="20" xfId="0" applyNumberFormat="1" applyBorder="1" applyAlignment="1">
      <alignment horizontal="center"/>
    </xf>
    <xf numFmtId="165" fontId="0" fillId="0" borderId="19" xfId="0" applyNumberFormat="1" applyBorder="1" applyAlignment="1">
      <alignment horizontal="center"/>
    </xf>
    <xf numFmtId="165" fontId="0" fillId="0" borderId="21" xfId="0" applyNumberFormat="1" applyBorder="1" applyAlignment="1">
      <alignment horizontal="center"/>
    </xf>
    <xf numFmtId="165" fontId="0" fillId="0" borderId="22" xfId="0" applyNumberFormat="1" applyBorder="1" applyAlignment="1">
      <alignment horizontal="center"/>
    </xf>
    <xf numFmtId="0" fontId="24" fillId="0" borderId="15" xfId="0" applyFont="1" applyBorder="1" applyAlignment="1">
      <alignment horizontal="right"/>
    </xf>
    <xf numFmtId="0" fontId="24" fillId="0" borderId="17" xfId="0" applyFont="1" applyBorder="1" applyAlignment="1">
      <alignment horizontal="right"/>
    </xf>
    <xf numFmtId="0" fontId="24" fillId="0" borderId="14" xfId="0" applyFont="1" applyBorder="1" applyAlignment="1">
      <alignment horizontal="left"/>
    </xf>
    <xf numFmtId="165" fontId="0" fillId="0" borderId="0" xfId="0" applyNumberFormat="1" applyAlignment="1">
      <alignment horizontal="center"/>
    </xf>
    <xf numFmtId="0" fontId="0" fillId="5" borderId="23" xfId="0" applyFill="1" applyBorder="1"/>
    <xf numFmtId="0" fontId="0" fillId="4" borderId="24" xfId="0" applyFill="1" applyBorder="1" applyAlignment="1">
      <alignment horizontal="center" vertical="center" wrapText="1"/>
    </xf>
    <xf numFmtId="0" fontId="0" fillId="4" borderId="12" xfId="0" applyFill="1" applyBorder="1" applyAlignment="1">
      <alignment horizontal="center" vertical="center" wrapText="1"/>
    </xf>
    <xf numFmtId="0" fontId="0" fillId="4" borderId="25" xfId="0" applyFill="1" applyBorder="1" applyAlignment="1">
      <alignment horizontal="center" wrapText="1"/>
    </xf>
    <xf numFmtId="0" fontId="0" fillId="4" borderId="26" xfId="0" applyFill="1" applyBorder="1" applyAlignment="1">
      <alignment horizontal="center" wrapText="1"/>
    </xf>
    <xf numFmtId="0" fontId="0" fillId="5" borderId="27" xfId="0" applyFill="1" applyBorder="1"/>
    <xf numFmtId="0" fontId="25" fillId="5" borderId="23" xfId="0" applyFont="1" applyFill="1" applyBorder="1"/>
    <xf numFmtId="0" fontId="0" fillId="5" borderId="28" xfId="0" applyFill="1" applyBorder="1"/>
    <xf numFmtId="0" fontId="12" fillId="2" borderId="6" xfId="1" applyFont="1" applyFill="1" applyBorder="1" applyAlignment="1">
      <alignment horizontal="center" vertical="top" wrapText="1"/>
    </xf>
    <xf numFmtId="0" fontId="12" fillId="2" borderId="7" xfId="1" applyFont="1" applyFill="1" applyBorder="1" applyAlignment="1">
      <alignment horizontal="center" vertical="top" wrapText="1"/>
    </xf>
    <xf numFmtId="0" fontId="12" fillId="2" borderId="8" xfId="1" applyFont="1" applyFill="1" applyBorder="1" applyAlignment="1">
      <alignment horizontal="center" vertical="top" wrapText="1"/>
    </xf>
    <xf numFmtId="0" fontId="11" fillId="2" borderId="6" xfId="0" applyFont="1" applyFill="1" applyBorder="1" applyAlignment="1">
      <alignment horizontal="center" vertical="center" wrapText="1"/>
    </xf>
    <xf numFmtId="0" fontId="11" fillId="2" borderId="4" xfId="0" applyFont="1" applyFill="1" applyBorder="1" applyAlignment="1">
      <alignment horizontal="center" vertical="center"/>
    </xf>
    <xf numFmtId="0" fontId="11" fillId="2" borderId="7" xfId="0" applyFont="1" applyFill="1" applyBorder="1" applyAlignment="1">
      <alignment horizontal="center" vertical="center"/>
    </xf>
    <xf numFmtId="0" fontId="11" fillId="2" borderId="0" xfId="0" applyFont="1" applyFill="1" applyAlignment="1">
      <alignment horizontal="center" vertical="center"/>
    </xf>
    <xf numFmtId="2" fontId="11" fillId="2" borderId="6" xfId="0" applyNumberFormat="1" applyFont="1" applyFill="1" applyBorder="1" applyAlignment="1">
      <alignment horizontal="center" vertical="center"/>
    </xf>
    <xf numFmtId="2" fontId="11" fillId="2" borderId="7" xfId="0" applyNumberFormat="1" applyFont="1" applyFill="1" applyBorder="1" applyAlignment="1">
      <alignment horizontal="center" vertical="center"/>
    </xf>
    <xf numFmtId="2" fontId="11" fillId="2" borderId="8" xfId="0" applyNumberFormat="1" applyFont="1" applyFill="1" applyBorder="1" applyAlignment="1">
      <alignment horizontal="center" vertical="center"/>
    </xf>
    <xf numFmtId="0" fontId="12" fillId="2" borderId="6" xfId="1" applyFont="1" applyFill="1" applyBorder="1" applyAlignment="1">
      <alignment horizontal="center" vertical="center" wrapText="1"/>
    </xf>
    <xf numFmtId="0" fontId="12" fillId="2" borderId="7" xfId="1" applyFont="1" applyFill="1" applyBorder="1" applyAlignment="1">
      <alignment horizontal="center" vertical="center" wrapText="1"/>
    </xf>
    <xf numFmtId="0" fontId="12" fillId="2" borderId="8" xfId="1" applyFont="1" applyFill="1" applyBorder="1" applyAlignment="1">
      <alignment horizontal="center" vertical="center" wrapText="1"/>
    </xf>
  </cellXfs>
  <cellStyles count="2">
    <cellStyle name="Normal" xfId="0" builtinId="0"/>
    <cellStyle name="Normal 2" xfId="1" xr:uid="{978CA1A7-E4BC-40CF-8BD4-CE5488BE3154}"/>
  </cellStyles>
  <dxfs count="3">
    <dxf>
      <fill>
        <patternFill>
          <bgColor theme="3" tint="0.89996032593768116"/>
        </patternFill>
      </fill>
    </dxf>
    <dxf>
      <fill>
        <patternFill>
          <bgColor theme="3" tint="0.89996032593768116"/>
        </patternFill>
      </fill>
    </dxf>
    <dxf>
      <fill>
        <patternFill>
          <bgColor theme="3" tint="0.89996032593768116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45D6C9-C6D6-4380-8C76-48588FCD90E2}">
  <sheetPr>
    <tabColor theme="3" tint="0.499984740745262"/>
  </sheetPr>
  <dimension ref="B2:V91"/>
  <sheetViews>
    <sheetView topLeftCell="A63" zoomScale="90" zoomScaleNormal="90" workbookViewId="0">
      <selection activeCell="F100" sqref="F100"/>
    </sheetView>
  </sheetViews>
  <sheetFormatPr defaultRowHeight="15.75" x14ac:dyDescent="0.25"/>
  <cols>
    <col min="1" max="1" width="1.5" customWidth="1"/>
    <col min="2" max="2" width="10.625" customWidth="1"/>
    <col min="3" max="3" width="15.625" customWidth="1"/>
    <col min="4" max="4" width="9.625" customWidth="1"/>
    <col min="5" max="5" width="12.625" customWidth="1"/>
    <col min="6" max="6" width="10.625" customWidth="1"/>
    <col min="7" max="11" width="8.625" customWidth="1"/>
    <col min="12" max="14" width="9.5" customWidth="1"/>
    <col min="15" max="17" width="8.625" customWidth="1"/>
    <col min="18" max="20" width="10" customWidth="1"/>
  </cols>
  <sheetData>
    <row r="2" spans="2:20" ht="22.5" x14ac:dyDescent="0.3">
      <c r="B2" s="61" t="s">
        <v>32</v>
      </c>
    </row>
    <row r="3" spans="2:20" ht="20.25" x14ac:dyDescent="0.3">
      <c r="B3" s="62" t="s">
        <v>30</v>
      </c>
      <c r="C3" s="60" t="s">
        <v>52</v>
      </c>
    </row>
    <row r="4" spans="2:20" ht="20.25" x14ac:dyDescent="0.3">
      <c r="B4" s="63" t="s">
        <v>31</v>
      </c>
      <c r="C4" s="64" t="s">
        <v>53</v>
      </c>
      <c r="D4" s="65"/>
      <c r="E4" s="65"/>
      <c r="F4" s="65"/>
      <c r="G4" s="65"/>
      <c r="H4" s="65"/>
      <c r="I4" s="65"/>
      <c r="J4" s="65"/>
      <c r="K4" s="65"/>
      <c r="L4" s="65"/>
      <c r="M4" s="65"/>
      <c r="N4" s="65"/>
      <c r="O4" s="65"/>
      <c r="P4" s="65"/>
      <c r="Q4" s="65"/>
      <c r="R4" s="65"/>
      <c r="S4" s="65"/>
      <c r="T4" s="65"/>
    </row>
    <row r="5" spans="2:20" ht="20.25" x14ac:dyDescent="0.3">
      <c r="B5" s="60"/>
    </row>
    <row r="6" spans="2:20" ht="20.25" x14ac:dyDescent="0.3">
      <c r="B6" s="1" t="s">
        <v>51</v>
      </c>
      <c r="C6" s="2"/>
      <c r="D6" s="2"/>
      <c r="E6" s="3"/>
      <c r="F6" s="4"/>
      <c r="G6" s="4"/>
      <c r="H6" s="11" t="s">
        <v>54</v>
      </c>
      <c r="I6" s="2"/>
      <c r="J6" s="2"/>
      <c r="K6" s="2"/>
      <c r="L6" s="2"/>
      <c r="M6" s="2"/>
      <c r="N6" s="32" t="s">
        <v>29</v>
      </c>
      <c r="O6" s="30"/>
      <c r="P6" s="31"/>
      <c r="Q6" s="29"/>
      <c r="R6" s="2"/>
      <c r="S6" s="2"/>
      <c r="T6" s="2"/>
    </row>
    <row r="7" spans="2:20" s="7" customFormat="1" ht="18.75" x14ac:dyDescent="0.3">
      <c r="C7" s="8" t="s">
        <v>20</v>
      </c>
      <c r="D7" s="84">
        <v>75</v>
      </c>
      <c r="E7" s="8" t="s">
        <v>38</v>
      </c>
      <c r="G7" s="9"/>
      <c r="H7" s="10" t="s">
        <v>24</v>
      </c>
      <c r="I7" s="7" t="s">
        <v>44</v>
      </c>
      <c r="N7" s="29"/>
      <c r="O7" s="30" t="s">
        <v>26</v>
      </c>
      <c r="P7" s="31">
        <f>34%*D8</f>
        <v>9.5200000000000014</v>
      </c>
      <c r="Q7" s="29" t="s">
        <v>38</v>
      </c>
    </row>
    <row r="8" spans="2:20" s="7" customFormat="1" ht="18.75" x14ac:dyDescent="0.3">
      <c r="C8" s="8" t="s">
        <v>21</v>
      </c>
      <c r="D8" s="84">
        <v>28</v>
      </c>
      <c r="E8" s="8" t="s">
        <v>38</v>
      </c>
      <c r="G8" s="9"/>
      <c r="H8" s="10" t="s">
        <v>23</v>
      </c>
      <c r="I8" s="7" t="s">
        <v>45</v>
      </c>
      <c r="N8" s="29"/>
      <c r="O8" s="30" t="s">
        <v>27</v>
      </c>
      <c r="P8" s="31">
        <f>25%*D7</f>
        <v>18.75</v>
      </c>
      <c r="Q8" s="29" t="s">
        <v>38</v>
      </c>
    </row>
    <row r="9" spans="2:20" s="7" customFormat="1" ht="18.75" x14ac:dyDescent="0.3">
      <c r="C9" s="8" t="s">
        <v>22</v>
      </c>
      <c r="D9" s="84">
        <v>10</v>
      </c>
      <c r="E9" s="8" t="s">
        <v>38</v>
      </c>
      <c r="G9" s="9"/>
      <c r="H9" s="10" t="s">
        <v>25</v>
      </c>
      <c r="I9" s="7" t="s">
        <v>46</v>
      </c>
      <c r="N9" s="29"/>
      <c r="O9" s="30" t="s">
        <v>28</v>
      </c>
      <c r="P9" s="31">
        <f>26%*D7</f>
        <v>19.5</v>
      </c>
      <c r="Q9" s="29" t="s">
        <v>38</v>
      </c>
    </row>
    <row r="10" spans="2:20" s="7" customFormat="1" ht="18.75" x14ac:dyDescent="0.3">
      <c r="C10" s="8"/>
      <c r="D10" s="8"/>
      <c r="E10" s="85"/>
      <c r="F10" s="8"/>
      <c r="G10" s="9"/>
      <c r="H10" s="10"/>
    </row>
    <row r="11" spans="2:20" ht="18" x14ac:dyDescent="0.25">
      <c r="B11" s="18" t="s">
        <v>55</v>
      </c>
      <c r="C11" s="5"/>
      <c r="D11" s="5"/>
      <c r="E11" s="6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106" t="s">
        <v>0</v>
      </c>
      <c r="S11" s="107"/>
      <c r="T11" s="108"/>
    </row>
    <row r="12" spans="2:20" x14ac:dyDescent="0.25">
      <c r="B12" s="109" t="s">
        <v>1</v>
      </c>
      <c r="C12" s="111" t="s">
        <v>2</v>
      </c>
      <c r="D12" s="46"/>
      <c r="E12" s="47"/>
      <c r="F12" s="113" t="s">
        <v>40</v>
      </c>
      <c r="G12" s="114"/>
      <c r="H12" s="115"/>
      <c r="I12" s="116" t="s">
        <v>3</v>
      </c>
      <c r="J12" s="117"/>
      <c r="K12" s="118"/>
      <c r="L12" s="106" t="s">
        <v>62</v>
      </c>
      <c r="M12" s="107"/>
      <c r="N12" s="108"/>
      <c r="O12" s="39" t="s">
        <v>4</v>
      </c>
      <c r="P12" s="40" t="s">
        <v>5</v>
      </c>
      <c r="Q12" s="40" t="s">
        <v>6</v>
      </c>
      <c r="R12" s="33" t="s">
        <v>7</v>
      </c>
      <c r="S12" s="15" t="s">
        <v>8</v>
      </c>
      <c r="T12" s="34" t="s">
        <v>9</v>
      </c>
    </row>
    <row r="13" spans="2:20" ht="25.5" x14ac:dyDescent="0.25">
      <c r="B13" s="110"/>
      <c r="C13" s="112"/>
      <c r="D13" s="12"/>
      <c r="E13" s="13" t="s">
        <v>39</v>
      </c>
      <c r="F13" s="69" t="s">
        <v>41</v>
      </c>
      <c r="G13" s="14" t="s">
        <v>42</v>
      </c>
      <c r="H13" s="48" t="s">
        <v>43</v>
      </c>
      <c r="I13" s="33" t="s">
        <v>10</v>
      </c>
      <c r="J13" s="15" t="s">
        <v>11</v>
      </c>
      <c r="K13" s="34" t="s">
        <v>12</v>
      </c>
      <c r="L13" s="33" t="s">
        <v>7</v>
      </c>
      <c r="M13" s="15" t="s">
        <v>8</v>
      </c>
      <c r="N13" s="34" t="s">
        <v>9</v>
      </c>
      <c r="O13" s="33" t="s">
        <v>47</v>
      </c>
      <c r="P13" s="15" t="s">
        <v>47</v>
      </c>
      <c r="Q13" s="15" t="s">
        <v>47</v>
      </c>
      <c r="R13" s="44" t="s">
        <v>48</v>
      </c>
      <c r="S13" s="19" t="s">
        <v>48</v>
      </c>
      <c r="T13" s="45" t="s">
        <v>48</v>
      </c>
    </row>
    <row r="14" spans="2:20" x14ac:dyDescent="0.25">
      <c r="B14" s="16">
        <v>1</v>
      </c>
      <c r="C14" s="17" t="s">
        <v>61</v>
      </c>
      <c r="D14" s="27"/>
      <c r="E14" s="20">
        <v>97.78</v>
      </c>
      <c r="F14" s="41">
        <v>38.18</v>
      </c>
      <c r="G14" s="21">
        <v>0</v>
      </c>
      <c r="H14" s="42">
        <v>9.5299999999999994</v>
      </c>
      <c r="I14" s="41" cm="1">
        <f t="array" ref="I14:I20">F14:F20-$F$21</f>
        <v>1.1357820097244726</v>
      </c>
      <c r="J14" s="21" cm="1">
        <f t="array" ref="J14:J20">G14:G20-$G$21</f>
        <v>1.4772420313344142E-3</v>
      </c>
      <c r="K14" s="42" cm="1">
        <f t="array" ref="K14:K20">H14:H20-$H$21</f>
        <v>1.5472707320367345</v>
      </c>
      <c r="L14" s="35" cm="1">
        <f t="array" ref="L14:L20">E14:E20*(_xlfn.ANCHORARRAY(J14)^2+_xlfn.ANCHORARRAY(K14)^2)</f>
        <v>234.09010148712659</v>
      </c>
      <c r="M14" s="22" cm="1">
        <f t="array" ref="M14:M20">E14:E20*(_xlfn.ANCHORARRAY(I14)^2+_xlfn.ANCHORARRAY(K14)^2)</f>
        <v>360.22616375126</v>
      </c>
      <c r="N14" s="23" cm="1">
        <f t="array" ref="N14:N20">E14:E20*(_xlfn.ANCHORARRAY(I14)^2+_xlfn.ANCHORARRAY(J14)^2)</f>
        <v>126.13648902377383</v>
      </c>
      <c r="O14" s="25">
        <v>50</v>
      </c>
      <c r="P14" s="26">
        <v>24</v>
      </c>
      <c r="Q14" s="26">
        <v>8</v>
      </c>
      <c r="R14" s="35" cm="1">
        <f t="array" ref="R14:R20">((Q14:Q20^2+P14:P20^2)/12)*E14:E20</f>
        <v>5214.9333333333334</v>
      </c>
      <c r="S14" s="22" cm="1">
        <f t="array" ref="S14:S20">((Q14:Q20^2+O14:O20^2)/12)*E14:E20</f>
        <v>20892.326666666668</v>
      </c>
      <c r="T14" s="23" cm="1">
        <f t="array" ref="T14:T20">((P14:P20^2+O14:O20^2)/12)*E14:E20</f>
        <v>25064.273333333331</v>
      </c>
    </row>
    <row r="15" spans="2:20" x14ac:dyDescent="0.25">
      <c r="B15" s="16">
        <v>2</v>
      </c>
      <c r="C15" s="17" t="s">
        <v>63</v>
      </c>
      <c r="D15" s="27"/>
      <c r="E15" s="24">
        <v>64.42</v>
      </c>
      <c r="F15" s="41">
        <v>35.659999999999997</v>
      </c>
      <c r="G15" s="21">
        <v>0</v>
      </c>
      <c r="H15" s="42">
        <v>9.11</v>
      </c>
      <c r="I15" s="41">
        <v>-1.3842179902755305</v>
      </c>
      <c r="J15" s="21">
        <v>1.4772420313344142E-3</v>
      </c>
      <c r="K15" s="42">
        <v>1.1272707320367346</v>
      </c>
      <c r="L15" s="35">
        <v>81.861166499173166</v>
      </c>
      <c r="M15" s="22">
        <v>205.29357534030191</v>
      </c>
      <c r="N15" s="23">
        <v>123.43269000144817</v>
      </c>
      <c r="O15" s="25">
        <v>50</v>
      </c>
      <c r="P15" s="26">
        <v>28</v>
      </c>
      <c r="Q15" s="26">
        <v>20</v>
      </c>
      <c r="R15" s="35">
        <v>6356.1066666666675</v>
      </c>
      <c r="S15" s="22">
        <v>15568.166666666666</v>
      </c>
      <c r="T15" s="23">
        <v>17629.606666666667</v>
      </c>
    </row>
    <row r="16" spans="2:20" x14ac:dyDescent="0.25">
      <c r="B16" s="16">
        <v>3</v>
      </c>
      <c r="C16" s="17" t="s">
        <v>64</v>
      </c>
      <c r="D16" s="27"/>
      <c r="E16" s="24">
        <v>6.25</v>
      </c>
      <c r="F16" s="41">
        <v>48.92</v>
      </c>
      <c r="G16" s="21">
        <v>-7.0000000000000007E-2</v>
      </c>
      <c r="H16" s="42">
        <v>15.87</v>
      </c>
      <c r="I16" s="41">
        <v>11.875782009724475</v>
      </c>
      <c r="J16" s="21">
        <v>-6.8522757968665596E-2</v>
      </c>
      <c r="K16" s="42">
        <v>7.8872707320367343</v>
      </c>
      <c r="L16" s="35">
        <v>388.83584355501824</v>
      </c>
      <c r="M16" s="22">
        <v>1270.2702371433672</v>
      </c>
      <c r="N16" s="23">
        <v>881.49308569284437</v>
      </c>
      <c r="O16" s="25">
        <v>75</v>
      </c>
      <c r="P16" s="26">
        <v>28</v>
      </c>
      <c r="Q16" s="26">
        <v>12</v>
      </c>
      <c r="R16" s="35">
        <v>483.33333333333331</v>
      </c>
      <c r="S16" s="22">
        <v>3004.6875</v>
      </c>
      <c r="T16" s="23">
        <v>3338.0208333333335</v>
      </c>
    </row>
    <row r="17" spans="2:22" x14ac:dyDescent="0.25">
      <c r="B17" s="16">
        <v>4</v>
      </c>
      <c r="C17" s="17" t="s">
        <v>75</v>
      </c>
      <c r="D17" s="27"/>
      <c r="E17" s="24">
        <v>0.36</v>
      </c>
      <c r="F17" s="41">
        <v>50</v>
      </c>
      <c r="G17" s="21">
        <v>0</v>
      </c>
      <c r="H17" s="42">
        <v>14.5</v>
      </c>
      <c r="I17" s="41">
        <v>12.955782009724473</v>
      </c>
      <c r="J17" s="21">
        <v>1.4772420313344142E-3</v>
      </c>
      <c r="K17" s="42">
        <v>6.5172707320367351</v>
      </c>
      <c r="L17" s="35">
        <v>15.290935191686396</v>
      </c>
      <c r="M17" s="22">
        <v>75.717757900138665</v>
      </c>
      <c r="N17" s="23">
        <v>60.426824279667962</v>
      </c>
      <c r="O17" s="25">
        <v>1</v>
      </c>
      <c r="P17" s="26">
        <v>1</v>
      </c>
      <c r="Q17" s="26">
        <v>1</v>
      </c>
      <c r="R17" s="35">
        <v>0.06</v>
      </c>
      <c r="S17" s="22">
        <v>0.06</v>
      </c>
      <c r="T17" s="23">
        <v>0.06</v>
      </c>
    </row>
    <row r="18" spans="2:22" x14ac:dyDescent="0.25">
      <c r="B18" s="16">
        <v>5</v>
      </c>
      <c r="C18" s="17" t="s">
        <v>74</v>
      </c>
      <c r="D18" s="27"/>
      <c r="E18" s="24">
        <v>0.42</v>
      </c>
      <c r="F18" s="41">
        <v>45</v>
      </c>
      <c r="G18" s="21">
        <v>0</v>
      </c>
      <c r="H18" s="42">
        <v>12</v>
      </c>
      <c r="I18" s="41">
        <v>7.9557820097244729</v>
      </c>
      <c r="J18" s="21">
        <v>1.4772420313344142E-3</v>
      </c>
      <c r="K18" s="42">
        <v>4.0172707320367351</v>
      </c>
      <c r="L18" s="35">
        <v>6.7781558530236525</v>
      </c>
      <c r="M18" s="22">
        <v>33.361831238708504</v>
      </c>
      <c r="N18" s="23">
        <v>26.583677218769829</v>
      </c>
      <c r="O18" s="25">
        <v>5</v>
      </c>
      <c r="P18" s="26">
        <v>5</v>
      </c>
      <c r="Q18" s="26">
        <v>5</v>
      </c>
      <c r="R18" s="35">
        <v>1.75</v>
      </c>
      <c r="S18" s="22">
        <v>1.75</v>
      </c>
      <c r="T18" s="23">
        <v>1.75</v>
      </c>
    </row>
    <row r="19" spans="2:22" x14ac:dyDescent="0.25">
      <c r="B19" s="16">
        <v>6</v>
      </c>
      <c r="C19" s="17" t="s">
        <v>57</v>
      </c>
      <c r="D19" s="27"/>
      <c r="E19" s="24">
        <v>18</v>
      </c>
      <c r="F19" s="41">
        <v>40</v>
      </c>
      <c r="G19" s="21">
        <v>0</v>
      </c>
      <c r="H19" s="42">
        <v>7</v>
      </c>
      <c r="I19" s="41">
        <v>2.9557820097244729</v>
      </c>
      <c r="J19" s="21">
        <v>1.4772420313344142E-3</v>
      </c>
      <c r="K19" s="42">
        <v>-0.98272926796326487</v>
      </c>
      <c r="L19" s="35">
        <v>17.383661934401403</v>
      </c>
      <c r="M19" s="22">
        <v>174.64327385620425</v>
      </c>
      <c r="N19" s="23">
        <v>157.25969048258753</v>
      </c>
      <c r="O19" s="25">
        <v>35</v>
      </c>
      <c r="P19" s="26">
        <v>20</v>
      </c>
      <c r="Q19" s="26">
        <v>10</v>
      </c>
      <c r="R19" s="35">
        <v>750</v>
      </c>
      <c r="S19" s="22">
        <v>1987.5</v>
      </c>
      <c r="T19" s="23">
        <v>2437.5</v>
      </c>
    </row>
    <row r="20" spans="2:22" x14ac:dyDescent="0.25">
      <c r="B20" s="16">
        <v>7</v>
      </c>
      <c r="C20" s="17" t="s">
        <v>37</v>
      </c>
      <c r="D20" s="28"/>
      <c r="E20" s="24">
        <v>108.93</v>
      </c>
      <c r="F20" s="41">
        <v>35.6</v>
      </c>
      <c r="G20" s="21">
        <v>0</v>
      </c>
      <c r="H20" s="42">
        <v>5.6</v>
      </c>
      <c r="I20" s="41">
        <v>-1.4442179902755257</v>
      </c>
      <c r="J20" s="21">
        <v>1.4772420313344142E-3</v>
      </c>
      <c r="K20" s="42">
        <v>-2.3827292679632652</v>
      </c>
      <c r="L20" s="35">
        <v>618.43928511888703</v>
      </c>
      <c r="M20" s="22">
        <v>845.64149458927272</v>
      </c>
      <c r="N20" s="23">
        <v>227.20268489406769</v>
      </c>
      <c r="O20" s="25">
        <v>75</v>
      </c>
      <c r="P20" s="26">
        <v>28</v>
      </c>
      <c r="Q20" s="26">
        <v>10</v>
      </c>
      <c r="R20" s="35">
        <v>8024.5100000000011</v>
      </c>
      <c r="S20" s="22">
        <v>51968.6875</v>
      </c>
      <c r="T20" s="23">
        <v>58177.697500000009</v>
      </c>
      <c r="V20" s="83"/>
    </row>
    <row r="21" spans="2:22" ht="18.75" x14ac:dyDescent="0.25">
      <c r="B21" s="49"/>
      <c r="C21" s="50"/>
      <c r="D21" s="71" t="s">
        <v>13</v>
      </c>
      <c r="E21" s="66">
        <f>SUM(E14:E20)</f>
        <v>296.15999999999997</v>
      </c>
      <c r="F21" s="70">
        <f>SUMPRODUCT(E14:E20,F14:F20)/E21</f>
        <v>37.044217990275527</v>
      </c>
      <c r="G21" s="67">
        <f>SUMPRODUCT($E$14:$E$20,G14:G20)/$E$21</f>
        <v>-1.4772420313344142E-3</v>
      </c>
      <c r="H21" s="68">
        <f>SUMPRODUCT($E$14:$E$20,H14:H20)/$E$21</f>
        <v>7.9827292679632649</v>
      </c>
      <c r="I21" s="36"/>
      <c r="J21" s="37"/>
      <c r="K21" s="38"/>
      <c r="L21" s="36">
        <f>SUM(L14:L20)</f>
        <v>1362.6791496393164</v>
      </c>
      <c r="M21" s="37">
        <f>SUM(M14:M20)</f>
        <v>2965.1543338192532</v>
      </c>
      <c r="N21" s="38">
        <f>SUM(N14:N20)</f>
        <v>1602.5351415931596</v>
      </c>
      <c r="O21" s="36"/>
      <c r="P21" s="37"/>
      <c r="Q21" s="43"/>
      <c r="R21" s="36">
        <f>SUM(L14:L20,R14:R20)</f>
        <v>22193.372482972653</v>
      </c>
      <c r="S21" s="37">
        <f>SUM(M14:M20,S14:S20)</f>
        <v>96388.332667152587</v>
      </c>
      <c r="T21" s="38">
        <f>SUM(N14:N20,T14:T20)</f>
        <v>108251.44347492649</v>
      </c>
    </row>
    <row r="22" spans="2:22" x14ac:dyDescent="0.25">
      <c r="B22" s="51"/>
      <c r="C22" s="52" t="s">
        <v>65</v>
      </c>
      <c r="D22" s="52"/>
      <c r="E22" s="52"/>
      <c r="F22" s="52"/>
      <c r="G22" s="52"/>
      <c r="H22" s="52"/>
      <c r="I22" s="52"/>
      <c r="J22" s="52"/>
      <c r="K22" s="52"/>
      <c r="L22" s="52"/>
      <c r="M22" s="52"/>
      <c r="N22" s="52"/>
      <c r="O22" s="53"/>
      <c r="P22" s="53"/>
      <c r="Q22" s="53"/>
      <c r="R22" s="53"/>
      <c r="S22" s="53"/>
      <c r="T22" s="54"/>
    </row>
    <row r="23" spans="2:22" ht="18" x14ac:dyDescent="0.25">
      <c r="B23" s="72" t="s">
        <v>36</v>
      </c>
      <c r="C23" s="55"/>
      <c r="D23" s="55"/>
      <c r="E23" s="55"/>
      <c r="F23" s="55"/>
      <c r="G23" s="55"/>
      <c r="H23" s="55"/>
      <c r="I23" s="55"/>
      <c r="J23" s="55"/>
      <c r="K23" s="55"/>
      <c r="L23" s="55"/>
      <c r="M23" s="55"/>
      <c r="N23" s="55"/>
      <c r="O23" s="56"/>
      <c r="P23" s="56"/>
      <c r="Q23" s="56"/>
      <c r="R23" s="56"/>
      <c r="S23" s="56"/>
      <c r="T23" s="57"/>
    </row>
    <row r="24" spans="2:22" x14ac:dyDescent="0.25">
      <c r="B24" s="73" t="s">
        <v>33</v>
      </c>
      <c r="C24" s="74">
        <f>E21</f>
        <v>296.15999999999997</v>
      </c>
      <c r="D24" s="75" t="s">
        <v>49</v>
      </c>
      <c r="E24" s="2"/>
      <c r="F24" s="76" t="s">
        <v>34</v>
      </c>
      <c r="G24" s="2"/>
      <c r="H24" s="2"/>
      <c r="I24" s="2"/>
      <c r="J24" s="76" t="s">
        <v>35</v>
      </c>
      <c r="K24" s="2"/>
      <c r="L24" s="2"/>
      <c r="M24" s="2"/>
      <c r="N24" s="2"/>
      <c r="T24" s="59"/>
    </row>
    <row r="25" spans="2:22" x14ac:dyDescent="0.25">
      <c r="B25" s="58" t="s">
        <v>14</v>
      </c>
      <c r="C25" s="77">
        <f>SUM(_xlfn.ANCHORARRAY(L14),_xlfn.ANCHORARRAY(R14))</f>
        <v>22193.372482972653</v>
      </c>
      <c r="D25" s="29" t="s">
        <v>50</v>
      </c>
      <c r="F25" s="78" t="s">
        <v>15</v>
      </c>
      <c r="G25" s="82">
        <f>SQRT(C25/E21)</f>
        <v>8.6566219276056842</v>
      </c>
      <c r="H25" s="75" t="s">
        <v>38</v>
      </c>
      <c r="I25" s="29"/>
      <c r="J25" s="78" t="s">
        <v>24</v>
      </c>
      <c r="K25" s="82">
        <f>F21</f>
        <v>37.044217990275527</v>
      </c>
      <c r="L25" s="75" t="str">
        <f>"ft, "&amp;$I$7</f>
        <v>ft, Fr. 0, + Fwd.</v>
      </c>
      <c r="M25" s="78"/>
      <c r="N25" s="2"/>
      <c r="T25" s="59"/>
    </row>
    <row r="26" spans="2:22" x14ac:dyDescent="0.25">
      <c r="B26" s="58" t="s">
        <v>16</v>
      </c>
      <c r="C26" s="77">
        <f>SUM(_xlfn.ANCHORARRAY(M14),_xlfn.ANCHORARRAY(S14))</f>
        <v>96388.332667152587</v>
      </c>
      <c r="D26" s="29" t="s">
        <v>50</v>
      </c>
      <c r="F26" s="78" t="s">
        <v>17</v>
      </c>
      <c r="G26" s="82">
        <f>SQRT(C26/E21)</f>
        <v>18.040519241571527</v>
      </c>
      <c r="H26" s="75" t="s">
        <v>38</v>
      </c>
      <c r="I26" s="29"/>
      <c r="J26" s="78" t="s">
        <v>23</v>
      </c>
      <c r="K26" s="82">
        <f>G21</f>
        <v>-1.4772420313344142E-3</v>
      </c>
      <c r="L26" s="75" t="str">
        <f>"ft, "&amp;$I$8</f>
        <v>ft, CL, + Port</v>
      </c>
      <c r="M26" s="78"/>
      <c r="N26" s="2"/>
      <c r="T26" s="59"/>
    </row>
    <row r="27" spans="2:22" x14ac:dyDescent="0.25">
      <c r="B27" s="58" t="s">
        <v>18</v>
      </c>
      <c r="C27" s="77">
        <f>SUM(_xlfn.ANCHORARRAY(N14),_xlfn.ANCHORARRAY(T14))</f>
        <v>108251.44347492649</v>
      </c>
      <c r="D27" s="29" t="s">
        <v>50</v>
      </c>
      <c r="F27" s="78" t="s">
        <v>19</v>
      </c>
      <c r="G27" s="82">
        <f>SQRT(C27/E21)</f>
        <v>19.118492603686569</v>
      </c>
      <c r="H27" s="75" t="s">
        <v>38</v>
      </c>
      <c r="I27" s="29"/>
      <c r="J27" s="78" t="s">
        <v>25</v>
      </c>
      <c r="K27" s="82">
        <f>H21</f>
        <v>7.9827292679632649</v>
      </c>
      <c r="L27" s="75" t="str">
        <f>"ft, "&amp;$I$9</f>
        <v>ft, ABL, + Up</v>
      </c>
      <c r="M27" s="78"/>
      <c r="T27" s="59"/>
    </row>
    <row r="28" spans="2:22" x14ac:dyDescent="0.25">
      <c r="B28" s="79"/>
      <c r="C28" s="80"/>
      <c r="D28" s="80"/>
      <c r="E28" s="80"/>
      <c r="F28" s="80"/>
      <c r="G28" s="80"/>
      <c r="H28" s="80"/>
      <c r="I28" s="80"/>
      <c r="J28" s="80"/>
      <c r="K28" s="80"/>
      <c r="L28" s="80"/>
      <c r="M28" s="80"/>
      <c r="N28" s="80"/>
      <c r="O28" s="80"/>
      <c r="P28" s="80"/>
      <c r="Q28" s="80"/>
      <c r="R28" s="80"/>
      <c r="S28" s="80"/>
      <c r="T28" s="81"/>
    </row>
    <row r="31" spans="2:22" ht="18" x14ac:dyDescent="0.25">
      <c r="B31" s="18" t="s">
        <v>56</v>
      </c>
      <c r="C31" s="5"/>
      <c r="D31" s="5"/>
      <c r="E31" s="6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106" t="s">
        <v>0</v>
      </c>
      <c r="S31" s="107"/>
      <c r="T31" s="108"/>
    </row>
    <row r="32" spans="2:22" ht="15.75" customHeight="1" x14ac:dyDescent="0.25">
      <c r="B32" s="109" t="s">
        <v>1</v>
      </c>
      <c r="C32" s="111" t="s">
        <v>2</v>
      </c>
      <c r="D32" s="46"/>
      <c r="E32" s="47"/>
      <c r="F32" s="113" t="s">
        <v>40</v>
      </c>
      <c r="G32" s="114"/>
      <c r="H32" s="115"/>
      <c r="I32" s="116" t="s">
        <v>3</v>
      </c>
      <c r="J32" s="117"/>
      <c r="K32" s="118"/>
      <c r="L32" s="106" t="s">
        <v>62</v>
      </c>
      <c r="M32" s="107"/>
      <c r="N32" s="108"/>
      <c r="O32" s="39" t="s">
        <v>4</v>
      </c>
      <c r="P32" s="40" t="s">
        <v>5</v>
      </c>
      <c r="Q32" s="40" t="s">
        <v>6</v>
      </c>
      <c r="R32" s="33" t="s">
        <v>7</v>
      </c>
      <c r="S32" s="15" t="s">
        <v>8</v>
      </c>
      <c r="T32" s="34" t="s">
        <v>9</v>
      </c>
    </row>
    <row r="33" spans="2:20" ht="25.5" x14ac:dyDescent="0.25">
      <c r="B33" s="110"/>
      <c r="C33" s="112"/>
      <c r="D33" s="12"/>
      <c r="E33" s="13" t="s">
        <v>39</v>
      </c>
      <c r="F33" s="69" t="s">
        <v>41</v>
      </c>
      <c r="G33" s="14" t="s">
        <v>42</v>
      </c>
      <c r="H33" s="48" t="s">
        <v>43</v>
      </c>
      <c r="I33" s="33" t="s">
        <v>10</v>
      </c>
      <c r="J33" s="15" t="s">
        <v>11</v>
      </c>
      <c r="K33" s="34" t="s">
        <v>12</v>
      </c>
      <c r="L33" s="33" t="s">
        <v>7</v>
      </c>
      <c r="M33" s="15" t="s">
        <v>8</v>
      </c>
      <c r="N33" s="34" t="s">
        <v>9</v>
      </c>
      <c r="O33" s="33" t="s">
        <v>47</v>
      </c>
      <c r="P33" s="15" t="s">
        <v>47</v>
      </c>
      <c r="Q33" s="15" t="s">
        <v>47</v>
      </c>
      <c r="R33" s="44" t="s">
        <v>48</v>
      </c>
      <c r="S33" s="19" t="s">
        <v>48</v>
      </c>
      <c r="T33" s="45" t="s">
        <v>48</v>
      </c>
    </row>
    <row r="34" spans="2:20" x14ac:dyDescent="0.25">
      <c r="B34" s="16">
        <v>1</v>
      </c>
      <c r="C34" s="17" t="s">
        <v>61</v>
      </c>
      <c r="D34" s="27"/>
      <c r="E34" s="20">
        <f t="shared" ref="E34:H36" si="0">E14</f>
        <v>97.78</v>
      </c>
      <c r="F34" s="41">
        <f t="shared" si="0"/>
        <v>38.18</v>
      </c>
      <c r="G34" s="41">
        <f t="shared" si="0"/>
        <v>0</v>
      </c>
      <c r="H34" s="41">
        <f t="shared" si="0"/>
        <v>9.5299999999999994</v>
      </c>
      <c r="I34" s="41" cm="1">
        <f t="array" ref="I34:I41">F34:F41-$F$42</f>
        <v>1.1357820097244726</v>
      </c>
      <c r="J34" s="21" cm="1">
        <f t="array" ref="J34:J41">G34:G41-$G$42</f>
        <v>-0.30012527012425716</v>
      </c>
      <c r="K34" s="42" cm="1">
        <f t="array" ref="K34:K41">H34:H41-$H$42</f>
        <v>1.528880334954076</v>
      </c>
      <c r="L34" s="35" cm="1">
        <f t="array" ref="L34:L41">E34:E41*(_xlfn.ANCHORARRAY(J34)^2+_xlfn.ANCHORARRAY(K34)^2)</f>
        <v>237.36586406848892</v>
      </c>
      <c r="M34" s="22" cm="1">
        <f t="array" ref="M34:M41">E34:E41*(_xlfn.ANCHORARRAY(I34)^2+_xlfn.ANCHORARRAY(K34)^2)</f>
        <v>354.69458883036981</v>
      </c>
      <c r="N34" s="23" cm="1">
        <f t="array" ref="N34:N41">E34:E41*(_xlfn.ANCHORARRAY(I34)^2+_xlfn.ANCHORARRAY(J34)^2)</f>
        <v>134.94382652602638</v>
      </c>
      <c r="O34" s="25">
        <f t="shared" ref="O34:Q35" si="1">O14</f>
        <v>50</v>
      </c>
      <c r="P34" s="26">
        <f t="shared" si="1"/>
        <v>24</v>
      </c>
      <c r="Q34" s="26">
        <f t="shared" si="1"/>
        <v>8</v>
      </c>
      <c r="R34" s="35" cm="1">
        <f t="array" ref="R34:R41">((Q34:Q41^2+P34:P41^2)/12)*E34:E41</f>
        <v>5214.9333333333334</v>
      </c>
      <c r="S34" s="22" cm="1">
        <f t="array" ref="S34:S41">((Q34:Q41^2+O34:O41^2)/12)*E34:E41</f>
        <v>20892.326666666668</v>
      </c>
      <c r="T34" s="23" cm="1">
        <f t="array" ref="T34:T41">((P34:P41^2+O34:O41^2)/12)*E34:E41</f>
        <v>25064.273333333331</v>
      </c>
    </row>
    <row r="35" spans="2:20" x14ac:dyDescent="0.25">
      <c r="B35" s="16">
        <v>2</v>
      </c>
      <c r="C35" s="17" t="s">
        <v>63</v>
      </c>
      <c r="D35" s="27"/>
      <c r="E35" s="20">
        <f t="shared" si="0"/>
        <v>64.42</v>
      </c>
      <c r="F35" s="41">
        <f t="shared" si="0"/>
        <v>35.659999999999997</v>
      </c>
      <c r="G35" s="21">
        <f t="shared" si="0"/>
        <v>0</v>
      </c>
      <c r="H35" s="42">
        <f t="shared" si="0"/>
        <v>9.11</v>
      </c>
      <c r="I35" s="41">
        <v>-1.3842179902755305</v>
      </c>
      <c r="J35" s="21">
        <v>-0.30012527012425716</v>
      </c>
      <c r="K35" s="42">
        <v>1.1088803349540761</v>
      </c>
      <c r="L35" s="35">
        <v>85.014479726467727</v>
      </c>
      <c r="M35" s="22">
        <v>202.64438619599588</v>
      </c>
      <c r="N35" s="23">
        <v>129.23519237304879</v>
      </c>
      <c r="O35" s="25">
        <f t="shared" si="1"/>
        <v>50</v>
      </c>
      <c r="P35" s="26">
        <f t="shared" si="1"/>
        <v>28</v>
      </c>
      <c r="Q35" s="26">
        <f t="shared" si="1"/>
        <v>20</v>
      </c>
      <c r="R35" s="35">
        <v>6356.1066666666675</v>
      </c>
      <c r="S35" s="22">
        <v>15568.166666666666</v>
      </c>
      <c r="T35" s="23">
        <v>17629.606666666667</v>
      </c>
    </row>
    <row r="36" spans="2:20" x14ac:dyDescent="0.25">
      <c r="B36" s="16">
        <v>3</v>
      </c>
      <c r="C36" s="17" t="s">
        <v>64</v>
      </c>
      <c r="D36" s="27"/>
      <c r="E36" s="24">
        <f t="shared" si="0"/>
        <v>6.25</v>
      </c>
      <c r="F36" s="41">
        <f t="shared" si="0"/>
        <v>48.92</v>
      </c>
      <c r="G36" s="21">
        <f t="shared" si="0"/>
        <v>-7.0000000000000007E-2</v>
      </c>
      <c r="H36" s="42">
        <f t="shared" si="0"/>
        <v>15.87</v>
      </c>
      <c r="I36" s="41">
        <v>11.875782009724475</v>
      </c>
      <c r="J36" s="21">
        <v>-0.37012527012425717</v>
      </c>
      <c r="K36" s="42">
        <v>7.8688803349540759</v>
      </c>
      <c r="L36" s="35">
        <v>387.85169025882203</v>
      </c>
      <c r="M36" s="22">
        <v>1268.4592254270153</v>
      </c>
      <c r="N36" s="23">
        <v>882.31994411300002</v>
      </c>
      <c r="O36" s="25">
        <f t="shared" ref="O36:Q36" si="2">O16</f>
        <v>75</v>
      </c>
      <c r="P36" s="26">
        <f t="shared" si="2"/>
        <v>28</v>
      </c>
      <c r="Q36" s="26">
        <f t="shared" si="2"/>
        <v>12</v>
      </c>
      <c r="R36" s="35">
        <v>483.33333333333331</v>
      </c>
      <c r="S36" s="22">
        <v>3004.6875</v>
      </c>
      <c r="T36" s="23">
        <v>3338.0208333333335</v>
      </c>
    </row>
    <row r="37" spans="2:20" x14ac:dyDescent="0.25">
      <c r="B37" s="16">
        <v>4</v>
      </c>
      <c r="C37" s="17" t="s">
        <v>75</v>
      </c>
      <c r="D37" s="27"/>
      <c r="E37" s="24">
        <v>0.36</v>
      </c>
      <c r="F37" s="41">
        <v>50</v>
      </c>
      <c r="G37" s="21">
        <v>0</v>
      </c>
      <c r="H37" s="42">
        <v>14.5</v>
      </c>
      <c r="I37" s="41">
        <v>12.955782009724473</v>
      </c>
      <c r="J37" s="21">
        <v>-0.30012527012425716</v>
      </c>
      <c r="K37" s="42">
        <v>6.4988803349540767</v>
      </c>
      <c r="L37" s="35">
        <v>15.237187482895191</v>
      </c>
      <c r="M37" s="22">
        <v>75.631583912959115</v>
      </c>
      <c r="N37" s="23">
        <v>60.459250558056283</v>
      </c>
      <c r="O37" s="25">
        <v>1</v>
      </c>
      <c r="P37" s="26">
        <v>1</v>
      </c>
      <c r="Q37" s="26">
        <v>1</v>
      </c>
      <c r="R37" s="35">
        <v>0.06</v>
      </c>
      <c r="S37" s="22">
        <v>0.06</v>
      </c>
      <c r="T37" s="23">
        <v>0.06</v>
      </c>
    </row>
    <row r="38" spans="2:20" x14ac:dyDescent="0.25">
      <c r="B38" s="16">
        <v>5</v>
      </c>
      <c r="C38" s="17" t="s">
        <v>74</v>
      </c>
      <c r="D38" s="27"/>
      <c r="E38" s="24">
        <v>0.42</v>
      </c>
      <c r="F38" s="41">
        <v>45</v>
      </c>
      <c r="G38" s="21">
        <v>0</v>
      </c>
      <c r="H38" s="42">
        <v>12</v>
      </c>
      <c r="I38" s="41">
        <v>7.9557820097244729</v>
      </c>
      <c r="J38" s="21">
        <v>-0.30012527012425716</v>
      </c>
      <c r="K38" s="42">
        <v>3.9988803349540767</v>
      </c>
      <c r="L38" s="35">
        <v>6.7540700266408269</v>
      </c>
      <c r="M38" s="22">
        <v>33.299914754205957</v>
      </c>
      <c r="N38" s="23">
        <v>26.621507876889549</v>
      </c>
      <c r="O38" s="25">
        <v>5</v>
      </c>
      <c r="P38" s="26">
        <v>5</v>
      </c>
      <c r="Q38" s="26">
        <v>5</v>
      </c>
      <c r="R38" s="35">
        <v>1.75</v>
      </c>
      <c r="S38" s="22">
        <v>1.75</v>
      </c>
      <c r="T38" s="23">
        <v>1.75</v>
      </c>
    </row>
    <row r="39" spans="2:20" x14ac:dyDescent="0.25">
      <c r="B39" s="16">
        <v>6</v>
      </c>
      <c r="C39" s="17" t="s">
        <v>57</v>
      </c>
      <c r="D39" s="27"/>
      <c r="E39" s="24">
        <f t="shared" ref="E39:H39" si="3">E19</f>
        <v>18</v>
      </c>
      <c r="F39" s="41">
        <f t="shared" si="3"/>
        <v>40</v>
      </c>
      <c r="G39" s="21">
        <f t="shared" si="3"/>
        <v>0</v>
      </c>
      <c r="H39" s="42">
        <f t="shared" si="3"/>
        <v>7</v>
      </c>
      <c r="I39" s="41">
        <v>2.9557820097244729</v>
      </c>
      <c r="J39" s="21">
        <v>-0.30012527012425716</v>
      </c>
      <c r="K39" s="42">
        <v>-1.0011196650459233</v>
      </c>
      <c r="L39" s="35">
        <v>19.661683707158758</v>
      </c>
      <c r="M39" s="22">
        <v>175.29998170954508</v>
      </c>
      <c r="N39" s="23">
        <v>158.88100440200401</v>
      </c>
      <c r="O39" s="25">
        <f t="shared" ref="O39:Q39" si="4">O19</f>
        <v>35</v>
      </c>
      <c r="P39" s="26">
        <f t="shared" si="4"/>
        <v>20</v>
      </c>
      <c r="Q39" s="26">
        <f t="shared" si="4"/>
        <v>10</v>
      </c>
      <c r="R39" s="35">
        <v>750</v>
      </c>
      <c r="S39" s="22">
        <v>1987.5</v>
      </c>
      <c r="T39" s="23">
        <v>2437.5</v>
      </c>
    </row>
    <row r="40" spans="2:20" x14ac:dyDescent="0.25">
      <c r="B40" s="16">
        <v>7</v>
      </c>
      <c r="C40" s="17" t="s">
        <v>37</v>
      </c>
      <c r="D40" s="27"/>
      <c r="E40" s="24">
        <f t="shared" ref="E40" si="5">E20</f>
        <v>108.93</v>
      </c>
      <c r="F40" s="41">
        <f>F20</f>
        <v>35.6</v>
      </c>
      <c r="G40" s="21">
        <v>0.82</v>
      </c>
      <c r="H40" s="42">
        <v>5.65</v>
      </c>
      <c r="I40" s="41">
        <v>-1.4442179902755257</v>
      </c>
      <c r="J40" s="21">
        <v>0.51987472987574279</v>
      </c>
      <c r="K40" s="42">
        <v>-2.351119665045923</v>
      </c>
      <c r="L40" s="35">
        <v>631.57977980107512</v>
      </c>
      <c r="M40" s="22">
        <v>829.34174477552733</v>
      </c>
      <c r="N40" s="23">
        <v>256.64292939000131</v>
      </c>
      <c r="O40" s="25">
        <f t="shared" ref="O40:Q40" si="6">O20</f>
        <v>75</v>
      </c>
      <c r="P40" s="26">
        <f t="shared" si="6"/>
        <v>28</v>
      </c>
      <c r="Q40" s="26">
        <f t="shared" si="6"/>
        <v>10</v>
      </c>
      <c r="R40" s="35">
        <v>8024.5100000000011</v>
      </c>
      <c r="S40" s="22">
        <v>51968.6875</v>
      </c>
      <c r="T40" s="23">
        <v>58177.697500000009</v>
      </c>
    </row>
    <row r="41" spans="2:20" x14ac:dyDescent="0.25">
      <c r="B41" s="16">
        <v>8</v>
      </c>
      <c r="C41" s="17" t="s">
        <v>60</v>
      </c>
      <c r="D41" s="28"/>
      <c r="E41" s="24">
        <v>0</v>
      </c>
      <c r="F41" s="41">
        <v>0</v>
      </c>
      <c r="G41" s="21">
        <v>0</v>
      </c>
      <c r="H41" s="42">
        <v>0</v>
      </c>
      <c r="I41" s="41">
        <v>-37.044217990275527</v>
      </c>
      <c r="J41" s="21">
        <v>-0.30012527012425716</v>
      </c>
      <c r="K41" s="42">
        <v>-8.0011196650459233</v>
      </c>
      <c r="L41" s="35">
        <v>0</v>
      </c>
      <c r="M41" s="22">
        <v>0</v>
      </c>
      <c r="N41" s="23">
        <v>0</v>
      </c>
      <c r="O41" s="25">
        <v>24</v>
      </c>
      <c r="P41" s="26">
        <v>23.34</v>
      </c>
      <c r="Q41" s="26">
        <v>1.5</v>
      </c>
      <c r="R41" s="35">
        <v>0</v>
      </c>
      <c r="S41" s="22">
        <v>0</v>
      </c>
      <c r="T41" s="23">
        <v>0</v>
      </c>
    </row>
    <row r="42" spans="2:20" ht="18.75" x14ac:dyDescent="0.25">
      <c r="B42" s="49"/>
      <c r="C42" s="50"/>
      <c r="D42" s="71" t="s">
        <v>13</v>
      </c>
      <c r="E42" s="66">
        <f>SUM(E34:E41)</f>
        <v>296.15999999999997</v>
      </c>
      <c r="F42" s="70">
        <f>SUMPRODUCT(E34:E41,F34:F41)/E42</f>
        <v>37.044217990275527</v>
      </c>
      <c r="G42" s="67">
        <f>SUMPRODUCT(E34:E41,G34:G41)/E42</f>
        <v>0.30012527012425716</v>
      </c>
      <c r="H42" s="68">
        <f>SUMPRODUCT(E34:E41,H34:H41)/E42</f>
        <v>8.0011196650459233</v>
      </c>
      <c r="I42" s="36"/>
      <c r="J42" s="37"/>
      <c r="K42" s="38"/>
      <c r="L42" s="36">
        <f>SUM(_xlfn.ANCHORARRAY(L34))</f>
        <v>1383.4647550715486</v>
      </c>
      <c r="M42" s="37">
        <f>SUM(_xlfn.ANCHORARRAY(M34))</f>
        <v>2939.3714256056182</v>
      </c>
      <c r="N42" s="38">
        <f>SUM(_xlfn.ANCHORARRAY(N34))</f>
        <v>1649.1036552390265</v>
      </c>
      <c r="O42" s="36"/>
      <c r="P42" s="37"/>
      <c r="Q42" s="43"/>
      <c r="R42" s="36">
        <f>SUM(_xlfn.ANCHORARRAY(L34),_xlfn.ANCHORARRAY(R34))</f>
        <v>22214.158088404885</v>
      </c>
      <c r="S42" s="37">
        <f>SUM(_xlfn.ANCHORARRAY(M34),_xlfn.ANCHORARRAY(S34))</f>
        <v>96362.549758938956</v>
      </c>
      <c r="T42" s="38">
        <f>SUM(_xlfn.ANCHORARRAY(N34),_xlfn.ANCHORARRAY(T34))</f>
        <v>108298.01198857237</v>
      </c>
    </row>
    <row r="43" spans="2:20" x14ac:dyDescent="0.25">
      <c r="B43" s="51"/>
      <c r="C43" s="52"/>
      <c r="D43" s="52"/>
      <c r="E43" s="52"/>
      <c r="F43" s="52"/>
      <c r="G43" s="52"/>
      <c r="H43" s="52"/>
      <c r="I43" s="52"/>
      <c r="J43" s="52"/>
      <c r="K43" s="52"/>
      <c r="L43" s="52"/>
      <c r="M43" s="52"/>
      <c r="N43" s="52"/>
      <c r="O43" s="53"/>
      <c r="P43" s="53"/>
      <c r="Q43" s="53"/>
      <c r="R43" s="53"/>
      <c r="S43" s="53"/>
      <c r="T43" s="54"/>
    </row>
    <row r="44" spans="2:20" ht="18" x14ac:dyDescent="0.25">
      <c r="B44" s="72" t="s">
        <v>36</v>
      </c>
      <c r="C44" s="55"/>
      <c r="D44" s="55"/>
      <c r="E44" s="55"/>
      <c r="F44" s="55"/>
      <c r="G44" s="55"/>
      <c r="H44" s="55"/>
      <c r="I44" s="55"/>
      <c r="J44" s="55"/>
      <c r="K44" s="55"/>
      <c r="L44" s="55"/>
      <c r="M44" s="55"/>
      <c r="N44" s="55"/>
      <c r="O44" s="56"/>
      <c r="P44" s="56"/>
      <c r="Q44" s="56"/>
      <c r="R44" s="56"/>
      <c r="S44" s="56"/>
      <c r="T44" s="57"/>
    </row>
    <row r="45" spans="2:20" x14ac:dyDescent="0.25">
      <c r="B45" s="73" t="s">
        <v>33</v>
      </c>
      <c r="C45" s="74">
        <f>E42</f>
        <v>296.15999999999997</v>
      </c>
      <c r="D45" s="75" t="s">
        <v>49</v>
      </c>
      <c r="E45" s="2"/>
      <c r="F45" s="76" t="s">
        <v>34</v>
      </c>
      <c r="G45" s="2"/>
      <c r="H45" s="2"/>
      <c r="I45" s="2"/>
      <c r="J45" s="76" t="s">
        <v>35</v>
      </c>
      <c r="K45" s="2"/>
      <c r="L45" s="2"/>
      <c r="M45" s="2"/>
      <c r="N45" s="2"/>
      <c r="T45" s="59"/>
    </row>
    <row r="46" spans="2:20" x14ac:dyDescent="0.25">
      <c r="B46" s="58" t="s">
        <v>14</v>
      </c>
      <c r="C46" s="77">
        <f>SUM(_xlfn.ANCHORARRAY(L34),_xlfn.ANCHORARRAY(R34))</f>
        <v>22214.158088404885</v>
      </c>
      <c r="D46" s="29" t="s">
        <v>50</v>
      </c>
      <c r="F46" s="78" t="s">
        <v>15</v>
      </c>
      <c r="G46" s="82">
        <f>SQRT(C46/E42)</f>
        <v>8.6606747370133146</v>
      </c>
      <c r="H46" s="75" t="s">
        <v>38</v>
      </c>
      <c r="I46" s="29"/>
      <c r="J46" s="78" t="s">
        <v>24</v>
      </c>
      <c r="K46" s="82">
        <f>F42</f>
        <v>37.044217990275527</v>
      </c>
      <c r="L46" s="75" t="str">
        <f>"ft, "&amp;$I$7</f>
        <v>ft, Fr. 0, + Fwd.</v>
      </c>
      <c r="M46" s="78"/>
      <c r="N46" s="2"/>
      <c r="T46" s="59"/>
    </row>
    <row r="47" spans="2:20" x14ac:dyDescent="0.25">
      <c r="B47" s="58" t="s">
        <v>16</v>
      </c>
      <c r="C47" s="77">
        <f>SUM(_xlfn.ANCHORARRAY(M34),_xlfn.ANCHORARRAY(S34))</f>
        <v>96362.549758938956</v>
      </c>
      <c r="D47" s="29" t="s">
        <v>50</v>
      </c>
      <c r="F47" s="78" t="s">
        <v>17</v>
      </c>
      <c r="G47" s="82">
        <f>SQRT(C47/E42)</f>
        <v>18.038106251597068</v>
      </c>
      <c r="H47" s="75" t="s">
        <v>38</v>
      </c>
      <c r="I47" s="29"/>
      <c r="J47" s="78" t="s">
        <v>23</v>
      </c>
      <c r="K47" s="82">
        <f>G42</f>
        <v>0.30012527012425716</v>
      </c>
      <c r="L47" s="75" t="str">
        <f>"ft, "&amp;$I$8</f>
        <v>ft, CL, + Port</v>
      </c>
      <c r="M47" s="78"/>
      <c r="N47" s="2"/>
      <c r="T47" s="59"/>
    </row>
    <row r="48" spans="2:20" x14ac:dyDescent="0.25">
      <c r="B48" s="58" t="s">
        <v>18</v>
      </c>
      <c r="C48" s="77">
        <f>SUM(_xlfn.ANCHORARRAY(N34),_xlfn.ANCHORARRAY(T34))</f>
        <v>108298.01198857237</v>
      </c>
      <c r="D48" s="29" t="s">
        <v>50</v>
      </c>
      <c r="F48" s="78" t="s">
        <v>19</v>
      </c>
      <c r="G48" s="82">
        <f>SQRT(C48/E42)</f>
        <v>19.122604438246967</v>
      </c>
      <c r="H48" s="75" t="s">
        <v>38</v>
      </c>
      <c r="I48" s="29"/>
      <c r="J48" s="78" t="s">
        <v>25</v>
      </c>
      <c r="K48" s="82">
        <f>H42</f>
        <v>8.0011196650459233</v>
      </c>
      <c r="L48" s="75" t="str">
        <f>"ft, "&amp;$I$9</f>
        <v>ft, ABL, + Up</v>
      </c>
      <c r="M48" s="78"/>
      <c r="T48" s="59"/>
    </row>
    <row r="49" spans="2:20" x14ac:dyDescent="0.25">
      <c r="B49" s="79"/>
      <c r="C49" s="80"/>
      <c r="D49" s="80"/>
      <c r="E49" s="80"/>
      <c r="F49" s="80"/>
      <c r="G49" s="80"/>
      <c r="H49" s="80"/>
      <c r="I49" s="80"/>
      <c r="J49" s="80"/>
      <c r="K49" s="80"/>
      <c r="L49" s="80"/>
      <c r="M49" s="80"/>
      <c r="N49" s="80"/>
      <c r="O49" s="80"/>
      <c r="P49" s="80"/>
      <c r="Q49" s="80"/>
      <c r="R49" s="80"/>
      <c r="S49" s="80"/>
      <c r="T49" s="81"/>
    </row>
    <row r="50" spans="2:20" x14ac:dyDescent="0.25">
      <c r="B50" s="29"/>
      <c r="I50" s="29"/>
      <c r="J50" s="29"/>
    </row>
    <row r="51" spans="2:20" x14ac:dyDescent="0.25">
      <c r="B51" s="29"/>
      <c r="C51" s="29"/>
      <c r="D51" s="29"/>
      <c r="E51" s="29"/>
      <c r="F51" s="30"/>
      <c r="G51" s="31"/>
      <c r="H51" s="29"/>
      <c r="I51" s="29"/>
      <c r="J51" s="29"/>
    </row>
    <row r="52" spans="2:20" ht="18" x14ac:dyDescent="0.25">
      <c r="B52" s="18" t="s">
        <v>58</v>
      </c>
      <c r="C52" s="5"/>
      <c r="D52" s="5"/>
      <c r="E52" s="6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106" t="s">
        <v>0</v>
      </c>
      <c r="S52" s="107"/>
      <c r="T52" s="108"/>
    </row>
    <row r="53" spans="2:20" ht="15.75" customHeight="1" x14ac:dyDescent="0.25">
      <c r="B53" s="109" t="s">
        <v>1</v>
      </c>
      <c r="C53" s="111" t="s">
        <v>2</v>
      </c>
      <c r="D53" s="46"/>
      <c r="E53" s="47"/>
      <c r="F53" s="113" t="s">
        <v>40</v>
      </c>
      <c r="G53" s="114"/>
      <c r="H53" s="115"/>
      <c r="I53" s="116" t="s">
        <v>3</v>
      </c>
      <c r="J53" s="117"/>
      <c r="K53" s="118"/>
      <c r="L53" s="106" t="s">
        <v>62</v>
      </c>
      <c r="M53" s="107"/>
      <c r="N53" s="108"/>
      <c r="O53" s="39" t="s">
        <v>4</v>
      </c>
      <c r="P53" s="40" t="s">
        <v>5</v>
      </c>
      <c r="Q53" s="40" t="s">
        <v>6</v>
      </c>
      <c r="R53" s="33" t="s">
        <v>7</v>
      </c>
      <c r="S53" s="15" t="s">
        <v>8</v>
      </c>
      <c r="T53" s="34" t="s">
        <v>9</v>
      </c>
    </row>
    <row r="54" spans="2:20" ht="25.5" x14ac:dyDescent="0.25">
      <c r="B54" s="110"/>
      <c r="C54" s="112"/>
      <c r="D54" s="12"/>
      <c r="E54" s="13" t="s">
        <v>39</v>
      </c>
      <c r="F54" s="69" t="s">
        <v>41</v>
      </c>
      <c r="G54" s="14" t="s">
        <v>42</v>
      </c>
      <c r="H54" s="48" t="s">
        <v>43</v>
      </c>
      <c r="I54" s="33" t="s">
        <v>10</v>
      </c>
      <c r="J54" s="15" t="s">
        <v>11</v>
      </c>
      <c r="K54" s="34" t="s">
        <v>12</v>
      </c>
      <c r="L54" s="33" t="s">
        <v>7</v>
      </c>
      <c r="M54" s="15" t="s">
        <v>8</v>
      </c>
      <c r="N54" s="34" t="s">
        <v>9</v>
      </c>
      <c r="O54" s="33" t="s">
        <v>47</v>
      </c>
      <c r="P54" s="15" t="s">
        <v>47</v>
      </c>
      <c r="Q54" s="15" t="s">
        <v>47</v>
      </c>
      <c r="R54" s="44" t="s">
        <v>48</v>
      </c>
      <c r="S54" s="19" t="s">
        <v>48</v>
      </c>
      <c r="T54" s="45" t="s">
        <v>48</v>
      </c>
    </row>
    <row r="55" spans="2:20" x14ac:dyDescent="0.25">
      <c r="B55" s="16">
        <v>1</v>
      </c>
      <c r="C55" s="17" t="s">
        <v>61</v>
      </c>
      <c r="D55" s="27"/>
      <c r="E55" s="20">
        <f>E34</f>
        <v>97.78</v>
      </c>
      <c r="F55" s="41">
        <f t="shared" ref="F55:H55" si="7">F34</f>
        <v>38.18</v>
      </c>
      <c r="G55" s="41">
        <f t="shared" si="7"/>
        <v>0</v>
      </c>
      <c r="H55" s="41">
        <f t="shared" si="7"/>
        <v>9.5299999999999994</v>
      </c>
      <c r="I55" s="41" cm="1">
        <f t="array" ref="I55:I62">F55:F62-$F$42</f>
        <v>1.1357820097244726</v>
      </c>
      <c r="J55" s="21" cm="1">
        <f t="array" ref="J55:J62">G55:G62-$G$42</f>
        <v>-0.30012527012425716</v>
      </c>
      <c r="K55" s="42" cm="1">
        <f t="array" ref="K55:K62">H55:H62-$H$42</f>
        <v>1.528880334954076</v>
      </c>
      <c r="L55" s="35" cm="1">
        <f t="array" ref="L55:L62">E55:E62*(_xlfn.ANCHORARRAY(J55)^2+_xlfn.ANCHORARRAY(K55)^2)</f>
        <v>237.36586406848892</v>
      </c>
      <c r="M55" s="22" cm="1">
        <f t="array" ref="M55:M62">E55:E62*(_xlfn.ANCHORARRAY(I55)^2+_xlfn.ANCHORARRAY(K55)^2)</f>
        <v>354.69458883036981</v>
      </c>
      <c r="N55" s="23" cm="1">
        <f t="array" ref="N55:N62">E55:E62*(_xlfn.ANCHORARRAY(I55)^2+_xlfn.ANCHORARRAY(J55)^2)</f>
        <v>134.94382652602638</v>
      </c>
      <c r="O55" s="25">
        <f>O34</f>
        <v>50</v>
      </c>
      <c r="P55" s="25">
        <f t="shared" ref="P55:Q55" si="8">P34</f>
        <v>24</v>
      </c>
      <c r="Q55" s="25">
        <f t="shared" si="8"/>
        <v>8</v>
      </c>
      <c r="R55" s="35" cm="1">
        <f t="array" ref="R55:R62">((Q55:Q62^2+P55:P62^2)/12)*E55:E62</f>
        <v>5214.9333333333334</v>
      </c>
      <c r="S55" s="22" cm="1">
        <f t="array" ref="S55:S62">((Q55:Q62^2+O55:O62^2)/12)*E55:E62</f>
        <v>20892.326666666668</v>
      </c>
      <c r="T55" s="23" cm="1">
        <f t="array" ref="T55:T62">((P55:P62^2+O55:O62^2)/12)*E55:E62</f>
        <v>25064.273333333331</v>
      </c>
    </row>
    <row r="56" spans="2:20" x14ac:dyDescent="0.25">
      <c r="B56" s="16">
        <v>2</v>
      </c>
      <c r="C56" s="17" t="s">
        <v>63</v>
      </c>
      <c r="D56" s="27"/>
      <c r="E56" s="20">
        <f t="shared" ref="E56:H56" si="9">E35</f>
        <v>64.42</v>
      </c>
      <c r="F56" s="41">
        <f t="shared" si="9"/>
        <v>35.659999999999997</v>
      </c>
      <c r="G56" s="21">
        <f t="shared" si="9"/>
        <v>0</v>
      </c>
      <c r="H56" s="42">
        <f t="shared" si="9"/>
        <v>9.11</v>
      </c>
      <c r="I56" s="41">
        <v>-1.3842179902755305</v>
      </c>
      <c r="J56" s="21">
        <v>-0.30012527012425716</v>
      </c>
      <c r="K56" s="42">
        <v>1.1088803349540761</v>
      </c>
      <c r="L56" s="35">
        <v>85.014479726467727</v>
      </c>
      <c r="M56" s="22">
        <v>202.64438619599588</v>
      </c>
      <c r="N56" s="23">
        <v>129.23519237304879</v>
      </c>
      <c r="O56" s="25">
        <f t="shared" ref="O56:Q56" si="10">O35</f>
        <v>50</v>
      </c>
      <c r="P56" s="26">
        <f t="shared" si="10"/>
        <v>28</v>
      </c>
      <c r="Q56" s="26">
        <f t="shared" si="10"/>
        <v>20</v>
      </c>
      <c r="R56" s="35">
        <v>6356.1066666666675</v>
      </c>
      <c r="S56" s="22">
        <v>15568.166666666666</v>
      </c>
      <c r="T56" s="23">
        <v>17629.606666666667</v>
      </c>
    </row>
    <row r="57" spans="2:20" x14ac:dyDescent="0.25">
      <c r="B57" s="16">
        <v>3</v>
      </c>
      <c r="C57" s="17" t="s">
        <v>64</v>
      </c>
      <c r="D57" s="27"/>
      <c r="E57" s="24">
        <f t="shared" ref="E57:H57" si="11">E36</f>
        <v>6.25</v>
      </c>
      <c r="F57" s="41">
        <f t="shared" si="11"/>
        <v>48.92</v>
      </c>
      <c r="G57" s="21">
        <f t="shared" si="11"/>
        <v>-7.0000000000000007E-2</v>
      </c>
      <c r="H57" s="42">
        <f t="shared" si="11"/>
        <v>15.87</v>
      </c>
      <c r="I57" s="41">
        <v>11.875782009724475</v>
      </c>
      <c r="J57" s="21">
        <v>-0.37012527012425717</v>
      </c>
      <c r="K57" s="42">
        <v>7.8688803349540759</v>
      </c>
      <c r="L57" s="35">
        <v>387.85169025882203</v>
      </c>
      <c r="M57" s="22">
        <v>1268.4592254270153</v>
      </c>
      <c r="N57" s="23">
        <v>882.31994411300002</v>
      </c>
      <c r="O57" s="25">
        <f t="shared" ref="O57:Q57" si="12">O36</f>
        <v>75</v>
      </c>
      <c r="P57" s="26">
        <f t="shared" si="12"/>
        <v>28</v>
      </c>
      <c r="Q57" s="26">
        <f t="shared" si="12"/>
        <v>12</v>
      </c>
      <c r="R57" s="35">
        <v>483.33333333333331</v>
      </c>
      <c r="S57" s="22">
        <v>3004.6875</v>
      </c>
      <c r="T57" s="23">
        <v>3338.0208333333335</v>
      </c>
    </row>
    <row r="58" spans="2:20" x14ac:dyDescent="0.25">
      <c r="B58" s="16">
        <v>4</v>
      </c>
      <c r="C58" s="17" t="s">
        <v>75</v>
      </c>
      <c r="D58" s="27"/>
      <c r="E58" s="24">
        <v>0.36</v>
      </c>
      <c r="F58" s="41">
        <v>50</v>
      </c>
      <c r="G58" s="21">
        <v>0</v>
      </c>
      <c r="H58" s="42">
        <v>14.5</v>
      </c>
      <c r="I58" s="41">
        <v>12.955782009724473</v>
      </c>
      <c r="J58" s="21">
        <v>-0.30012527012425716</v>
      </c>
      <c r="K58" s="42">
        <v>6.4988803349540767</v>
      </c>
      <c r="L58" s="35">
        <v>15.237187482895191</v>
      </c>
      <c r="M58" s="22">
        <v>75.631583912959115</v>
      </c>
      <c r="N58" s="23">
        <v>60.459250558056283</v>
      </c>
      <c r="O58" s="25">
        <v>1</v>
      </c>
      <c r="P58" s="26">
        <v>1</v>
      </c>
      <c r="Q58" s="26">
        <v>1</v>
      </c>
      <c r="R58" s="35">
        <v>0.06</v>
      </c>
      <c r="S58" s="22">
        <v>0.06</v>
      </c>
      <c r="T58" s="23">
        <v>0.06</v>
      </c>
    </row>
    <row r="59" spans="2:20" x14ac:dyDescent="0.25">
      <c r="B59" s="16">
        <v>5</v>
      </c>
      <c r="C59" s="17" t="s">
        <v>74</v>
      </c>
      <c r="D59" s="27"/>
      <c r="E59" s="24">
        <v>0.42</v>
      </c>
      <c r="F59" s="41">
        <v>45</v>
      </c>
      <c r="G59" s="21">
        <v>0</v>
      </c>
      <c r="H59" s="42">
        <v>12</v>
      </c>
      <c r="I59" s="41">
        <v>7.9557820097244729</v>
      </c>
      <c r="J59" s="21">
        <v>-0.30012527012425716</v>
      </c>
      <c r="K59" s="42">
        <v>3.9988803349540767</v>
      </c>
      <c r="L59" s="35">
        <v>6.7540700266408269</v>
      </c>
      <c r="M59" s="22">
        <v>33.299914754205957</v>
      </c>
      <c r="N59" s="23">
        <v>26.621507876889549</v>
      </c>
      <c r="O59" s="25">
        <v>5</v>
      </c>
      <c r="P59" s="26">
        <v>5</v>
      </c>
      <c r="Q59" s="26">
        <v>5</v>
      </c>
      <c r="R59" s="35">
        <v>1.75</v>
      </c>
      <c r="S59" s="22">
        <v>1.75</v>
      </c>
      <c r="T59" s="23">
        <v>1.75</v>
      </c>
    </row>
    <row r="60" spans="2:20" x14ac:dyDescent="0.25">
      <c r="B60" s="16">
        <v>6</v>
      </c>
      <c r="C60" s="17" t="s">
        <v>57</v>
      </c>
      <c r="D60" s="27"/>
      <c r="E60" s="24">
        <f t="shared" ref="E60:H60" si="13">E39</f>
        <v>18</v>
      </c>
      <c r="F60" s="41">
        <f t="shared" si="13"/>
        <v>40</v>
      </c>
      <c r="G60" s="21">
        <f t="shared" si="13"/>
        <v>0</v>
      </c>
      <c r="H60" s="42">
        <f t="shared" si="13"/>
        <v>7</v>
      </c>
      <c r="I60" s="41">
        <v>2.9557820097244729</v>
      </c>
      <c r="J60" s="21">
        <v>-0.30012527012425716</v>
      </c>
      <c r="K60" s="42">
        <v>-1.0011196650459233</v>
      </c>
      <c r="L60" s="35">
        <v>19.661683707158758</v>
      </c>
      <c r="M60" s="22">
        <v>175.29998170954508</v>
      </c>
      <c r="N60" s="23">
        <v>158.88100440200401</v>
      </c>
      <c r="O60" s="25">
        <f t="shared" ref="O60:Q60" si="14">O39</f>
        <v>35</v>
      </c>
      <c r="P60" s="26">
        <f t="shared" si="14"/>
        <v>20</v>
      </c>
      <c r="Q60" s="26">
        <f t="shared" si="14"/>
        <v>10</v>
      </c>
      <c r="R60" s="35">
        <v>750</v>
      </c>
      <c r="S60" s="22">
        <v>1987.5</v>
      </c>
      <c r="T60" s="23">
        <v>2437.5</v>
      </c>
    </row>
    <row r="61" spans="2:20" x14ac:dyDescent="0.25">
      <c r="B61" s="16">
        <v>7</v>
      </c>
      <c r="C61" s="17" t="s">
        <v>37</v>
      </c>
      <c r="D61" s="27"/>
      <c r="E61" s="24">
        <f t="shared" ref="E61:H61" si="15">E40</f>
        <v>108.93</v>
      </c>
      <c r="F61" s="41">
        <f t="shared" si="15"/>
        <v>35.6</v>
      </c>
      <c r="G61" s="21">
        <f t="shared" si="15"/>
        <v>0.82</v>
      </c>
      <c r="H61" s="42">
        <f t="shared" si="15"/>
        <v>5.65</v>
      </c>
      <c r="I61" s="41">
        <v>-1.4442179902755257</v>
      </c>
      <c r="J61" s="21">
        <v>0.51987472987574279</v>
      </c>
      <c r="K61" s="42">
        <v>-2.351119665045923</v>
      </c>
      <c r="L61" s="35">
        <v>631.57977980107512</v>
      </c>
      <c r="M61" s="22">
        <v>829.34174477552733</v>
      </c>
      <c r="N61" s="23">
        <v>256.64292939000131</v>
      </c>
      <c r="O61" s="25">
        <f t="shared" ref="O61:Q62" si="16">O40</f>
        <v>75</v>
      </c>
      <c r="P61" s="26">
        <f t="shared" si="16"/>
        <v>28</v>
      </c>
      <c r="Q61" s="26">
        <f t="shared" si="16"/>
        <v>10</v>
      </c>
      <c r="R61" s="35">
        <v>8024.5100000000011</v>
      </c>
      <c r="S61" s="22">
        <v>51968.6875</v>
      </c>
      <c r="T61" s="23">
        <v>58177.697500000009</v>
      </c>
    </row>
    <row r="62" spans="2:20" x14ac:dyDescent="0.25">
      <c r="B62" s="16">
        <v>8</v>
      </c>
      <c r="C62" s="17" t="s">
        <v>60</v>
      </c>
      <c r="D62" s="28"/>
      <c r="E62" s="24">
        <v>6.5</v>
      </c>
      <c r="F62" s="41">
        <v>35.26</v>
      </c>
      <c r="G62" s="21">
        <v>3.48</v>
      </c>
      <c r="H62" s="42">
        <v>1.01</v>
      </c>
      <c r="I62" s="41">
        <v>-1.7842179902755291</v>
      </c>
      <c r="J62" s="21">
        <v>3.1798747298757428</v>
      </c>
      <c r="K62" s="42">
        <v>-6.9911196650459235</v>
      </c>
      <c r="L62" s="35">
        <v>383.41782354651201</v>
      </c>
      <c r="M62" s="22">
        <v>338.3847220507954</v>
      </c>
      <c r="N62" s="23">
        <v>86.417741374413652</v>
      </c>
      <c r="O62" s="25">
        <f t="shared" si="16"/>
        <v>24</v>
      </c>
      <c r="P62" s="26">
        <f t="shared" si="16"/>
        <v>23.34</v>
      </c>
      <c r="Q62" s="26">
        <f t="shared" si="16"/>
        <v>1.5</v>
      </c>
      <c r="R62" s="35">
        <v>296.29469999999998</v>
      </c>
      <c r="S62" s="22">
        <v>313.21875</v>
      </c>
      <c r="T62" s="23">
        <v>607.07594999999992</v>
      </c>
    </row>
    <row r="63" spans="2:20" ht="18.75" x14ac:dyDescent="0.25">
      <c r="B63" s="49"/>
      <c r="C63" s="50"/>
      <c r="D63" s="71" t="s">
        <v>13</v>
      </c>
      <c r="E63" s="66">
        <f>SUM(E55:E62)</f>
        <v>302.65999999999997</v>
      </c>
      <c r="F63" s="70">
        <f>SUMPRODUCT(E55:E62,F55:F62)/E63</f>
        <v>37.005899689420474</v>
      </c>
      <c r="G63" s="67">
        <f>SUMPRODUCT(E55:E62,G55:G62)/E63</f>
        <v>0.36841703561752465</v>
      </c>
      <c r="H63" s="68">
        <f>SUMPRODUCT(E55:E62,H55:H62)/E63</f>
        <v>7.8509766734950128</v>
      </c>
      <c r="I63" s="36"/>
      <c r="J63" s="37"/>
      <c r="K63" s="38"/>
      <c r="L63" s="36">
        <f>SUM(_xlfn.ANCHORARRAY(L55))</f>
        <v>1766.8825786180605</v>
      </c>
      <c r="M63" s="37">
        <f>SUM(_xlfn.ANCHORARRAY(M55))</f>
        <v>3277.7561476564138</v>
      </c>
      <c r="N63" s="38">
        <f>SUM(_xlfn.ANCHORARRAY(N55))</f>
        <v>1735.5213966134402</v>
      </c>
      <c r="O63" s="36"/>
      <c r="P63" s="37"/>
      <c r="Q63" s="43"/>
      <c r="R63" s="36">
        <f>SUM(_xlfn.ANCHORARRAY(L55),_xlfn.ANCHORARRAY(R55))</f>
        <v>22893.870611951395</v>
      </c>
      <c r="S63" s="37">
        <f>SUM(_xlfn.ANCHORARRAY(M55),_xlfn.ANCHORARRAY(S55))</f>
        <v>97014.153230989745</v>
      </c>
      <c r="T63" s="38">
        <f>SUM(_xlfn.ANCHORARRAY(N55),_xlfn.ANCHORARRAY(T55))</f>
        <v>108991.50567994677</v>
      </c>
    </row>
    <row r="64" spans="2:20" x14ac:dyDescent="0.25">
      <c r="B64" s="51"/>
      <c r="C64" s="52"/>
      <c r="D64" s="52"/>
      <c r="E64" s="52"/>
      <c r="F64" s="52"/>
      <c r="G64" s="52"/>
      <c r="H64" s="52"/>
      <c r="I64" s="52"/>
      <c r="J64" s="52"/>
      <c r="K64" s="52"/>
      <c r="L64" s="52"/>
      <c r="M64" s="52"/>
      <c r="N64" s="52"/>
      <c r="O64" s="53"/>
      <c r="P64" s="53"/>
      <c r="Q64" s="53"/>
      <c r="R64" s="53"/>
      <c r="S64" s="53"/>
      <c r="T64" s="54"/>
    </row>
    <row r="65" spans="2:20" ht="18" x14ac:dyDescent="0.25">
      <c r="B65" s="72" t="s">
        <v>36</v>
      </c>
      <c r="C65" s="55"/>
      <c r="D65" s="55"/>
      <c r="E65" s="55"/>
      <c r="F65" s="55"/>
      <c r="G65" s="55"/>
      <c r="H65" s="55"/>
      <c r="I65" s="55"/>
      <c r="J65" s="55"/>
      <c r="K65" s="55"/>
      <c r="L65" s="55"/>
      <c r="M65" s="55"/>
      <c r="N65" s="55"/>
      <c r="O65" s="56"/>
      <c r="P65" s="56"/>
      <c r="Q65" s="56"/>
      <c r="R65" s="56"/>
      <c r="S65" s="56"/>
      <c r="T65" s="57"/>
    </row>
    <row r="66" spans="2:20" x14ac:dyDescent="0.25">
      <c r="B66" s="73" t="s">
        <v>33</v>
      </c>
      <c r="C66" s="74">
        <f>E63</f>
        <v>302.65999999999997</v>
      </c>
      <c r="D66" s="75" t="s">
        <v>49</v>
      </c>
      <c r="E66" s="2"/>
      <c r="F66" s="76" t="s">
        <v>34</v>
      </c>
      <c r="G66" s="2"/>
      <c r="H66" s="2"/>
      <c r="I66" s="2"/>
      <c r="J66" s="76" t="s">
        <v>35</v>
      </c>
      <c r="K66" s="2"/>
      <c r="L66" s="2"/>
      <c r="M66" s="2"/>
      <c r="N66" s="2"/>
      <c r="T66" s="59"/>
    </row>
    <row r="67" spans="2:20" x14ac:dyDescent="0.25">
      <c r="B67" s="58" t="s">
        <v>14</v>
      </c>
      <c r="C67" s="77">
        <f>SUM(_xlfn.ANCHORARRAY(L55),_xlfn.ANCHORARRAY(R55))</f>
        <v>22893.870611951395</v>
      </c>
      <c r="D67" s="29" t="s">
        <v>50</v>
      </c>
      <c r="F67" s="78" t="s">
        <v>15</v>
      </c>
      <c r="G67" s="82">
        <f>SQRT(C67/E63)</f>
        <v>8.6972528879737645</v>
      </c>
      <c r="H67" s="75" t="s">
        <v>38</v>
      </c>
      <c r="I67" s="29"/>
      <c r="J67" s="78" t="s">
        <v>24</v>
      </c>
      <c r="K67" s="82">
        <f>F63</f>
        <v>37.005899689420474</v>
      </c>
      <c r="L67" s="75" t="str">
        <f>"ft, "&amp;$I$7</f>
        <v>ft, Fr. 0, + Fwd.</v>
      </c>
      <c r="M67" s="78"/>
      <c r="N67" s="2"/>
      <c r="T67" s="59"/>
    </row>
    <row r="68" spans="2:20" x14ac:dyDescent="0.25">
      <c r="B68" s="58" t="s">
        <v>16</v>
      </c>
      <c r="C68" s="77">
        <f>SUM(_xlfn.ANCHORARRAY(M55),_xlfn.ANCHORARRAY(S55))</f>
        <v>97014.153230989745</v>
      </c>
      <c r="D68" s="29" t="s">
        <v>50</v>
      </c>
      <c r="F68" s="78" t="s">
        <v>17</v>
      </c>
      <c r="G68" s="82">
        <f>SQRT(C68/E63)</f>
        <v>17.903586333230976</v>
      </c>
      <c r="H68" s="75" t="s">
        <v>38</v>
      </c>
      <c r="I68" s="29"/>
      <c r="J68" s="78" t="s">
        <v>23</v>
      </c>
      <c r="K68" s="82">
        <f>G63</f>
        <v>0.36841703561752465</v>
      </c>
      <c r="L68" s="75" t="str">
        <f>"ft, "&amp;$I$8</f>
        <v>ft, CL, + Port</v>
      </c>
      <c r="M68" s="78"/>
      <c r="N68" s="2"/>
      <c r="T68" s="59"/>
    </row>
    <row r="69" spans="2:20" x14ac:dyDescent="0.25">
      <c r="B69" s="58" t="s">
        <v>18</v>
      </c>
      <c r="C69" s="77">
        <f>SUM(_xlfn.ANCHORARRAY(N55),_xlfn.ANCHORARRAY(T55))</f>
        <v>108991.50567994677</v>
      </c>
      <c r="D69" s="29" t="s">
        <v>50</v>
      </c>
      <c r="F69" s="78" t="s">
        <v>19</v>
      </c>
      <c r="G69" s="82">
        <f>SQRT(C69/E63)</f>
        <v>18.976617866183517</v>
      </c>
      <c r="H69" s="75" t="s">
        <v>38</v>
      </c>
      <c r="I69" s="29"/>
      <c r="J69" s="78" t="s">
        <v>25</v>
      </c>
      <c r="K69" s="82">
        <f>H63</f>
        <v>7.8509766734950128</v>
      </c>
      <c r="L69" s="75" t="str">
        <f>"ft, "&amp;$I$9</f>
        <v>ft, ABL, + Up</v>
      </c>
      <c r="M69" s="78"/>
      <c r="T69" s="59"/>
    </row>
    <row r="70" spans="2:20" x14ac:dyDescent="0.25">
      <c r="B70" s="79"/>
      <c r="C70" s="80"/>
      <c r="D70" s="80"/>
      <c r="E70" s="80"/>
      <c r="F70" s="80"/>
      <c r="G70" s="80"/>
      <c r="H70" s="80"/>
      <c r="I70" s="80"/>
      <c r="J70" s="80"/>
      <c r="K70" s="80"/>
      <c r="L70" s="80"/>
      <c r="M70" s="80"/>
      <c r="N70" s="80"/>
      <c r="O70" s="80"/>
      <c r="P70" s="80"/>
      <c r="Q70" s="80"/>
      <c r="R70" s="80"/>
      <c r="S70" s="80"/>
      <c r="T70" s="81"/>
    </row>
    <row r="73" spans="2:20" ht="18" x14ac:dyDescent="0.25">
      <c r="B73" s="18" t="s">
        <v>59</v>
      </c>
      <c r="C73" s="5"/>
      <c r="D73" s="5"/>
      <c r="E73" s="6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106" t="s">
        <v>0</v>
      </c>
      <c r="S73" s="107"/>
      <c r="T73" s="108"/>
    </row>
    <row r="74" spans="2:20" ht="15.75" customHeight="1" x14ac:dyDescent="0.25">
      <c r="B74" s="109" t="s">
        <v>1</v>
      </c>
      <c r="C74" s="111" t="s">
        <v>2</v>
      </c>
      <c r="D74" s="46"/>
      <c r="E74" s="47"/>
      <c r="F74" s="113" t="s">
        <v>40</v>
      </c>
      <c r="G74" s="114"/>
      <c r="H74" s="115"/>
      <c r="I74" s="116" t="s">
        <v>3</v>
      </c>
      <c r="J74" s="117"/>
      <c r="K74" s="118"/>
      <c r="L74" s="106" t="s">
        <v>62</v>
      </c>
      <c r="M74" s="107"/>
      <c r="N74" s="108"/>
      <c r="O74" s="39" t="s">
        <v>4</v>
      </c>
      <c r="P74" s="40" t="s">
        <v>5</v>
      </c>
      <c r="Q74" s="40" t="s">
        <v>6</v>
      </c>
      <c r="R74" s="33" t="s">
        <v>7</v>
      </c>
      <c r="S74" s="15" t="s">
        <v>8</v>
      </c>
      <c r="T74" s="34" t="s">
        <v>9</v>
      </c>
    </row>
    <row r="75" spans="2:20" ht="25.5" x14ac:dyDescent="0.25">
      <c r="B75" s="110"/>
      <c r="C75" s="112"/>
      <c r="D75" s="12"/>
      <c r="E75" s="13" t="s">
        <v>39</v>
      </c>
      <c r="F75" s="69" t="s">
        <v>41</v>
      </c>
      <c r="G75" s="14" t="s">
        <v>42</v>
      </c>
      <c r="H75" s="48" t="s">
        <v>43</v>
      </c>
      <c r="I75" s="33" t="s">
        <v>10</v>
      </c>
      <c r="J75" s="15" t="s">
        <v>11</v>
      </c>
      <c r="K75" s="34" t="s">
        <v>12</v>
      </c>
      <c r="L75" s="33" t="s">
        <v>7</v>
      </c>
      <c r="M75" s="15" t="s">
        <v>8</v>
      </c>
      <c r="N75" s="34" t="s">
        <v>9</v>
      </c>
      <c r="O75" s="33" t="s">
        <v>47</v>
      </c>
      <c r="P75" s="15" t="s">
        <v>47</v>
      </c>
      <c r="Q75" s="15" t="s">
        <v>47</v>
      </c>
      <c r="R75" s="44" t="s">
        <v>48</v>
      </c>
      <c r="S75" s="19" t="s">
        <v>48</v>
      </c>
      <c r="T75" s="45" t="s">
        <v>48</v>
      </c>
    </row>
    <row r="76" spans="2:20" x14ac:dyDescent="0.25">
      <c r="B76" s="16">
        <v>1</v>
      </c>
      <c r="C76" s="17" t="s">
        <v>61</v>
      </c>
      <c r="D76" s="27"/>
      <c r="E76" s="20">
        <f>E55</f>
        <v>97.78</v>
      </c>
      <c r="F76" s="41">
        <f t="shared" ref="F76:H76" si="17">F55</f>
        <v>38.18</v>
      </c>
      <c r="G76" s="41">
        <f t="shared" si="17"/>
        <v>0</v>
      </c>
      <c r="H76" s="41">
        <f t="shared" si="17"/>
        <v>9.5299999999999994</v>
      </c>
      <c r="I76" s="41" cm="1">
        <f t="array" ref="I76:I83">F76:F83-$F$42</f>
        <v>1.1357820097244726</v>
      </c>
      <c r="J76" s="21" cm="1">
        <f t="array" ref="J76:J83">G76:G83-$G$42</f>
        <v>-0.30012527012425716</v>
      </c>
      <c r="K76" s="42" cm="1">
        <f t="array" ref="K76:K83">H76:H83-$H$42</f>
        <v>1.528880334954076</v>
      </c>
      <c r="L76" s="35" cm="1">
        <f t="array" ref="L76:L83">E76:E83*(_xlfn.ANCHORARRAY(J76)^2+_xlfn.ANCHORARRAY(K76)^2)</f>
        <v>237.36586406848892</v>
      </c>
      <c r="M76" s="22" cm="1">
        <f t="array" ref="M76:M83">E76:E83*(_xlfn.ANCHORARRAY(I76)^2+_xlfn.ANCHORARRAY(K76)^2)</f>
        <v>354.69458883036981</v>
      </c>
      <c r="N76" s="23" cm="1">
        <f t="array" ref="N76:N83">E76:E83*(_xlfn.ANCHORARRAY(I76)^2+_xlfn.ANCHORARRAY(J76)^2)</f>
        <v>134.94382652602638</v>
      </c>
      <c r="O76" s="25">
        <f>O55</f>
        <v>50</v>
      </c>
      <c r="P76" s="25">
        <f t="shared" ref="P76:Q76" si="18">P55</f>
        <v>24</v>
      </c>
      <c r="Q76" s="25">
        <f t="shared" si="18"/>
        <v>8</v>
      </c>
      <c r="R76" s="35" cm="1">
        <f t="array" ref="R76:R83">((Q76:Q83^2+P76:P83^2)/12)*E76:E83</f>
        <v>5214.9333333333334</v>
      </c>
      <c r="S76" s="22" cm="1">
        <f t="array" ref="S76:S83">((Q76:Q83^2+O76:O83^2)/12)*E76:E83</f>
        <v>20892.326666666668</v>
      </c>
      <c r="T76" s="23" cm="1">
        <f t="array" ref="T76:T83">((P76:P83^2+O76:O83^2)/12)*E76:E83</f>
        <v>25064.273333333331</v>
      </c>
    </row>
    <row r="77" spans="2:20" x14ac:dyDescent="0.25">
      <c r="B77" s="16">
        <v>2</v>
      </c>
      <c r="C77" s="17" t="s">
        <v>63</v>
      </c>
      <c r="D77" s="27"/>
      <c r="E77" s="20">
        <f t="shared" ref="E77:H77" si="19">E56</f>
        <v>64.42</v>
      </c>
      <c r="F77" s="41">
        <f t="shared" si="19"/>
        <v>35.659999999999997</v>
      </c>
      <c r="G77" s="21">
        <f t="shared" si="19"/>
        <v>0</v>
      </c>
      <c r="H77" s="42">
        <f t="shared" si="19"/>
        <v>9.11</v>
      </c>
      <c r="I77" s="41">
        <v>-1.3842179902755305</v>
      </c>
      <c r="J77" s="21">
        <v>-0.30012527012425716</v>
      </c>
      <c r="K77" s="42">
        <v>1.1088803349540761</v>
      </c>
      <c r="L77" s="35">
        <v>85.014479726467727</v>
      </c>
      <c r="M77" s="22">
        <v>202.64438619599588</v>
      </c>
      <c r="N77" s="23">
        <v>129.23519237304879</v>
      </c>
      <c r="O77" s="25">
        <f t="shared" ref="O77:Q77" si="20">O56</f>
        <v>50</v>
      </c>
      <c r="P77" s="26">
        <f t="shared" si="20"/>
        <v>28</v>
      </c>
      <c r="Q77" s="26">
        <f t="shared" si="20"/>
        <v>20</v>
      </c>
      <c r="R77" s="35">
        <v>6356.1066666666675</v>
      </c>
      <c r="S77" s="22">
        <v>15568.166666666666</v>
      </c>
      <c r="T77" s="23">
        <v>17629.606666666667</v>
      </c>
    </row>
    <row r="78" spans="2:20" x14ac:dyDescent="0.25">
      <c r="B78" s="16">
        <v>3</v>
      </c>
      <c r="C78" s="17" t="s">
        <v>64</v>
      </c>
      <c r="D78" s="27"/>
      <c r="E78" s="24">
        <f t="shared" ref="E78:H78" si="21">E57</f>
        <v>6.25</v>
      </c>
      <c r="F78" s="41">
        <f t="shared" si="21"/>
        <v>48.92</v>
      </c>
      <c r="G78" s="21">
        <f t="shared" si="21"/>
        <v>-7.0000000000000007E-2</v>
      </c>
      <c r="H78" s="42">
        <f t="shared" si="21"/>
        <v>15.87</v>
      </c>
      <c r="I78" s="41">
        <v>11.875782009724475</v>
      </c>
      <c r="J78" s="21">
        <v>-0.37012527012425717</v>
      </c>
      <c r="K78" s="42">
        <v>7.8688803349540759</v>
      </c>
      <c r="L78" s="35">
        <v>387.85169025882203</v>
      </c>
      <c r="M78" s="22">
        <v>1268.4592254270153</v>
      </c>
      <c r="N78" s="23">
        <v>882.31994411300002</v>
      </c>
      <c r="O78" s="25">
        <f t="shared" ref="O78:Q78" si="22">O57</f>
        <v>75</v>
      </c>
      <c r="P78" s="26">
        <f t="shared" si="22"/>
        <v>28</v>
      </c>
      <c r="Q78" s="26">
        <f t="shared" si="22"/>
        <v>12</v>
      </c>
      <c r="R78" s="35">
        <v>483.33333333333331</v>
      </c>
      <c r="S78" s="22">
        <v>3004.6875</v>
      </c>
      <c r="T78" s="23">
        <v>3338.0208333333335</v>
      </c>
    </row>
    <row r="79" spans="2:20" x14ac:dyDescent="0.25">
      <c r="B79" s="16">
        <v>4</v>
      </c>
      <c r="C79" s="17" t="s">
        <v>75</v>
      </c>
      <c r="D79" s="27"/>
      <c r="E79" s="24">
        <v>0.36</v>
      </c>
      <c r="F79" s="41">
        <v>50</v>
      </c>
      <c r="G79" s="21">
        <v>0</v>
      </c>
      <c r="H79" s="42">
        <v>14.5</v>
      </c>
      <c r="I79" s="41">
        <v>12.955782009724473</v>
      </c>
      <c r="J79" s="21">
        <v>-0.30012527012425716</v>
      </c>
      <c r="K79" s="42">
        <v>6.4988803349540767</v>
      </c>
      <c r="L79" s="35">
        <v>15.237187482895191</v>
      </c>
      <c r="M79" s="22">
        <v>75.631583912959115</v>
      </c>
      <c r="N79" s="23">
        <v>60.459250558056283</v>
      </c>
      <c r="O79" s="25">
        <v>1</v>
      </c>
      <c r="P79" s="26">
        <v>1</v>
      </c>
      <c r="Q79" s="26">
        <v>1</v>
      </c>
      <c r="R79" s="35">
        <v>0.06</v>
      </c>
      <c r="S79" s="22">
        <v>0.06</v>
      </c>
      <c r="T79" s="23">
        <v>0.06</v>
      </c>
    </row>
    <row r="80" spans="2:20" x14ac:dyDescent="0.25">
      <c r="B80" s="16">
        <v>5</v>
      </c>
      <c r="C80" s="17" t="s">
        <v>74</v>
      </c>
      <c r="D80" s="27"/>
      <c r="E80" s="24">
        <v>0.42</v>
      </c>
      <c r="F80" s="41">
        <v>45</v>
      </c>
      <c r="G80" s="21">
        <v>0</v>
      </c>
      <c r="H80" s="42">
        <v>12</v>
      </c>
      <c r="I80" s="41">
        <v>7.9557820097244729</v>
      </c>
      <c r="J80" s="21">
        <v>-0.30012527012425716</v>
      </c>
      <c r="K80" s="42">
        <v>3.9988803349540767</v>
      </c>
      <c r="L80" s="35">
        <v>6.7540700266408269</v>
      </c>
      <c r="M80" s="22">
        <v>33.299914754205957</v>
      </c>
      <c r="N80" s="23">
        <v>26.621507876889549</v>
      </c>
      <c r="O80" s="25">
        <v>5</v>
      </c>
      <c r="P80" s="26">
        <v>5</v>
      </c>
      <c r="Q80" s="26">
        <v>5</v>
      </c>
      <c r="R80" s="35">
        <v>1.75</v>
      </c>
      <c r="S80" s="22">
        <v>1.75</v>
      </c>
      <c r="T80" s="23">
        <v>1.75</v>
      </c>
    </row>
    <row r="81" spans="2:20" x14ac:dyDescent="0.25">
      <c r="B81" s="16">
        <v>6</v>
      </c>
      <c r="C81" s="17" t="s">
        <v>57</v>
      </c>
      <c r="D81" s="27"/>
      <c r="E81" s="24">
        <f t="shared" ref="E81:H81" si="23">E60</f>
        <v>18</v>
      </c>
      <c r="F81" s="41">
        <f t="shared" si="23"/>
        <v>40</v>
      </c>
      <c r="G81" s="21">
        <f t="shared" si="23"/>
        <v>0</v>
      </c>
      <c r="H81" s="42">
        <f t="shared" si="23"/>
        <v>7</v>
      </c>
      <c r="I81" s="41">
        <v>2.9557820097244729</v>
      </c>
      <c r="J81" s="21">
        <v>-0.30012527012425716</v>
      </c>
      <c r="K81" s="42">
        <v>-1.0011196650459233</v>
      </c>
      <c r="L81" s="35">
        <v>19.661683707158758</v>
      </c>
      <c r="M81" s="22">
        <v>175.29998170954508</v>
      </c>
      <c r="N81" s="23">
        <v>158.88100440200401</v>
      </c>
      <c r="O81" s="25">
        <f t="shared" ref="O81:Q81" si="24">O60</f>
        <v>35</v>
      </c>
      <c r="P81" s="26">
        <f t="shared" si="24"/>
        <v>20</v>
      </c>
      <c r="Q81" s="26">
        <f t="shared" si="24"/>
        <v>10</v>
      </c>
      <c r="R81" s="35">
        <v>750</v>
      </c>
      <c r="S81" s="22">
        <v>1987.5</v>
      </c>
      <c r="T81" s="23">
        <v>2437.5</v>
      </c>
    </row>
    <row r="82" spans="2:20" x14ac:dyDescent="0.25">
      <c r="B82" s="16">
        <v>7</v>
      </c>
      <c r="C82" s="17" t="s">
        <v>37</v>
      </c>
      <c r="D82" s="27"/>
      <c r="E82" s="24">
        <f t="shared" ref="E82:H82" si="25">E61</f>
        <v>108.93</v>
      </c>
      <c r="F82" s="41">
        <f t="shared" si="25"/>
        <v>35.6</v>
      </c>
      <c r="G82" s="21">
        <f t="shared" si="25"/>
        <v>0.82</v>
      </c>
      <c r="H82" s="42">
        <f t="shared" si="25"/>
        <v>5.65</v>
      </c>
      <c r="I82" s="41">
        <v>-1.4442179902755257</v>
      </c>
      <c r="J82" s="21">
        <v>0.51987472987574279</v>
      </c>
      <c r="K82" s="42">
        <v>-2.351119665045923</v>
      </c>
      <c r="L82" s="35">
        <v>631.57977980107512</v>
      </c>
      <c r="M82" s="22">
        <v>829.34174477552733</v>
      </c>
      <c r="N82" s="23">
        <v>256.64292939000131</v>
      </c>
      <c r="O82" s="25">
        <f t="shared" ref="O82:Q83" si="26">O61</f>
        <v>75</v>
      </c>
      <c r="P82" s="26">
        <f t="shared" si="26"/>
        <v>28</v>
      </c>
      <c r="Q82" s="26">
        <f t="shared" si="26"/>
        <v>10</v>
      </c>
      <c r="R82" s="35">
        <v>8024.5100000000011</v>
      </c>
      <c r="S82" s="22">
        <v>51968.6875</v>
      </c>
      <c r="T82" s="23">
        <v>58177.697500000009</v>
      </c>
    </row>
    <row r="83" spans="2:20" x14ac:dyDescent="0.25">
      <c r="B83" s="16">
        <v>8</v>
      </c>
      <c r="C83" s="17" t="s">
        <v>60</v>
      </c>
      <c r="D83" s="28"/>
      <c r="E83" s="24">
        <v>12.98</v>
      </c>
      <c r="F83" s="41">
        <v>35.51</v>
      </c>
      <c r="G83" s="21">
        <v>3.3</v>
      </c>
      <c r="H83" s="42">
        <v>1.35</v>
      </c>
      <c r="I83" s="41">
        <v>-1.5342179902755291</v>
      </c>
      <c r="J83" s="21">
        <v>2.9998747298757427</v>
      </c>
      <c r="K83" s="42">
        <v>-6.6511196650459237</v>
      </c>
      <c r="L83" s="35">
        <v>691.01160269432546</v>
      </c>
      <c r="M83" s="22">
        <v>604.75400497298506</v>
      </c>
      <c r="N83" s="23">
        <v>147.36289061148523</v>
      </c>
      <c r="O83" s="25">
        <f t="shared" si="26"/>
        <v>24</v>
      </c>
      <c r="P83" s="26">
        <f t="shared" si="26"/>
        <v>23.34</v>
      </c>
      <c r="Q83" s="26">
        <f t="shared" si="26"/>
        <v>1.5</v>
      </c>
      <c r="R83" s="35">
        <v>591.67772400000001</v>
      </c>
      <c r="S83" s="22">
        <v>625.47375</v>
      </c>
      <c r="T83" s="23">
        <v>1212.2839739999999</v>
      </c>
    </row>
    <row r="84" spans="2:20" ht="18.75" x14ac:dyDescent="0.25">
      <c r="B84" s="49"/>
      <c r="C84" s="50"/>
      <c r="D84" s="71" t="s">
        <v>13</v>
      </c>
      <c r="E84" s="66">
        <f>SUM(E76:E83)</f>
        <v>309.14</v>
      </c>
      <c r="F84" s="70">
        <f>SUMPRODUCT(E76:E83,F76:F83)/E84</f>
        <v>36.979800090573846</v>
      </c>
      <c r="G84" s="67">
        <f>SUMPRODUCT(E76:E83,G76:G83)/E84</f>
        <v>0.42608235750792522</v>
      </c>
      <c r="H84" s="68">
        <f>SUMPRODUCT(E76:E83,H76:H83)/E84</f>
        <v>7.7218561169696596</v>
      </c>
      <c r="I84" s="36"/>
      <c r="J84" s="37"/>
      <c r="K84" s="38"/>
      <c r="L84" s="36">
        <f>SUM(_xlfn.ANCHORARRAY(L76))</f>
        <v>2074.4763577658741</v>
      </c>
      <c r="M84" s="37">
        <f>SUM(_xlfn.ANCHORARRAY(M76))</f>
        <v>3544.1254305786033</v>
      </c>
      <c r="N84" s="38">
        <f>SUM(_xlfn.ANCHORARRAY(N76))</f>
        <v>1796.4665458505117</v>
      </c>
      <c r="O84" s="36"/>
      <c r="P84" s="37"/>
      <c r="Q84" s="43"/>
      <c r="R84" s="36">
        <f>SUM(_xlfn.ANCHORARRAY(L76),_xlfn.ANCHORARRAY(R76))</f>
        <v>23496.847415099212</v>
      </c>
      <c r="S84" s="37">
        <f>SUM(_xlfn.ANCHORARRAY(M76),_xlfn.ANCHORARRAY(S76))</f>
        <v>97592.777513911948</v>
      </c>
      <c r="T84" s="38">
        <f>SUM(_xlfn.ANCHORARRAY(N76),_xlfn.ANCHORARRAY(T76))</f>
        <v>109657.65885318386</v>
      </c>
    </row>
    <row r="85" spans="2:20" x14ac:dyDescent="0.25">
      <c r="B85" s="51"/>
      <c r="C85" s="52"/>
      <c r="D85" s="52"/>
      <c r="E85" s="52"/>
      <c r="F85" s="52"/>
      <c r="G85" s="52"/>
      <c r="H85" s="52"/>
      <c r="I85" s="52"/>
      <c r="J85" s="52"/>
      <c r="K85" s="52"/>
      <c r="L85" s="52"/>
      <c r="M85" s="52"/>
      <c r="N85" s="52"/>
      <c r="O85" s="53"/>
      <c r="P85" s="53"/>
      <c r="Q85" s="53"/>
      <c r="R85" s="53"/>
      <c r="S85" s="53"/>
      <c r="T85" s="54"/>
    </row>
    <row r="86" spans="2:20" ht="18" x14ac:dyDescent="0.25">
      <c r="B86" s="72" t="s">
        <v>36</v>
      </c>
      <c r="C86" s="55"/>
      <c r="D86" s="55"/>
      <c r="E86" s="55"/>
      <c r="F86" s="55"/>
      <c r="G86" s="55"/>
      <c r="H86" s="55"/>
      <c r="I86" s="55"/>
      <c r="J86" s="55"/>
      <c r="K86" s="55"/>
      <c r="L86" s="55"/>
      <c r="M86" s="55"/>
      <c r="N86" s="55"/>
      <c r="O86" s="56"/>
      <c r="P86" s="56"/>
      <c r="Q86" s="56"/>
      <c r="R86" s="56"/>
      <c r="S86" s="56"/>
      <c r="T86" s="57"/>
    </row>
    <row r="87" spans="2:20" x14ac:dyDescent="0.25">
      <c r="B87" s="73" t="s">
        <v>33</v>
      </c>
      <c r="C87" s="74">
        <f>E84</f>
        <v>309.14</v>
      </c>
      <c r="D87" s="75" t="s">
        <v>49</v>
      </c>
      <c r="E87" s="2"/>
      <c r="F87" s="76" t="s">
        <v>34</v>
      </c>
      <c r="G87" s="2"/>
      <c r="H87" s="2"/>
      <c r="I87" s="2"/>
      <c r="J87" s="76" t="s">
        <v>35</v>
      </c>
      <c r="K87" s="2"/>
      <c r="L87" s="2"/>
      <c r="M87" s="2"/>
      <c r="N87" s="2"/>
      <c r="T87" s="59"/>
    </row>
    <row r="88" spans="2:20" x14ac:dyDescent="0.25">
      <c r="B88" s="58" t="s">
        <v>14</v>
      </c>
      <c r="C88" s="77">
        <f>SUM(_xlfn.ANCHORARRAY(L76),_xlfn.ANCHORARRAY(R76))</f>
        <v>23496.847415099212</v>
      </c>
      <c r="D88" s="29" t="s">
        <v>50</v>
      </c>
      <c r="F88" s="78" t="s">
        <v>15</v>
      </c>
      <c r="G88" s="82">
        <f>SQRT(C88/E84)</f>
        <v>8.7182074133967351</v>
      </c>
      <c r="H88" s="75" t="s">
        <v>38</v>
      </c>
      <c r="I88" s="29"/>
      <c r="J88" s="78" t="s">
        <v>24</v>
      </c>
      <c r="K88" s="82">
        <f>F84</f>
        <v>36.979800090573846</v>
      </c>
      <c r="L88" s="75" t="str">
        <f>"ft, "&amp;$I$7</f>
        <v>ft, Fr. 0, + Fwd.</v>
      </c>
      <c r="M88" s="78"/>
      <c r="N88" s="2"/>
      <c r="T88" s="59"/>
    </row>
    <row r="89" spans="2:20" x14ac:dyDescent="0.25">
      <c r="B89" s="58" t="s">
        <v>16</v>
      </c>
      <c r="C89" s="77">
        <f>SUM(_xlfn.ANCHORARRAY(M76),_xlfn.ANCHORARRAY(S76))</f>
        <v>97592.777513911948</v>
      </c>
      <c r="D89" s="29" t="s">
        <v>50</v>
      </c>
      <c r="F89" s="78" t="s">
        <v>17</v>
      </c>
      <c r="G89" s="82">
        <f>SQRT(C89/E84)</f>
        <v>17.767701028130709</v>
      </c>
      <c r="H89" s="75" t="s">
        <v>38</v>
      </c>
      <c r="I89" s="29"/>
      <c r="J89" s="78" t="s">
        <v>23</v>
      </c>
      <c r="K89" s="82">
        <f>G84</f>
        <v>0.42608235750792522</v>
      </c>
      <c r="L89" s="75" t="str">
        <f>"ft, "&amp;$I$8</f>
        <v>ft, CL, + Port</v>
      </c>
      <c r="M89" s="78"/>
      <c r="N89" s="2"/>
      <c r="T89" s="59"/>
    </row>
    <row r="90" spans="2:20" x14ac:dyDescent="0.25">
      <c r="B90" s="58" t="s">
        <v>18</v>
      </c>
      <c r="C90" s="77">
        <f>SUM(_xlfn.ANCHORARRAY(N76),_xlfn.ANCHORARRAY(T76))</f>
        <v>109657.65885318386</v>
      </c>
      <c r="D90" s="29" t="s">
        <v>50</v>
      </c>
      <c r="F90" s="78" t="s">
        <v>19</v>
      </c>
      <c r="G90" s="82">
        <f>SQRT(C90/E84)</f>
        <v>18.833970399464512</v>
      </c>
      <c r="H90" s="75" t="s">
        <v>38</v>
      </c>
      <c r="I90" s="29"/>
      <c r="J90" s="78" t="s">
        <v>25</v>
      </c>
      <c r="K90" s="82">
        <f>H84</f>
        <v>7.7218561169696596</v>
      </c>
      <c r="L90" s="75" t="str">
        <f>"ft, "&amp;$I$9</f>
        <v>ft, ABL, + Up</v>
      </c>
      <c r="M90" s="78"/>
      <c r="T90" s="59"/>
    </row>
    <row r="91" spans="2:20" x14ac:dyDescent="0.25">
      <c r="B91" s="79"/>
      <c r="C91" s="80"/>
      <c r="D91" s="80"/>
      <c r="E91" s="80"/>
      <c r="F91" s="80"/>
      <c r="G91" s="80"/>
      <c r="H91" s="80"/>
      <c r="I91" s="80"/>
      <c r="J91" s="80"/>
      <c r="K91" s="80"/>
      <c r="L91" s="80"/>
      <c r="M91" s="80"/>
      <c r="N91" s="80"/>
      <c r="O91" s="80"/>
      <c r="P91" s="80"/>
      <c r="Q91" s="80"/>
      <c r="R91" s="80"/>
      <c r="S91" s="80"/>
      <c r="T91" s="81"/>
    </row>
  </sheetData>
  <mergeCells count="24">
    <mergeCell ref="R31:T31"/>
    <mergeCell ref="B32:B33"/>
    <mergeCell ref="C32:C33"/>
    <mergeCell ref="F32:H32"/>
    <mergeCell ref="I32:K32"/>
    <mergeCell ref="L32:N32"/>
    <mergeCell ref="R11:T11"/>
    <mergeCell ref="B12:B13"/>
    <mergeCell ref="C12:C13"/>
    <mergeCell ref="F12:H12"/>
    <mergeCell ref="I12:K12"/>
    <mergeCell ref="L12:N12"/>
    <mergeCell ref="R52:T52"/>
    <mergeCell ref="B53:B54"/>
    <mergeCell ref="C53:C54"/>
    <mergeCell ref="F53:H53"/>
    <mergeCell ref="I53:K53"/>
    <mergeCell ref="L53:N53"/>
    <mergeCell ref="R73:T73"/>
    <mergeCell ref="B74:B75"/>
    <mergeCell ref="C74:C75"/>
    <mergeCell ref="F74:H74"/>
    <mergeCell ref="I74:K74"/>
    <mergeCell ref="L74:N74"/>
  </mergeCells>
  <phoneticPr fontId="23" type="noConversion"/>
  <conditionalFormatting sqref="B14:T20 B34:T41">
    <cfRule type="expression" dxfId="2" priority="8">
      <formula>MOD(ROW(),2)=0</formula>
    </cfRule>
  </conditionalFormatting>
  <conditionalFormatting sqref="B55:T62">
    <cfRule type="expression" dxfId="1" priority="2">
      <formula>MOD(ROW(),2)=0</formula>
    </cfRule>
  </conditionalFormatting>
  <conditionalFormatting sqref="B76:T83">
    <cfRule type="expression" dxfId="0" priority="1">
      <formula>MOD(ROW(),2)=0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928A25-78B8-4691-B7F2-E23F5F4C2F87}">
  <dimension ref="B3:F9"/>
  <sheetViews>
    <sheetView tabSelected="1" workbookViewId="0">
      <selection activeCell="B4" sqref="B4:F8"/>
    </sheetView>
  </sheetViews>
  <sheetFormatPr defaultRowHeight="15.75" x14ac:dyDescent="0.25"/>
  <cols>
    <col min="1" max="1" width="5.25" customWidth="1"/>
    <col min="2" max="2" width="7.625" customWidth="1"/>
    <col min="3" max="3" width="11.875" customWidth="1"/>
    <col min="4" max="4" width="10.75" customWidth="1"/>
    <col min="5" max="6" width="11.125" customWidth="1"/>
  </cols>
  <sheetData>
    <row r="3" spans="2:6" ht="16.5" thickBot="1" x14ac:dyDescent="0.3"/>
    <row r="4" spans="2:6" ht="21" thickBot="1" x14ac:dyDescent="0.35">
      <c r="B4" s="103"/>
      <c r="C4" s="98"/>
      <c r="D4" s="104" t="s">
        <v>73</v>
      </c>
      <c r="E4" s="98"/>
      <c r="F4" s="105"/>
    </row>
    <row r="5" spans="2:6" ht="63" customHeight="1" x14ac:dyDescent="0.25">
      <c r="B5" s="86"/>
      <c r="C5" s="99" t="s">
        <v>66</v>
      </c>
      <c r="D5" s="100" t="s">
        <v>67</v>
      </c>
      <c r="E5" s="101" t="s">
        <v>68</v>
      </c>
      <c r="F5" s="102" t="s">
        <v>70</v>
      </c>
    </row>
    <row r="6" spans="2:6" ht="18.600000000000001" customHeight="1" x14ac:dyDescent="0.25">
      <c r="B6" s="94" t="s">
        <v>71</v>
      </c>
      <c r="C6" s="92">
        <f>Calcs!G25</f>
        <v>8.6566219276056842</v>
      </c>
      <c r="D6" s="97">
        <f>Calcs!G46</f>
        <v>8.6606747370133146</v>
      </c>
      <c r="E6" s="90">
        <f>Calcs!G67</f>
        <v>8.6972528879737645</v>
      </c>
      <c r="F6" s="87">
        <f>Calcs!G88</f>
        <v>8.7182074133967351</v>
      </c>
    </row>
    <row r="7" spans="2:6" ht="18.600000000000001" customHeight="1" x14ac:dyDescent="0.25">
      <c r="B7" s="94" t="s">
        <v>72</v>
      </c>
      <c r="C7" s="92">
        <f>Calcs!G26</f>
        <v>18.040519241571527</v>
      </c>
      <c r="D7" s="97">
        <f>Calcs!G47</f>
        <v>18.038106251597068</v>
      </c>
      <c r="E7" s="90">
        <f>Calcs!G68</f>
        <v>17.903586333230976</v>
      </c>
      <c r="F7" s="87">
        <f>Calcs!G89</f>
        <v>17.767701028130709</v>
      </c>
    </row>
    <row r="8" spans="2:6" ht="18.600000000000001" customHeight="1" thickBot="1" x14ac:dyDescent="0.3">
      <c r="B8" s="95" t="s">
        <v>69</v>
      </c>
      <c r="C8" s="93">
        <f>Calcs!G27</f>
        <v>19.118492603686569</v>
      </c>
      <c r="D8" s="88">
        <f>Calcs!G48</f>
        <v>19.122604438246967</v>
      </c>
      <c r="E8" s="91">
        <f>Calcs!G69</f>
        <v>18.976617866183517</v>
      </c>
      <c r="F8" s="89">
        <f>Calcs!G90</f>
        <v>18.833970399464512</v>
      </c>
    </row>
    <row r="9" spans="2:6" x14ac:dyDescent="0.25">
      <c r="B9" s="96"/>
    </row>
  </sheetData>
  <phoneticPr fontId="2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Calcs</vt:lpstr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Marucci</dc:creator>
  <cp:lastModifiedBy>Kelly Gray</cp:lastModifiedBy>
  <dcterms:created xsi:type="dcterms:W3CDTF">2025-06-26T16:14:05Z</dcterms:created>
  <dcterms:modified xsi:type="dcterms:W3CDTF">2025-08-26T16:04:06Z</dcterms:modified>
</cp:coreProperties>
</file>