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155"/>
  </bookViews>
  <sheets>
    <sheet name="hosts" sheetId="13" r:id="rId1"/>
    <sheet name="SU_Configuration 2500ft WD" sheetId="12" r:id="rId2"/>
    <sheet name="SU_5000ft_WD" sheetId="22" r:id="rId3"/>
    <sheet name="SU_8000ft_WD" sheetId="21" r:id="rId4"/>
    <sheet name="SU_10000ft_WD" sheetId="20" r:id="rId5"/>
    <sheet name="Ref Stack-ups" sheetId="11" r:id="rId6"/>
    <sheet name="SU_West Boreas" sheetId="17" r:id="rId7"/>
    <sheet name="Joints" sheetId="4" r:id="rId8"/>
    <sheet name="Ref WT" sheetId="19" r:id="rId9"/>
    <sheet name="Tensioners" sheetId="8" r:id="rId10"/>
    <sheet name="Flexible Jts" sheetId="5" r:id="rId11"/>
    <sheet name="geotechnical" sheetId="14" r:id="rId12"/>
    <sheet name="pipe" sheetId="16" r:id="rId13"/>
    <sheet name="material" sheetId="18" r:id="rId14"/>
    <sheet name="Ref Soil" sheetId="15" r:id="rId15"/>
    <sheet name="Ref Aux Lines" sheetId="7" r:id="rId16"/>
    <sheet name="Wave" sheetId="2" r:id="rId17"/>
    <sheet name="Current" sheetId="3" r:id="rId18"/>
    <sheet name="RAOs" sheetId="1" r:id="rId19"/>
    <sheet name="Ref FJ_Stiffness1" sheetId="9" r:id="rId20"/>
    <sheet name="Ref Sensitivities" sheetId="6" r:id="rId21"/>
    <sheet name="Ref Fatigue_Curve" sheetId="23" r:id="rId22"/>
  </sheets>
  <definedNames>
    <definedName name="P_y_Model" localSheetId="14">'Ref Soil'!$A$109:$P$121</definedName>
    <definedName name="P_y_Model_Cyclic" localSheetId="14">'Ref Soil'!$A$126:$P$138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3" l="1"/>
  <c r="H10" i="13"/>
  <c r="H9" i="13"/>
  <c r="H8" i="13"/>
  <c r="H7" i="13"/>
  <c r="H6" i="13"/>
  <c r="H5" i="13"/>
  <c r="H4" i="13"/>
  <c r="H3" i="13"/>
  <c r="H2" i="13"/>
  <c r="E23" i="22" l="1"/>
  <c r="E22" i="22"/>
  <c r="E21" i="22"/>
  <c r="E20" i="22"/>
  <c r="E19" i="22"/>
  <c r="E18" i="22"/>
  <c r="E17" i="22"/>
  <c r="E16" i="22"/>
  <c r="E15" i="22"/>
  <c r="E14" i="22"/>
  <c r="E13" i="22"/>
  <c r="E12" i="22"/>
  <c r="E11" i="22"/>
  <c r="A26" i="22"/>
  <c r="A25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9" i="22"/>
  <c r="A9" i="22"/>
  <c r="C7" i="22"/>
  <c r="A7" i="22"/>
  <c r="C6" i="22"/>
  <c r="C4" i="22"/>
  <c r="A4" i="22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A26" i="21"/>
  <c r="A25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9" i="21"/>
  <c r="A9" i="21"/>
  <c r="C7" i="21"/>
  <c r="A7" i="21"/>
  <c r="C6" i="21"/>
  <c r="C4" i="21"/>
  <c r="A4" i="21"/>
  <c r="E17" i="20"/>
  <c r="E16" i="20"/>
  <c r="E15" i="20"/>
  <c r="E14" i="20"/>
  <c r="E13" i="20"/>
  <c r="E12" i="20"/>
  <c r="E11" i="20"/>
  <c r="E23" i="20"/>
  <c r="E22" i="20"/>
  <c r="E21" i="20"/>
  <c r="E20" i="20"/>
  <c r="E19" i="20"/>
  <c r="E18" i="20"/>
  <c r="A26" i="20"/>
  <c r="A25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9" i="20"/>
  <c r="A9" i="20"/>
  <c r="C7" i="20"/>
  <c r="A7" i="20"/>
  <c r="C6" i="20"/>
  <c r="C4" i="20"/>
  <c r="A4" i="20"/>
  <c r="C17" i="19" l="1"/>
  <c r="D17" i="19" s="1"/>
  <c r="K6" i="8"/>
  <c r="J6" i="8"/>
  <c r="H6" i="8"/>
  <c r="G6" i="8"/>
  <c r="K5" i="8"/>
  <c r="J5" i="8"/>
  <c r="H5" i="8"/>
  <c r="G5" i="8"/>
  <c r="A85" i="4" l="1"/>
  <c r="A84" i="4"/>
  <c r="A83" i="4"/>
  <c r="A82" i="4"/>
  <c r="A81" i="4"/>
  <c r="A80" i="4"/>
  <c r="A79" i="4"/>
  <c r="A78" i="4"/>
  <c r="A77" i="4"/>
  <c r="A76" i="4"/>
  <c r="A75" i="4"/>
  <c r="A74" i="4"/>
  <c r="A62" i="4"/>
  <c r="A61" i="4"/>
  <c r="A60" i="4"/>
  <c r="A59" i="4"/>
  <c r="A58" i="4"/>
  <c r="A57" i="4"/>
  <c r="A56" i="4"/>
  <c r="A55" i="4"/>
  <c r="A54" i="4"/>
  <c r="A53" i="4"/>
  <c r="A52" i="4"/>
  <c r="A51" i="4"/>
  <c r="F7" i="19"/>
  <c r="H7" i="19" s="1"/>
  <c r="J7" i="19" s="1"/>
  <c r="F5" i="19"/>
  <c r="E7" i="19"/>
  <c r="E6" i="19"/>
  <c r="F6" i="19" s="1"/>
  <c r="H6" i="19" s="1"/>
  <c r="J6" i="19" s="1"/>
  <c r="E5" i="19"/>
  <c r="M63" i="4" l="1"/>
  <c r="M59" i="4"/>
  <c r="M55" i="4"/>
  <c r="M51" i="4"/>
  <c r="M62" i="4"/>
  <c r="M58" i="4"/>
  <c r="M54" i="4"/>
  <c r="K6" i="19"/>
  <c r="M56" i="4"/>
  <c r="M61" i="4"/>
  <c r="M57" i="4"/>
  <c r="M53" i="4"/>
  <c r="M60" i="4"/>
  <c r="M52" i="4"/>
  <c r="K7" i="19"/>
  <c r="M85" i="4"/>
  <c r="M81" i="4"/>
  <c r="M77" i="4"/>
  <c r="M84" i="4"/>
  <c r="M80" i="4"/>
  <c r="M76" i="4"/>
  <c r="M78" i="4"/>
  <c r="M83" i="4"/>
  <c r="M79" i="4"/>
  <c r="M75" i="4"/>
  <c r="M82" i="4"/>
  <c r="M74" i="4"/>
  <c r="H4" i="8"/>
  <c r="H3" i="8"/>
  <c r="N85" i="4" l="1"/>
  <c r="N81" i="4"/>
  <c r="N77" i="4"/>
  <c r="N84" i="4"/>
  <c r="N80" i="4"/>
  <c r="N76" i="4"/>
  <c r="N83" i="4"/>
  <c r="N79" i="4"/>
  <c r="N75" i="4"/>
  <c r="N82" i="4"/>
  <c r="N78" i="4"/>
  <c r="N74" i="4"/>
  <c r="N63" i="4"/>
  <c r="N59" i="4"/>
  <c r="N55" i="4"/>
  <c r="N51" i="4"/>
  <c r="N62" i="4"/>
  <c r="N58" i="4"/>
  <c r="N54" i="4"/>
  <c r="N61" i="4"/>
  <c r="N57" i="4"/>
  <c r="N53" i="4"/>
  <c r="N60" i="4"/>
  <c r="N56" i="4"/>
  <c r="N52" i="4"/>
  <c r="C13" i="17"/>
  <c r="A13" i="17"/>
  <c r="K4" i="8" l="1"/>
  <c r="K3" i="8"/>
  <c r="J4" i="8"/>
  <c r="J3" i="8"/>
  <c r="C12" i="17" l="1"/>
  <c r="A12" i="17"/>
  <c r="B30" i="4" l="1"/>
  <c r="B31" i="4" s="1"/>
  <c r="B32" i="4" s="1"/>
  <c r="B33" i="4" s="1"/>
  <c r="B34" i="4" s="1"/>
  <c r="B35" i="4" l="1"/>
  <c r="B36" i="4" s="1"/>
  <c r="B37" i="4" s="1"/>
  <c r="B38" i="4" s="1"/>
  <c r="B39" i="4" s="1"/>
  <c r="B40" i="4" s="1"/>
  <c r="B41" i="4" s="1"/>
  <c r="B42" i="4" s="1"/>
  <c r="E94" i="14"/>
  <c r="F184" i="14"/>
  <c r="D179" i="14"/>
  <c r="D180" i="14" s="1"/>
  <c r="D181" i="14" s="1"/>
  <c r="D182" i="14" s="1"/>
  <c r="D183" i="14" s="1"/>
  <c r="D184" i="14" s="1"/>
  <c r="F177" i="14"/>
  <c r="D172" i="14"/>
  <c r="D173" i="14" s="1"/>
  <c r="D174" i="14" s="1"/>
  <c r="D175" i="14" s="1"/>
  <c r="D176" i="14" s="1"/>
  <c r="D177" i="14" s="1"/>
  <c r="F170" i="14"/>
  <c r="D165" i="14"/>
  <c r="D166" i="14" s="1"/>
  <c r="D167" i="14" s="1"/>
  <c r="D168" i="14" s="1"/>
  <c r="D169" i="14" s="1"/>
  <c r="D170" i="14" s="1"/>
  <c r="F163" i="14"/>
  <c r="D158" i="14"/>
  <c r="D159" i="14" s="1"/>
  <c r="D160" i="14" s="1"/>
  <c r="D161" i="14" s="1"/>
  <c r="D162" i="14" s="1"/>
  <c r="D163" i="14" s="1"/>
  <c r="F156" i="14"/>
  <c r="D151" i="14"/>
  <c r="D152" i="14" s="1"/>
  <c r="D153" i="14" s="1"/>
  <c r="D154" i="14" s="1"/>
  <c r="D155" i="14" s="1"/>
  <c r="D156" i="14" s="1"/>
  <c r="F149" i="14"/>
  <c r="D144" i="14"/>
  <c r="D145" i="14" s="1"/>
  <c r="D146" i="14" s="1"/>
  <c r="D147" i="14" s="1"/>
  <c r="D148" i="14" s="1"/>
  <c r="D149" i="14" s="1"/>
  <c r="D137" i="14"/>
  <c r="D138" i="14" s="1"/>
  <c r="D139" i="14" s="1"/>
  <c r="D140" i="14" s="1"/>
  <c r="D141" i="14" s="1"/>
  <c r="D142" i="14" s="1"/>
  <c r="D131" i="14"/>
  <c r="D132" i="14" s="1"/>
  <c r="D133" i="14" s="1"/>
  <c r="D134" i="14" s="1"/>
  <c r="D135" i="14" s="1"/>
  <c r="D130" i="14"/>
  <c r="D123" i="14"/>
  <c r="D124" i="14" s="1"/>
  <c r="D125" i="14" s="1"/>
  <c r="D126" i="14" s="1"/>
  <c r="D127" i="14" s="1"/>
  <c r="D128" i="14" s="1"/>
  <c r="D116" i="14"/>
  <c r="D117" i="14" s="1"/>
  <c r="D118" i="14" s="1"/>
  <c r="D119" i="14" s="1"/>
  <c r="D120" i="14" s="1"/>
  <c r="D121" i="14" s="1"/>
  <c r="D109" i="14"/>
  <c r="D110" i="14" s="1"/>
  <c r="D111" i="14" s="1"/>
  <c r="D112" i="14" s="1"/>
  <c r="D113" i="14" s="1"/>
  <c r="D114" i="14" s="1"/>
  <c r="D102" i="14"/>
  <c r="D103" i="14" s="1"/>
  <c r="D104" i="14" s="1"/>
  <c r="D105" i="14" s="1"/>
  <c r="D106" i="14" s="1"/>
  <c r="D107" i="14" s="1"/>
  <c r="D95" i="14"/>
  <c r="D96" i="14" s="1"/>
  <c r="D97" i="14" s="1"/>
  <c r="D98" i="14" s="1"/>
  <c r="D99" i="14" s="1"/>
  <c r="D100" i="14" s="1"/>
  <c r="C20" i="17"/>
  <c r="A20" i="17"/>
  <c r="C27" i="17"/>
  <c r="A27" i="17"/>
  <c r="C25" i="17"/>
  <c r="A25" i="17"/>
  <c r="A24" i="17"/>
  <c r="A23" i="17"/>
  <c r="C24" i="17"/>
  <c r="C23" i="17"/>
  <c r="C21" i="17"/>
  <c r="C19" i="17"/>
  <c r="C18" i="17"/>
  <c r="C17" i="17"/>
  <c r="C16" i="17"/>
  <c r="C15" i="17"/>
  <c r="C14" i="17"/>
  <c r="A21" i="17"/>
  <c r="A19" i="17"/>
  <c r="A18" i="17"/>
  <c r="A17" i="17"/>
  <c r="A16" i="17"/>
  <c r="A15" i="17"/>
  <c r="A14" i="17"/>
  <c r="C11" i="17"/>
  <c r="C9" i="17"/>
  <c r="C7" i="17"/>
  <c r="C6" i="17"/>
  <c r="C4" i="17"/>
  <c r="A9" i="17"/>
  <c r="A7" i="17"/>
  <c r="A4" i="17"/>
  <c r="G4" i="8"/>
  <c r="A32" i="4" l="1"/>
  <c r="A11" i="17" s="1"/>
  <c r="F65" i="14"/>
  <c r="F72" i="14"/>
  <c r="F79" i="14"/>
  <c r="F86" i="14"/>
  <c r="F93" i="14"/>
  <c r="F58" i="14"/>
  <c r="A4" i="12"/>
  <c r="D4" i="14" l="1"/>
  <c r="D5" i="14" s="1"/>
  <c r="D6" i="14" s="1"/>
  <c r="D7" i="14" s="1"/>
  <c r="D8" i="14" s="1"/>
  <c r="D9" i="14" s="1"/>
  <c r="D11" i="14"/>
  <c r="D18" i="14"/>
  <c r="D25" i="14"/>
  <c r="D26" i="14" s="1"/>
  <c r="D27" i="14" s="1"/>
  <c r="D28" i="14" s="1"/>
  <c r="D29" i="14" s="1"/>
  <c r="D30" i="14" s="1"/>
  <c r="D32" i="14"/>
  <c r="D33" i="14" s="1"/>
  <c r="D34" i="14" s="1"/>
  <c r="D35" i="14" s="1"/>
  <c r="D36" i="14" s="1"/>
  <c r="D37" i="14" s="1"/>
  <c r="D39" i="14"/>
  <c r="D40" i="14" s="1"/>
  <c r="D41" i="14" s="1"/>
  <c r="D42" i="14" s="1"/>
  <c r="D43" i="14" s="1"/>
  <c r="D44" i="14" s="1"/>
  <c r="D46" i="14"/>
  <c r="D53" i="14"/>
  <c r="D54" i="14" s="1"/>
  <c r="D55" i="14" s="1"/>
  <c r="D56" i="14" s="1"/>
  <c r="D57" i="14" s="1"/>
  <c r="D58" i="14" s="1"/>
  <c r="D60" i="14"/>
  <c r="D61" i="14" s="1"/>
  <c r="D62" i="14" s="1"/>
  <c r="D63" i="14" s="1"/>
  <c r="D64" i="14" s="1"/>
  <c r="D65" i="14" s="1"/>
  <c r="D67" i="14"/>
  <c r="D74" i="14"/>
  <c r="D75" i="14" s="1"/>
  <c r="D76" i="14" s="1"/>
  <c r="D77" i="14" s="1"/>
  <c r="D78" i="14" s="1"/>
  <c r="D79" i="14" s="1"/>
  <c r="D81" i="14"/>
  <c r="D82" i="14" s="1"/>
  <c r="D83" i="14" s="1"/>
  <c r="D84" i="14" s="1"/>
  <c r="D85" i="14" s="1"/>
  <c r="D86" i="14" s="1"/>
  <c r="D88" i="14"/>
  <c r="D89" i="14" s="1"/>
  <c r="D90" i="14" s="1"/>
  <c r="D91" i="14" s="1"/>
  <c r="D92" i="14" s="1"/>
  <c r="D93" i="14" s="1"/>
  <c r="D68" i="14"/>
  <c r="D69" i="14" s="1"/>
  <c r="D70" i="14" s="1"/>
  <c r="D71" i="14" s="1"/>
  <c r="D72" i="14" s="1"/>
  <c r="D47" i="14"/>
  <c r="D48" i="14" s="1"/>
  <c r="D49" i="14" s="1"/>
  <c r="D50" i="14" s="1"/>
  <c r="D51" i="14" s="1"/>
  <c r="D19" i="14"/>
  <c r="D20" i="14" s="1"/>
  <c r="D21" i="14" s="1"/>
  <c r="D22" i="14" s="1"/>
  <c r="D23" i="14" s="1"/>
  <c r="D12" i="14"/>
  <c r="D13" i="14" s="1"/>
  <c r="D14" i="14" s="1"/>
  <c r="D15" i="14" s="1"/>
  <c r="D16" i="14" s="1"/>
  <c r="O8" i="15" l="1"/>
  <c r="S38" i="15" s="1"/>
  <c r="Q39" i="15"/>
  <c r="T37" i="15"/>
  <c r="Q37" i="15"/>
  <c r="T35" i="15"/>
  <c r="Q35" i="15"/>
  <c r="T33" i="15"/>
  <c r="Q33" i="15"/>
  <c r="T31" i="15"/>
  <c r="Q31" i="15"/>
  <c r="T29" i="15"/>
  <c r="Q29" i="15"/>
  <c r="Q27" i="15"/>
  <c r="Q25" i="15"/>
  <c r="Q23" i="15"/>
  <c r="Q21" i="15"/>
  <c r="Q19" i="15"/>
  <c r="Q17" i="15"/>
  <c r="Q15" i="15"/>
  <c r="J103" i="15"/>
  <c r="I103" i="15"/>
  <c r="H103" i="15"/>
  <c r="G103" i="15"/>
  <c r="F103" i="15"/>
  <c r="E103" i="15"/>
  <c r="D103" i="15"/>
  <c r="J102" i="15"/>
  <c r="I102" i="15"/>
  <c r="G102" i="15"/>
  <c r="F102" i="15"/>
  <c r="E102" i="15"/>
  <c r="D102" i="15"/>
  <c r="J101" i="15"/>
  <c r="I101" i="15"/>
  <c r="H101" i="15"/>
  <c r="G101" i="15"/>
  <c r="F101" i="15"/>
  <c r="E101" i="15"/>
  <c r="D101" i="15"/>
  <c r="J100" i="15"/>
  <c r="I100" i="15"/>
  <c r="G100" i="15"/>
  <c r="F100" i="15"/>
  <c r="E100" i="15"/>
  <c r="D100" i="15"/>
  <c r="J99" i="15"/>
  <c r="I99" i="15"/>
  <c r="H99" i="15"/>
  <c r="G99" i="15"/>
  <c r="F99" i="15"/>
  <c r="E99" i="15"/>
  <c r="D99" i="15"/>
  <c r="J98" i="15"/>
  <c r="I98" i="15"/>
  <c r="G98" i="15"/>
  <c r="F98" i="15"/>
  <c r="E98" i="15"/>
  <c r="D98" i="15"/>
  <c r="J97" i="15"/>
  <c r="I97" i="15"/>
  <c r="H97" i="15"/>
  <c r="G97" i="15"/>
  <c r="F97" i="15"/>
  <c r="E97" i="15"/>
  <c r="D97" i="15"/>
  <c r="J96" i="15"/>
  <c r="I96" i="15"/>
  <c r="G96" i="15"/>
  <c r="F96" i="15"/>
  <c r="E96" i="15"/>
  <c r="D96" i="15"/>
  <c r="D89" i="15"/>
  <c r="B89" i="15"/>
  <c r="L38" i="15"/>
  <c r="L36" i="15"/>
  <c r="L34" i="15"/>
  <c r="L32" i="15"/>
  <c r="L30" i="15"/>
  <c r="L28" i="15"/>
  <c r="L26" i="15"/>
  <c r="L24" i="15"/>
  <c r="L22" i="15"/>
  <c r="L20" i="15"/>
  <c r="L16" i="15"/>
  <c r="L18" i="15"/>
  <c r="L14" i="15"/>
  <c r="I80" i="15"/>
  <c r="H80" i="15"/>
  <c r="G80" i="15"/>
  <c r="E80" i="15"/>
  <c r="D80" i="15"/>
  <c r="I79" i="15"/>
  <c r="G79" i="15"/>
  <c r="F79" i="15"/>
  <c r="E79" i="15"/>
  <c r="D79" i="15"/>
  <c r="I78" i="15"/>
  <c r="H78" i="15"/>
  <c r="G78" i="15"/>
  <c r="E78" i="15"/>
  <c r="D78" i="15"/>
  <c r="I77" i="15"/>
  <c r="G77" i="15"/>
  <c r="F77" i="15"/>
  <c r="E77" i="15"/>
  <c r="D77" i="15"/>
  <c r="I76" i="15"/>
  <c r="H76" i="15"/>
  <c r="G76" i="15"/>
  <c r="E76" i="15"/>
  <c r="D76" i="15"/>
  <c r="I75" i="15"/>
  <c r="G75" i="15"/>
  <c r="F75" i="15"/>
  <c r="E75" i="15"/>
  <c r="D75" i="15"/>
  <c r="I74" i="15"/>
  <c r="H74" i="15"/>
  <c r="G74" i="15"/>
  <c r="E74" i="15"/>
  <c r="D74" i="15"/>
  <c r="I73" i="15"/>
  <c r="G73" i="15"/>
  <c r="F73" i="15"/>
  <c r="E73" i="15"/>
  <c r="D73" i="15"/>
  <c r="I72" i="15"/>
  <c r="H72" i="15"/>
  <c r="G72" i="15"/>
  <c r="E72" i="15"/>
  <c r="D72" i="15"/>
  <c r="I71" i="15"/>
  <c r="G71" i="15"/>
  <c r="F71" i="15"/>
  <c r="E71" i="15"/>
  <c r="D71" i="15"/>
  <c r="I70" i="15"/>
  <c r="H70" i="15"/>
  <c r="G70" i="15"/>
  <c r="E70" i="15"/>
  <c r="D70" i="15"/>
  <c r="I69" i="15"/>
  <c r="G69" i="15"/>
  <c r="F69" i="15"/>
  <c r="E69" i="15"/>
  <c r="D69" i="15"/>
  <c r="I68" i="15"/>
  <c r="H68" i="15"/>
  <c r="G68" i="15"/>
  <c r="E68" i="15"/>
  <c r="D68" i="15"/>
  <c r="I67" i="15"/>
  <c r="G67" i="15"/>
  <c r="F67" i="15"/>
  <c r="E67" i="15"/>
  <c r="D67" i="15"/>
  <c r="I66" i="15"/>
  <c r="H66" i="15"/>
  <c r="G66" i="15"/>
  <c r="E66" i="15"/>
  <c r="D66" i="15"/>
  <c r="I65" i="15"/>
  <c r="G65" i="15"/>
  <c r="F65" i="15"/>
  <c r="E65" i="15"/>
  <c r="D65" i="15"/>
  <c r="I64" i="15"/>
  <c r="H64" i="15"/>
  <c r="G64" i="15"/>
  <c r="E64" i="15"/>
  <c r="D64" i="15"/>
  <c r="I63" i="15"/>
  <c r="G63" i="15"/>
  <c r="F63" i="15"/>
  <c r="E63" i="15"/>
  <c r="D63" i="15"/>
  <c r="I62" i="15"/>
  <c r="H62" i="15"/>
  <c r="G62" i="15"/>
  <c r="E62" i="15"/>
  <c r="D62" i="15"/>
  <c r="I61" i="15"/>
  <c r="G61" i="15"/>
  <c r="F61" i="15"/>
  <c r="E61" i="15"/>
  <c r="D61" i="15"/>
  <c r="I60" i="15"/>
  <c r="H60" i="15"/>
  <c r="G60" i="15"/>
  <c r="E60" i="15"/>
  <c r="D60" i="15"/>
  <c r="I59" i="15"/>
  <c r="G59" i="15"/>
  <c r="F59" i="15"/>
  <c r="E59" i="15"/>
  <c r="D59" i="15"/>
  <c r="I58" i="15"/>
  <c r="H58" i="15"/>
  <c r="G58" i="15"/>
  <c r="E58" i="15"/>
  <c r="D58" i="15"/>
  <c r="I57" i="15"/>
  <c r="G57" i="15"/>
  <c r="F57" i="15"/>
  <c r="E57" i="15"/>
  <c r="D57" i="15"/>
  <c r="I56" i="15"/>
  <c r="H56" i="15"/>
  <c r="G56" i="15"/>
  <c r="E56" i="15"/>
  <c r="D56" i="15"/>
  <c r="I55" i="15"/>
  <c r="G55" i="15"/>
  <c r="F55" i="15"/>
  <c r="E55" i="15"/>
  <c r="D55" i="15"/>
  <c r="D48" i="15"/>
  <c r="B48" i="15"/>
  <c r="H39" i="15"/>
  <c r="S39" i="15" s="1"/>
  <c r="T39" i="15" s="1"/>
  <c r="G39" i="15"/>
  <c r="R39" i="15" s="1"/>
  <c r="E39" i="15"/>
  <c r="P39" i="15" s="1"/>
  <c r="D39" i="15"/>
  <c r="O39" i="15" s="1"/>
  <c r="H37" i="15"/>
  <c r="S37" i="15" s="1"/>
  <c r="G37" i="15"/>
  <c r="R37" i="15" s="1"/>
  <c r="E37" i="15"/>
  <c r="P37" i="15" s="1"/>
  <c r="D37" i="15"/>
  <c r="O37" i="15" s="1"/>
  <c r="H35" i="15"/>
  <c r="S35" i="15" s="1"/>
  <c r="G35" i="15"/>
  <c r="R35" i="15" s="1"/>
  <c r="E35" i="15"/>
  <c r="P35" i="15" s="1"/>
  <c r="D35" i="15"/>
  <c r="O35" i="15" s="1"/>
  <c r="H33" i="15"/>
  <c r="S33" i="15" s="1"/>
  <c r="G33" i="15"/>
  <c r="R33" i="15" s="1"/>
  <c r="E33" i="15"/>
  <c r="P33" i="15" s="1"/>
  <c r="D33" i="15"/>
  <c r="O33" i="15" s="1"/>
  <c r="H31" i="15"/>
  <c r="S31" i="15" s="1"/>
  <c r="G31" i="15"/>
  <c r="R31" i="15" s="1"/>
  <c r="E31" i="15"/>
  <c r="P31" i="15" s="1"/>
  <c r="D31" i="15"/>
  <c r="O31" i="15" s="1"/>
  <c r="H29" i="15"/>
  <c r="S29" i="15" s="1"/>
  <c r="G29" i="15"/>
  <c r="R29" i="15" s="1"/>
  <c r="E29" i="15"/>
  <c r="P29" i="15" s="1"/>
  <c r="D29" i="15"/>
  <c r="O29" i="15" s="1"/>
  <c r="I27" i="15"/>
  <c r="T27" i="15" s="1"/>
  <c r="H27" i="15"/>
  <c r="S27" i="15" s="1"/>
  <c r="G27" i="15"/>
  <c r="R27" i="15" s="1"/>
  <c r="E27" i="15"/>
  <c r="P27" i="15" s="1"/>
  <c r="D27" i="15"/>
  <c r="O27" i="15" s="1"/>
  <c r="I25" i="15"/>
  <c r="T25" i="15" s="1"/>
  <c r="H25" i="15"/>
  <c r="S25" i="15" s="1"/>
  <c r="G25" i="15"/>
  <c r="R25" i="15" s="1"/>
  <c r="E25" i="15"/>
  <c r="P25" i="15" s="1"/>
  <c r="D25" i="15"/>
  <c r="O25" i="15" s="1"/>
  <c r="I23" i="15"/>
  <c r="T23" i="15" s="1"/>
  <c r="H23" i="15"/>
  <c r="S23" i="15" s="1"/>
  <c r="G23" i="15"/>
  <c r="R23" i="15" s="1"/>
  <c r="E23" i="15"/>
  <c r="P23" i="15" s="1"/>
  <c r="D23" i="15"/>
  <c r="O23" i="15" s="1"/>
  <c r="I21" i="15"/>
  <c r="T21" i="15" s="1"/>
  <c r="H21" i="15"/>
  <c r="S21" i="15" s="1"/>
  <c r="G21" i="15"/>
  <c r="R21" i="15" s="1"/>
  <c r="E21" i="15"/>
  <c r="P21" i="15" s="1"/>
  <c r="D21" i="15"/>
  <c r="O21" i="15" s="1"/>
  <c r="I19" i="15"/>
  <c r="T19" i="15" s="1"/>
  <c r="H19" i="15"/>
  <c r="S19" i="15" s="1"/>
  <c r="G19" i="15"/>
  <c r="R19" i="15" s="1"/>
  <c r="E19" i="15"/>
  <c r="P19" i="15" s="1"/>
  <c r="D19" i="15"/>
  <c r="O19" i="15" s="1"/>
  <c r="I17" i="15"/>
  <c r="T17" i="15" s="1"/>
  <c r="H17" i="15"/>
  <c r="S17" i="15" s="1"/>
  <c r="G17" i="15"/>
  <c r="R17" i="15" s="1"/>
  <c r="E17" i="15"/>
  <c r="P17" i="15" s="1"/>
  <c r="D17" i="15"/>
  <c r="O17" i="15" s="1"/>
  <c r="I15" i="15"/>
  <c r="T15" i="15" s="1"/>
  <c r="H15" i="15"/>
  <c r="S15" i="15" s="1"/>
  <c r="G15" i="15"/>
  <c r="R15" i="15" s="1"/>
  <c r="E15" i="15"/>
  <c r="P15" i="15" s="1"/>
  <c r="D15" i="15"/>
  <c r="O15" i="15" s="1"/>
  <c r="D7" i="15"/>
  <c r="B7" i="15"/>
  <c r="T14" i="15" l="1"/>
  <c r="P18" i="15"/>
  <c r="R20" i="15"/>
  <c r="T22" i="15"/>
  <c r="P26" i="15"/>
  <c r="R28" i="15"/>
  <c r="T30" i="15"/>
  <c r="P34" i="15"/>
  <c r="R36" i="15"/>
  <c r="T38" i="15"/>
  <c r="O16" i="15"/>
  <c r="Q18" i="15"/>
  <c r="S20" i="15"/>
  <c r="O24" i="15"/>
  <c r="Q26" i="15"/>
  <c r="S28" i="15"/>
  <c r="O32" i="15"/>
  <c r="Q34" i="15"/>
  <c r="S36" i="15"/>
  <c r="P16" i="15"/>
  <c r="R18" i="15"/>
  <c r="T20" i="15"/>
  <c r="P24" i="15"/>
  <c r="R26" i="15"/>
  <c r="T28" i="15"/>
  <c r="P32" i="15"/>
  <c r="R34" i="15"/>
  <c r="T36" i="15"/>
  <c r="O14" i="15"/>
  <c r="Q16" i="15"/>
  <c r="S18" i="15"/>
  <c r="O22" i="15"/>
  <c r="Q24" i="15"/>
  <c r="S26" i="15"/>
  <c r="O30" i="15"/>
  <c r="Q32" i="15"/>
  <c r="S34" i="15"/>
  <c r="O38" i="15"/>
  <c r="P14" i="15"/>
  <c r="R16" i="15"/>
  <c r="T18" i="15"/>
  <c r="P22" i="15"/>
  <c r="R24" i="15"/>
  <c r="T26" i="15"/>
  <c r="P30" i="15"/>
  <c r="R32" i="15"/>
  <c r="T34" i="15"/>
  <c r="P38" i="15"/>
  <c r="Q14" i="15"/>
  <c r="S16" i="15"/>
  <c r="O20" i="15"/>
  <c r="Q22" i="15"/>
  <c r="S24" i="15"/>
  <c r="O28" i="15"/>
  <c r="Q30" i="15"/>
  <c r="S32" i="15"/>
  <c r="O36" i="15"/>
  <c r="Q38" i="15"/>
  <c r="R14" i="15"/>
  <c r="T16" i="15"/>
  <c r="P20" i="15"/>
  <c r="R22" i="15"/>
  <c r="T24" i="15"/>
  <c r="P28" i="15"/>
  <c r="R30" i="15"/>
  <c r="T32" i="15"/>
  <c r="P36" i="15"/>
  <c r="R38" i="15"/>
  <c r="S14" i="15"/>
  <c r="O18" i="15"/>
  <c r="Q20" i="15"/>
  <c r="S22" i="15"/>
  <c r="O26" i="15"/>
  <c r="Q28" i="15"/>
  <c r="S30" i="15"/>
  <c r="O34" i="15"/>
  <c r="Q36" i="15"/>
  <c r="C17" i="12"/>
  <c r="C16" i="12"/>
  <c r="C15" i="12"/>
  <c r="C14" i="12"/>
  <c r="C13" i="12"/>
  <c r="C12" i="12"/>
  <c r="C11" i="12"/>
  <c r="A26" i="12" l="1"/>
  <c r="A25" i="12"/>
  <c r="A9" i="12"/>
  <c r="A7" i="12"/>
  <c r="A9" i="4"/>
  <c r="A8" i="4"/>
  <c r="A7" i="4"/>
  <c r="A6" i="4"/>
  <c r="A5" i="4"/>
  <c r="A23" i="4"/>
  <c r="A22" i="4"/>
  <c r="A16" i="4"/>
  <c r="A15" i="4"/>
  <c r="A14" i="4"/>
  <c r="A13" i="4"/>
  <c r="A12" i="4"/>
  <c r="A11" i="4"/>
  <c r="A10" i="4"/>
  <c r="A20" i="22" l="1"/>
  <c r="A20" i="20"/>
  <c r="A20" i="21"/>
  <c r="A14" i="21"/>
  <c r="A14" i="22"/>
  <c r="A14" i="20"/>
  <c r="A22" i="21"/>
  <c r="A22" i="22"/>
  <c r="A22" i="20"/>
  <c r="A19" i="21"/>
  <c r="A19" i="20"/>
  <c r="A19" i="22"/>
  <c r="A17" i="22"/>
  <c r="A17" i="20"/>
  <c r="A17" i="21"/>
  <c r="A29" i="20"/>
  <c r="A29" i="21"/>
  <c r="A29" i="22"/>
  <c r="A13" i="22"/>
  <c r="A13" i="20"/>
  <c r="A6" i="22"/>
  <c r="A6" i="20"/>
  <c r="A13" i="21"/>
  <c r="A6" i="21"/>
  <c r="A15" i="21"/>
  <c r="A15" i="20"/>
  <c r="A15" i="22"/>
  <c r="A16" i="22"/>
  <c r="A16" i="20"/>
  <c r="A16" i="21"/>
  <c r="A11" i="20"/>
  <c r="A11" i="21"/>
  <c r="A11" i="22"/>
  <c r="A30" i="21"/>
  <c r="A30" i="22"/>
  <c r="A30" i="20"/>
  <c r="A21" i="22"/>
  <c r="A21" i="20"/>
  <c r="A21" i="21"/>
  <c r="A12" i="22"/>
  <c r="A12" i="20"/>
  <c r="A12" i="21"/>
  <c r="A23" i="21"/>
  <c r="A18" i="21"/>
  <c r="A23" i="20"/>
  <c r="A23" i="22"/>
  <c r="A18" i="22"/>
  <c r="A18" i="20"/>
  <c r="A6" i="12"/>
  <c r="A6" i="17"/>
  <c r="A19" i="12"/>
  <c r="A14" i="12"/>
  <c r="A29" i="12"/>
  <c r="A20" i="12"/>
  <c r="A11" i="12"/>
  <c r="A15" i="12"/>
  <c r="A30" i="12"/>
  <c r="A21" i="12"/>
  <c r="A17" i="12"/>
  <c r="A12" i="12"/>
  <c r="A16" i="12"/>
  <c r="A23" i="12"/>
  <c r="A22" i="12"/>
  <c r="A13" i="12"/>
  <c r="C23" i="12"/>
  <c r="C22" i="12"/>
  <c r="C21" i="12"/>
  <c r="C20" i="12"/>
  <c r="C19" i="12"/>
  <c r="C18" i="12"/>
  <c r="C9" i="12"/>
  <c r="C7" i="12"/>
  <c r="C6" i="12"/>
  <c r="C4" i="12"/>
  <c r="E23" i="12" l="1"/>
  <c r="E19" i="12"/>
  <c r="E18" i="12"/>
  <c r="E14" i="12"/>
  <c r="E12" i="12"/>
  <c r="G117" i="3" l="1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G96" i="3"/>
  <c r="G95" i="3"/>
  <c r="F96" i="3"/>
  <c r="F95" i="3"/>
  <c r="B73" i="3"/>
  <c r="B72" i="3"/>
  <c r="B71" i="3"/>
  <c r="B70" i="3"/>
  <c r="B69" i="3"/>
  <c r="B68" i="3"/>
  <c r="B67" i="3"/>
  <c r="B66" i="3"/>
  <c r="A67" i="3"/>
  <c r="A68" i="3" s="1"/>
  <c r="A69" i="3" s="1"/>
  <c r="A70" i="3" s="1"/>
  <c r="A71" i="3" s="1"/>
  <c r="A72" i="3" s="1"/>
  <c r="A73" i="3" s="1"/>
  <c r="L127" i="2"/>
  <c r="L126" i="2"/>
  <c r="L125" i="2"/>
  <c r="L124" i="2"/>
  <c r="L123" i="2"/>
  <c r="L122" i="2"/>
  <c r="L121" i="2"/>
  <c r="L120" i="2"/>
  <c r="L119" i="2"/>
  <c r="L118" i="2"/>
  <c r="K127" i="2"/>
  <c r="K126" i="2"/>
  <c r="K125" i="2"/>
  <c r="K124" i="2"/>
  <c r="K123" i="2"/>
  <c r="K122" i="2"/>
  <c r="K121" i="2"/>
  <c r="K120" i="2"/>
  <c r="K119" i="2"/>
  <c r="K118" i="2"/>
  <c r="J127" i="2"/>
  <c r="J126" i="2"/>
  <c r="J125" i="2"/>
  <c r="J124" i="2"/>
  <c r="J123" i="2"/>
  <c r="J122" i="2"/>
  <c r="J121" i="2"/>
  <c r="J120" i="2"/>
  <c r="J119" i="2"/>
  <c r="J118" i="2"/>
  <c r="N90" i="2" l="1"/>
  <c r="M90" i="2"/>
  <c r="L90" i="2"/>
  <c r="K90" i="2"/>
  <c r="J90" i="2"/>
  <c r="I90" i="2"/>
  <c r="H90" i="2"/>
  <c r="G90" i="2"/>
  <c r="F90" i="2"/>
  <c r="E90" i="2"/>
  <c r="O89" i="2"/>
  <c r="O88" i="2"/>
  <c r="R88" i="2" s="1"/>
  <c r="O87" i="2"/>
  <c r="R87" i="2" s="1"/>
  <c r="O86" i="2"/>
  <c r="R86" i="2" s="1"/>
  <c r="O85" i="2"/>
  <c r="R85" i="2" s="1"/>
  <c r="O84" i="2"/>
  <c r="R84" i="2" s="1"/>
  <c r="O83" i="2"/>
  <c r="R83" i="2" s="1"/>
  <c r="O82" i="2"/>
  <c r="R82" i="2" s="1"/>
  <c r="O81" i="2"/>
  <c r="R81" i="2" s="1"/>
  <c r="O80" i="2"/>
  <c r="R80" i="2" s="1"/>
  <c r="O79" i="2"/>
  <c r="R79" i="2" s="1"/>
  <c r="O78" i="2"/>
  <c r="R78" i="2" s="1"/>
  <c r="O77" i="2"/>
  <c r="R77" i="2" s="1"/>
  <c r="O76" i="2"/>
  <c r="R76" i="2" s="1"/>
  <c r="O75" i="2"/>
  <c r="R75" i="2" s="1"/>
  <c r="P74" i="2"/>
  <c r="Q74" i="2" s="1"/>
  <c r="O74" i="2"/>
  <c r="R74" i="2" s="1"/>
  <c r="Q73" i="2"/>
  <c r="O73" i="2"/>
  <c r="R73" i="2" s="1"/>
  <c r="P75" i="2" l="1"/>
  <c r="Q75" i="2" l="1"/>
  <c r="P76" i="2"/>
  <c r="P77" i="2" l="1"/>
  <c r="Q76" i="2"/>
  <c r="Q77" i="2" l="1"/>
  <c r="P78" i="2"/>
  <c r="P79" i="2" l="1"/>
  <c r="Q78" i="2"/>
  <c r="P80" i="2" l="1"/>
  <c r="Q79" i="2"/>
  <c r="P81" i="2" l="1"/>
  <c r="Q80" i="2"/>
  <c r="Q81" i="2" l="1"/>
  <c r="P82" i="2"/>
  <c r="P83" i="2" l="1"/>
  <c r="Q82" i="2"/>
  <c r="Q83" i="2" l="1"/>
  <c r="P84" i="2"/>
  <c r="Q84" i="2" l="1"/>
  <c r="P85" i="2"/>
  <c r="P86" i="2" l="1"/>
  <c r="Q85" i="2"/>
  <c r="AG61" i="2"/>
  <c r="AG60" i="2"/>
  <c r="AG59" i="2"/>
  <c r="AG58" i="2"/>
  <c r="AG57" i="2"/>
  <c r="AG56" i="2"/>
  <c r="AG55" i="2"/>
  <c r="AG54" i="2"/>
  <c r="AG53" i="2"/>
  <c r="AG52" i="2"/>
  <c r="AG51" i="2"/>
  <c r="AG50" i="2"/>
  <c r="AG49" i="2"/>
  <c r="AG48" i="2"/>
  <c r="AG47" i="2"/>
  <c r="AG46" i="2"/>
  <c r="AG45" i="2"/>
  <c r="AG44" i="2"/>
  <c r="AG43" i="2"/>
  <c r="AG42" i="2"/>
  <c r="AG41" i="2"/>
  <c r="AG40" i="2"/>
  <c r="AG39" i="2"/>
  <c r="AG38" i="2"/>
  <c r="AG62" i="2"/>
  <c r="AF63" i="2"/>
  <c r="AF62" i="2"/>
  <c r="AF61" i="2"/>
  <c r="AF60" i="2"/>
  <c r="AF59" i="2"/>
  <c r="AF58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P87" i="2" l="1"/>
  <c r="Q86" i="2"/>
  <c r="B23" i="11"/>
  <c r="B24" i="11"/>
  <c r="C6" i="11"/>
  <c r="C5" i="11" s="1"/>
  <c r="C4" i="11" s="1"/>
  <c r="C3" i="11" s="1"/>
  <c r="G3" i="8"/>
  <c r="C2" i="6"/>
  <c r="D15" i="6"/>
  <c r="C15" i="6" s="1"/>
  <c r="D14" i="6"/>
  <c r="C14" i="6" s="1"/>
  <c r="D13" i="6"/>
  <c r="C13" i="6" s="1"/>
  <c r="D12" i="6"/>
  <c r="C12" i="6" s="1"/>
  <c r="D11" i="6"/>
  <c r="C11" i="6" s="1"/>
  <c r="D10" i="6"/>
  <c r="C10" i="6" s="1"/>
  <c r="D9" i="6"/>
  <c r="C9" i="6" s="1"/>
  <c r="D8" i="6"/>
  <c r="C8" i="6" s="1"/>
  <c r="D7" i="6"/>
  <c r="C7" i="6" s="1"/>
  <c r="D6" i="6"/>
  <c r="C6" i="6" s="1"/>
  <c r="D5" i="6"/>
  <c r="C5" i="6" s="1"/>
  <c r="D4" i="6"/>
  <c r="C4" i="6" s="1"/>
  <c r="D3" i="6"/>
  <c r="C3" i="6" s="1"/>
  <c r="C26" i="20" l="1"/>
  <c r="C26" i="21"/>
  <c r="C26" i="22"/>
  <c r="C25" i="20"/>
  <c r="C25" i="22"/>
  <c r="C25" i="21"/>
  <c r="C25" i="12"/>
  <c r="P88" i="2"/>
  <c r="Q88" i="2" s="1"/>
  <c r="Q87" i="2"/>
  <c r="D24" i="11"/>
  <c r="D23" i="11" s="1"/>
  <c r="D22" i="11" s="1"/>
  <c r="H29" i="11" s="1"/>
  <c r="C26" i="12"/>
  <c r="F29" i="11" l="1"/>
  <c r="G29" i="11"/>
  <c r="E29" i="11"/>
  <c r="A18" i="12"/>
</calcChain>
</file>

<file path=xl/connections.xml><?xml version="1.0" encoding="utf-8"?>
<connections xmlns="http://schemas.openxmlformats.org/spreadsheetml/2006/main">
  <connection id="1" name="P-y Model" type="6" refreshedVersion="5" background="1" saveData="1">
    <textPr codePage="437" sourceFile="C:\Users\Ace-PC\Desktop\P-y Model.txt" tab="0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-y Model Cyclic" type="6" refreshedVersion="5" background="1" saveData="1">
    <textPr codePage="437" sourceFile="C:\Users\Ace-PC\Desktop\P-y Model Cyclic.txt" tab="0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<sst xmlns="http://schemas.openxmlformats.org/spreadsheetml/2006/main" count="1583" uniqueCount="410">
  <si>
    <t>See spreadsheet</t>
  </si>
  <si>
    <t>Flexible Jt.</t>
  </si>
  <si>
    <t xml:space="preserve">Upper </t>
  </si>
  <si>
    <t>Lower</t>
  </si>
  <si>
    <t>Stiffness for Fatigue</t>
  </si>
  <si>
    <t>kips.ft/deg</t>
  </si>
  <si>
    <t>Drag Diameter</t>
  </si>
  <si>
    <t>GOM - Mexico Side</t>
  </si>
  <si>
    <t>Depth
(m)</t>
  </si>
  <si>
    <t>Dimension-less Current
Speed</t>
  </si>
  <si>
    <t>Occurrence
Probability
(%)</t>
  </si>
  <si>
    <t>Surface
Velocity
(m/s)</t>
  </si>
  <si>
    <t>Description</t>
  </si>
  <si>
    <t>Return Period (years)</t>
  </si>
  <si>
    <r>
      <t>H</t>
    </r>
    <r>
      <rPr>
        <vertAlign val="subscript"/>
        <sz val="11"/>
        <color theme="1"/>
        <rFont val="Tahoma"/>
        <family val="2"/>
      </rPr>
      <t xml:space="preserve">s </t>
    </r>
    <r>
      <rPr>
        <sz val="11"/>
        <color theme="1"/>
        <rFont val="Tahoma"/>
        <family val="2"/>
      </rPr>
      <t>(m)</t>
    </r>
  </si>
  <si>
    <r>
      <t>H</t>
    </r>
    <r>
      <rPr>
        <vertAlign val="subscript"/>
        <sz val="11"/>
        <color theme="1"/>
        <rFont val="Tahoma"/>
        <family val="2"/>
      </rPr>
      <t xml:space="preserve">max </t>
    </r>
    <r>
      <rPr>
        <sz val="11"/>
        <color theme="1"/>
        <rFont val="Tahoma"/>
        <family val="2"/>
      </rPr>
      <t>(m)</t>
    </r>
  </si>
  <si>
    <r>
      <t>T</t>
    </r>
    <r>
      <rPr>
        <vertAlign val="subscript"/>
        <sz val="11"/>
        <color theme="1"/>
        <rFont val="Tahoma"/>
        <family val="2"/>
      </rPr>
      <t xml:space="preserve">p </t>
    </r>
    <r>
      <rPr>
        <sz val="11"/>
        <color theme="1"/>
        <rFont val="Tahoma"/>
        <family val="2"/>
      </rPr>
      <t>(s)</t>
    </r>
  </si>
  <si>
    <t>Elevation Above Mudline (% / m)</t>
  </si>
  <si>
    <t>Current Speed (m/s)</t>
  </si>
  <si>
    <t>5 years</t>
  </si>
  <si>
    <t>10 years</t>
  </si>
  <si>
    <t>50 years</t>
  </si>
  <si>
    <t>100 years</t>
  </si>
  <si>
    <t>100 / 1783</t>
  </si>
  <si>
    <t>75 / 1337</t>
  </si>
  <si>
    <t>50 / 891</t>
  </si>
  <si>
    <t>10 / 178</t>
  </si>
  <si>
    <t>GOM - US</t>
  </si>
  <si>
    <t>Depth(m)</t>
  </si>
  <si>
    <t>Normalized Speed</t>
  </si>
  <si>
    <t>Normal1</t>
  </si>
  <si>
    <t>Normal2</t>
  </si>
  <si>
    <t>Normal3</t>
  </si>
  <si>
    <t>Normal4</t>
  </si>
  <si>
    <t>Normal5</t>
  </si>
  <si>
    <t>Normal6</t>
  </si>
  <si>
    <t>Normal7</t>
  </si>
  <si>
    <t>Normal8</t>
  </si>
  <si>
    <t>Normal9</t>
  </si>
  <si>
    <t>Probability</t>
  </si>
  <si>
    <t>Current 1</t>
  </si>
  <si>
    <t>Current 2</t>
  </si>
  <si>
    <t>Current 3</t>
  </si>
  <si>
    <t>Current 4</t>
  </si>
  <si>
    <t>Current 5</t>
  </si>
  <si>
    <t>Current 6</t>
  </si>
  <si>
    <t>Current 7</t>
  </si>
  <si>
    <t>Current 8</t>
  </si>
  <si>
    <t>Current 9</t>
  </si>
  <si>
    <t>Current 10</t>
  </si>
  <si>
    <t>Current 11</t>
  </si>
  <si>
    <t>Current 12</t>
  </si>
  <si>
    <t>Current 13</t>
  </si>
  <si>
    <t>Current 14</t>
  </si>
  <si>
    <t>Current 15</t>
  </si>
  <si>
    <t>Surface Current</t>
  </si>
  <si>
    <t>Normal Current</t>
  </si>
  <si>
    <t>Loop Current</t>
  </si>
  <si>
    <t>GOM US Side</t>
  </si>
  <si>
    <t>Hs (ft) \ Tp (s)</t>
  </si>
  <si>
    <t>Total</t>
  </si>
  <si>
    <t>I</t>
  </si>
  <si>
    <t>Bin No.</t>
  </si>
  <si>
    <t>Sea 
State</t>
  </si>
  <si>
    <t>Hs 0-0.5</t>
  </si>
  <si>
    <t>Tp 1-3</t>
  </si>
  <si>
    <t>Tp 3-4</t>
  </si>
  <si>
    <t>Hs 0.5-1</t>
  </si>
  <si>
    <t>Hs 1-2</t>
  </si>
  <si>
    <t>Tp 3-5</t>
  </si>
  <si>
    <t>Tp 4-5</t>
  </si>
  <si>
    <t>Tp 5-6</t>
  </si>
  <si>
    <t>Hs 1-2.5</t>
  </si>
  <si>
    <t>Hs 0-1.5</t>
  </si>
  <si>
    <t>Tp 6-7</t>
  </si>
  <si>
    <t>Hs 1.5-3</t>
  </si>
  <si>
    <t>Hs 0-2</t>
  </si>
  <si>
    <t>Tp 7-9</t>
  </si>
  <si>
    <t>Hs 2-4</t>
  </si>
  <si>
    <t>Hs 4-5.5</t>
  </si>
  <si>
    <t>Tp 8-12</t>
  </si>
  <si>
    <t>Hs 0.5-2</t>
  </si>
  <si>
    <t>Tp 9-12</t>
  </si>
  <si>
    <t>Hs 5-7</t>
  </si>
  <si>
    <t>Tp 10-12</t>
  </si>
  <si>
    <t>Hs 2.5-5</t>
  </si>
  <si>
    <t>Tp 12-15</t>
  </si>
  <si>
    <t>Bare jt.  - protected</t>
  </si>
  <si>
    <t>Hydrodynamic Properties</t>
  </si>
  <si>
    <t>inch</t>
  </si>
  <si>
    <t>#</t>
  </si>
  <si>
    <t>ft</t>
  </si>
  <si>
    <t>Buoyancy Depth Rating</t>
  </si>
  <si>
    <t>Pipe OD</t>
  </si>
  <si>
    <t>Pipe WT</t>
  </si>
  <si>
    <t>Buoyancy Jt.</t>
  </si>
  <si>
    <t>Length</t>
  </si>
  <si>
    <t>Pup Jt.</t>
  </si>
  <si>
    <t>Weights</t>
  </si>
  <si>
    <t>kips</t>
  </si>
  <si>
    <t>Telescopic Jt. Inner Barrel</t>
  </si>
  <si>
    <t>Telescopic Jt. Outer Barrel</t>
  </si>
  <si>
    <t>Fleet angle</t>
  </si>
  <si>
    <t>LMRP</t>
  </si>
  <si>
    <t>BOP</t>
  </si>
  <si>
    <t>deg</t>
  </si>
  <si>
    <t>kips/ft</t>
  </si>
  <si>
    <t>Tensioner system stiffness</t>
  </si>
  <si>
    <t>No.of Tensioners</t>
  </si>
  <si>
    <t>N/A</t>
  </si>
  <si>
    <t>Riser Adapter to LMRP</t>
  </si>
  <si>
    <t>LMRP (inc. Flexible jt.)</t>
  </si>
  <si>
    <t>Rotation Angle</t>
  </si>
  <si>
    <t>(deg)</t>
  </si>
  <si>
    <t>Rotational Stiffness</t>
  </si>
  <si>
    <t>(ft-kip/deg)</t>
  </si>
  <si>
    <t>Stiffness per tensioner</t>
  </si>
  <si>
    <t>Fatigue Life</t>
  </si>
  <si>
    <t>Lower Riser Damage</t>
  </si>
  <si>
    <t>Drag Coefficient</t>
  </si>
  <si>
    <t>Sensitivity Parameter</t>
  </si>
  <si>
    <t>Value</t>
  </si>
  <si>
    <t>Lower Riser Stress Response</t>
  </si>
  <si>
    <t>Struc. Dimensions</t>
  </si>
  <si>
    <t>Choke</t>
  </si>
  <si>
    <t>Kill</t>
  </si>
  <si>
    <t>Booster</t>
  </si>
  <si>
    <t>Hydraulic 1</t>
  </si>
  <si>
    <t>Hydraulic 2</t>
  </si>
  <si>
    <t>Unit</t>
  </si>
  <si>
    <t>Fatigue</t>
  </si>
  <si>
    <t>Notes</t>
  </si>
  <si>
    <t>Dynamic stiffness at 1 deg rotation</t>
  </si>
  <si>
    <t>Diverter</t>
  </si>
  <si>
    <t>Upper FJ</t>
  </si>
  <si>
    <t>Inner Barrel</t>
  </si>
  <si>
    <t>Outer Barrel</t>
  </si>
  <si>
    <t>Component</t>
  </si>
  <si>
    <t xml:space="preserve">Top elevation </t>
  </si>
  <si>
    <t>Slick</t>
  </si>
  <si>
    <t>Buoyant 2500</t>
  </si>
  <si>
    <t>Buoyant 5000</t>
  </si>
  <si>
    <t>Buoyant 7500</t>
  </si>
  <si>
    <t>Buoyant 10000</t>
  </si>
  <si>
    <t>15ft Pup Jt.</t>
  </si>
  <si>
    <t>MSL</t>
  </si>
  <si>
    <t>ft above MSL</t>
  </si>
  <si>
    <t>No. of Joints by Water Depth (#)</t>
  </si>
  <si>
    <t>Lower FJ</t>
  </si>
  <si>
    <t>Wellhead</t>
  </si>
  <si>
    <t>ft above Mudline</t>
  </si>
  <si>
    <t>40ft Pup Jt.</t>
  </si>
  <si>
    <t>10ft Pup Jt.</t>
  </si>
  <si>
    <t>5ft Pup Jt.</t>
  </si>
  <si>
    <t>20ft Pup Jt.</t>
  </si>
  <si>
    <t>Mudline</t>
  </si>
  <si>
    <t>Unresolved Length</t>
  </si>
  <si>
    <t>Structural Damping, Critical (%)</t>
  </si>
  <si>
    <t>Background Current (m/s)</t>
  </si>
  <si>
    <t>Mud Weight (ppg)</t>
  </si>
  <si>
    <t>Hs</t>
  </si>
  <si>
    <t>%</t>
  </si>
  <si>
    <r>
      <t>H</t>
    </r>
    <r>
      <rPr>
        <b/>
        <sz val="7"/>
        <color theme="1"/>
        <rFont val="Times New Roman"/>
        <family val="1"/>
      </rPr>
      <t xml:space="preserve">s </t>
    </r>
    <r>
      <rPr>
        <b/>
        <sz val="10"/>
        <color theme="1"/>
        <rFont val="Times New Roman"/>
        <family val="1"/>
      </rPr>
      <t>(m)</t>
    </r>
  </si>
  <si>
    <t>TP (s)</t>
  </si>
  <si>
    <t>SUM</t>
  </si>
  <si>
    <t>2–4</t>
  </si>
  <si>
    <t>4–6</t>
  </si>
  <si>
    <t>6–8</t>
  </si>
  <si>
    <t>8–10</t>
  </si>
  <si>
    <t>10–12</t>
  </si>
  <si>
    <t>12–14</t>
  </si>
  <si>
    <t>14–16</t>
  </si>
  <si>
    <t>16–18</t>
  </si>
  <si>
    <t>18–20</t>
  </si>
  <si>
    <t>m</t>
  </si>
  <si>
    <t>0–0.5</t>
  </si>
  <si>
    <t>0.5–1</t>
  </si>
  <si>
    <t>1–1.5</t>
  </si>
  <si>
    <t>1.5–2</t>
  </si>
  <si>
    <t>2–2.5</t>
  </si>
  <si>
    <t>2.5–3</t>
  </si>
  <si>
    <t>3–3.5</t>
  </si>
  <si>
    <t>3.5–4</t>
  </si>
  <si>
    <t>4–4.5</t>
  </si>
  <si>
    <t>4.5–5</t>
  </si>
  <si>
    <t>5–5.5</t>
  </si>
  <si>
    <t>5.5–6</t>
  </si>
  <si>
    <t>6–6.5</t>
  </si>
  <si>
    <t>6.5–7</t>
  </si>
  <si>
    <t>7–7.5</t>
  </si>
  <si>
    <t>7.5–8</t>
  </si>
  <si>
    <t>South America, Offshore Brazil</t>
  </si>
  <si>
    <t>South America, Offshore Guyana</t>
  </si>
  <si>
    <t>m/s</t>
  </si>
  <si>
    <t>Normal</t>
  </si>
  <si>
    <t>Loop</t>
  </si>
  <si>
    <t>m)</t>
  </si>
  <si>
    <t>Tp</t>
  </si>
  <si>
    <t>(sec) γ α Occurences</t>
  </si>
  <si>
    <t>(%)</t>
  </si>
  <si>
    <t>Bin</t>
  </si>
  <si>
    <t>Alpha</t>
  </si>
  <si>
    <t>Gamma</t>
  </si>
  <si>
    <t>s</t>
  </si>
  <si>
    <t>West Africva, Offshore Angola</t>
  </si>
  <si>
    <t>VS</t>
  </si>
  <si>
    <t>(m/s)</t>
  </si>
  <si>
    <t>Direction</t>
  </si>
  <si>
    <t>(towards)</t>
  </si>
  <si>
    <t>N</t>
  </si>
  <si>
    <t>NNE</t>
  </si>
  <si>
    <t>NE</t>
  </si>
  <si>
    <t>ENE</t>
  </si>
  <si>
    <t>E</t>
  </si>
  <si>
    <t>ESE</t>
  </si>
  <si>
    <t>SE</t>
  </si>
  <si>
    <t>SSE</t>
  </si>
  <si>
    <t>S</t>
  </si>
  <si>
    <t>SSW</t>
  </si>
  <si>
    <t>SW</t>
  </si>
  <si>
    <t>WSW</t>
  </si>
  <si>
    <t>W</t>
  </si>
  <si>
    <t>WNW</t>
  </si>
  <si>
    <t>NW</t>
  </si>
  <si>
    <t>NNW</t>
  </si>
  <si>
    <t>0–0.2</t>
  </si>
  <si>
    <t>0.2–0.4</t>
  </si>
  <si>
    <t>0.4–0.6</t>
  </si>
  <si>
    <t>0.6–0.8</t>
  </si>
  <si>
    <t>0.8–1.0</t>
  </si>
  <si>
    <t>1.0–1.2</t>
  </si>
  <si>
    <t>1.2–1.4</t>
  </si>
  <si>
    <t>1.4–1.6</t>
  </si>
  <si>
    <t>Depth</t>
  </si>
  <si>
    <t>Normalized Profile</t>
  </si>
  <si>
    <t>No</t>
  </si>
  <si>
    <t>Surface</t>
  </si>
  <si>
    <t>Current</t>
  </si>
  <si>
    <t>Velocity</t>
  </si>
  <si>
    <t>Exceedance</t>
  </si>
  <si>
    <t>Occurrence</t>
  </si>
  <si>
    <t>Component Length</t>
  </si>
  <si>
    <t>No. Of. Joints</t>
  </si>
  <si>
    <t>Tensioner</t>
  </si>
  <si>
    <t>Dry wt.</t>
  </si>
  <si>
    <t>Wet wt.</t>
  </si>
  <si>
    <t>measured</t>
  </si>
  <si>
    <t>Weight Method</t>
  </si>
  <si>
    <t>Casing Program 1</t>
  </si>
  <si>
    <t>Casing Program 2</t>
  </si>
  <si>
    <t>calculated</t>
  </si>
  <si>
    <t>Joint Type</t>
  </si>
  <si>
    <t>well_program</t>
  </si>
  <si>
    <t>drilling_joint</t>
  </si>
  <si>
    <t>drilling_special</t>
  </si>
  <si>
    <t>well_id</t>
  </si>
  <si>
    <t>Material</t>
  </si>
  <si>
    <t>Grade</t>
  </si>
  <si>
    <t>project_id</t>
  </si>
  <si>
    <t>None</t>
  </si>
  <si>
    <t>Lateral Inertial Mass, Cm (Ca + 1)</t>
  </si>
  <si>
    <t>Axial Inertial Mass, Cm (Ca + 1)</t>
  </si>
  <si>
    <t>Lateral Drag Coefficient, Fatigue, Cd</t>
  </si>
  <si>
    <t>Axial Drag Coefficient, Fatigue, Cd</t>
  </si>
  <si>
    <t>Lateral Drag Coefficient, Extreme, Cd</t>
  </si>
  <si>
    <t>Axial Drag Coefficient, Extreme, Cd</t>
  </si>
  <si>
    <t>Lateral Added mass, Ca</t>
  </si>
  <si>
    <t>Axial Added mass, Ca</t>
  </si>
  <si>
    <t>FEA Segment Length</t>
  </si>
  <si>
    <t>host_type</t>
  </si>
  <si>
    <t>host_id</t>
  </si>
  <si>
    <t>host_name</t>
  </si>
  <si>
    <t>drilling</t>
  </si>
  <si>
    <t>production</t>
  </si>
  <si>
    <t>construction_type</t>
  </si>
  <si>
    <t>semi</t>
  </si>
  <si>
    <t>intervention</t>
  </si>
  <si>
    <t>pipelay</t>
  </si>
  <si>
    <t>Q4000</t>
  </si>
  <si>
    <t>ship</t>
  </si>
  <si>
    <t>spar</t>
  </si>
  <si>
    <t>tlp</t>
  </si>
  <si>
    <t>fea_type</t>
  </si>
  <si>
    <t>Extreme</t>
  </si>
  <si>
    <t>P</t>
  </si>
  <si>
    <t>y</t>
  </si>
  <si>
    <t>p</t>
  </si>
  <si>
    <t>p-y</t>
  </si>
  <si>
    <t>O.D.:</t>
  </si>
  <si>
    <t>in.</t>
  </si>
  <si>
    <t>Circumference:</t>
  </si>
  <si>
    <t>Pen.</t>
  </si>
  <si>
    <t>Below</t>
  </si>
  <si>
    <t>Units:</t>
  </si>
  <si>
    <t>"P" is lateral resistance in lbs. per inch of length.</t>
  </si>
  <si>
    <t>Seafloor</t>
  </si>
  <si>
    <t>"y" is lateral displacement in inches.</t>
  </si>
  <si>
    <t>(z)</t>
  </si>
  <si>
    <t>[in.]</t>
  </si>
  <si>
    <t>Curve Pt.:</t>
  </si>
  <si>
    <t>(&amp; below)</t>
  </si>
  <si>
    <t>API RP 2GEO P-y Curves (Cyclic)</t>
  </si>
  <si>
    <t>Appropriate for Analysis of Environmental Design Events</t>
  </si>
  <si>
    <t>Project:</t>
  </si>
  <si>
    <t>By:</t>
  </si>
  <si>
    <t>Date:</t>
  </si>
  <si>
    <t>API RP 2GEO P-y Curves (Static)</t>
  </si>
  <si>
    <t>Appropriate for DP MODU Drift-Off Analysis</t>
  </si>
  <si>
    <t>z</t>
  </si>
  <si>
    <t>geotechnical_type</t>
  </si>
  <si>
    <t>application_type</t>
  </si>
  <si>
    <t>cyclic</t>
  </si>
  <si>
    <t>API RP 2GEO T-z Curves (Static)</t>
  </si>
  <si>
    <t>Note: T-z curves below are valid for uplift forces applied 180 days (or later) after installation.</t>
  </si>
  <si>
    <t>"T" is axial resistance in lbs. per inch of length.</t>
  </si>
  <si>
    <r>
      <t>"</t>
    </r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z" is axial displacement in inches.</t>
    </r>
  </si>
  <si>
    <t>T</t>
  </si>
  <si>
    <r>
      <t>D</t>
    </r>
    <r>
      <rPr>
        <sz val="10"/>
        <rFont val="Arial"/>
        <family val="2"/>
      </rPr>
      <t>z</t>
    </r>
  </si>
  <si>
    <t>"P" is lateral resistance in N per m of length.</t>
  </si>
  <si>
    <t>"y" is lateral displacement m inches.</t>
  </si>
  <si>
    <t>P_Conversion Factor</t>
  </si>
  <si>
    <t>depth_below_seabed</t>
  </si>
  <si>
    <t>kN/m</t>
  </si>
  <si>
    <t>Deepwater Pontus</t>
  </si>
  <si>
    <t>RJT_3</t>
  </si>
  <si>
    <t>FUV</t>
  </si>
  <si>
    <t>RJT_5</t>
  </si>
  <si>
    <t>RJT_7</t>
  </si>
  <si>
    <t>RJT_9</t>
  </si>
  <si>
    <t>RJT_10</t>
  </si>
  <si>
    <t>Riser Adaptor</t>
  </si>
  <si>
    <t>Outer Barrel &amp; Tension Ring</t>
  </si>
  <si>
    <t>Conductor Program</t>
  </si>
  <si>
    <t>fill-up valve jt.</t>
  </si>
  <si>
    <t>Drill pipe</t>
  </si>
  <si>
    <t>http://workstringsinternational.com/equipment/spec-sheets/drill-pipe/</t>
  </si>
  <si>
    <t>http://workstringsinternational.com/pdf/specs/drill_pipe/us/WS43-02_DPPS.pdf</t>
  </si>
  <si>
    <t>5L Pipe</t>
  </si>
  <si>
    <t>5CT</t>
  </si>
  <si>
    <t>Casing pipe</t>
  </si>
  <si>
    <t>Rod pump piping</t>
  </si>
  <si>
    <t>Buoyancy Diameter</t>
  </si>
  <si>
    <t>SLK</t>
  </si>
  <si>
    <t>fpso</t>
  </si>
  <si>
    <t>Static</t>
  </si>
  <si>
    <t>Static P-Y Load Data p (lb/in) - y (in)</t>
  </si>
  <si>
    <t>meter</t>
  </si>
  <si>
    <t>p0</t>
  </si>
  <si>
    <t>y0</t>
  </si>
  <si>
    <t>p1</t>
  </si>
  <si>
    <t>y1</t>
  </si>
  <si>
    <t>p2</t>
  </si>
  <si>
    <t>y2</t>
  </si>
  <si>
    <t>p3</t>
  </si>
  <si>
    <t>y3</t>
  </si>
  <si>
    <t>p4</t>
  </si>
  <si>
    <t>y4</t>
  </si>
  <si>
    <t>p5</t>
  </si>
  <si>
    <t>y5</t>
  </si>
  <si>
    <t>p6</t>
  </si>
  <si>
    <t>y6</t>
  </si>
  <si>
    <t>Table 3.19 – Soil P-Y Data (Cyclic) with Depth Below Mudline</t>
  </si>
  <si>
    <t>Cyclic</t>
  </si>
  <si>
    <t>Cyclic P-Y Load Data p (lb/in) - y (in)</t>
  </si>
  <si>
    <t>Component Top Elevation above Mudline</t>
  </si>
  <si>
    <t>Separation between rows</t>
  </si>
  <si>
    <t>No. of rows</t>
  </si>
  <si>
    <t>Row length</t>
  </si>
  <si>
    <t>Tensioners</t>
  </si>
  <si>
    <t>Support Spring</t>
  </si>
  <si>
    <t>West Sirius</t>
  </si>
  <si>
    <t>Aux Lines Present</t>
  </si>
  <si>
    <t>1 or 0</t>
  </si>
  <si>
    <t>Kill line</t>
  </si>
  <si>
    <t>Choke line</t>
  </si>
  <si>
    <t>Booster line</t>
  </si>
  <si>
    <t>Hydraulic line 1</t>
  </si>
  <si>
    <t>Hydraulic line 2</t>
  </si>
  <si>
    <t>auxiliary_line</t>
  </si>
  <si>
    <t>vertical_length_of_tensioner</t>
  </si>
  <si>
    <t>stroke_range</t>
  </si>
  <si>
    <t>WT</t>
  </si>
  <si>
    <t>OD</t>
  </si>
  <si>
    <t>Mass_increase_calculated</t>
  </si>
  <si>
    <t>connector_factor</t>
  </si>
  <si>
    <t>dry</t>
  </si>
  <si>
    <t>wet_increase</t>
  </si>
  <si>
    <t>Increased mass/weight calculations</t>
  </si>
  <si>
    <t>Steel Density</t>
  </si>
  <si>
    <t>ID</t>
  </si>
  <si>
    <t>Ai</t>
  </si>
  <si>
    <t>inch^2</t>
  </si>
  <si>
    <t>lb/ft^3</t>
  </si>
  <si>
    <t>lb/ft</t>
  </si>
  <si>
    <t>ppg</t>
  </si>
  <si>
    <t>kg/m3</t>
  </si>
  <si>
    <t>pcf</t>
  </si>
  <si>
    <t>Internal Fluid</t>
  </si>
  <si>
    <t>25ft Pup Jt.</t>
  </si>
  <si>
    <t>30ft Pup Jt.</t>
  </si>
  <si>
    <t>1                             no. of S-N curve segments</t>
  </si>
  <si>
    <t>0.0000                        cut-off stress range (N/m**2)</t>
  </si>
  <si>
    <t>1.000E+06  6.3154E+11    stress range (N/m**2) cycles to failure</t>
  </si>
  <si>
    <t>1.000E+09  6.3154E+02    stress range (N/m**2) cycles to failure</t>
  </si>
  <si>
    <t>1.0                         global stress concentration factor</t>
  </si>
  <si>
    <t>0                             no. of local stress concentration positions</t>
  </si>
  <si>
    <t>Thunder Horse</t>
  </si>
  <si>
    <t>Quetzal</t>
  </si>
  <si>
    <t>Horn Mountain</t>
  </si>
  <si>
    <t>Big Foot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</si>
</sst>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0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vertAlign val="subscript"/>
      <sz val="11"/>
      <color theme="1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indexed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sz val="11"/>
      <color rgb="FF000000"/>
      <name val="Tahoma"/>
      <family val="2"/>
    </font>
    <font>
      <sz val="10"/>
      <color theme="0"/>
      <name val="Tahoma"/>
      <family val="2"/>
    </font>
    <font>
      <sz val="10"/>
      <color theme="1"/>
      <name val="Tahoma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7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rgb="FF000000"/>
      <name val="Times New Roman"/>
      <family val="1"/>
    </font>
    <font>
      <sz val="11"/>
      <color rgb="FF0000FF"/>
      <name val="Calibri"/>
      <family val="2"/>
      <scheme val="minor"/>
    </font>
    <font>
      <sz val="11"/>
      <color rgb="FF0000FF"/>
      <name val="Tahoma"/>
      <family val="2"/>
    </font>
    <font>
      <sz val="9"/>
      <color rgb="FF63A35C"/>
      <name val="Courier New"/>
      <family val="3"/>
    </font>
    <font>
      <sz val="10"/>
      <name val="Arial"/>
      <family val="2"/>
    </font>
    <font>
      <sz val="10"/>
      <name val="Symbol"/>
      <family val="1"/>
      <charset val="2"/>
    </font>
    <font>
      <u/>
      <sz val="11"/>
      <color theme="10"/>
      <name val="Calibri"/>
      <family val="2"/>
      <scheme val="minor"/>
    </font>
    <font>
      <i/>
      <sz val="11"/>
      <color theme="1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162">
    <xf numFmtId="0" fontId="0" fillId="0" borderId="0" xfId="0"/>
    <xf numFmtId="0" fontId="0" fillId="0" borderId="1" xfId="0" applyBorder="1"/>
    <xf numFmtId="0" fontId="1" fillId="0" borderId="0" xfId="0" applyFont="1"/>
    <xf numFmtId="0" fontId="3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/>
    </xf>
    <xf numFmtId="0" fontId="13" fillId="3" borderId="9" xfId="0" applyFont="1" applyFill="1" applyBorder="1" applyAlignment="1">
      <alignment horizontal="center" vertical="center" wrapText="1" readingOrder="1"/>
    </xf>
    <xf numFmtId="0" fontId="13" fillId="3" borderId="10" xfId="0" applyFont="1" applyFill="1" applyBorder="1" applyAlignment="1">
      <alignment horizontal="center" vertical="center" wrapText="1" readingOrder="1"/>
    </xf>
    <xf numFmtId="10" fontId="13" fillId="3" borderId="11" xfId="0" applyNumberFormat="1" applyFont="1" applyFill="1" applyBorder="1" applyAlignment="1">
      <alignment horizontal="center" vertical="center" wrapText="1" readingOrder="1"/>
    </xf>
    <xf numFmtId="0" fontId="12" fillId="2" borderId="6" xfId="0" applyFont="1" applyFill="1" applyBorder="1" applyAlignment="1">
      <alignment horizontal="center"/>
    </xf>
    <xf numFmtId="0" fontId="13" fillId="3" borderId="12" xfId="0" applyFont="1" applyFill="1" applyBorder="1" applyAlignment="1">
      <alignment horizontal="center" vertical="center" wrapText="1" readingOrder="1"/>
    </xf>
    <xf numFmtId="0" fontId="13" fillId="3" borderId="13" xfId="0" applyFont="1" applyFill="1" applyBorder="1" applyAlignment="1">
      <alignment horizontal="center" vertical="center" wrapText="1" readingOrder="1"/>
    </xf>
    <xf numFmtId="10" fontId="13" fillId="3" borderId="14" xfId="0" applyNumberFormat="1" applyFont="1" applyFill="1" applyBorder="1" applyAlignment="1">
      <alignment horizontal="center" vertical="center" wrapText="1" readingOrder="1"/>
    </xf>
    <xf numFmtId="0" fontId="14" fillId="5" borderId="2" xfId="0" applyFont="1" applyFill="1" applyBorder="1" applyAlignment="1">
      <alignment horizontal="center"/>
    </xf>
    <xf numFmtId="0" fontId="12" fillId="6" borderId="6" xfId="0" applyFont="1" applyFill="1" applyBorder="1" applyAlignment="1">
      <alignment horizontal="center"/>
    </xf>
    <xf numFmtId="0" fontId="14" fillId="7" borderId="2" xfId="0" applyFont="1" applyFill="1" applyBorder="1" applyAlignment="1">
      <alignment horizontal="center"/>
    </xf>
    <xf numFmtId="0" fontId="14" fillId="8" borderId="6" xfId="0" applyFont="1" applyFill="1" applyBorder="1" applyAlignment="1">
      <alignment horizontal="center"/>
    </xf>
    <xf numFmtId="0" fontId="12" fillId="9" borderId="2" xfId="0" applyFont="1" applyFill="1" applyBorder="1" applyAlignment="1">
      <alignment horizontal="center"/>
    </xf>
    <xf numFmtId="0" fontId="12" fillId="10" borderId="6" xfId="0" applyFont="1" applyFill="1" applyBorder="1" applyAlignment="1">
      <alignment horizontal="center"/>
    </xf>
    <xf numFmtId="0" fontId="12" fillId="11" borderId="2" xfId="0" applyFont="1" applyFill="1" applyBorder="1" applyAlignment="1">
      <alignment horizontal="center"/>
    </xf>
    <xf numFmtId="0" fontId="12" fillId="12" borderId="6" xfId="0" applyFont="1" applyFill="1" applyBorder="1" applyAlignment="1">
      <alignment horizontal="center"/>
    </xf>
    <xf numFmtId="0" fontId="12" fillId="13" borderId="2" xfId="0" applyFont="1" applyFill="1" applyBorder="1" applyAlignment="1">
      <alignment horizontal="center"/>
    </xf>
    <xf numFmtId="0" fontId="12" fillId="14" borderId="6" xfId="0" applyFont="1" applyFill="1" applyBorder="1" applyAlignment="1">
      <alignment horizontal="center"/>
    </xf>
    <xf numFmtId="0" fontId="12" fillId="15" borderId="2" xfId="0" applyFont="1" applyFill="1" applyBorder="1" applyAlignment="1">
      <alignment horizontal="center"/>
    </xf>
    <xf numFmtId="0" fontId="12" fillId="16" borderId="6" xfId="0" applyFont="1" applyFill="1" applyBorder="1" applyAlignment="1">
      <alignment horizontal="center"/>
    </xf>
    <xf numFmtId="0" fontId="12" fillId="17" borderId="2" xfId="0" applyFont="1" applyFill="1" applyBorder="1" applyAlignment="1">
      <alignment horizontal="center"/>
    </xf>
    <xf numFmtId="0" fontId="14" fillId="18" borderId="6" xfId="0" applyFont="1" applyFill="1" applyBorder="1" applyAlignment="1">
      <alignment horizontal="center"/>
    </xf>
    <xf numFmtId="0" fontId="14" fillId="19" borderId="2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3" fillId="0" borderId="1" xfId="0" applyFont="1" applyBorder="1"/>
    <xf numFmtId="11" fontId="15" fillId="20" borderId="16" xfId="0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1" fillId="0" borderId="17" xfId="0" applyFont="1" applyFill="1" applyBorder="1" applyAlignment="1">
      <alignment wrapText="1"/>
    </xf>
    <xf numFmtId="0" fontId="16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1" fillId="21" borderId="1" xfId="0" applyFont="1" applyFill="1" applyBorder="1"/>
    <xf numFmtId="0" fontId="0" fillId="21" borderId="1" xfId="0" applyFill="1" applyBorder="1"/>
    <xf numFmtId="0" fontId="0" fillId="0" borderId="17" xfId="0" applyFill="1" applyBorder="1"/>
    <xf numFmtId="0" fontId="0" fillId="0" borderId="0" xfId="0" applyFill="1" applyBorder="1"/>
    <xf numFmtId="0" fontId="0" fillId="22" borderId="1" xfId="0" applyFill="1" applyBorder="1"/>
    <xf numFmtId="2" fontId="15" fillId="20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15" fillId="20" borderId="1" xfId="0" applyNumberFormat="1" applyFont="1" applyFill="1" applyBorder="1" applyAlignment="1">
      <alignment horizontal="center" vertical="center"/>
    </xf>
    <xf numFmtId="0" fontId="20" fillId="23" borderId="7" xfId="0" applyFont="1" applyFill="1" applyBorder="1" applyAlignment="1">
      <alignment horizontal="center" vertical="center" wrapText="1"/>
    </xf>
    <xf numFmtId="0" fontId="20" fillId="23" borderId="7" xfId="0" applyFont="1" applyFill="1" applyBorder="1" applyAlignment="1">
      <alignment vertical="center" wrapText="1"/>
    </xf>
    <xf numFmtId="0" fontId="18" fillId="0" borderId="4" xfId="0" applyFont="1" applyBorder="1" applyAlignment="1">
      <alignment vertical="center" wrapText="1"/>
    </xf>
    <xf numFmtId="0" fontId="21" fillId="0" borderId="7" xfId="0" applyFont="1" applyBorder="1" applyAlignment="1">
      <alignment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5" xfId="0" applyBorder="1"/>
    <xf numFmtId="165" fontId="0" fillId="0" borderId="1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1" fillId="0" borderId="15" xfId="0" applyFont="1" applyBorder="1"/>
    <xf numFmtId="0" fontId="22" fillId="0" borderId="1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0" xfId="0" applyFill="1"/>
    <xf numFmtId="0" fontId="3" fillId="0" borderId="0" xfId="0" applyFont="1"/>
    <xf numFmtId="0" fontId="0" fillId="0" borderId="1" xfId="0" applyFill="1" applyBorder="1" applyAlignment="1">
      <alignment horizontal="center"/>
    </xf>
    <xf numFmtId="0" fontId="22" fillId="0" borderId="1" xfId="0" applyFont="1" applyBorder="1"/>
    <xf numFmtId="0" fontId="23" fillId="0" borderId="1" xfId="0" applyFont="1" applyBorder="1"/>
    <xf numFmtId="0" fontId="1" fillId="24" borderId="1" xfId="0" applyFont="1" applyFill="1" applyBorder="1"/>
    <xf numFmtId="0" fontId="22" fillId="24" borderId="1" xfId="0" applyFont="1" applyFill="1" applyBorder="1" applyAlignment="1">
      <alignment horizontal="center"/>
    </xf>
    <xf numFmtId="3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2" fillId="22" borderId="1" xfId="0" applyFont="1" applyFill="1" applyBorder="1" applyAlignment="1">
      <alignment horizontal="center"/>
    </xf>
    <xf numFmtId="2" fontId="23" fillId="0" borderId="1" xfId="0" applyNumberFormat="1" applyFont="1" applyBorder="1" applyAlignment="1">
      <alignment horizontal="center"/>
    </xf>
    <xf numFmtId="164" fontId="23" fillId="0" borderId="1" xfId="0" applyNumberFormat="1" applyFont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24" fillId="0" borderId="0" xfId="0" applyFont="1" applyAlignment="1">
      <alignment vertical="center"/>
    </xf>
    <xf numFmtId="0" fontId="0" fillId="0" borderId="0" xfId="0" applyBorder="1" applyAlignment="1">
      <alignment wrapText="1"/>
    </xf>
    <xf numFmtId="2" fontId="0" fillId="0" borderId="0" xfId="0" applyNumberFormat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25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20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1" fillId="0" borderId="0" xfId="0" applyFont="1"/>
    <xf numFmtId="0" fontId="25" fillId="2" borderId="0" xfId="0" applyFont="1" applyFill="1"/>
    <xf numFmtId="0" fontId="0" fillId="2" borderId="0" xfId="0" applyFill="1"/>
    <xf numFmtId="0" fontId="25" fillId="0" borderId="0" xfId="0" applyFont="1"/>
    <xf numFmtId="14" fontId="0" fillId="0" borderId="0" xfId="0" applyNumberFormat="1" applyAlignment="1">
      <alignment horizontal="left"/>
    </xf>
    <xf numFmtId="0" fontId="0" fillId="25" borderId="0" xfId="0" applyFill="1"/>
    <xf numFmtId="0" fontId="26" fillId="0" borderId="20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0" fontId="17" fillId="0" borderId="0" xfId="0" applyFont="1" applyAlignment="1">
      <alignment horizontal="center"/>
    </xf>
    <xf numFmtId="0" fontId="27" fillId="0" borderId="0" xfId="1"/>
    <xf numFmtId="0" fontId="11" fillId="0" borderId="21" xfId="0" applyFont="1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4" xfId="0" applyNumberFormat="1" applyBorder="1" applyAlignment="1">
      <alignment horizontal="center"/>
    </xf>
    <xf numFmtId="0" fontId="0" fillId="0" borderId="25" xfId="0" applyNumberFormat="1" applyBorder="1" applyAlignment="1">
      <alignment horizontal="center"/>
    </xf>
    <xf numFmtId="0" fontId="0" fillId="0" borderId="26" xfId="0" applyNumberFormat="1" applyBorder="1" applyAlignment="1">
      <alignment horizontal="center"/>
    </xf>
    <xf numFmtId="0" fontId="0" fillId="0" borderId="27" xfId="0" applyNumberForma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0" fillId="0" borderId="29" xfId="0" applyNumberFormat="1" applyBorder="1" applyAlignment="1">
      <alignment horizontal="center"/>
    </xf>
    <xf numFmtId="0" fontId="3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/>
    </xf>
    <xf numFmtId="0" fontId="0" fillId="0" borderId="1" xfId="0" applyFont="1" applyBorder="1"/>
    <xf numFmtId="17" fontId="0" fillId="0" borderId="0" xfId="0" quotePrefix="1" applyNumberFormat="1" applyFill="1" applyAlignment="1">
      <alignment horizontal="center"/>
    </xf>
    <xf numFmtId="0" fontId="0" fillId="0" borderId="30" xfId="0" applyFill="1" applyBorder="1" applyAlignment="1">
      <alignment horizontal="center"/>
    </xf>
    <xf numFmtId="0" fontId="1" fillId="0" borderId="17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2" fontId="28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8" fillId="23" borderId="3" xfId="0" applyFont="1" applyFill="1" applyBorder="1" applyAlignment="1">
      <alignment vertical="center" wrapText="1"/>
    </xf>
    <xf numFmtId="0" fontId="18" fillId="23" borderId="4" xfId="0" applyFont="1" applyFill="1" applyBorder="1" applyAlignment="1">
      <alignment vertical="center" wrapText="1"/>
    </xf>
    <xf numFmtId="0" fontId="20" fillId="23" borderId="8" xfId="0" applyFont="1" applyFill="1" applyBorder="1" applyAlignment="1">
      <alignment horizontal="center" vertical="center" wrapText="1"/>
    </xf>
    <xf numFmtId="0" fontId="20" fillId="23" borderId="6" xfId="0" applyFont="1" applyFill="1" applyBorder="1" applyAlignment="1">
      <alignment horizontal="center" vertical="center" wrapText="1"/>
    </xf>
    <xf numFmtId="0" fontId="20" fillId="23" borderId="5" xfId="0" applyFont="1" applyFill="1" applyBorder="1" applyAlignment="1">
      <alignment horizontal="center" vertical="center" wrapText="1"/>
    </xf>
    <xf numFmtId="0" fontId="20" fillId="23" borderId="3" xfId="0" applyFont="1" applyFill="1" applyBorder="1" applyAlignment="1">
      <alignment vertical="center" wrapText="1"/>
    </xf>
    <xf numFmtId="0" fontId="20" fillId="23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</xdr:colOff>
      <xdr:row>2</xdr:row>
      <xdr:rowOff>0</xdr:rowOff>
    </xdr:from>
    <xdr:to>
      <xdr:col>29</xdr:col>
      <xdr:colOff>393372</xdr:colOff>
      <xdr:row>24</xdr:row>
      <xdr:rowOff>93073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45788" y="381000"/>
          <a:ext cx="5291942" cy="42976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17319</xdr:colOff>
      <xdr:row>115</xdr:row>
      <xdr:rowOff>69273</xdr:rowOff>
    </xdr:from>
    <xdr:to>
      <xdr:col>20</xdr:col>
      <xdr:colOff>586637</xdr:colOff>
      <xdr:row>126</xdr:row>
      <xdr:rowOff>40440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09364" y="23119773"/>
          <a:ext cx="3600000" cy="206666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P-y Model Cyclic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-y Mode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://workstringsinternational.com/pdf/specs/drill_pipe/us/WS43-02_DPPS.pdf" TargetMode="External"/><Relationship Id="rId1" Type="http://schemas.openxmlformats.org/officeDocument/2006/relationships/hyperlink" Target="http://workstringsinternational.com/equipment/spec-sheets/drill-pipe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D8" sqref="D8"/>
    </sheetView>
  </sheetViews>
  <sheetFormatPr defaultRowHeight="15" x14ac:dyDescent="0.25"/>
  <cols>
    <col min="3" max="3" width="14.7109375" customWidth="1"/>
  </cols>
  <sheetData>
    <row r="1" spans="1:8" x14ac:dyDescent="0.25">
      <c r="A1" t="s">
        <v>270</v>
      </c>
      <c r="B1" t="s">
        <v>269</v>
      </c>
      <c r="C1" t="s">
        <v>274</v>
      </c>
      <c r="D1" t="s">
        <v>271</v>
      </c>
    </row>
    <row r="2" spans="1:8" x14ac:dyDescent="0.25">
      <c r="A2">
        <v>1</v>
      </c>
      <c r="B2" s="98" t="s">
        <v>272</v>
      </c>
      <c r="C2" t="s">
        <v>275</v>
      </c>
      <c r="D2" t="s">
        <v>370</v>
      </c>
      <c r="H2" t="str">
        <f>"(default, "&amp;"'"&amp;B2&amp;"', "&amp;"'"&amp;C2&amp;"', "&amp;"'"&amp;D2&amp;"'),"</f>
        <v>(default, 'drilling', 'semi', 'West Sirius'),</v>
      </c>
    </row>
    <row r="3" spans="1:8" x14ac:dyDescent="0.25">
      <c r="A3">
        <v>2</v>
      </c>
      <c r="B3" t="s">
        <v>273</v>
      </c>
      <c r="C3" t="s">
        <v>275</v>
      </c>
      <c r="D3" t="s">
        <v>406</v>
      </c>
      <c r="H3" t="str">
        <f>"(default, "&amp;"'"&amp;B3&amp;"', "&amp;"'"&amp;C3&amp;"', "&amp;"'"&amp;D3&amp;"'),"</f>
        <v>(default, 'production', 'semi', 'Thunder Horse'),</v>
      </c>
    </row>
    <row r="4" spans="1:8" x14ac:dyDescent="0.25">
      <c r="A4">
        <v>3</v>
      </c>
      <c r="B4" t="s">
        <v>276</v>
      </c>
      <c r="C4" t="s">
        <v>275</v>
      </c>
      <c r="D4" t="s">
        <v>278</v>
      </c>
      <c r="H4" t="str">
        <f>"(default, "&amp;"'"&amp;B4&amp;"', "&amp;"'"&amp;C4&amp;"', "&amp;"'"&amp;D4&amp;"'),"</f>
        <v>(default, 'intervention', 'semi', 'Q4000'),</v>
      </c>
    </row>
    <row r="5" spans="1:8" x14ac:dyDescent="0.25">
      <c r="A5">
        <v>4</v>
      </c>
      <c r="B5" t="s">
        <v>277</v>
      </c>
      <c r="C5" t="s">
        <v>279</v>
      </c>
      <c r="D5" t="s">
        <v>407</v>
      </c>
      <c r="H5" t="str">
        <f>"(default, "&amp;"'"&amp;B5&amp;"', "&amp;"'"&amp;C5&amp;"', "&amp;"'"&amp;D5&amp;"'),"</f>
        <v>(default, 'pipelay', 'ship', 'Quetzal'),</v>
      </c>
    </row>
    <row r="6" spans="1:8" x14ac:dyDescent="0.25">
      <c r="A6">
        <v>5</v>
      </c>
      <c r="B6" t="s">
        <v>273</v>
      </c>
      <c r="C6" t="s">
        <v>280</v>
      </c>
      <c r="D6" t="s">
        <v>408</v>
      </c>
      <c r="H6" t="str">
        <f>"(default, "&amp;"'"&amp;B6&amp;"', "&amp;"'"&amp;C6&amp;"', "&amp;"'"&amp;D6&amp;"'),"</f>
        <v>(default, 'production', 'spar', 'Horn Mountain'),</v>
      </c>
    </row>
    <row r="7" spans="1:8" x14ac:dyDescent="0.25">
      <c r="A7">
        <v>6</v>
      </c>
      <c r="B7" t="s">
        <v>273</v>
      </c>
      <c r="C7" t="s">
        <v>281</v>
      </c>
      <c r="D7" t="s">
        <v>409</v>
      </c>
      <c r="H7" t="str">
        <f>"(default, "&amp;"'"&amp;B7&amp;"', "&amp;"'"&amp;C7&amp;"', "&amp;"'"&amp;D7&amp;"'),"</f>
        <v>(default, 'production', 'tlp', 'Big Foot'),</v>
      </c>
    </row>
    <row r="8" spans="1:8" x14ac:dyDescent="0.25">
      <c r="A8">
        <v>7</v>
      </c>
      <c r="B8" s="98" t="s">
        <v>272</v>
      </c>
      <c r="C8" t="s">
        <v>279</v>
      </c>
      <c r="D8" t="s">
        <v>323</v>
      </c>
      <c r="H8" t="str">
        <f>"(default, "&amp;"'"&amp;B8&amp;"', "&amp;"'"&amp;C8&amp;"', "&amp;"'"&amp;D8&amp;"'),"</f>
        <v>(default, 'drilling', 'ship', 'Deepwater Pontus'),</v>
      </c>
    </row>
    <row r="9" spans="1:8" x14ac:dyDescent="0.25">
      <c r="A9">
        <v>8</v>
      </c>
      <c r="B9" t="s">
        <v>343</v>
      </c>
      <c r="C9" t="s">
        <v>343</v>
      </c>
      <c r="D9" t="s">
        <v>343</v>
      </c>
      <c r="H9" t="str">
        <f>"(default, "&amp;"'"&amp;B9&amp;"', "&amp;"'"&amp;C9&amp;"', "&amp;"'"&amp;D9&amp;"'),"</f>
        <v>(default, 'fpso', 'fpso', 'fpso'),</v>
      </c>
    </row>
    <row r="10" spans="1:8" x14ac:dyDescent="0.25">
      <c r="A10">
        <v>9</v>
      </c>
      <c r="B10" s="98" t="s">
        <v>272</v>
      </c>
      <c r="C10" t="s">
        <v>275</v>
      </c>
      <c r="D10" t="s">
        <v>370</v>
      </c>
      <c r="H10" t="str">
        <f>"(default, "&amp;"'"&amp;B10&amp;"', "&amp;"'"&amp;C10&amp;"', "&amp;"'"&amp;D10&amp;"'),"</f>
        <v>(default, 'drilling', 'semi', 'West Sirius'),</v>
      </c>
    </row>
    <row r="11" spans="1:8" x14ac:dyDescent="0.25">
      <c r="A11">
        <v>10</v>
      </c>
      <c r="B11" s="98" t="s">
        <v>272</v>
      </c>
      <c r="C11" t="s">
        <v>275</v>
      </c>
      <c r="D11" t="s">
        <v>370</v>
      </c>
      <c r="H11" t="str">
        <f>"(default, "&amp;"'"&amp;B11&amp;"', "&amp;"'"&amp;C11&amp;"', "&amp;"'"&amp;D11&amp;"'),"</f>
        <v>(default, 'drilling', 'semi', 'West Sirius'),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B7" sqref="B7"/>
    </sheetView>
  </sheetViews>
  <sheetFormatPr defaultRowHeight="15" x14ac:dyDescent="0.25"/>
  <cols>
    <col min="1" max="2" width="11.28515625" customWidth="1"/>
    <col min="3" max="3" width="22.42578125" customWidth="1"/>
    <col min="4" max="4" width="21.140625" customWidth="1"/>
    <col min="5" max="5" width="17.5703125" customWidth="1"/>
    <col min="6" max="6" width="19.5703125" customWidth="1"/>
    <col min="7" max="7" width="12.140625" customWidth="1"/>
    <col min="8" max="8" width="12.28515625" customWidth="1"/>
    <col min="10" max="10" width="15.140625" customWidth="1"/>
  </cols>
  <sheetData>
    <row r="1" spans="1:11" ht="57.75" x14ac:dyDescent="0.25">
      <c r="A1" s="51" t="s">
        <v>137</v>
      </c>
      <c r="B1" s="53" t="s">
        <v>270</v>
      </c>
      <c r="C1" s="57" t="s">
        <v>102</v>
      </c>
      <c r="D1" s="57" t="s">
        <v>107</v>
      </c>
      <c r="E1" s="57" t="s">
        <v>108</v>
      </c>
      <c r="F1" s="133" t="s">
        <v>380</v>
      </c>
      <c r="G1" s="57" t="s">
        <v>116</v>
      </c>
      <c r="H1" s="57" t="s">
        <v>379</v>
      </c>
      <c r="I1" s="57" t="s">
        <v>366</v>
      </c>
      <c r="J1" s="57" t="s">
        <v>367</v>
      </c>
      <c r="K1" s="133" t="s">
        <v>365</v>
      </c>
    </row>
    <row r="2" spans="1:11" x14ac:dyDescent="0.25">
      <c r="A2" s="1"/>
      <c r="B2" s="1"/>
      <c r="C2" s="8" t="s">
        <v>105</v>
      </c>
      <c r="D2" s="8" t="s">
        <v>106</v>
      </c>
      <c r="E2" s="8" t="s">
        <v>90</v>
      </c>
      <c r="F2" s="134" t="s">
        <v>91</v>
      </c>
      <c r="G2" s="8" t="s">
        <v>106</v>
      </c>
      <c r="H2" s="8" t="s">
        <v>91</v>
      </c>
      <c r="I2" s="8" t="s">
        <v>90</v>
      </c>
      <c r="J2" s="8" t="s">
        <v>91</v>
      </c>
      <c r="K2" s="134" t="s">
        <v>91</v>
      </c>
    </row>
    <row r="3" spans="1:11" x14ac:dyDescent="0.25">
      <c r="A3" s="1" t="s">
        <v>243</v>
      </c>
      <c r="B3" s="54">
        <v>1</v>
      </c>
      <c r="C3" s="8">
        <v>4.5</v>
      </c>
      <c r="D3" s="8">
        <v>25</v>
      </c>
      <c r="E3" s="8">
        <v>6</v>
      </c>
      <c r="F3" s="134">
        <v>50</v>
      </c>
      <c r="G3" s="47">
        <f>D3/E3</f>
        <v>4.166666666666667</v>
      </c>
      <c r="H3" s="141">
        <f>F3*1.25+10</f>
        <v>72.5</v>
      </c>
      <c r="I3" s="47">
        <v>2</v>
      </c>
      <c r="J3" s="47">
        <f>5/0.3048</f>
        <v>16.404199475065617</v>
      </c>
      <c r="K3" s="47">
        <f>4/0.3048</f>
        <v>13.123359580052492</v>
      </c>
    </row>
    <row r="4" spans="1:11" x14ac:dyDescent="0.25">
      <c r="A4" s="1" t="s">
        <v>243</v>
      </c>
      <c r="B4" s="54">
        <v>7</v>
      </c>
      <c r="C4" s="8">
        <v>4.5</v>
      </c>
      <c r="D4" s="8">
        <v>25</v>
      </c>
      <c r="E4" s="8">
        <v>6</v>
      </c>
      <c r="F4" s="134">
        <v>50</v>
      </c>
      <c r="G4" s="47">
        <f>D4/E4</f>
        <v>4.166666666666667</v>
      </c>
      <c r="H4" s="141">
        <f>F4*1.25+10</f>
        <v>72.5</v>
      </c>
      <c r="I4" s="47">
        <v>2</v>
      </c>
      <c r="J4" s="47">
        <f>5/0.3048</f>
        <v>16.404199475065617</v>
      </c>
      <c r="K4" s="47">
        <f>4/0.3048</f>
        <v>13.123359580052492</v>
      </c>
    </row>
    <row r="5" spans="1:11" x14ac:dyDescent="0.25">
      <c r="A5" s="1" t="s">
        <v>243</v>
      </c>
      <c r="B5" s="54">
        <v>9</v>
      </c>
      <c r="C5" s="8">
        <v>4.5</v>
      </c>
      <c r="D5" s="8">
        <v>25</v>
      </c>
      <c r="E5" s="8">
        <v>6</v>
      </c>
      <c r="F5" s="134">
        <v>50</v>
      </c>
      <c r="G5" s="47">
        <f>D5/E5</f>
        <v>4.166666666666667</v>
      </c>
      <c r="H5" s="141">
        <f>F5*1.25+10</f>
        <v>72.5</v>
      </c>
      <c r="I5" s="47">
        <v>2</v>
      </c>
      <c r="J5" s="47">
        <f>5/0.3048</f>
        <v>16.404199475065617</v>
      </c>
      <c r="K5" s="47">
        <f>4/0.3048</f>
        <v>13.123359580052492</v>
      </c>
    </row>
    <row r="6" spans="1:11" x14ac:dyDescent="0.25">
      <c r="A6" s="1" t="s">
        <v>243</v>
      </c>
      <c r="B6" s="54">
        <v>10</v>
      </c>
      <c r="C6" s="8">
        <v>4.5</v>
      </c>
      <c r="D6" s="8">
        <v>25</v>
      </c>
      <c r="E6" s="8">
        <v>6</v>
      </c>
      <c r="F6" s="134">
        <v>50</v>
      </c>
      <c r="G6" s="47">
        <f>D6/E6</f>
        <v>4.166666666666667</v>
      </c>
      <c r="H6" s="141">
        <f>F6*1.25+10</f>
        <v>72.5</v>
      </c>
      <c r="I6" s="47">
        <v>2</v>
      </c>
      <c r="J6" s="47">
        <f>5/0.3048</f>
        <v>16.404199475065617</v>
      </c>
      <c r="K6" s="47">
        <f>4/0.3048</f>
        <v>13.123359580052492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2" workbookViewId="0">
      <selection activeCell="A35" sqref="A35"/>
    </sheetView>
  </sheetViews>
  <sheetFormatPr defaultRowHeight="15" x14ac:dyDescent="0.25"/>
  <cols>
    <col min="6" max="6" width="38.7109375" customWidth="1"/>
  </cols>
  <sheetData>
    <row r="1" spans="1:6" ht="45" x14ac:dyDescent="0.25">
      <c r="A1" s="53" t="s">
        <v>270</v>
      </c>
      <c r="B1" s="51" t="s">
        <v>137</v>
      </c>
      <c r="C1" s="52" t="s">
        <v>282</v>
      </c>
      <c r="D1" s="52" t="s">
        <v>112</v>
      </c>
      <c r="E1" s="52" t="s">
        <v>114</v>
      </c>
      <c r="F1" s="58" t="s">
        <v>131</v>
      </c>
    </row>
    <row r="2" spans="1:6" ht="30" x14ac:dyDescent="0.25">
      <c r="B2" s="51"/>
      <c r="C2" s="51"/>
      <c r="D2" s="52" t="s">
        <v>113</v>
      </c>
      <c r="E2" s="52" t="s">
        <v>115</v>
      </c>
    </row>
    <row r="3" spans="1:6" x14ac:dyDescent="0.25">
      <c r="A3" s="39">
        <v>1</v>
      </c>
      <c r="B3" s="1" t="s">
        <v>134</v>
      </c>
      <c r="C3" s="1" t="s">
        <v>283</v>
      </c>
      <c r="D3" s="1">
        <v>0.1</v>
      </c>
      <c r="E3" s="1">
        <v>57.28</v>
      </c>
    </row>
    <row r="4" spans="1:6" x14ac:dyDescent="0.25">
      <c r="A4" s="39">
        <v>1</v>
      </c>
      <c r="B4" s="1" t="s">
        <v>134</v>
      </c>
      <c r="C4" s="1" t="s">
        <v>283</v>
      </c>
      <c r="D4" s="1">
        <v>0.5</v>
      </c>
      <c r="E4" s="1">
        <v>36.6</v>
      </c>
    </row>
    <row r="5" spans="1:6" x14ac:dyDescent="0.25">
      <c r="A5" s="39">
        <v>1</v>
      </c>
      <c r="B5" s="1" t="s">
        <v>134</v>
      </c>
      <c r="C5" s="1" t="s">
        <v>283</v>
      </c>
      <c r="D5" s="1">
        <v>1</v>
      </c>
      <c r="E5" s="1">
        <v>30.18</v>
      </c>
    </row>
    <row r="6" spans="1:6" x14ac:dyDescent="0.25">
      <c r="A6" s="39">
        <v>1</v>
      </c>
      <c r="B6" s="1" t="s">
        <v>134</v>
      </c>
      <c r="C6" s="1" t="s">
        <v>283</v>
      </c>
      <c r="D6" s="1">
        <v>2</v>
      </c>
      <c r="E6" s="1">
        <v>24.88</v>
      </c>
    </row>
    <row r="7" spans="1:6" x14ac:dyDescent="0.25">
      <c r="A7" s="39">
        <v>1</v>
      </c>
      <c r="B7" s="1" t="s">
        <v>134</v>
      </c>
      <c r="C7" s="1" t="s">
        <v>283</v>
      </c>
      <c r="D7" s="1">
        <v>3</v>
      </c>
      <c r="E7" s="1">
        <v>22.23</v>
      </c>
    </row>
    <row r="8" spans="1:6" x14ac:dyDescent="0.25">
      <c r="A8" s="39">
        <v>1</v>
      </c>
      <c r="B8" s="1" t="s">
        <v>134</v>
      </c>
      <c r="C8" s="1" t="s">
        <v>283</v>
      </c>
      <c r="D8" s="1">
        <v>4</v>
      </c>
      <c r="E8" s="1">
        <v>20.51</v>
      </c>
    </row>
    <row r="9" spans="1:6" x14ac:dyDescent="0.25">
      <c r="A9" s="39">
        <v>1</v>
      </c>
      <c r="B9" s="1" t="s">
        <v>134</v>
      </c>
      <c r="C9" s="1" t="s">
        <v>283</v>
      </c>
      <c r="D9" s="1">
        <v>5</v>
      </c>
      <c r="E9" s="1">
        <v>19.28</v>
      </c>
    </row>
    <row r="10" spans="1:6" x14ac:dyDescent="0.25">
      <c r="A10" s="39">
        <v>1</v>
      </c>
      <c r="B10" s="1" t="s">
        <v>134</v>
      </c>
      <c r="C10" s="1" t="s">
        <v>283</v>
      </c>
      <c r="D10" s="1">
        <v>7</v>
      </c>
      <c r="E10" s="1">
        <v>17.559999999999999</v>
      </c>
    </row>
    <row r="11" spans="1:6" x14ac:dyDescent="0.25">
      <c r="A11" s="39">
        <v>1</v>
      </c>
      <c r="B11" s="1" t="s">
        <v>134</v>
      </c>
      <c r="C11" s="1" t="s">
        <v>283</v>
      </c>
      <c r="D11" s="1">
        <v>9</v>
      </c>
      <c r="E11" s="1">
        <v>16.37</v>
      </c>
    </row>
    <row r="12" spans="1:6" x14ac:dyDescent="0.25">
      <c r="A12" s="39">
        <v>1</v>
      </c>
      <c r="B12" s="1" t="s">
        <v>134</v>
      </c>
      <c r="C12" s="1" t="s">
        <v>283</v>
      </c>
      <c r="D12" s="1">
        <v>11</v>
      </c>
      <c r="E12" s="1">
        <v>15.48</v>
      </c>
    </row>
    <row r="13" spans="1:6" x14ac:dyDescent="0.25">
      <c r="A13" s="39">
        <v>1</v>
      </c>
      <c r="B13" s="1" t="s">
        <v>134</v>
      </c>
      <c r="C13" s="1" t="s">
        <v>283</v>
      </c>
      <c r="D13" s="1">
        <v>13</v>
      </c>
      <c r="E13" s="1">
        <v>14.78</v>
      </c>
    </row>
    <row r="14" spans="1:6" x14ac:dyDescent="0.25">
      <c r="A14" s="39">
        <v>1</v>
      </c>
      <c r="B14" s="1" t="s">
        <v>134</v>
      </c>
      <c r="C14" s="1" t="s">
        <v>283</v>
      </c>
      <c r="D14" s="1">
        <v>15</v>
      </c>
      <c r="E14" s="1">
        <v>14.2</v>
      </c>
    </row>
    <row r="15" spans="1:6" x14ac:dyDescent="0.25">
      <c r="A15" s="39">
        <v>1</v>
      </c>
      <c r="B15" s="1" t="s">
        <v>148</v>
      </c>
      <c r="C15" s="1" t="s">
        <v>283</v>
      </c>
      <c r="D15" s="1">
        <v>0.1</v>
      </c>
      <c r="E15" s="1">
        <v>250.26</v>
      </c>
    </row>
    <row r="16" spans="1:6" x14ac:dyDescent="0.25">
      <c r="A16" s="39">
        <v>1</v>
      </c>
      <c r="B16" s="1" t="s">
        <v>148</v>
      </c>
      <c r="C16" s="1" t="s">
        <v>283</v>
      </c>
      <c r="D16" s="1">
        <v>0.5</v>
      </c>
      <c r="E16" s="1">
        <v>159.31</v>
      </c>
    </row>
    <row r="17" spans="1:6" x14ac:dyDescent="0.25">
      <c r="A17" s="39">
        <v>1</v>
      </c>
      <c r="B17" s="1" t="s">
        <v>148</v>
      </c>
      <c r="C17" s="1" t="s">
        <v>283</v>
      </c>
      <c r="D17" s="1">
        <v>1</v>
      </c>
      <c r="E17" s="1">
        <v>131.15</v>
      </c>
    </row>
    <row r="18" spans="1:6" x14ac:dyDescent="0.25">
      <c r="A18" s="39">
        <v>1</v>
      </c>
      <c r="B18" s="1" t="s">
        <v>148</v>
      </c>
      <c r="C18" s="1" t="s">
        <v>283</v>
      </c>
      <c r="D18" s="1">
        <v>2</v>
      </c>
      <c r="E18" s="1">
        <v>107.96</v>
      </c>
    </row>
    <row r="19" spans="1:6" x14ac:dyDescent="0.25">
      <c r="A19" s="39">
        <v>1</v>
      </c>
      <c r="B19" s="1" t="s">
        <v>148</v>
      </c>
      <c r="C19" s="1" t="s">
        <v>283</v>
      </c>
      <c r="D19" s="1">
        <v>3</v>
      </c>
      <c r="E19" s="1">
        <v>96.35</v>
      </c>
    </row>
    <row r="20" spans="1:6" x14ac:dyDescent="0.25">
      <c r="A20" s="39">
        <v>1</v>
      </c>
      <c r="B20" s="1" t="s">
        <v>148</v>
      </c>
      <c r="C20" s="1" t="s">
        <v>283</v>
      </c>
      <c r="D20" s="1">
        <v>4</v>
      </c>
      <c r="E20" s="1">
        <v>88.88</v>
      </c>
    </row>
    <row r="21" spans="1:6" x14ac:dyDescent="0.25">
      <c r="A21" s="39">
        <v>1</v>
      </c>
      <c r="B21" s="1" t="s">
        <v>148</v>
      </c>
      <c r="C21" s="1" t="s">
        <v>283</v>
      </c>
      <c r="D21" s="1">
        <v>5</v>
      </c>
      <c r="E21" s="1">
        <v>83.48</v>
      </c>
    </row>
    <row r="22" spans="1:6" x14ac:dyDescent="0.25">
      <c r="A22" s="39">
        <v>1</v>
      </c>
      <c r="B22" s="1" t="s">
        <v>148</v>
      </c>
      <c r="C22" s="1" t="s">
        <v>283</v>
      </c>
      <c r="D22" s="1">
        <v>6</v>
      </c>
      <c r="E22" s="1">
        <v>79.319999999999993</v>
      </c>
    </row>
    <row r="23" spans="1:6" x14ac:dyDescent="0.25">
      <c r="A23" s="39">
        <v>1</v>
      </c>
      <c r="B23" s="1" t="s">
        <v>148</v>
      </c>
      <c r="C23" s="1" t="s">
        <v>283</v>
      </c>
      <c r="D23" s="1">
        <v>7</v>
      </c>
      <c r="E23" s="1">
        <v>75.959999999999994</v>
      </c>
    </row>
    <row r="24" spans="1:6" x14ac:dyDescent="0.25">
      <c r="A24" s="39">
        <v>1</v>
      </c>
      <c r="B24" s="1" t="s">
        <v>148</v>
      </c>
      <c r="C24" s="1" t="s">
        <v>283</v>
      </c>
      <c r="D24" s="1">
        <v>8</v>
      </c>
      <c r="E24" s="1">
        <v>73.17</v>
      </c>
    </row>
    <row r="25" spans="1:6" x14ac:dyDescent="0.25">
      <c r="A25" s="39">
        <v>1</v>
      </c>
      <c r="B25" s="1" t="s">
        <v>148</v>
      </c>
      <c r="C25" s="1" t="s">
        <v>283</v>
      </c>
      <c r="D25" s="1">
        <v>9</v>
      </c>
      <c r="E25" s="1">
        <v>70.790000000000006</v>
      </c>
    </row>
    <row r="26" spans="1:6" x14ac:dyDescent="0.25">
      <c r="A26" s="39">
        <v>1</v>
      </c>
      <c r="B26" s="1" t="s">
        <v>148</v>
      </c>
      <c r="C26" s="1" t="s">
        <v>283</v>
      </c>
      <c r="D26" s="1">
        <v>10</v>
      </c>
      <c r="E26" s="1">
        <v>68.73</v>
      </c>
    </row>
    <row r="27" spans="1:6" x14ac:dyDescent="0.25">
      <c r="A27" s="39">
        <v>1</v>
      </c>
      <c r="B27" s="1" t="s">
        <v>134</v>
      </c>
      <c r="C27" s="1" t="s">
        <v>130</v>
      </c>
      <c r="D27" s="1"/>
      <c r="E27" s="1">
        <v>28</v>
      </c>
      <c r="F27" t="s">
        <v>132</v>
      </c>
    </row>
    <row r="28" spans="1:6" x14ac:dyDescent="0.25">
      <c r="A28" s="39">
        <v>1</v>
      </c>
      <c r="B28" s="1" t="s">
        <v>148</v>
      </c>
      <c r="C28" s="1" t="s">
        <v>130</v>
      </c>
      <c r="D28" s="1"/>
      <c r="E28" s="1">
        <v>130</v>
      </c>
      <c r="F28" t="s">
        <v>132</v>
      </c>
    </row>
    <row r="29" spans="1:6" x14ac:dyDescent="0.25">
      <c r="A29" s="39">
        <v>7</v>
      </c>
      <c r="B29" s="1" t="s">
        <v>134</v>
      </c>
      <c r="C29" s="1" t="s">
        <v>130</v>
      </c>
      <c r="D29" s="1"/>
      <c r="E29" s="1">
        <v>28</v>
      </c>
      <c r="F29" t="s">
        <v>132</v>
      </c>
    </row>
    <row r="30" spans="1:6" x14ac:dyDescent="0.25">
      <c r="A30" s="39">
        <v>7</v>
      </c>
      <c r="B30" s="1" t="s">
        <v>148</v>
      </c>
      <c r="C30" s="1" t="s">
        <v>130</v>
      </c>
      <c r="D30" s="1"/>
      <c r="E30" s="1">
        <v>130</v>
      </c>
      <c r="F30" t="s">
        <v>132</v>
      </c>
    </row>
    <row r="31" spans="1:6" x14ac:dyDescent="0.25">
      <c r="A31" s="39">
        <v>9</v>
      </c>
      <c r="B31" s="1" t="s">
        <v>134</v>
      </c>
      <c r="C31" s="1" t="s">
        <v>130</v>
      </c>
      <c r="D31" s="1"/>
      <c r="E31" s="1">
        <v>28</v>
      </c>
      <c r="F31" t="s">
        <v>132</v>
      </c>
    </row>
    <row r="32" spans="1:6" x14ac:dyDescent="0.25">
      <c r="A32" s="39">
        <v>9</v>
      </c>
      <c r="B32" s="1" t="s">
        <v>148</v>
      </c>
      <c r="C32" s="1" t="s">
        <v>130</v>
      </c>
      <c r="D32" s="1"/>
      <c r="E32" s="1">
        <v>130</v>
      </c>
      <c r="F32" t="s">
        <v>132</v>
      </c>
    </row>
    <row r="33" spans="1:6" x14ac:dyDescent="0.25">
      <c r="A33" s="39">
        <v>10</v>
      </c>
      <c r="B33" s="1" t="s">
        <v>134</v>
      </c>
      <c r="C33" s="1" t="s">
        <v>130</v>
      </c>
      <c r="D33" s="1"/>
      <c r="E33" s="1">
        <v>28</v>
      </c>
      <c r="F33" t="s">
        <v>132</v>
      </c>
    </row>
    <row r="34" spans="1:6" x14ac:dyDescent="0.25">
      <c r="A34" s="39">
        <v>10</v>
      </c>
      <c r="B34" s="1" t="s">
        <v>148</v>
      </c>
      <c r="C34" s="1" t="s">
        <v>130</v>
      </c>
      <c r="D34" s="1"/>
      <c r="E34" s="1">
        <v>130</v>
      </c>
      <c r="F34" t="s">
        <v>132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4"/>
  <sheetViews>
    <sheetView zoomScale="85" zoomScaleNormal="85" workbookViewId="0"/>
  </sheetViews>
  <sheetFormatPr defaultRowHeight="15" x14ac:dyDescent="0.25"/>
  <sheetData>
    <row r="1" spans="1:6" x14ac:dyDescent="0.25">
      <c r="A1" s="53" t="s">
        <v>255</v>
      </c>
      <c r="B1" t="s">
        <v>309</v>
      </c>
      <c r="C1" t="s">
        <v>310</v>
      </c>
      <c r="D1" t="s">
        <v>321</v>
      </c>
      <c r="E1" s="39" t="s">
        <v>286</v>
      </c>
      <c r="F1" s="39" t="s">
        <v>285</v>
      </c>
    </row>
    <row r="2" spans="1:6" x14ac:dyDescent="0.25">
      <c r="A2" s="99"/>
      <c r="D2" s="39" t="s">
        <v>174</v>
      </c>
      <c r="E2" s="39" t="s">
        <v>322</v>
      </c>
      <c r="F2" s="39" t="s">
        <v>174</v>
      </c>
    </row>
    <row r="3" spans="1:6" x14ac:dyDescent="0.25">
      <c r="A3" s="39">
        <v>1</v>
      </c>
      <c r="B3" t="s">
        <v>287</v>
      </c>
      <c r="C3" t="s">
        <v>311</v>
      </c>
      <c r="D3" s="39">
        <v>0</v>
      </c>
      <c r="E3" s="39">
        <v>0</v>
      </c>
      <c r="F3" s="39">
        <v>0</v>
      </c>
    </row>
    <row r="4" spans="1:6" x14ac:dyDescent="0.25">
      <c r="A4" s="39">
        <v>1</v>
      </c>
      <c r="B4" t="s">
        <v>287</v>
      </c>
      <c r="C4" t="s">
        <v>311</v>
      </c>
      <c r="D4" s="39">
        <f>D3</f>
        <v>0</v>
      </c>
      <c r="E4">
        <v>1.5111694080522171</v>
      </c>
      <c r="F4">
        <v>4.8265079999999993E-3</v>
      </c>
    </row>
    <row r="5" spans="1:6" x14ac:dyDescent="0.25">
      <c r="A5" s="39">
        <v>1</v>
      </c>
      <c r="B5" t="s">
        <v>287</v>
      </c>
      <c r="C5" t="s">
        <v>311</v>
      </c>
      <c r="D5" s="39">
        <f>D4</f>
        <v>0</v>
      </c>
      <c r="E5" s="100">
        <v>2.1681995854662248</v>
      </c>
      <c r="F5">
        <v>1.4479523999999997E-2</v>
      </c>
    </row>
    <row r="6" spans="1:6" x14ac:dyDescent="0.25">
      <c r="A6" s="39">
        <v>1</v>
      </c>
      <c r="B6" t="s">
        <v>287</v>
      </c>
      <c r="C6" t="s">
        <v>311</v>
      </c>
      <c r="D6" s="39">
        <f t="shared" ref="D6:D9" si="0">D5</f>
        <v>0</v>
      </c>
      <c r="E6" s="100">
        <v>3.2851508870700377</v>
      </c>
      <c r="F6">
        <v>4.8265079999999995E-2</v>
      </c>
    </row>
    <row r="7" spans="1:6" x14ac:dyDescent="0.25">
      <c r="A7" s="39">
        <v>1</v>
      </c>
      <c r="B7" t="s">
        <v>287</v>
      </c>
      <c r="C7" t="s">
        <v>311</v>
      </c>
      <c r="D7" s="39">
        <f t="shared" si="0"/>
        <v>0</v>
      </c>
      <c r="E7" s="100">
        <v>4.7306172773808539</v>
      </c>
      <c r="F7">
        <v>0.14479523999999999</v>
      </c>
    </row>
    <row r="8" spans="1:6" x14ac:dyDescent="0.25">
      <c r="A8" s="39">
        <v>1</v>
      </c>
      <c r="B8" t="s">
        <v>287</v>
      </c>
      <c r="C8" t="s">
        <v>311</v>
      </c>
      <c r="D8" s="39">
        <f t="shared" si="0"/>
        <v>0</v>
      </c>
      <c r="E8" s="100">
        <v>0</v>
      </c>
      <c r="F8">
        <v>0.38612063999999996</v>
      </c>
    </row>
    <row r="9" spans="1:6" x14ac:dyDescent="0.25">
      <c r="A9" s="39">
        <v>1</v>
      </c>
      <c r="B9" t="s">
        <v>287</v>
      </c>
      <c r="C9" t="s">
        <v>311</v>
      </c>
      <c r="D9" s="39">
        <f t="shared" si="0"/>
        <v>0</v>
      </c>
      <c r="E9" s="100">
        <v>0</v>
      </c>
      <c r="F9">
        <v>2.8956</v>
      </c>
    </row>
    <row r="10" spans="1:6" x14ac:dyDescent="0.25">
      <c r="A10" s="39">
        <v>1</v>
      </c>
      <c r="B10" t="s">
        <v>287</v>
      </c>
      <c r="C10" t="s">
        <v>311</v>
      </c>
      <c r="D10" s="121">
        <v>0.91439999999999999</v>
      </c>
      <c r="E10" s="100">
        <v>0</v>
      </c>
      <c r="F10">
        <v>0</v>
      </c>
    </row>
    <row r="11" spans="1:6" x14ac:dyDescent="0.25">
      <c r="A11" s="39">
        <v>1</v>
      </c>
      <c r="B11" t="s">
        <v>287</v>
      </c>
      <c r="C11" t="s">
        <v>311</v>
      </c>
      <c r="D11" s="39">
        <f>D10</f>
        <v>0.91439999999999999</v>
      </c>
      <c r="E11" s="100">
        <v>3.2227308610973608</v>
      </c>
      <c r="F11">
        <v>4.8265079999999993E-3</v>
      </c>
    </row>
    <row r="12" spans="1:6" x14ac:dyDescent="0.25">
      <c r="A12" s="39">
        <v>1</v>
      </c>
      <c r="B12" t="s">
        <v>287</v>
      </c>
      <c r="C12" t="s">
        <v>311</v>
      </c>
      <c r="D12" s="39">
        <f>D11</f>
        <v>0.91439999999999999</v>
      </c>
      <c r="E12">
        <v>4.6239181920092571</v>
      </c>
      <c r="F12">
        <v>1.4479523999999997E-2</v>
      </c>
    </row>
    <row r="13" spans="1:6" x14ac:dyDescent="0.25">
      <c r="A13" s="39">
        <v>1</v>
      </c>
      <c r="B13" t="s">
        <v>287</v>
      </c>
      <c r="C13" t="s">
        <v>311</v>
      </c>
      <c r="D13" s="39">
        <f t="shared" ref="D13:D23" si="1">D12</f>
        <v>0.91439999999999999</v>
      </c>
      <c r="E13">
        <v>7.0059366545594806</v>
      </c>
      <c r="F13">
        <v>4.8265079999999995E-2</v>
      </c>
    </row>
    <row r="14" spans="1:6" x14ac:dyDescent="0.25">
      <c r="A14" s="39">
        <v>1</v>
      </c>
      <c r="B14" t="s">
        <v>287</v>
      </c>
      <c r="C14" t="s">
        <v>311</v>
      </c>
      <c r="D14" s="39">
        <f t="shared" si="1"/>
        <v>0.91439999999999999</v>
      </c>
      <c r="E14">
        <v>10.088548782565651</v>
      </c>
      <c r="F14">
        <v>0.14479523999999999</v>
      </c>
    </row>
    <row r="15" spans="1:6" x14ac:dyDescent="0.25">
      <c r="A15" s="39">
        <v>1</v>
      </c>
      <c r="B15" t="s">
        <v>287</v>
      </c>
      <c r="C15" t="s">
        <v>311</v>
      </c>
      <c r="D15" s="39">
        <f t="shared" si="1"/>
        <v>0.91439999999999999</v>
      </c>
      <c r="E15">
        <v>1.4011873309118958</v>
      </c>
      <c r="F15">
        <v>0.38612063999999996</v>
      </c>
    </row>
    <row r="16" spans="1:6" x14ac:dyDescent="0.25">
      <c r="A16" s="39">
        <v>1</v>
      </c>
      <c r="B16" t="s">
        <v>287</v>
      </c>
      <c r="C16" t="s">
        <v>311</v>
      </c>
      <c r="D16" s="39">
        <f t="shared" si="1"/>
        <v>0.91439999999999999</v>
      </c>
      <c r="E16">
        <v>1.4011873309118958</v>
      </c>
      <c r="F16">
        <v>2.8956</v>
      </c>
    </row>
    <row r="17" spans="1:6" x14ac:dyDescent="0.25">
      <c r="A17" s="39">
        <v>1</v>
      </c>
      <c r="B17" t="s">
        <v>287</v>
      </c>
      <c r="C17" t="s">
        <v>311</v>
      </c>
      <c r="D17">
        <v>1.8288</v>
      </c>
      <c r="E17">
        <v>0</v>
      </c>
      <c r="F17">
        <v>0</v>
      </c>
    </row>
    <row r="18" spans="1:6" x14ac:dyDescent="0.25">
      <c r="A18" s="39">
        <v>1</v>
      </c>
      <c r="B18" t="s">
        <v>287</v>
      </c>
      <c r="C18" t="s">
        <v>311</v>
      </c>
      <c r="D18" s="39">
        <f>D17</f>
        <v>1.8288</v>
      </c>
      <c r="E18">
        <v>5.1687843749217999</v>
      </c>
      <c r="F18">
        <v>4.8265079999999993E-3</v>
      </c>
    </row>
    <row r="19" spans="1:6" x14ac:dyDescent="0.25">
      <c r="A19" s="39">
        <v>1</v>
      </c>
      <c r="B19" t="s">
        <v>287</v>
      </c>
      <c r="C19" t="s">
        <v>311</v>
      </c>
      <c r="D19" s="39">
        <f>D18</f>
        <v>1.8288</v>
      </c>
      <c r="E19">
        <v>7.4160819292356273</v>
      </c>
      <c r="F19">
        <v>1.4479523999999997E-2</v>
      </c>
    </row>
    <row r="20" spans="1:6" x14ac:dyDescent="0.25">
      <c r="A20" s="39">
        <v>1</v>
      </c>
      <c r="B20" t="s">
        <v>287</v>
      </c>
      <c r="C20" t="s">
        <v>311</v>
      </c>
      <c r="D20" s="39">
        <f t="shared" si="1"/>
        <v>1.8288</v>
      </c>
      <c r="E20">
        <v>11.236487771569132</v>
      </c>
      <c r="F20">
        <v>4.8265079999999995E-2</v>
      </c>
    </row>
    <row r="21" spans="1:6" x14ac:dyDescent="0.25">
      <c r="A21" s="39">
        <v>1</v>
      </c>
      <c r="B21" t="s">
        <v>287</v>
      </c>
      <c r="C21" t="s">
        <v>311</v>
      </c>
      <c r="D21" s="39">
        <f t="shared" si="1"/>
        <v>1.8288</v>
      </c>
      <c r="E21">
        <v>16.180542391059547</v>
      </c>
      <c r="F21">
        <v>0.14479523999999999</v>
      </c>
    </row>
    <row r="22" spans="1:6" x14ac:dyDescent="0.25">
      <c r="A22" s="39">
        <v>1</v>
      </c>
      <c r="B22" t="s">
        <v>287</v>
      </c>
      <c r="C22" t="s">
        <v>311</v>
      </c>
      <c r="D22" s="39">
        <f t="shared" si="1"/>
        <v>1.8288</v>
      </c>
      <c r="E22">
        <v>4.7193248640590344</v>
      </c>
      <c r="F22">
        <v>0.38612063999999996</v>
      </c>
    </row>
    <row r="23" spans="1:6" x14ac:dyDescent="0.25">
      <c r="A23" s="39">
        <v>1</v>
      </c>
      <c r="B23" t="s">
        <v>287</v>
      </c>
      <c r="C23" t="s">
        <v>311</v>
      </c>
      <c r="D23" s="39">
        <f t="shared" si="1"/>
        <v>1.8288</v>
      </c>
      <c r="E23">
        <v>4.7193248640590344</v>
      </c>
      <c r="F23">
        <v>2.8956</v>
      </c>
    </row>
    <row r="24" spans="1:6" x14ac:dyDescent="0.25">
      <c r="A24" s="39">
        <v>1</v>
      </c>
      <c r="B24" t="s">
        <v>287</v>
      </c>
      <c r="C24" t="s">
        <v>311</v>
      </c>
      <c r="D24">
        <v>2.7431999999999999</v>
      </c>
      <c r="E24">
        <v>0</v>
      </c>
      <c r="F24">
        <v>0</v>
      </c>
    </row>
    <row r="25" spans="1:6" x14ac:dyDescent="0.25">
      <c r="A25" s="39">
        <v>1</v>
      </c>
      <c r="B25" t="s">
        <v>287</v>
      </c>
      <c r="C25" t="s">
        <v>311</v>
      </c>
      <c r="D25" s="39">
        <f>D24</f>
        <v>2.7431999999999999</v>
      </c>
      <c r="E25">
        <v>7.3493299495255329</v>
      </c>
      <c r="F25">
        <v>4.8265079999999993E-3</v>
      </c>
    </row>
    <row r="26" spans="1:6" x14ac:dyDescent="0.25">
      <c r="A26" s="39">
        <v>1</v>
      </c>
      <c r="B26" t="s">
        <v>287</v>
      </c>
      <c r="C26" t="s">
        <v>311</v>
      </c>
      <c r="D26" s="39">
        <f>D25</f>
        <v>2.7431999999999999</v>
      </c>
      <c r="E26">
        <v>10.54469079714533</v>
      </c>
      <c r="F26">
        <v>1.4479523999999997E-2</v>
      </c>
    </row>
    <row r="27" spans="1:6" x14ac:dyDescent="0.25">
      <c r="A27" s="39">
        <v>1</v>
      </c>
      <c r="B27" t="s">
        <v>287</v>
      </c>
      <c r="C27" t="s">
        <v>311</v>
      </c>
      <c r="D27" s="39">
        <f t="shared" ref="D27:D30" si="2">D26</f>
        <v>2.7431999999999999</v>
      </c>
      <c r="E27">
        <v>15.976804238098984</v>
      </c>
      <c r="F27">
        <v>4.8265079999999995E-2</v>
      </c>
    </row>
    <row r="28" spans="1:6" x14ac:dyDescent="0.25">
      <c r="A28" s="39">
        <v>1</v>
      </c>
      <c r="B28" t="s">
        <v>287</v>
      </c>
      <c r="C28" t="s">
        <v>311</v>
      </c>
      <c r="D28" s="39">
        <f t="shared" si="2"/>
        <v>2.7431999999999999</v>
      </c>
      <c r="E28">
        <v>23.006598102862537</v>
      </c>
      <c r="F28">
        <v>0.14479523999999999</v>
      </c>
    </row>
    <row r="29" spans="1:6" x14ac:dyDescent="0.25">
      <c r="A29" s="39">
        <v>1</v>
      </c>
      <c r="B29" t="s">
        <v>287</v>
      </c>
      <c r="C29" t="s">
        <v>311</v>
      </c>
      <c r="D29" s="39">
        <f t="shared" si="2"/>
        <v>2.7431999999999999</v>
      </c>
      <c r="E29">
        <v>9.9056186276213687</v>
      </c>
      <c r="F29">
        <v>0.38612063999999996</v>
      </c>
    </row>
    <row r="30" spans="1:6" x14ac:dyDescent="0.25">
      <c r="A30" s="39">
        <v>1</v>
      </c>
      <c r="B30" t="s">
        <v>287</v>
      </c>
      <c r="C30" t="s">
        <v>311</v>
      </c>
      <c r="D30" s="39">
        <f t="shared" si="2"/>
        <v>2.7431999999999999</v>
      </c>
      <c r="E30">
        <v>9.9056186276213687</v>
      </c>
      <c r="F30">
        <v>2.8956</v>
      </c>
    </row>
    <row r="31" spans="1:6" x14ac:dyDescent="0.25">
      <c r="A31" s="39">
        <v>1</v>
      </c>
      <c r="B31" t="s">
        <v>287</v>
      </c>
      <c r="C31" t="s">
        <v>311</v>
      </c>
      <c r="D31">
        <v>3.6576</v>
      </c>
      <c r="E31">
        <v>0</v>
      </c>
      <c r="F31">
        <v>0</v>
      </c>
    </row>
    <row r="32" spans="1:6" x14ac:dyDescent="0.25">
      <c r="A32" s="39">
        <v>1</v>
      </c>
      <c r="B32" t="s">
        <v>287</v>
      </c>
      <c r="C32" t="s">
        <v>311</v>
      </c>
      <c r="D32" s="39">
        <f>D31</f>
        <v>3.6576</v>
      </c>
      <c r="E32">
        <v>9.7643675849085625</v>
      </c>
      <c r="F32">
        <v>4.8265079999999993E-3</v>
      </c>
    </row>
    <row r="33" spans="1:6" x14ac:dyDescent="0.25">
      <c r="A33" s="39">
        <v>1</v>
      </c>
      <c r="B33" t="s">
        <v>287</v>
      </c>
      <c r="C33" t="s">
        <v>311</v>
      </c>
      <c r="D33" s="39">
        <f>D32</f>
        <v>3.6576</v>
      </c>
      <c r="E33">
        <v>14.009744795738376</v>
      </c>
      <c r="F33">
        <v>1.4479523999999997E-2</v>
      </c>
    </row>
    <row r="34" spans="1:6" x14ac:dyDescent="0.25">
      <c r="A34" s="39">
        <v>1</v>
      </c>
      <c r="B34" t="s">
        <v>287</v>
      </c>
      <c r="C34" t="s">
        <v>311</v>
      </c>
      <c r="D34" s="39">
        <f t="shared" ref="D34:D37" si="3">D33</f>
        <v>3.6576</v>
      </c>
      <c r="E34">
        <v>21.226886054149048</v>
      </c>
      <c r="F34">
        <v>4.8265079999999995E-2</v>
      </c>
    </row>
    <row r="35" spans="1:6" x14ac:dyDescent="0.25">
      <c r="A35" s="39">
        <v>1</v>
      </c>
      <c r="B35" t="s">
        <v>287</v>
      </c>
      <c r="C35" t="s">
        <v>311</v>
      </c>
      <c r="D35" s="39">
        <f t="shared" si="3"/>
        <v>3.6576</v>
      </c>
      <c r="E35">
        <v>30.566715917974633</v>
      </c>
      <c r="F35">
        <v>0.14479523999999999</v>
      </c>
    </row>
    <row r="36" spans="1:6" x14ac:dyDescent="0.25">
      <c r="A36" s="39">
        <v>1</v>
      </c>
      <c r="B36" t="s">
        <v>287</v>
      </c>
      <c r="C36" t="s">
        <v>311</v>
      </c>
      <c r="D36" s="39">
        <f t="shared" si="3"/>
        <v>3.6576</v>
      </c>
      <c r="E36">
        <v>17.406046564402224</v>
      </c>
      <c r="F36">
        <v>0.38612063999999996</v>
      </c>
    </row>
    <row r="37" spans="1:6" x14ac:dyDescent="0.25">
      <c r="A37" s="39">
        <v>1</v>
      </c>
      <c r="B37" t="s">
        <v>287</v>
      </c>
      <c r="C37" t="s">
        <v>311</v>
      </c>
      <c r="D37" s="39">
        <f t="shared" si="3"/>
        <v>3.6576</v>
      </c>
      <c r="E37">
        <v>17.406046564402224</v>
      </c>
      <c r="F37">
        <v>2.8956</v>
      </c>
    </row>
    <row r="38" spans="1:6" x14ac:dyDescent="0.25">
      <c r="A38" s="39">
        <v>1</v>
      </c>
      <c r="B38" t="s">
        <v>287</v>
      </c>
      <c r="C38" t="s">
        <v>311</v>
      </c>
      <c r="D38">
        <v>4.5720000000000001</v>
      </c>
      <c r="E38">
        <v>0</v>
      </c>
      <c r="F38">
        <v>0</v>
      </c>
    </row>
    <row r="39" spans="1:6" x14ac:dyDescent="0.25">
      <c r="A39" s="39">
        <v>1</v>
      </c>
      <c r="B39" t="s">
        <v>287</v>
      </c>
      <c r="C39" t="s">
        <v>311</v>
      </c>
      <c r="D39" s="39">
        <f>D38</f>
        <v>4.5720000000000001</v>
      </c>
      <c r="E39">
        <v>12.41389728107089</v>
      </c>
      <c r="F39">
        <v>4.8265079999999993E-3</v>
      </c>
    </row>
    <row r="40" spans="1:6" x14ac:dyDescent="0.25">
      <c r="A40" s="39">
        <v>1</v>
      </c>
      <c r="B40" t="s">
        <v>287</v>
      </c>
      <c r="C40" t="s">
        <v>311</v>
      </c>
      <c r="D40" s="39">
        <f>D39</f>
        <v>4.5720000000000001</v>
      </c>
      <c r="E40">
        <v>17.81124392501475</v>
      </c>
      <c r="F40">
        <v>1.4479523999999997E-2</v>
      </c>
    </row>
    <row r="41" spans="1:6" x14ac:dyDescent="0.25">
      <c r="A41" s="39">
        <v>1</v>
      </c>
      <c r="B41" t="s">
        <v>287</v>
      </c>
      <c r="C41" t="s">
        <v>311</v>
      </c>
      <c r="D41" s="39">
        <f t="shared" ref="D41:D44" si="4">D40</f>
        <v>4.5720000000000001</v>
      </c>
      <c r="E41">
        <v>26.986733219719319</v>
      </c>
      <c r="F41">
        <v>4.8265079999999995E-2</v>
      </c>
    </row>
    <row r="42" spans="1:6" x14ac:dyDescent="0.25">
      <c r="A42" s="39">
        <v>1</v>
      </c>
      <c r="B42" t="s">
        <v>287</v>
      </c>
      <c r="C42" t="s">
        <v>311</v>
      </c>
      <c r="D42" s="39">
        <f t="shared" si="4"/>
        <v>4.5720000000000001</v>
      </c>
      <c r="E42">
        <v>38.860895836395819</v>
      </c>
      <c r="F42">
        <v>0.14479523999999999</v>
      </c>
    </row>
    <row r="43" spans="1:6" x14ac:dyDescent="0.25">
      <c r="A43" s="39">
        <v>1</v>
      </c>
      <c r="B43" t="s">
        <v>287</v>
      </c>
      <c r="C43" t="s">
        <v>311</v>
      </c>
      <c r="D43" s="39">
        <f t="shared" si="4"/>
        <v>4.5720000000000001</v>
      </c>
      <c r="E43">
        <v>27.526467884113703</v>
      </c>
      <c r="F43">
        <v>0.38612063999999996</v>
      </c>
    </row>
    <row r="44" spans="1:6" x14ac:dyDescent="0.25">
      <c r="A44" s="39">
        <v>1</v>
      </c>
      <c r="B44" t="s">
        <v>287</v>
      </c>
      <c r="C44" t="s">
        <v>311</v>
      </c>
      <c r="D44" s="39">
        <f t="shared" si="4"/>
        <v>4.5720000000000001</v>
      </c>
      <c r="E44">
        <v>27.526467884113703</v>
      </c>
      <c r="F44">
        <v>2.8956</v>
      </c>
    </row>
    <row r="45" spans="1:6" x14ac:dyDescent="0.25">
      <c r="A45" s="39">
        <v>1</v>
      </c>
      <c r="B45" t="s">
        <v>287</v>
      </c>
      <c r="C45" t="s">
        <v>311</v>
      </c>
      <c r="D45" s="39">
        <v>5.4863999999999997</v>
      </c>
      <c r="E45">
        <v>0</v>
      </c>
      <c r="F45">
        <v>0</v>
      </c>
    </row>
    <row r="46" spans="1:6" x14ac:dyDescent="0.25">
      <c r="A46" s="39">
        <v>1</v>
      </c>
      <c r="B46" t="s">
        <v>287</v>
      </c>
      <c r="C46" t="s">
        <v>311</v>
      </c>
      <c r="D46" s="39">
        <f>D45</f>
        <v>5.4863999999999997</v>
      </c>
      <c r="E46">
        <v>15.297919038012507</v>
      </c>
      <c r="F46">
        <v>4.8265079999999993E-3</v>
      </c>
    </row>
    <row r="47" spans="1:6" x14ac:dyDescent="0.25">
      <c r="A47" s="39">
        <v>1</v>
      </c>
      <c r="B47" t="s">
        <v>287</v>
      </c>
      <c r="C47" t="s">
        <v>311</v>
      </c>
      <c r="D47" s="39">
        <f>D46</f>
        <v>5.4863999999999997</v>
      </c>
      <c r="E47">
        <v>21.949188184974464</v>
      </c>
      <c r="F47">
        <v>1.4479523999999997E-2</v>
      </c>
    </row>
    <row r="48" spans="1:6" x14ac:dyDescent="0.25">
      <c r="A48" s="39">
        <v>1</v>
      </c>
      <c r="B48" t="s">
        <v>287</v>
      </c>
      <c r="C48" t="s">
        <v>311</v>
      </c>
      <c r="D48" s="39">
        <f t="shared" ref="D48:D51" si="5">D47</f>
        <v>5.4863999999999997</v>
      </c>
      <c r="E48">
        <v>33.256345734809798</v>
      </c>
      <c r="F48">
        <v>4.8265079999999995E-2</v>
      </c>
    </row>
    <row r="49" spans="1:6" x14ac:dyDescent="0.25">
      <c r="A49" s="39">
        <v>1</v>
      </c>
      <c r="B49" t="s">
        <v>287</v>
      </c>
      <c r="C49" t="s">
        <v>311</v>
      </c>
      <c r="D49" s="39">
        <f t="shared" si="5"/>
        <v>5.4863999999999997</v>
      </c>
      <c r="E49">
        <v>47.889137858126112</v>
      </c>
      <c r="F49">
        <v>0.14479523999999999</v>
      </c>
    </row>
    <row r="50" spans="1:6" x14ac:dyDescent="0.25">
      <c r="A50" s="39">
        <v>1</v>
      </c>
      <c r="B50" t="s">
        <v>287</v>
      </c>
      <c r="C50" t="s">
        <v>311</v>
      </c>
      <c r="D50" s="39">
        <f t="shared" si="5"/>
        <v>5.4863999999999997</v>
      </c>
      <c r="E50">
        <v>41.237868711164154</v>
      </c>
      <c r="F50">
        <v>0.38612063999999996</v>
      </c>
    </row>
    <row r="51" spans="1:6" x14ac:dyDescent="0.25">
      <c r="A51" s="39">
        <v>1</v>
      </c>
      <c r="B51" t="s">
        <v>287</v>
      </c>
      <c r="C51" t="s">
        <v>311</v>
      </c>
      <c r="D51" s="39">
        <f t="shared" si="5"/>
        <v>5.4863999999999997</v>
      </c>
      <c r="E51">
        <v>41.237868711164154</v>
      </c>
      <c r="F51">
        <v>2.8956</v>
      </c>
    </row>
    <row r="52" spans="1:6" x14ac:dyDescent="0.25">
      <c r="A52" s="39">
        <v>1</v>
      </c>
      <c r="B52" t="s">
        <v>287</v>
      </c>
      <c r="C52" t="s">
        <v>311</v>
      </c>
      <c r="D52">
        <v>6.4007999999999994</v>
      </c>
      <c r="E52">
        <v>0</v>
      </c>
      <c r="F52">
        <v>0</v>
      </c>
    </row>
    <row r="53" spans="1:6" x14ac:dyDescent="0.25">
      <c r="A53" s="39">
        <v>1</v>
      </c>
      <c r="B53" t="s">
        <v>287</v>
      </c>
      <c r="C53" t="s">
        <v>311</v>
      </c>
      <c r="D53" s="39">
        <f>D52</f>
        <v>6.4007999999999994</v>
      </c>
      <c r="E53">
        <v>18.406043390620027</v>
      </c>
      <c r="F53">
        <v>4.8265079999999993E-3</v>
      </c>
    </row>
    <row r="54" spans="1:6" x14ac:dyDescent="0.25">
      <c r="A54" s="39">
        <v>1</v>
      </c>
      <c r="B54" t="s">
        <v>287</v>
      </c>
      <c r="C54" t="s">
        <v>311</v>
      </c>
      <c r="D54" s="39">
        <f>D53</f>
        <v>6.4007999999999994</v>
      </c>
      <c r="E54">
        <v>26.40867095175917</v>
      </c>
      <c r="F54">
        <v>1.4479523999999997E-2</v>
      </c>
    </row>
    <row r="55" spans="1:6" x14ac:dyDescent="0.25">
      <c r="A55" s="39">
        <v>1</v>
      </c>
      <c r="B55" t="s">
        <v>287</v>
      </c>
      <c r="C55" t="s">
        <v>311</v>
      </c>
      <c r="D55" s="39">
        <f t="shared" ref="D55:D58" si="6">D54</f>
        <v>6.4007999999999994</v>
      </c>
      <c r="E55">
        <v>40.013137805695706</v>
      </c>
      <c r="F55">
        <v>4.8265079999999995E-2</v>
      </c>
    </row>
    <row r="56" spans="1:6" x14ac:dyDescent="0.25">
      <c r="A56" s="39">
        <v>1</v>
      </c>
      <c r="B56" t="s">
        <v>287</v>
      </c>
      <c r="C56" t="s">
        <v>311</v>
      </c>
      <c r="D56" s="39">
        <f t="shared" si="6"/>
        <v>6.4007999999999994</v>
      </c>
      <c r="E56">
        <v>57.618918440201824</v>
      </c>
      <c r="F56">
        <v>0.14479523999999999</v>
      </c>
    </row>
    <row r="57" spans="1:6" x14ac:dyDescent="0.25">
      <c r="A57" s="39">
        <v>1</v>
      </c>
      <c r="B57" t="s">
        <v>287</v>
      </c>
      <c r="C57" t="s">
        <v>311</v>
      </c>
      <c r="D57" s="39">
        <f t="shared" si="6"/>
        <v>6.4007999999999994</v>
      </c>
      <c r="E57">
        <v>57.618918440201824</v>
      </c>
      <c r="F57">
        <v>2.8956</v>
      </c>
    </row>
    <row r="58" spans="1:6" x14ac:dyDescent="0.25">
      <c r="A58" s="39">
        <v>1</v>
      </c>
      <c r="B58" t="s">
        <v>287</v>
      </c>
      <c r="C58" t="s">
        <v>311</v>
      </c>
      <c r="D58" s="39">
        <f t="shared" si="6"/>
        <v>6.4007999999999994</v>
      </c>
      <c r="E58">
        <v>0</v>
      </c>
      <c r="F58">
        <f>F57*1.05</f>
        <v>3.0403799999999999</v>
      </c>
    </row>
    <row r="59" spans="1:6" x14ac:dyDescent="0.25">
      <c r="A59" s="39">
        <v>1</v>
      </c>
      <c r="B59" t="s">
        <v>287</v>
      </c>
      <c r="C59" t="s">
        <v>311</v>
      </c>
      <c r="D59" s="39">
        <v>12.192</v>
      </c>
      <c r="E59">
        <v>0</v>
      </c>
      <c r="F59">
        <v>0</v>
      </c>
    </row>
    <row r="60" spans="1:6" x14ac:dyDescent="0.25">
      <c r="A60" s="39">
        <v>1</v>
      </c>
      <c r="B60" t="s">
        <v>287</v>
      </c>
      <c r="C60" t="s">
        <v>311</v>
      </c>
      <c r="D60" s="39">
        <f>D59</f>
        <v>12.192</v>
      </c>
      <c r="E60">
        <v>30.957384731705936</v>
      </c>
      <c r="F60">
        <v>4.8265079999999993E-3</v>
      </c>
    </row>
    <row r="61" spans="1:6" x14ac:dyDescent="0.25">
      <c r="A61" s="39">
        <v>1</v>
      </c>
      <c r="B61" t="s">
        <v>287</v>
      </c>
      <c r="C61" t="s">
        <v>311</v>
      </c>
      <c r="D61" s="39">
        <f>D60</f>
        <v>12.192</v>
      </c>
      <c r="E61">
        <v>44.417117223752001</v>
      </c>
      <c r="F61">
        <v>1.4479523999999997E-2</v>
      </c>
    </row>
    <row r="62" spans="1:6" x14ac:dyDescent="0.25">
      <c r="A62" s="39">
        <v>1</v>
      </c>
      <c r="B62" t="s">
        <v>287</v>
      </c>
      <c r="C62" t="s">
        <v>311</v>
      </c>
      <c r="D62" s="39">
        <f t="shared" ref="D62:D65" si="7">D61</f>
        <v>12.192</v>
      </c>
      <c r="E62">
        <v>67.298662460230304</v>
      </c>
      <c r="F62">
        <v>4.8265079999999995E-2</v>
      </c>
    </row>
    <row r="63" spans="1:6" x14ac:dyDescent="0.25">
      <c r="A63" s="39">
        <v>1</v>
      </c>
      <c r="B63" t="s">
        <v>287</v>
      </c>
      <c r="C63" t="s">
        <v>311</v>
      </c>
      <c r="D63" s="39">
        <f t="shared" si="7"/>
        <v>12.192</v>
      </c>
      <c r="E63">
        <v>96.910073942731643</v>
      </c>
      <c r="F63">
        <v>0.14479523999999999</v>
      </c>
    </row>
    <row r="64" spans="1:6" x14ac:dyDescent="0.25">
      <c r="A64" s="39">
        <v>1</v>
      </c>
      <c r="B64" t="s">
        <v>287</v>
      </c>
      <c r="C64" t="s">
        <v>311</v>
      </c>
      <c r="D64" s="39">
        <f t="shared" si="7"/>
        <v>12.192</v>
      </c>
      <c r="E64">
        <v>96.910073942731643</v>
      </c>
      <c r="F64">
        <v>2.8956</v>
      </c>
    </row>
    <row r="65" spans="1:6" x14ac:dyDescent="0.25">
      <c r="A65" s="39">
        <v>1</v>
      </c>
      <c r="B65" t="s">
        <v>287</v>
      </c>
      <c r="C65" t="s">
        <v>311</v>
      </c>
      <c r="D65" s="39">
        <f t="shared" si="7"/>
        <v>12.192</v>
      </c>
      <c r="E65">
        <v>0</v>
      </c>
      <c r="F65">
        <f>F64*1.05</f>
        <v>3.0403799999999999</v>
      </c>
    </row>
    <row r="66" spans="1:6" x14ac:dyDescent="0.25">
      <c r="A66" s="39">
        <v>1</v>
      </c>
      <c r="B66" t="s">
        <v>287</v>
      </c>
      <c r="C66" t="s">
        <v>311</v>
      </c>
      <c r="D66" s="39">
        <v>12.2174</v>
      </c>
      <c r="E66">
        <v>0</v>
      </c>
      <c r="F66">
        <v>0</v>
      </c>
    </row>
    <row r="67" spans="1:6" x14ac:dyDescent="0.25">
      <c r="A67" s="39">
        <v>1</v>
      </c>
      <c r="B67" t="s">
        <v>287</v>
      </c>
      <c r="C67" t="s">
        <v>311</v>
      </c>
      <c r="D67" s="39">
        <f>D66</f>
        <v>12.2174</v>
      </c>
      <c r="E67">
        <v>30.957384731705936</v>
      </c>
      <c r="F67">
        <v>2.6545793999999995E-3</v>
      </c>
    </row>
    <row r="68" spans="1:6" x14ac:dyDescent="0.25">
      <c r="A68" s="39">
        <v>1</v>
      </c>
      <c r="B68" t="s">
        <v>287</v>
      </c>
      <c r="C68" t="s">
        <v>311</v>
      </c>
      <c r="D68" s="39">
        <f>D67</f>
        <v>12.2174</v>
      </c>
      <c r="E68">
        <v>44.417117223752001</v>
      </c>
      <c r="F68">
        <v>7.9637381999999972E-3</v>
      </c>
    </row>
    <row r="69" spans="1:6" x14ac:dyDescent="0.25">
      <c r="A69" s="39">
        <v>1</v>
      </c>
      <c r="B69" t="s">
        <v>287</v>
      </c>
      <c r="C69" t="s">
        <v>311</v>
      </c>
      <c r="D69" s="39">
        <f t="shared" ref="D69:D72" si="8">D68</f>
        <v>12.2174</v>
      </c>
      <c r="E69">
        <v>67.298662460230304</v>
      </c>
      <c r="F69">
        <v>2.6545793999999994E-2</v>
      </c>
    </row>
    <row r="70" spans="1:6" x14ac:dyDescent="0.25">
      <c r="A70" s="39">
        <v>1</v>
      </c>
      <c r="B70" t="s">
        <v>287</v>
      </c>
      <c r="C70" t="s">
        <v>311</v>
      </c>
      <c r="D70" s="39">
        <f t="shared" si="8"/>
        <v>12.2174</v>
      </c>
      <c r="E70">
        <v>96.910073942731643</v>
      </c>
      <c r="F70">
        <v>7.9637381999999979E-2</v>
      </c>
    </row>
    <row r="71" spans="1:6" x14ac:dyDescent="0.25">
      <c r="A71" s="39">
        <v>1</v>
      </c>
      <c r="B71" t="s">
        <v>287</v>
      </c>
      <c r="C71" t="s">
        <v>311</v>
      </c>
      <c r="D71" s="39">
        <f t="shared" si="8"/>
        <v>12.2174</v>
      </c>
      <c r="E71">
        <v>96.910073942731643</v>
      </c>
      <c r="F71">
        <v>2.8956</v>
      </c>
    </row>
    <row r="72" spans="1:6" x14ac:dyDescent="0.25">
      <c r="A72" s="39">
        <v>1</v>
      </c>
      <c r="B72" t="s">
        <v>287</v>
      </c>
      <c r="C72" t="s">
        <v>311</v>
      </c>
      <c r="D72" s="39">
        <f t="shared" si="8"/>
        <v>12.2174</v>
      </c>
      <c r="E72">
        <v>0</v>
      </c>
      <c r="F72">
        <f>F71*1.05</f>
        <v>3.0403799999999999</v>
      </c>
    </row>
    <row r="73" spans="1:6" x14ac:dyDescent="0.25">
      <c r="A73" s="39">
        <v>1</v>
      </c>
      <c r="B73" t="s">
        <v>287</v>
      </c>
      <c r="C73" t="s">
        <v>311</v>
      </c>
      <c r="D73" s="39">
        <v>21.335999999999999</v>
      </c>
      <c r="E73">
        <v>0</v>
      </c>
      <c r="F73">
        <v>0</v>
      </c>
    </row>
    <row r="74" spans="1:6" x14ac:dyDescent="0.25">
      <c r="A74" s="39">
        <v>1</v>
      </c>
      <c r="B74" t="s">
        <v>287</v>
      </c>
      <c r="C74" t="s">
        <v>311</v>
      </c>
      <c r="D74" s="39">
        <f>D73</f>
        <v>21.335999999999999</v>
      </c>
      <c r="E74">
        <v>50.775292110554503</v>
      </c>
      <c r="F74">
        <v>2.6545793999999995E-3</v>
      </c>
    </row>
    <row r="75" spans="1:6" x14ac:dyDescent="0.25">
      <c r="A75" s="39">
        <v>1</v>
      </c>
      <c r="B75" t="s">
        <v>287</v>
      </c>
      <c r="C75" t="s">
        <v>311</v>
      </c>
      <c r="D75" s="39">
        <f>D74</f>
        <v>21.335999999999999</v>
      </c>
      <c r="E75">
        <v>72.851506071665142</v>
      </c>
      <c r="F75">
        <v>7.9637381999999972E-3</v>
      </c>
    </row>
    <row r="76" spans="1:6" x14ac:dyDescent="0.25">
      <c r="A76" s="39">
        <v>1</v>
      </c>
      <c r="B76" t="s">
        <v>287</v>
      </c>
      <c r="C76" t="s">
        <v>311</v>
      </c>
      <c r="D76" s="39">
        <f t="shared" ref="D76:D79" si="9">D75</f>
        <v>21.335999999999999</v>
      </c>
      <c r="E76">
        <v>110.38106980555325</v>
      </c>
      <c r="F76">
        <v>2.6545793999999994E-2</v>
      </c>
    </row>
    <row r="77" spans="1:6" x14ac:dyDescent="0.25">
      <c r="A77" s="39">
        <v>1</v>
      </c>
      <c r="B77" t="s">
        <v>287</v>
      </c>
      <c r="C77" t="s">
        <v>311</v>
      </c>
      <c r="D77" s="39">
        <f t="shared" si="9"/>
        <v>21.335999999999999</v>
      </c>
      <c r="E77">
        <v>158.94874051999668</v>
      </c>
      <c r="F77">
        <v>7.9637381999999979E-2</v>
      </c>
    </row>
    <row r="78" spans="1:6" x14ac:dyDescent="0.25">
      <c r="A78" s="39">
        <v>1</v>
      </c>
      <c r="B78" t="s">
        <v>287</v>
      </c>
      <c r="C78" t="s">
        <v>311</v>
      </c>
      <c r="D78" s="39">
        <f t="shared" si="9"/>
        <v>21.335999999999999</v>
      </c>
      <c r="E78">
        <v>158.94874051999668</v>
      </c>
      <c r="F78">
        <v>2.8956</v>
      </c>
    </row>
    <row r="79" spans="1:6" x14ac:dyDescent="0.25">
      <c r="A79" s="39">
        <v>1</v>
      </c>
      <c r="B79" t="s">
        <v>287</v>
      </c>
      <c r="C79" t="s">
        <v>311</v>
      </c>
      <c r="D79" s="39">
        <f t="shared" si="9"/>
        <v>21.335999999999999</v>
      </c>
      <c r="E79">
        <v>0</v>
      </c>
      <c r="F79">
        <f>F78*1.05</f>
        <v>3.0403799999999999</v>
      </c>
    </row>
    <row r="80" spans="1:6" x14ac:dyDescent="0.25">
      <c r="A80" s="39">
        <v>1</v>
      </c>
      <c r="B80" t="s">
        <v>287</v>
      </c>
      <c r="C80" t="s">
        <v>311</v>
      </c>
      <c r="D80">
        <v>28.956</v>
      </c>
      <c r="E80">
        <v>0</v>
      </c>
      <c r="F80">
        <v>0</v>
      </c>
    </row>
    <row r="81" spans="1:6" x14ac:dyDescent="0.25">
      <c r="A81" s="39">
        <v>1</v>
      </c>
      <c r="B81" t="s">
        <v>287</v>
      </c>
      <c r="C81" t="s">
        <v>311</v>
      </c>
      <c r="D81" s="39">
        <f>D80</f>
        <v>28.956</v>
      </c>
      <c r="E81">
        <v>68.153740303910581</v>
      </c>
      <c r="F81">
        <v>3.3785556000000003E-3</v>
      </c>
    </row>
    <row r="82" spans="1:6" x14ac:dyDescent="0.25">
      <c r="A82" s="39">
        <v>1</v>
      </c>
      <c r="B82" t="s">
        <v>287</v>
      </c>
      <c r="C82" t="s">
        <v>311</v>
      </c>
      <c r="D82" s="39">
        <f>D81</f>
        <v>28.956</v>
      </c>
      <c r="E82">
        <v>97.785801305610818</v>
      </c>
      <c r="F82">
        <v>1.01356668E-2</v>
      </c>
    </row>
    <row r="83" spans="1:6" x14ac:dyDescent="0.25">
      <c r="A83" s="39">
        <v>1</v>
      </c>
      <c r="B83" t="s">
        <v>287</v>
      </c>
      <c r="C83" t="s">
        <v>311</v>
      </c>
      <c r="D83" s="39">
        <f t="shared" ref="D83:D86" si="10">D82</f>
        <v>28.956</v>
      </c>
      <c r="E83">
        <v>148.16030500850124</v>
      </c>
      <c r="F83">
        <v>3.3785556000000001E-2</v>
      </c>
    </row>
    <row r="84" spans="1:6" x14ac:dyDescent="0.25">
      <c r="A84" s="39">
        <v>1</v>
      </c>
      <c r="B84" t="s">
        <v>287</v>
      </c>
      <c r="C84" t="s">
        <v>311</v>
      </c>
      <c r="D84" s="39">
        <f t="shared" si="10"/>
        <v>28.956</v>
      </c>
      <c r="E84">
        <v>213.35083921224174</v>
      </c>
      <c r="F84">
        <v>0.101356668</v>
      </c>
    </row>
    <row r="85" spans="1:6" x14ac:dyDescent="0.25">
      <c r="A85" s="39">
        <v>1</v>
      </c>
      <c r="B85" t="s">
        <v>287</v>
      </c>
      <c r="C85" t="s">
        <v>311</v>
      </c>
      <c r="D85" s="39">
        <f t="shared" si="10"/>
        <v>28.956</v>
      </c>
      <c r="E85">
        <v>213.35083921224174</v>
      </c>
      <c r="F85">
        <v>2.8956</v>
      </c>
    </row>
    <row r="86" spans="1:6" x14ac:dyDescent="0.25">
      <c r="A86" s="39">
        <v>1</v>
      </c>
      <c r="B86" t="s">
        <v>287</v>
      </c>
      <c r="C86" t="s">
        <v>311</v>
      </c>
      <c r="D86" s="39">
        <f t="shared" si="10"/>
        <v>28.956</v>
      </c>
      <c r="E86">
        <v>0</v>
      </c>
      <c r="F86">
        <f>F85*1.05</f>
        <v>3.0403799999999999</v>
      </c>
    </row>
    <row r="87" spans="1:6" x14ac:dyDescent="0.25">
      <c r="A87" s="39">
        <v>1</v>
      </c>
      <c r="B87" t="s">
        <v>287</v>
      </c>
      <c r="C87" t="s">
        <v>311</v>
      </c>
      <c r="D87" s="121">
        <v>28.981399999999997</v>
      </c>
      <c r="E87">
        <v>0</v>
      </c>
      <c r="F87">
        <v>0</v>
      </c>
    </row>
    <row r="88" spans="1:6" x14ac:dyDescent="0.25">
      <c r="A88" s="39">
        <v>1</v>
      </c>
      <c r="B88" t="s">
        <v>287</v>
      </c>
      <c r="C88" t="s">
        <v>311</v>
      </c>
      <c r="D88" s="121">
        <f>D87</f>
        <v>28.981399999999997</v>
      </c>
      <c r="E88">
        <v>68.848878231644832</v>
      </c>
      <c r="F88">
        <v>3.3785556000000003E-3</v>
      </c>
    </row>
    <row r="89" spans="1:6" x14ac:dyDescent="0.25">
      <c r="A89" s="39">
        <v>1</v>
      </c>
      <c r="B89" t="s">
        <v>287</v>
      </c>
      <c r="C89" t="s">
        <v>311</v>
      </c>
      <c r="D89" s="39">
        <f>D88</f>
        <v>28.981399999999997</v>
      </c>
      <c r="E89">
        <v>98.783173114968676</v>
      </c>
      <c r="F89">
        <v>1.01356668E-2</v>
      </c>
    </row>
    <row r="90" spans="1:6" x14ac:dyDescent="0.25">
      <c r="A90" s="39">
        <v>1</v>
      </c>
      <c r="B90" t="s">
        <v>287</v>
      </c>
      <c r="C90" t="s">
        <v>311</v>
      </c>
      <c r="D90" s="39">
        <f t="shared" ref="D90:D93" si="11">D89</f>
        <v>28.981399999999997</v>
      </c>
      <c r="E90">
        <v>149.67147441661919</v>
      </c>
      <c r="F90">
        <v>3.3785556000000001E-2</v>
      </c>
    </row>
    <row r="91" spans="1:6" x14ac:dyDescent="0.25">
      <c r="A91" s="39">
        <v>1</v>
      </c>
      <c r="B91" t="s">
        <v>287</v>
      </c>
      <c r="C91" t="s">
        <v>311</v>
      </c>
      <c r="D91" s="39">
        <f t="shared" si="11"/>
        <v>28.981399999999997</v>
      </c>
      <c r="E91">
        <v>215.52692315993164</v>
      </c>
      <c r="F91">
        <v>0.101356668</v>
      </c>
    </row>
    <row r="92" spans="1:6" x14ac:dyDescent="0.25">
      <c r="A92" s="39">
        <v>1</v>
      </c>
      <c r="B92" t="s">
        <v>287</v>
      </c>
      <c r="C92" t="s">
        <v>311</v>
      </c>
      <c r="D92" s="39">
        <f t="shared" si="11"/>
        <v>28.981399999999997</v>
      </c>
      <c r="E92">
        <v>215.52692315993164</v>
      </c>
      <c r="F92">
        <v>2.8956</v>
      </c>
    </row>
    <row r="93" spans="1:6" x14ac:dyDescent="0.25">
      <c r="A93" s="39">
        <v>1</v>
      </c>
      <c r="B93" t="s">
        <v>287</v>
      </c>
      <c r="C93" t="s">
        <v>311</v>
      </c>
      <c r="D93" s="39">
        <f t="shared" si="11"/>
        <v>28.981399999999997</v>
      </c>
      <c r="E93">
        <v>0</v>
      </c>
      <c r="F93">
        <f>F92*1.05</f>
        <v>3.0403799999999999</v>
      </c>
    </row>
    <row r="94" spans="1:6" x14ac:dyDescent="0.25">
      <c r="A94" s="39">
        <v>2</v>
      </c>
      <c r="B94" t="s">
        <v>287</v>
      </c>
      <c r="C94" t="s">
        <v>311</v>
      </c>
      <c r="D94" s="39">
        <v>0</v>
      </c>
      <c r="E94" s="39">
        <f>E3*38/36</f>
        <v>0</v>
      </c>
      <c r="F94" s="39">
        <v>0</v>
      </c>
    </row>
    <row r="95" spans="1:6" x14ac:dyDescent="0.25">
      <c r="A95" s="39">
        <v>2</v>
      </c>
      <c r="B95" t="s">
        <v>287</v>
      </c>
      <c r="C95" t="s">
        <v>311</v>
      </c>
      <c r="D95" s="39">
        <f>D94</f>
        <v>0</v>
      </c>
      <c r="E95" s="39">
        <v>1.5951232640551181</v>
      </c>
      <c r="F95">
        <v>4.8265079999999993E-3</v>
      </c>
    </row>
    <row r="96" spans="1:6" x14ac:dyDescent="0.25">
      <c r="A96" s="39">
        <v>2</v>
      </c>
      <c r="B96" t="s">
        <v>287</v>
      </c>
      <c r="C96" t="s">
        <v>311</v>
      </c>
      <c r="D96" s="39">
        <f>D95</f>
        <v>0</v>
      </c>
      <c r="E96" s="39">
        <v>2.2886551179921262</v>
      </c>
      <c r="F96">
        <v>1.4479523999999997E-2</v>
      </c>
    </row>
    <row r="97" spans="1:6" x14ac:dyDescent="0.25">
      <c r="A97" s="39">
        <v>2</v>
      </c>
      <c r="B97" t="s">
        <v>287</v>
      </c>
      <c r="C97" t="s">
        <v>311</v>
      </c>
      <c r="D97" s="39">
        <f t="shared" ref="D97:D100" si="12">D96</f>
        <v>0</v>
      </c>
      <c r="E97" s="39">
        <v>3.4676592696850399</v>
      </c>
      <c r="F97">
        <v>4.8265079999999995E-2</v>
      </c>
    </row>
    <row r="98" spans="1:6" x14ac:dyDescent="0.25">
      <c r="A98" s="39">
        <v>2</v>
      </c>
      <c r="B98" t="s">
        <v>287</v>
      </c>
      <c r="C98" t="s">
        <v>311</v>
      </c>
      <c r="D98" s="39">
        <f t="shared" si="12"/>
        <v>0</v>
      </c>
      <c r="E98" s="39">
        <v>4.9934293483464565</v>
      </c>
      <c r="F98">
        <v>0.14479523999999999</v>
      </c>
    </row>
    <row r="99" spans="1:6" x14ac:dyDescent="0.25">
      <c r="A99" s="39">
        <v>2</v>
      </c>
      <c r="B99" t="s">
        <v>287</v>
      </c>
      <c r="C99" t="s">
        <v>311</v>
      </c>
      <c r="D99" s="39">
        <f t="shared" si="12"/>
        <v>0</v>
      </c>
      <c r="E99" s="39">
        <v>0</v>
      </c>
      <c r="F99">
        <v>0.38612063999999996</v>
      </c>
    </row>
    <row r="100" spans="1:6" x14ac:dyDescent="0.25">
      <c r="A100" s="39">
        <v>2</v>
      </c>
      <c r="B100" t="s">
        <v>287</v>
      </c>
      <c r="C100" t="s">
        <v>311</v>
      </c>
      <c r="D100" s="39">
        <f t="shared" si="12"/>
        <v>0</v>
      </c>
      <c r="E100" s="39">
        <v>0</v>
      </c>
      <c r="F100">
        <v>2.8956</v>
      </c>
    </row>
    <row r="101" spans="1:6" x14ac:dyDescent="0.25">
      <c r="A101" s="39">
        <v>2</v>
      </c>
      <c r="B101" t="s">
        <v>287</v>
      </c>
      <c r="C101" t="s">
        <v>311</v>
      </c>
      <c r="D101" s="121">
        <v>0.91439999999999999</v>
      </c>
      <c r="E101" s="39">
        <v>0</v>
      </c>
      <c r="F101">
        <v>0</v>
      </c>
    </row>
    <row r="102" spans="1:6" x14ac:dyDescent="0.25">
      <c r="A102" s="39">
        <v>2</v>
      </c>
      <c r="B102" t="s">
        <v>287</v>
      </c>
      <c r="C102" t="s">
        <v>311</v>
      </c>
      <c r="D102" s="39">
        <f>D101</f>
        <v>0.91439999999999999</v>
      </c>
      <c r="E102" s="39">
        <v>3.4017714644916586</v>
      </c>
      <c r="F102">
        <v>4.8265079999999993E-3</v>
      </c>
    </row>
    <row r="103" spans="1:6" x14ac:dyDescent="0.25">
      <c r="A103" s="39">
        <v>2</v>
      </c>
      <c r="B103" t="s">
        <v>287</v>
      </c>
      <c r="C103" t="s">
        <v>311</v>
      </c>
      <c r="D103" s="39">
        <f>D102</f>
        <v>0.91439999999999999</v>
      </c>
      <c r="E103" s="39">
        <v>4.8808025360097709</v>
      </c>
      <c r="F103">
        <v>1.4479523999999997E-2</v>
      </c>
    </row>
    <row r="104" spans="1:6" x14ac:dyDescent="0.25">
      <c r="A104" s="39">
        <v>2</v>
      </c>
      <c r="B104" t="s">
        <v>287</v>
      </c>
      <c r="C104" t="s">
        <v>311</v>
      </c>
      <c r="D104" s="39">
        <f t="shared" ref="D104:D114" si="13">D103</f>
        <v>0.91439999999999999</v>
      </c>
      <c r="E104" s="39">
        <v>7.3951553575905633</v>
      </c>
      <c r="F104">
        <v>4.8265079999999995E-2</v>
      </c>
    </row>
    <row r="105" spans="1:6" x14ac:dyDescent="0.25">
      <c r="A105" s="39">
        <v>2</v>
      </c>
      <c r="B105" t="s">
        <v>287</v>
      </c>
      <c r="C105" t="s">
        <v>311</v>
      </c>
      <c r="D105" s="39">
        <f t="shared" si="13"/>
        <v>0.91439999999999999</v>
      </c>
      <c r="E105" s="39">
        <v>10.64902371493041</v>
      </c>
      <c r="F105">
        <v>0.14479523999999999</v>
      </c>
    </row>
    <row r="106" spans="1:6" x14ac:dyDescent="0.25">
      <c r="A106" s="39">
        <v>2</v>
      </c>
      <c r="B106" t="s">
        <v>287</v>
      </c>
      <c r="C106" t="s">
        <v>311</v>
      </c>
      <c r="D106" s="39">
        <f t="shared" si="13"/>
        <v>0.91439999999999999</v>
      </c>
      <c r="E106" s="39">
        <v>1.4790310715181123</v>
      </c>
      <c r="F106">
        <v>0.38612063999999996</v>
      </c>
    </row>
    <row r="107" spans="1:6" x14ac:dyDescent="0.25">
      <c r="A107" s="39">
        <v>2</v>
      </c>
      <c r="B107" t="s">
        <v>287</v>
      </c>
      <c r="C107" t="s">
        <v>311</v>
      </c>
      <c r="D107" s="39">
        <f t="shared" si="13"/>
        <v>0.91439999999999999</v>
      </c>
      <c r="E107" s="39">
        <v>1.4790310715181123</v>
      </c>
      <c r="F107">
        <v>2.8956</v>
      </c>
    </row>
    <row r="108" spans="1:6" x14ac:dyDescent="0.25">
      <c r="A108" s="39">
        <v>2</v>
      </c>
      <c r="B108" t="s">
        <v>287</v>
      </c>
      <c r="C108" t="s">
        <v>311</v>
      </c>
      <c r="D108">
        <v>1.8288</v>
      </c>
      <c r="E108" s="39">
        <v>0</v>
      </c>
      <c r="F108">
        <v>0</v>
      </c>
    </row>
    <row r="109" spans="1:6" x14ac:dyDescent="0.25">
      <c r="A109" s="39">
        <v>2</v>
      </c>
      <c r="B109" t="s">
        <v>287</v>
      </c>
      <c r="C109" t="s">
        <v>311</v>
      </c>
      <c r="D109" s="39">
        <f>D108</f>
        <v>1.8288</v>
      </c>
      <c r="E109" s="39">
        <v>5.4559390624174551</v>
      </c>
      <c r="F109">
        <v>4.8265079999999993E-3</v>
      </c>
    </row>
    <row r="110" spans="1:6" x14ac:dyDescent="0.25">
      <c r="A110" s="39">
        <v>2</v>
      </c>
      <c r="B110" t="s">
        <v>287</v>
      </c>
      <c r="C110" t="s">
        <v>311</v>
      </c>
      <c r="D110" s="39">
        <f>D109</f>
        <v>1.8288</v>
      </c>
      <c r="E110" s="39">
        <v>7.8280864808598283</v>
      </c>
      <c r="F110">
        <v>1.4479523999999997E-2</v>
      </c>
    </row>
    <row r="111" spans="1:6" x14ac:dyDescent="0.25">
      <c r="A111" s="39">
        <v>2</v>
      </c>
      <c r="B111" t="s">
        <v>287</v>
      </c>
      <c r="C111" t="s">
        <v>311</v>
      </c>
      <c r="D111" s="39">
        <f t="shared" si="13"/>
        <v>1.8288</v>
      </c>
      <c r="E111" s="39">
        <v>11.860737092211862</v>
      </c>
      <c r="F111">
        <v>4.8265079999999995E-2</v>
      </c>
    </row>
    <row r="112" spans="1:6" x14ac:dyDescent="0.25">
      <c r="A112" s="39">
        <v>2</v>
      </c>
      <c r="B112" t="s">
        <v>287</v>
      </c>
      <c r="C112" t="s">
        <v>311</v>
      </c>
      <c r="D112" s="39">
        <f t="shared" si="13"/>
        <v>1.8288</v>
      </c>
      <c r="E112" s="39">
        <v>17.079461412785079</v>
      </c>
      <c r="F112">
        <v>0.14479523999999999</v>
      </c>
    </row>
    <row r="113" spans="1:6" x14ac:dyDescent="0.25">
      <c r="A113" s="39">
        <v>2</v>
      </c>
      <c r="B113" t="s">
        <v>287</v>
      </c>
      <c r="C113" t="s">
        <v>311</v>
      </c>
      <c r="D113" s="39">
        <f t="shared" si="13"/>
        <v>1.8288</v>
      </c>
      <c r="E113" s="39">
        <v>4.9815095787289803</v>
      </c>
      <c r="F113">
        <v>0.38612063999999996</v>
      </c>
    </row>
    <row r="114" spans="1:6" x14ac:dyDescent="0.25">
      <c r="A114" s="39">
        <v>2</v>
      </c>
      <c r="B114" t="s">
        <v>287</v>
      </c>
      <c r="C114" t="s">
        <v>311</v>
      </c>
      <c r="D114" s="39">
        <f t="shared" si="13"/>
        <v>1.8288</v>
      </c>
      <c r="E114" s="39">
        <v>4.9815095787289803</v>
      </c>
      <c r="F114">
        <v>2.8956</v>
      </c>
    </row>
    <row r="115" spans="1:6" x14ac:dyDescent="0.25">
      <c r="A115" s="39">
        <v>2</v>
      </c>
      <c r="B115" t="s">
        <v>287</v>
      </c>
      <c r="C115" t="s">
        <v>311</v>
      </c>
      <c r="D115">
        <v>2.7431999999999999</v>
      </c>
      <c r="E115" s="39">
        <v>0</v>
      </c>
      <c r="F115">
        <v>0</v>
      </c>
    </row>
    <row r="116" spans="1:6" x14ac:dyDescent="0.25">
      <c r="A116" s="39">
        <v>2</v>
      </c>
      <c r="B116" t="s">
        <v>287</v>
      </c>
      <c r="C116" t="s">
        <v>311</v>
      </c>
      <c r="D116" s="39">
        <f>D115</f>
        <v>2.7431999999999999</v>
      </c>
      <c r="E116" s="39">
        <v>7.7576260578325069</v>
      </c>
      <c r="F116">
        <v>4.8265079999999993E-3</v>
      </c>
    </row>
    <row r="117" spans="1:6" x14ac:dyDescent="0.25">
      <c r="A117" s="39">
        <v>2</v>
      </c>
      <c r="B117" t="s">
        <v>287</v>
      </c>
      <c r="C117" t="s">
        <v>311</v>
      </c>
      <c r="D117" s="39">
        <f>D116</f>
        <v>2.7431999999999999</v>
      </c>
      <c r="E117" s="39">
        <v>11.130506952542293</v>
      </c>
      <c r="F117">
        <v>1.4479523999999997E-2</v>
      </c>
    </row>
    <row r="118" spans="1:6" x14ac:dyDescent="0.25">
      <c r="A118" s="39">
        <v>2</v>
      </c>
      <c r="B118" t="s">
        <v>287</v>
      </c>
      <c r="C118" t="s">
        <v>311</v>
      </c>
      <c r="D118" s="39">
        <f t="shared" ref="D118:D121" si="14">D117</f>
        <v>2.7431999999999999</v>
      </c>
      <c r="E118" s="39">
        <v>16.86440447354893</v>
      </c>
      <c r="F118">
        <v>4.8265079999999995E-2</v>
      </c>
    </row>
    <row r="119" spans="1:6" x14ac:dyDescent="0.25">
      <c r="A119" s="39">
        <v>2</v>
      </c>
      <c r="B119" t="s">
        <v>287</v>
      </c>
      <c r="C119" t="s">
        <v>311</v>
      </c>
      <c r="D119" s="39">
        <f t="shared" si="14"/>
        <v>2.7431999999999999</v>
      </c>
      <c r="E119" s="39">
        <v>24.284742441910456</v>
      </c>
      <c r="F119">
        <v>0.14479523999999999</v>
      </c>
    </row>
    <row r="120" spans="1:6" x14ac:dyDescent="0.25">
      <c r="A120" s="39">
        <v>2</v>
      </c>
      <c r="B120" t="s">
        <v>287</v>
      </c>
      <c r="C120" t="s">
        <v>311</v>
      </c>
      <c r="D120" s="39">
        <f t="shared" si="14"/>
        <v>2.7431999999999999</v>
      </c>
      <c r="E120" s="39">
        <v>10.455930773600334</v>
      </c>
      <c r="F120">
        <v>0.38612063999999996</v>
      </c>
    </row>
    <row r="121" spans="1:6" x14ac:dyDescent="0.25">
      <c r="A121" s="39">
        <v>2</v>
      </c>
      <c r="B121" t="s">
        <v>287</v>
      </c>
      <c r="C121" t="s">
        <v>311</v>
      </c>
      <c r="D121" s="39">
        <f t="shared" si="14"/>
        <v>2.7431999999999999</v>
      </c>
      <c r="E121" s="39">
        <v>10.455930773600334</v>
      </c>
      <c r="F121">
        <v>2.8956</v>
      </c>
    </row>
    <row r="122" spans="1:6" x14ac:dyDescent="0.25">
      <c r="A122" s="39">
        <v>2</v>
      </c>
      <c r="B122" t="s">
        <v>287</v>
      </c>
      <c r="C122" t="s">
        <v>311</v>
      </c>
      <c r="D122">
        <v>3.6576</v>
      </c>
      <c r="E122" s="39">
        <v>0</v>
      </c>
      <c r="F122">
        <v>0</v>
      </c>
    </row>
    <row r="123" spans="1:6" x14ac:dyDescent="0.25">
      <c r="A123" s="39">
        <v>2</v>
      </c>
      <c r="B123" t="s">
        <v>287</v>
      </c>
      <c r="C123" t="s">
        <v>311</v>
      </c>
      <c r="D123" s="39">
        <f>D122</f>
        <v>3.6576</v>
      </c>
      <c r="E123" s="39">
        <v>10.306832450736815</v>
      </c>
      <c r="F123">
        <v>4.8265079999999993E-3</v>
      </c>
    </row>
    <row r="124" spans="1:6" x14ac:dyDescent="0.25">
      <c r="A124" s="39">
        <v>2</v>
      </c>
      <c r="B124" t="s">
        <v>287</v>
      </c>
      <c r="C124" t="s">
        <v>311</v>
      </c>
      <c r="D124" s="39">
        <f>D123</f>
        <v>3.6576</v>
      </c>
      <c r="E124" s="39">
        <v>14.788063951057175</v>
      </c>
      <c r="F124">
        <v>1.4479523999999997E-2</v>
      </c>
    </row>
    <row r="125" spans="1:6" x14ac:dyDescent="0.25">
      <c r="A125" s="39">
        <v>2</v>
      </c>
      <c r="B125" t="s">
        <v>287</v>
      </c>
      <c r="C125" t="s">
        <v>311</v>
      </c>
      <c r="D125" s="39">
        <f t="shared" ref="D125:D128" si="15">D124</f>
        <v>3.6576</v>
      </c>
      <c r="E125" s="39">
        <v>22.406157501601772</v>
      </c>
      <c r="F125">
        <v>4.8265079999999995E-2</v>
      </c>
    </row>
    <row r="126" spans="1:6" x14ac:dyDescent="0.25">
      <c r="A126" s="39">
        <v>2</v>
      </c>
      <c r="B126" t="s">
        <v>287</v>
      </c>
      <c r="C126" t="s">
        <v>311</v>
      </c>
      <c r="D126" s="39">
        <f t="shared" si="15"/>
        <v>3.6576</v>
      </c>
      <c r="E126" s="39">
        <v>32.264866802306557</v>
      </c>
      <c r="F126">
        <v>0.14479523999999999</v>
      </c>
    </row>
    <row r="127" spans="1:6" x14ac:dyDescent="0.25">
      <c r="A127" s="39">
        <v>2</v>
      </c>
      <c r="B127" t="s">
        <v>287</v>
      </c>
      <c r="C127" t="s">
        <v>311</v>
      </c>
      <c r="D127" s="39">
        <f t="shared" si="15"/>
        <v>3.6576</v>
      </c>
      <c r="E127" s="39">
        <v>18.37304915131346</v>
      </c>
      <c r="F127">
        <v>0.38612063999999996</v>
      </c>
    </row>
    <row r="128" spans="1:6" x14ac:dyDescent="0.25">
      <c r="A128" s="39">
        <v>2</v>
      </c>
      <c r="B128" t="s">
        <v>287</v>
      </c>
      <c r="C128" t="s">
        <v>311</v>
      </c>
      <c r="D128" s="39">
        <f t="shared" si="15"/>
        <v>3.6576</v>
      </c>
      <c r="E128" s="39">
        <v>18.37304915131346</v>
      </c>
      <c r="F128">
        <v>2.8956</v>
      </c>
    </row>
    <row r="129" spans="1:6" x14ac:dyDescent="0.25">
      <c r="A129" s="39">
        <v>2</v>
      </c>
      <c r="B129" t="s">
        <v>287</v>
      </c>
      <c r="C129" t="s">
        <v>311</v>
      </c>
      <c r="D129">
        <v>4.5720000000000001</v>
      </c>
      <c r="E129" s="39">
        <v>0</v>
      </c>
      <c r="F129">
        <v>0</v>
      </c>
    </row>
    <row r="130" spans="1:6" x14ac:dyDescent="0.25">
      <c r="A130" s="39">
        <v>2</v>
      </c>
      <c r="B130" t="s">
        <v>287</v>
      </c>
      <c r="C130" t="s">
        <v>311</v>
      </c>
      <c r="D130" s="39">
        <f>D129</f>
        <v>4.5720000000000001</v>
      </c>
      <c r="E130" s="39">
        <v>13.103558241130383</v>
      </c>
      <c r="F130">
        <v>4.8265079999999993E-3</v>
      </c>
    </row>
    <row r="131" spans="1:6" x14ac:dyDescent="0.25">
      <c r="A131" s="39">
        <v>2</v>
      </c>
      <c r="B131" t="s">
        <v>287</v>
      </c>
      <c r="C131" t="s">
        <v>311</v>
      </c>
      <c r="D131" s="39">
        <f>D130</f>
        <v>4.5720000000000001</v>
      </c>
      <c r="E131" s="39">
        <v>18.800757476404456</v>
      </c>
      <c r="F131">
        <v>1.4479523999999997E-2</v>
      </c>
    </row>
    <row r="132" spans="1:6" x14ac:dyDescent="0.25">
      <c r="A132" s="39">
        <v>2</v>
      </c>
      <c r="B132" t="s">
        <v>287</v>
      </c>
      <c r="C132" t="s">
        <v>311</v>
      </c>
      <c r="D132" s="39">
        <f t="shared" ref="D132:D135" si="16">D131</f>
        <v>4.5720000000000001</v>
      </c>
      <c r="E132" s="39">
        <v>28.485996176370392</v>
      </c>
      <c r="F132">
        <v>4.8265079999999995E-2</v>
      </c>
    </row>
    <row r="133" spans="1:6" x14ac:dyDescent="0.25">
      <c r="A133" s="39">
        <v>2</v>
      </c>
      <c r="B133" t="s">
        <v>287</v>
      </c>
      <c r="C133" t="s">
        <v>311</v>
      </c>
      <c r="D133" s="39">
        <f t="shared" si="16"/>
        <v>4.5720000000000001</v>
      </c>
      <c r="E133" s="39">
        <v>41.01983449397337</v>
      </c>
      <c r="F133">
        <v>0.14479523999999999</v>
      </c>
    </row>
    <row r="134" spans="1:6" x14ac:dyDescent="0.25">
      <c r="A134" s="39">
        <v>2</v>
      </c>
      <c r="B134" t="s">
        <v>287</v>
      </c>
      <c r="C134" t="s">
        <v>311</v>
      </c>
      <c r="D134" s="39">
        <f t="shared" si="16"/>
        <v>4.5720000000000001</v>
      </c>
      <c r="E134" s="39">
        <v>29.055716099897797</v>
      </c>
      <c r="F134">
        <v>0.38612063999999996</v>
      </c>
    </row>
    <row r="135" spans="1:6" x14ac:dyDescent="0.25">
      <c r="A135" s="39">
        <v>2</v>
      </c>
      <c r="B135" t="s">
        <v>287</v>
      </c>
      <c r="C135" t="s">
        <v>311</v>
      </c>
      <c r="D135" s="39">
        <f t="shared" si="16"/>
        <v>4.5720000000000001</v>
      </c>
      <c r="E135" s="39">
        <v>29.055716099897797</v>
      </c>
      <c r="F135">
        <v>2.8956</v>
      </c>
    </row>
    <row r="136" spans="1:6" x14ac:dyDescent="0.25">
      <c r="A136" s="39">
        <v>2</v>
      </c>
      <c r="B136" t="s">
        <v>287</v>
      </c>
      <c r="C136" t="s">
        <v>311</v>
      </c>
      <c r="D136" s="39">
        <v>5.4863999999999997</v>
      </c>
      <c r="E136" s="39">
        <v>0</v>
      </c>
      <c r="F136">
        <v>0</v>
      </c>
    </row>
    <row r="137" spans="1:6" x14ac:dyDescent="0.25">
      <c r="A137" s="39">
        <v>2</v>
      </c>
      <c r="B137" t="s">
        <v>287</v>
      </c>
      <c r="C137" t="s">
        <v>311</v>
      </c>
      <c r="D137" s="39">
        <f>D136</f>
        <v>5.4863999999999997</v>
      </c>
      <c r="E137" s="39">
        <v>16.147803429013202</v>
      </c>
      <c r="F137">
        <v>4.8265079999999993E-3</v>
      </c>
    </row>
    <row r="138" spans="1:6" x14ac:dyDescent="0.25">
      <c r="A138" s="39">
        <v>2</v>
      </c>
      <c r="B138" t="s">
        <v>287</v>
      </c>
      <c r="C138" t="s">
        <v>311</v>
      </c>
      <c r="D138" s="39">
        <f>D137</f>
        <v>5.4863999999999997</v>
      </c>
      <c r="E138" s="39">
        <v>23.168587528584155</v>
      </c>
      <c r="F138">
        <v>1.4479523999999997E-2</v>
      </c>
    </row>
    <row r="139" spans="1:6" x14ac:dyDescent="0.25">
      <c r="A139" s="39">
        <v>2</v>
      </c>
      <c r="B139" t="s">
        <v>287</v>
      </c>
      <c r="C139" t="s">
        <v>311</v>
      </c>
      <c r="D139" s="39">
        <f t="shared" ref="D139:D142" si="17">D138</f>
        <v>5.4863999999999997</v>
      </c>
      <c r="E139" s="39">
        <v>35.103920497854787</v>
      </c>
      <c r="F139">
        <v>4.8265079999999995E-2</v>
      </c>
    </row>
    <row r="140" spans="1:6" x14ac:dyDescent="0.25">
      <c r="A140" s="39">
        <v>2</v>
      </c>
      <c r="B140" t="s">
        <v>287</v>
      </c>
      <c r="C140" t="s">
        <v>311</v>
      </c>
      <c r="D140" s="39">
        <f t="shared" si="17"/>
        <v>5.4863999999999997</v>
      </c>
      <c r="E140" s="39">
        <v>50.549645516910893</v>
      </c>
      <c r="F140">
        <v>0.14479523999999999</v>
      </c>
    </row>
    <row r="141" spans="1:6" x14ac:dyDescent="0.25">
      <c r="A141" s="39">
        <v>2</v>
      </c>
      <c r="B141" t="s">
        <v>287</v>
      </c>
      <c r="C141" t="s">
        <v>311</v>
      </c>
      <c r="D141" s="39">
        <f t="shared" si="17"/>
        <v>5.4863999999999997</v>
      </c>
      <c r="E141" s="39">
        <v>43.52886141733994</v>
      </c>
      <c r="F141">
        <v>0.38612063999999996</v>
      </c>
    </row>
    <row r="142" spans="1:6" x14ac:dyDescent="0.25">
      <c r="A142" s="39">
        <v>2</v>
      </c>
      <c r="B142" t="s">
        <v>287</v>
      </c>
      <c r="C142" t="s">
        <v>311</v>
      </c>
      <c r="D142" s="39">
        <f t="shared" si="17"/>
        <v>5.4863999999999997</v>
      </c>
      <c r="E142" s="39">
        <v>43.52886141733994</v>
      </c>
      <c r="F142">
        <v>2.8956</v>
      </c>
    </row>
    <row r="143" spans="1:6" x14ac:dyDescent="0.25">
      <c r="A143" s="39">
        <v>2</v>
      </c>
      <c r="B143" t="s">
        <v>287</v>
      </c>
      <c r="C143" t="s">
        <v>311</v>
      </c>
      <c r="D143">
        <v>6.4007999999999994</v>
      </c>
      <c r="E143" s="39">
        <v>0</v>
      </c>
      <c r="F143">
        <v>0</v>
      </c>
    </row>
    <row r="144" spans="1:6" x14ac:dyDescent="0.25">
      <c r="A144" s="39">
        <v>2</v>
      </c>
      <c r="B144" t="s">
        <v>287</v>
      </c>
      <c r="C144" t="s">
        <v>311</v>
      </c>
      <c r="D144" s="39">
        <f>D143</f>
        <v>6.4007999999999994</v>
      </c>
      <c r="E144" s="39">
        <v>19.428601356765583</v>
      </c>
      <c r="F144">
        <v>4.8265079999999993E-3</v>
      </c>
    </row>
    <row r="145" spans="1:6" x14ac:dyDescent="0.25">
      <c r="A145" s="39">
        <v>2</v>
      </c>
      <c r="B145" t="s">
        <v>287</v>
      </c>
      <c r="C145" t="s">
        <v>311</v>
      </c>
      <c r="D145" s="39">
        <f>D144</f>
        <v>6.4007999999999994</v>
      </c>
      <c r="E145" s="39">
        <v>27.875819337968014</v>
      </c>
      <c r="F145">
        <v>1.4479523999999997E-2</v>
      </c>
    </row>
    <row r="146" spans="1:6" x14ac:dyDescent="0.25">
      <c r="A146" s="39">
        <v>2</v>
      </c>
      <c r="B146" t="s">
        <v>287</v>
      </c>
      <c r="C146" t="s">
        <v>311</v>
      </c>
      <c r="D146" s="39">
        <f t="shared" ref="D146:D149" si="18">D145</f>
        <v>6.4007999999999994</v>
      </c>
      <c r="E146" s="39">
        <v>42.236089906012133</v>
      </c>
      <c r="F146">
        <v>4.8265079999999995E-2</v>
      </c>
    </row>
    <row r="147" spans="1:6" x14ac:dyDescent="0.25">
      <c r="A147" s="39">
        <v>2</v>
      </c>
      <c r="B147" t="s">
        <v>287</v>
      </c>
      <c r="C147" t="s">
        <v>311</v>
      </c>
      <c r="D147" s="39">
        <f t="shared" si="18"/>
        <v>6.4007999999999994</v>
      </c>
      <c r="E147" s="39">
        <v>60.819969464657483</v>
      </c>
      <c r="F147">
        <v>0.14479523999999999</v>
      </c>
    </row>
    <row r="148" spans="1:6" x14ac:dyDescent="0.25">
      <c r="A148" s="39">
        <v>2</v>
      </c>
      <c r="B148" t="s">
        <v>287</v>
      </c>
      <c r="C148" t="s">
        <v>311</v>
      </c>
      <c r="D148" s="39">
        <f t="shared" si="18"/>
        <v>6.4007999999999994</v>
      </c>
      <c r="E148" s="39">
        <v>60.819969464657483</v>
      </c>
      <c r="F148">
        <v>2.8956</v>
      </c>
    </row>
    <row r="149" spans="1:6" x14ac:dyDescent="0.25">
      <c r="A149" s="39">
        <v>2</v>
      </c>
      <c r="B149" t="s">
        <v>287</v>
      </c>
      <c r="C149" t="s">
        <v>311</v>
      </c>
      <c r="D149" s="39">
        <f t="shared" si="18"/>
        <v>6.4007999999999994</v>
      </c>
      <c r="E149" s="39">
        <v>0</v>
      </c>
      <c r="F149">
        <f>F148*1.05</f>
        <v>3.0403799999999999</v>
      </c>
    </row>
    <row r="150" spans="1:6" x14ac:dyDescent="0.25">
      <c r="A150" s="39">
        <v>2</v>
      </c>
      <c r="B150" t="s">
        <v>287</v>
      </c>
      <c r="C150" t="s">
        <v>311</v>
      </c>
      <c r="D150" s="39">
        <v>12.192</v>
      </c>
      <c r="E150" s="39">
        <v>0</v>
      </c>
      <c r="F150">
        <v>0</v>
      </c>
    </row>
    <row r="151" spans="1:6" x14ac:dyDescent="0.25">
      <c r="A151" s="39">
        <v>2</v>
      </c>
      <c r="B151" t="s">
        <v>287</v>
      </c>
      <c r="C151" t="s">
        <v>311</v>
      </c>
      <c r="D151" s="39">
        <f>D150</f>
        <v>12.192</v>
      </c>
      <c r="E151" s="39">
        <v>32.677239439022934</v>
      </c>
      <c r="F151">
        <v>4.8265079999999993E-3</v>
      </c>
    </row>
    <row r="152" spans="1:6" x14ac:dyDescent="0.25">
      <c r="A152" s="39">
        <v>2</v>
      </c>
      <c r="B152" t="s">
        <v>287</v>
      </c>
      <c r="C152" t="s">
        <v>311</v>
      </c>
      <c r="D152" s="39">
        <f>D151</f>
        <v>12.192</v>
      </c>
      <c r="E152" s="39">
        <v>46.884734847293778</v>
      </c>
      <c r="F152">
        <v>1.4479523999999997E-2</v>
      </c>
    </row>
    <row r="153" spans="1:6" x14ac:dyDescent="0.25">
      <c r="A153" s="39">
        <v>2</v>
      </c>
      <c r="B153" t="s">
        <v>287</v>
      </c>
      <c r="C153" t="s">
        <v>311</v>
      </c>
      <c r="D153" s="39">
        <f t="shared" ref="D153:D156" si="19">D152</f>
        <v>12.192</v>
      </c>
      <c r="E153" s="39">
        <v>71.037477041354208</v>
      </c>
      <c r="F153">
        <v>4.8265079999999995E-2</v>
      </c>
    </row>
    <row r="154" spans="1:6" x14ac:dyDescent="0.25">
      <c r="A154" s="39">
        <v>2</v>
      </c>
      <c r="B154" t="s">
        <v>287</v>
      </c>
      <c r="C154" t="s">
        <v>311</v>
      </c>
      <c r="D154" s="39">
        <f t="shared" si="19"/>
        <v>12.192</v>
      </c>
      <c r="E154" s="39">
        <v>102.29396693955007</v>
      </c>
      <c r="F154">
        <v>0.14479523999999999</v>
      </c>
    </row>
    <row r="155" spans="1:6" x14ac:dyDescent="0.25">
      <c r="A155" s="39">
        <v>2</v>
      </c>
      <c r="B155" t="s">
        <v>287</v>
      </c>
      <c r="C155" t="s">
        <v>311</v>
      </c>
      <c r="D155" s="39">
        <f t="shared" si="19"/>
        <v>12.192</v>
      </c>
      <c r="E155" s="39">
        <v>102.29396693955007</v>
      </c>
      <c r="F155">
        <v>2.8956</v>
      </c>
    </row>
    <row r="156" spans="1:6" x14ac:dyDescent="0.25">
      <c r="A156" s="39">
        <v>2</v>
      </c>
      <c r="B156" t="s">
        <v>287</v>
      </c>
      <c r="C156" t="s">
        <v>311</v>
      </c>
      <c r="D156" s="39">
        <f t="shared" si="19"/>
        <v>12.192</v>
      </c>
      <c r="E156" s="39">
        <v>0</v>
      </c>
      <c r="F156">
        <f>F155*1.05</f>
        <v>3.0403799999999999</v>
      </c>
    </row>
    <row r="157" spans="1:6" x14ac:dyDescent="0.25">
      <c r="A157" s="39">
        <v>2</v>
      </c>
      <c r="B157" t="s">
        <v>287</v>
      </c>
      <c r="C157" t="s">
        <v>311</v>
      </c>
      <c r="D157" s="39">
        <v>12.2174</v>
      </c>
      <c r="E157" s="39">
        <v>0</v>
      </c>
      <c r="F157">
        <v>0</v>
      </c>
    </row>
    <row r="158" spans="1:6" x14ac:dyDescent="0.25">
      <c r="A158" s="39">
        <v>2</v>
      </c>
      <c r="B158" t="s">
        <v>287</v>
      </c>
      <c r="C158" t="s">
        <v>311</v>
      </c>
      <c r="D158" s="39">
        <f>D157</f>
        <v>12.2174</v>
      </c>
      <c r="E158" s="39">
        <v>32.677239439022934</v>
      </c>
      <c r="F158">
        <v>2.6545793999999995E-3</v>
      </c>
    </row>
    <row r="159" spans="1:6" x14ac:dyDescent="0.25">
      <c r="A159" s="39">
        <v>2</v>
      </c>
      <c r="B159" t="s">
        <v>287</v>
      </c>
      <c r="C159" t="s">
        <v>311</v>
      </c>
      <c r="D159" s="39">
        <f>D158</f>
        <v>12.2174</v>
      </c>
      <c r="E159" s="39">
        <v>46.884734847293778</v>
      </c>
      <c r="F159">
        <v>7.9637381999999972E-3</v>
      </c>
    </row>
    <row r="160" spans="1:6" x14ac:dyDescent="0.25">
      <c r="A160" s="39">
        <v>2</v>
      </c>
      <c r="B160" t="s">
        <v>287</v>
      </c>
      <c r="C160" t="s">
        <v>311</v>
      </c>
      <c r="D160" s="39">
        <f t="shared" ref="D160:D163" si="20">D159</f>
        <v>12.2174</v>
      </c>
      <c r="E160" s="39">
        <v>71.037477041354208</v>
      </c>
      <c r="F160">
        <v>2.6545793999999994E-2</v>
      </c>
    </row>
    <row r="161" spans="1:6" x14ac:dyDescent="0.25">
      <c r="A161" s="39">
        <v>2</v>
      </c>
      <c r="B161" t="s">
        <v>287</v>
      </c>
      <c r="C161" t="s">
        <v>311</v>
      </c>
      <c r="D161" s="39">
        <f t="shared" si="20"/>
        <v>12.2174</v>
      </c>
      <c r="E161" s="39">
        <v>102.29396693955007</v>
      </c>
      <c r="F161">
        <v>7.9637381999999979E-2</v>
      </c>
    </row>
    <row r="162" spans="1:6" x14ac:dyDescent="0.25">
      <c r="A162" s="39">
        <v>2</v>
      </c>
      <c r="B162" t="s">
        <v>287</v>
      </c>
      <c r="C162" t="s">
        <v>311</v>
      </c>
      <c r="D162" s="39">
        <f t="shared" si="20"/>
        <v>12.2174</v>
      </c>
      <c r="E162" s="39">
        <v>102.29396693955007</v>
      </c>
      <c r="F162">
        <v>2.8956</v>
      </c>
    </row>
    <row r="163" spans="1:6" x14ac:dyDescent="0.25">
      <c r="A163" s="39">
        <v>2</v>
      </c>
      <c r="B163" t="s">
        <v>287</v>
      </c>
      <c r="C163" t="s">
        <v>311</v>
      </c>
      <c r="D163" s="39">
        <f t="shared" si="20"/>
        <v>12.2174</v>
      </c>
      <c r="E163" s="39">
        <v>0</v>
      </c>
      <c r="F163">
        <f>F162*1.05</f>
        <v>3.0403799999999999</v>
      </c>
    </row>
    <row r="164" spans="1:6" x14ac:dyDescent="0.25">
      <c r="A164" s="39">
        <v>2</v>
      </c>
      <c r="B164" t="s">
        <v>287</v>
      </c>
      <c r="C164" t="s">
        <v>311</v>
      </c>
      <c r="D164" s="39">
        <v>21.335999999999999</v>
      </c>
      <c r="E164" s="39">
        <v>0</v>
      </c>
      <c r="F164">
        <v>0</v>
      </c>
    </row>
    <row r="165" spans="1:6" x14ac:dyDescent="0.25">
      <c r="A165" s="39">
        <v>2</v>
      </c>
      <c r="B165" t="s">
        <v>287</v>
      </c>
      <c r="C165" t="s">
        <v>311</v>
      </c>
      <c r="D165" s="39">
        <f>D164</f>
        <v>21.335999999999999</v>
      </c>
      <c r="E165" s="39">
        <v>53.596141672251974</v>
      </c>
      <c r="F165">
        <v>2.6545793999999995E-3</v>
      </c>
    </row>
    <row r="166" spans="1:6" x14ac:dyDescent="0.25">
      <c r="A166" s="39">
        <v>2</v>
      </c>
      <c r="B166" t="s">
        <v>287</v>
      </c>
      <c r="C166" t="s">
        <v>311</v>
      </c>
      <c r="D166" s="39">
        <f>D165</f>
        <v>21.335999999999999</v>
      </c>
      <c r="E166" s="39">
        <v>76.898811964535426</v>
      </c>
      <c r="F166">
        <v>7.9637381999999972E-3</v>
      </c>
    </row>
    <row r="167" spans="1:6" x14ac:dyDescent="0.25">
      <c r="A167" s="39">
        <v>2</v>
      </c>
      <c r="B167" t="s">
        <v>287</v>
      </c>
      <c r="C167" t="s">
        <v>311</v>
      </c>
      <c r="D167" s="39">
        <f t="shared" ref="D167:D170" si="21">D166</f>
        <v>21.335999999999999</v>
      </c>
      <c r="E167" s="39">
        <v>116.51335146141732</v>
      </c>
      <c r="F167">
        <v>2.6545793999999994E-2</v>
      </c>
    </row>
    <row r="168" spans="1:6" x14ac:dyDescent="0.25">
      <c r="A168" s="39">
        <v>2</v>
      </c>
      <c r="B168" t="s">
        <v>287</v>
      </c>
      <c r="C168" t="s">
        <v>311</v>
      </c>
      <c r="D168" s="39">
        <f t="shared" si="21"/>
        <v>21.335999999999999</v>
      </c>
      <c r="E168" s="39">
        <v>167.77922610444094</v>
      </c>
      <c r="F168">
        <v>7.9637381999999979E-2</v>
      </c>
    </row>
    <row r="169" spans="1:6" x14ac:dyDescent="0.25">
      <c r="A169" s="39">
        <v>2</v>
      </c>
      <c r="B169" t="s">
        <v>287</v>
      </c>
      <c r="C169" t="s">
        <v>311</v>
      </c>
      <c r="D169" s="39">
        <f t="shared" si="21"/>
        <v>21.335999999999999</v>
      </c>
      <c r="E169" s="39">
        <v>167.77922610444094</v>
      </c>
      <c r="F169">
        <v>2.8956</v>
      </c>
    </row>
    <row r="170" spans="1:6" x14ac:dyDescent="0.25">
      <c r="A170" s="39">
        <v>2</v>
      </c>
      <c r="B170" t="s">
        <v>287</v>
      </c>
      <c r="C170" t="s">
        <v>311</v>
      </c>
      <c r="D170" s="39">
        <f t="shared" si="21"/>
        <v>21.335999999999999</v>
      </c>
      <c r="E170" s="39">
        <v>0</v>
      </c>
      <c r="F170">
        <f>F169*1.05</f>
        <v>3.0403799999999999</v>
      </c>
    </row>
    <row r="171" spans="1:6" x14ac:dyDescent="0.25">
      <c r="A171" s="39">
        <v>2</v>
      </c>
      <c r="B171" t="s">
        <v>287</v>
      </c>
      <c r="C171" t="s">
        <v>311</v>
      </c>
      <c r="D171">
        <v>28.956</v>
      </c>
      <c r="E171" s="39">
        <v>0</v>
      </c>
      <c r="F171">
        <v>0</v>
      </c>
    </row>
    <row r="172" spans="1:6" x14ac:dyDescent="0.25">
      <c r="A172" s="39">
        <v>2</v>
      </c>
      <c r="B172" t="s">
        <v>287</v>
      </c>
      <c r="C172" t="s">
        <v>311</v>
      </c>
      <c r="D172" s="39">
        <f>D171</f>
        <v>28.956</v>
      </c>
      <c r="E172" s="39">
        <v>71.940059209683398</v>
      </c>
      <c r="F172">
        <v>3.3785556000000003E-3</v>
      </c>
    </row>
    <row r="173" spans="1:6" x14ac:dyDescent="0.25">
      <c r="A173" s="39">
        <v>2</v>
      </c>
      <c r="B173" t="s">
        <v>287</v>
      </c>
      <c r="C173" t="s">
        <v>311</v>
      </c>
      <c r="D173" s="39">
        <f>D172</f>
        <v>28.956</v>
      </c>
      <c r="E173" s="39">
        <v>103.2183458225892</v>
      </c>
      <c r="F173">
        <v>1.01356668E-2</v>
      </c>
    </row>
    <row r="174" spans="1:6" x14ac:dyDescent="0.25">
      <c r="A174" s="39">
        <v>2</v>
      </c>
      <c r="B174" t="s">
        <v>287</v>
      </c>
      <c r="C174" t="s">
        <v>311</v>
      </c>
      <c r="D174" s="39">
        <f t="shared" ref="D174:D177" si="22">D173</f>
        <v>28.956</v>
      </c>
      <c r="E174" s="39">
        <v>156.39143306452908</v>
      </c>
      <c r="F174">
        <v>3.3785556000000001E-2</v>
      </c>
    </row>
    <row r="175" spans="1:6" x14ac:dyDescent="0.25">
      <c r="A175" s="39">
        <v>2</v>
      </c>
      <c r="B175" t="s">
        <v>287</v>
      </c>
      <c r="C175" t="s">
        <v>311</v>
      </c>
      <c r="D175" s="39">
        <f t="shared" si="22"/>
        <v>28.956</v>
      </c>
      <c r="E175" s="39">
        <v>225.20366361292182</v>
      </c>
      <c r="F175">
        <v>0.101356668</v>
      </c>
    </row>
    <row r="176" spans="1:6" x14ac:dyDescent="0.25">
      <c r="A176" s="39">
        <v>2</v>
      </c>
      <c r="B176" t="s">
        <v>287</v>
      </c>
      <c r="C176" t="s">
        <v>311</v>
      </c>
      <c r="D176" s="39">
        <f t="shared" si="22"/>
        <v>28.956</v>
      </c>
      <c r="E176" s="39">
        <v>225.20366361292182</v>
      </c>
      <c r="F176">
        <v>2.8956</v>
      </c>
    </row>
    <row r="177" spans="1:6" x14ac:dyDescent="0.25">
      <c r="A177" s="39">
        <v>2</v>
      </c>
      <c r="B177" t="s">
        <v>287</v>
      </c>
      <c r="C177" t="s">
        <v>311</v>
      </c>
      <c r="D177" s="39">
        <f t="shared" si="22"/>
        <v>28.956</v>
      </c>
      <c r="E177" s="39">
        <v>0</v>
      </c>
      <c r="F177">
        <f>F176*1.05</f>
        <v>3.0403799999999999</v>
      </c>
    </row>
    <row r="178" spans="1:6" x14ac:dyDescent="0.25">
      <c r="A178" s="39">
        <v>2</v>
      </c>
      <c r="B178" t="s">
        <v>287</v>
      </c>
      <c r="C178" t="s">
        <v>311</v>
      </c>
      <c r="D178" s="121">
        <v>28.981399999999997</v>
      </c>
      <c r="E178" s="39">
        <v>0</v>
      </c>
      <c r="F178">
        <v>0</v>
      </c>
    </row>
    <row r="179" spans="1:6" x14ac:dyDescent="0.25">
      <c r="A179" s="39">
        <v>2</v>
      </c>
      <c r="B179" t="s">
        <v>287</v>
      </c>
      <c r="C179" t="s">
        <v>311</v>
      </c>
      <c r="D179" s="121">
        <f>D178</f>
        <v>28.981399999999997</v>
      </c>
      <c r="E179" s="39">
        <v>72.673815911180654</v>
      </c>
      <c r="F179">
        <v>3.3785556000000003E-3</v>
      </c>
    </row>
    <row r="180" spans="1:6" x14ac:dyDescent="0.25">
      <c r="A180" s="39">
        <v>2</v>
      </c>
      <c r="B180" t="s">
        <v>287</v>
      </c>
      <c r="C180" t="s">
        <v>311</v>
      </c>
      <c r="D180" s="39">
        <f>D179</f>
        <v>28.981399999999997</v>
      </c>
      <c r="E180" s="39">
        <v>104.27112717691138</v>
      </c>
      <c r="F180">
        <v>1.01356668E-2</v>
      </c>
    </row>
    <row r="181" spans="1:6" x14ac:dyDescent="0.25">
      <c r="A181" s="39">
        <v>2</v>
      </c>
      <c r="B181" t="s">
        <v>287</v>
      </c>
      <c r="C181" t="s">
        <v>311</v>
      </c>
      <c r="D181" s="39">
        <f t="shared" ref="D181:D184" si="23">D180</f>
        <v>28.981399999999997</v>
      </c>
      <c r="E181" s="39">
        <v>157.98655632865359</v>
      </c>
      <c r="F181">
        <v>3.3785556000000001E-2</v>
      </c>
    </row>
    <row r="182" spans="1:6" x14ac:dyDescent="0.25">
      <c r="A182" s="39">
        <v>2</v>
      </c>
      <c r="B182" t="s">
        <v>287</v>
      </c>
      <c r="C182" t="s">
        <v>311</v>
      </c>
      <c r="D182" s="39">
        <f t="shared" si="23"/>
        <v>28.981399999999997</v>
      </c>
      <c r="E182" s="39">
        <v>227.50064111326117</v>
      </c>
      <c r="F182">
        <v>0.101356668</v>
      </c>
    </row>
    <row r="183" spans="1:6" x14ac:dyDescent="0.25">
      <c r="A183" s="39">
        <v>2</v>
      </c>
      <c r="B183" t="s">
        <v>287</v>
      </c>
      <c r="C183" t="s">
        <v>311</v>
      </c>
      <c r="D183" s="39">
        <f t="shared" si="23"/>
        <v>28.981399999999997</v>
      </c>
      <c r="E183" s="39">
        <v>227.50064111326117</v>
      </c>
      <c r="F183">
        <v>2.8956</v>
      </c>
    </row>
    <row r="184" spans="1:6" x14ac:dyDescent="0.25">
      <c r="A184" s="39">
        <v>2</v>
      </c>
      <c r="B184" t="s">
        <v>287</v>
      </c>
      <c r="C184" t="s">
        <v>311</v>
      </c>
      <c r="D184" s="39">
        <f t="shared" si="23"/>
        <v>28.981399999999997</v>
      </c>
      <c r="E184" s="39">
        <v>0</v>
      </c>
      <c r="F184">
        <f>F183*1.05</f>
        <v>3.0403799999999999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3" sqref="A13"/>
    </sheetView>
  </sheetViews>
  <sheetFormatPr defaultRowHeight="15" x14ac:dyDescent="0.25"/>
  <sheetData>
    <row r="1" spans="1:2" x14ac:dyDescent="0.25">
      <c r="A1" t="s">
        <v>337</v>
      </c>
    </row>
    <row r="5" spans="1:2" x14ac:dyDescent="0.25">
      <c r="A5" t="s">
        <v>334</v>
      </c>
    </row>
    <row r="6" spans="1:2" x14ac:dyDescent="0.25">
      <c r="A6" s="122" t="s">
        <v>335</v>
      </c>
    </row>
    <row r="7" spans="1:2" x14ac:dyDescent="0.25">
      <c r="A7" s="122" t="s">
        <v>336</v>
      </c>
    </row>
    <row r="9" spans="1:2" x14ac:dyDescent="0.25">
      <c r="A9" t="s">
        <v>338</v>
      </c>
      <c r="B9" t="s">
        <v>339</v>
      </c>
    </row>
    <row r="11" spans="1:2" x14ac:dyDescent="0.25">
      <c r="A11" t="s">
        <v>340</v>
      </c>
    </row>
  </sheetData>
  <hyperlinks>
    <hyperlink ref="A6" r:id="rId1"/>
    <hyperlink ref="A7" r:id="rId2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T140"/>
  <sheetViews>
    <sheetView topLeftCell="A110" zoomScaleNormal="100" workbookViewId="0">
      <selection activeCell="G139" sqref="G139"/>
    </sheetView>
  </sheetViews>
  <sheetFormatPr defaultRowHeight="15" x14ac:dyDescent="0.25"/>
  <cols>
    <col min="11" max="11" width="8.42578125" style="118" customWidth="1"/>
  </cols>
  <sheetData>
    <row r="1" spans="1:20" x14ac:dyDescent="0.25">
      <c r="A1" s="113" t="s">
        <v>301</v>
      </c>
      <c r="E1" s="114" t="s">
        <v>302</v>
      </c>
      <c r="F1" s="115"/>
      <c r="G1" s="115"/>
      <c r="H1" s="115"/>
      <c r="I1" s="115"/>
    </row>
    <row r="2" spans="1:20" x14ac:dyDescent="0.25">
      <c r="A2" t="s">
        <v>303</v>
      </c>
      <c r="B2" s="116"/>
    </row>
    <row r="3" spans="1:20" x14ac:dyDescent="0.25">
      <c r="A3" t="s">
        <v>304</v>
      </c>
    </row>
    <row r="4" spans="1:20" x14ac:dyDescent="0.25">
      <c r="A4" t="s">
        <v>305</v>
      </c>
      <c r="B4" s="117"/>
    </row>
    <row r="6" spans="1:20" x14ac:dyDescent="0.25">
      <c r="A6" t="s">
        <v>288</v>
      </c>
      <c r="B6">
        <v>38</v>
      </c>
      <c r="C6" t="s">
        <v>289</v>
      </c>
      <c r="D6" t="s">
        <v>290</v>
      </c>
      <c r="L6" t="s">
        <v>288</v>
      </c>
      <c r="M6">
        <v>36</v>
      </c>
      <c r="N6" t="s">
        <v>289</v>
      </c>
      <c r="O6" t="s">
        <v>290</v>
      </c>
    </row>
    <row r="7" spans="1:20" x14ac:dyDescent="0.25">
      <c r="B7" s="101">
        <f>B6/12</f>
        <v>3.1666666666666665</v>
      </c>
      <c r="C7" t="s">
        <v>91</v>
      </c>
      <c r="D7" s="101">
        <f>$B$6*PI()</f>
        <v>119.38052083641213</v>
      </c>
      <c r="E7" t="s">
        <v>289</v>
      </c>
    </row>
    <row r="8" spans="1:20" x14ac:dyDescent="0.25">
      <c r="B8" s="102"/>
      <c r="D8" s="101"/>
      <c r="N8" t="s">
        <v>320</v>
      </c>
      <c r="O8">
        <f>0.4536*9.81/0.0254/1000</f>
        <v>0.17518960629921262</v>
      </c>
    </row>
    <row r="9" spans="1:20" x14ac:dyDescent="0.25">
      <c r="A9" s="39" t="s">
        <v>291</v>
      </c>
    </row>
    <row r="10" spans="1:20" x14ac:dyDescent="0.25">
      <c r="A10" s="39" t="s">
        <v>292</v>
      </c>
      <c r="B10" s="39"/>
      <c r="C10" s="39"/>
      <c r="D10" s="103" t="s">
        <v>293</v>
      </c>
      <c r="E10" s="103" t="s">
        <v>294</v>
      </c>
      <c r="N10" s="103" t="s">
        <v>318</v>
      </c>
    </row>
    <row r="11" spans="1:20" x14ac:dyDescent="0.25">
      <c r="A11" s="39" t="s">
        <v>295</v>
      </c>
      <c r="B11" s="39"/>
      <c r="C11" s="39"/>
      <c r="D11" s="39"/>
      <c r="E11" s="104" t="s">
        <v>296</v>
      </c>
      <c r="N11" s="104" t="s">
        <v>319</v>
      </c>
    </row>
    <row r="12" spans="1:20" x14ac:dyDescent="0.25">
      <c r="A12" s="105" t="s">
        <v>297</v>
      </c>
      <c r="B12" s="39"/>
      <c r="C12" s="39"/>
      <c r="D12" s="39"/>
      <c r="E12" s="39"/>
      <c r="L12" t="s">
        <v>308</v>
      </c>
    </row>
    <row r="13" spans="1:20" ht="15.75" thickBot="1" x14ac:dyDescent="0.3">
      <c r="A13" s="106" t="s">
        <v>298</v>
      </c>
      <c r="B13" s="106" t="s">
        <v>299</v>
      </c>
      <c r="C13" s="106">
        <v>0</v>
      </c>
      <c r="D13" s="106">
        <v>1</v>
      </c>
      <c r="E13" s="106">
        <v>2</v>
      </c>
      <c r="F13" s="106">
        <v>3</v>
      </c>
      <c r="G13" s="106">
        <v>4</v>
      </c>
      <c r="H13" s="106">
        <v>5</v>
      </c>
      <c r="I13" s="106">
        <v>6</v>
      </c>
      <c r="L13" t="s">
        <v>174</v>
      </c>
      <c r="M13" s="106" t="s">
        <v>299</v>
      </c>
      <c r="N13" s="106">
        <v>0</v>
      </c>
      <c r="O13" s="106">
        <v>1</v>
      </c>
      <c r="P13" s="106">
        <v>2</v>
      </c>
      <c r="Q13" s="106">
        <v>3</v>
      </c>
      <c r="R13" s="106">
        <v>4</v>
      </c>
      <c r="S13" s="106">
        <v>5</v>
      </c>
      <c r="T13" s="106">
        <v>6</v>
      </c>
    </row>
    <row r="14" spans="1:20" x14ac:dyDescent="0.25">
      <c r="A14" s="39">
        <v>0</v>
      </c>
      <c r="B14" s="39" t="s">
        <v>284</v>
      </c>
      <c r="C14" s="39">
        <v>0</v>
      </c>
      <c r="D14" s="100">
        <v>9.1051249999999992</v>
      </c>
      <c r="E14" s="100">
        <v>13.063874999999999</v>
      </c>
      <c r="F14" s="100">
        <v>19.793749999999999</v>
      </c>
      <c r="G14" s="100">
        <v>28.502999999999997</v>
      </c>
      <c r="H14" s="100">
        <v>0</v>
      </c>
      <c r="I14" s="100">
        <v>0</v>
      </c>
      <c r="L14" s="39">
        <f>A14*0.0254</f>
        <v>0</v>
      </c>
      <c r="M14" s="39" t="s">
        <v>284</v>
      </c>
      <c r="N14" s="39">
        <v>0</v>
      </c>
      <c r="O14">
        <f>D14*$M$6/$B$6*$O$8</f>
        <v>1.5111694080522171</v>
      </c>
      <c r="P14">
        <f t="shared" ref="P14:T14" si="0">E14*$M$6/$B$6*$O$8</f>
        <v>2.1681995854662248</v>
      </c>
      <c r="Q14">
        <f t="shared" si="0"/>
        <v>3.2851508870700377</v>
      </c>
      <c r="R14">
        <f t="shared" si="0"/>
        <v>4.7306172773808539</v>
      </c>
      <c r="S14">
        <f t="shared" si="0"/>
        <v>0</v>
      </c>
      <c r="T14">
        <f t="shared" si="0"/>
        <v>0</v>
      </c>
    </row>
    <row r="15" spans="1:20" x14ac:dyDescent="0.25">
      <c r="A15" s="107"/>
      <c r="B15" s="107" t="s">
        <v>285</v>
      </c>
      <c r="C15" s="107">
        <v>0</v>
      </c>
      <c r="D15" s="108">
        <f>0.1*$F15</f>
        <v>0.19001999999999999</v>
      </c>
      <c r="E15" s="108">
        <f>0.3*$F15</f>
        <v>0.5700599999999999</v>
      </c>
      <c r="F15" s="108">
        <v>1.9001999999999999</v>
      </c>
      <c r="G15" s="108">
        <f>3*$F15</f>
        <v>5.7005999999999997</v>
      </c>
      <c r="H15" s="108">
        <f>8*$F15</f>
        <v>15.201599999999999</v>
      </c>
      <c r="I15" s="109">
        <f>3*$B$6</f>
        <v>114</v>
      </c>
      <c r="M15" s="107" t="s">
        <v>285</v>
      </c>
      <c r="N15" s="107">
        <v>0</v>
      </c>
      <c r="O15" s="120">
        <f>D15*0.0254</f>
        <v>4.8265079999999993E-3</v>
      </c>
      <c r="P15" s="120">
        <f t="shared" ref="P15:T15" si="1">E15*0.0254</f>
        <v>1.4479523999999997E-2</v>
      </c>
      <c r="Q15" s="120">
        <f t="shared" si="1"/>
        <v>4.8265079999999995E-2</v>
      </c>
      <c r="R15" s="120">
        <f t="shared" si="1"/>
        <v>0.14479523999999999</v>
      </c>
      <c r="S15" s="120">
        <f t="shared" si="1"/>
        <v>0.38612063999999996</v>
      </c>
      <c r="T15" s="120">
        <f t="shared" si="1"/>
        <v>2.8956</v>
      </c>
    </row>
    <row r="16" spans="1:20" x14ac:dyDescent="0.25">
      <c r="A16" s="39">
        <v>36</v>
      </c>
      <c r="B16" s="39" t="s">
        <v>284</v>
      </c>
      <c r="C16" s="39">
        <v>0</v>
      </c>
      <c r="D16" s="100">
        <v>19.417655740841447</v>
      </c>
      <c r="E16" s="100">
        <v>27.860114758598598</v>
      </c>
      <c r="F16" s="100">
        <v>42.212295088785751</v>
      </c>
      <c r="G16" s="100">
        <v>60.785704927851476</v>
      </c>
      <c r="H16" s="100">
        <v>8.4424590177571499</v>
      </c>
      <c r="I16" s="100">
        <v>8.4424590177571499</v>
      </c>
      <c r="L16" s="39">
        <f>A16*0.0254</f>
        <v>0.91439999999999999</v>
      </c>
      <c r="M16" s="39" t="s">
        <v>284</v>
      </c>
      <c r="N16" s="39">
        <v>0</v>
      </c>
      <c r="O16">
        <f>D16*$M$6/$B$6*$O$8</f>
        <v>3.2227308610973608</v>
      </c>
      <c r="P16">
        <f t="shared" ref="P16" si="2">E16*$M$6/$B$6*$O$8</f>
        <v>4.6239181920092571</v>
      </c>
      <c r="Q16">
        <f t="shared" ref="Q16" si="3">F16*$M$6/$B$6*$O$8</f>
        <v>7.0059366545594806</v>
      </c>
      <c r="R16">
        <f t="shared" ref="R16" si="4">G16*$M$6/$B$6*$O$8</f>
        <v>10.088548782565651</v>
      </c>
      <c r="S16">
        <f t="shared" ref="S16" si="5">H16*$M$6/$B$6*$O$8</f>
        <v>1.4011873309118958</v>
      </c>
      <c r="T16">
        <f t="shared" ref="T16" si="6">I16*$M$6/$B$6*$O$8</f>
        <v>1.4011873309118958</v>
      </c>
    </row>
    <row r="17" spans="1:20" x14ac:dyDescent="0.25">
      <c r="A17" s="107"/>
      <c r="B17" s="107" t="s">
        <v>285</v>
      </c>
      <c r="C17" s="107">
        <v>0</v>
      </c>
      <c r="D17" s="108">
        <f>0.1*$F17</f>
        <v>0.19001999999999999</v>
      </c>
      <c r="E17" s="108">
        <f>0.3*$F17</f>
        <v>0.5700599999999999</v>
      </c>
      <c r="F17" s="108">
        <v>1.9001999999999999</v>
      </c>
      <c r="G17" s="108">
        <f>3*$F17</f>
        <v>5.7005999999999997</v>
      </c>
      <c r="H17" s="108">
        <f>8*$F17</f>
        <v>15.201599999999999</v>
      </c>
      <c r="I17" s="109">
        <f>3*$B$6</f>
        <v>114</v>
      </c>
      <c r="M17" s="107" t="s">
        <v>285</v>
      </c>
      <c r="N17" s="107">
        <v>0</v>
      </c>
      <c r="O17" s="120">
        <f>D17*0.0254</f>
        <v>4.8265079999999993E-3</v>
      </c>
      <c r="P17" s="120">
        <f t="shared" ref="P17" si="7">E17*0.0254</f>
        <v>1.4479523999999997E-2</v>
      </c>
      <c r="Q17" s="120">
        <f t="shared" ref="Q17" si="8">F17*0.0254</f>
        <v>4.8265079999999995E-2</v>
      </c>
      <c r="R17" s="120">
        <f t="shared" ref="R17" si="9">G17*0.0254</f>
        <v>0.14479523999999999</v>
      </c>
      <c r="S17" s="120">
        <f t="shared" ref="S17" si="10">H17*0.0254</f>
        <v>0.38612063999999996</v>
      </c>
      <c r="T17" s="120">
        <f t="shared" ref="T17" si="11">I17*0.0254</f>
        <v>2.8956</v>
      </c>
    </row>
    <row r="18" spans="1:20" x14ac:dyDescent="0.25">
      <c r="A18" s="39">
        <v>72</v>
      </c>
      <c r="B18" s="39" t="s">
        <v>284</v>
      </c>
      <c r="C18" s="39">
        <v>0</v>
      </c>
      <c r="D18" s="100">
        <v>31.143052248767894</v>
      </c>
      <c r="E18" s="100">
        <v>44.683509748232197</v>
      </c>
      <c r="F18" s="100">
        <v>67.702287497321507</v>
      </c>
      <c r="G18" s="100">
        <v>97.491293996142971</v>
      </c>
      <c r="H18" s="100">
        <v>28.434960748875032</v>
      </c>
      <c r="I18" s="100">
        <v>28.434960748875032</v>
      </c>
      <c r="L18" s="39">
        <f>A18*0.0254</f>
        <v>1.8288</v>
      </c>
      <c r="M18" s="39" t="s">
        <v>284</v>
      </c>
      <c r="N18" s="39">
        <v>0</v>
      </c>
      <c r="O18">
        <f>D18*$M$6/$B$6*$O$8</f>
        <v>5.1687843749217999</v>
      </c>
      <c r="P18">
        <f t="shared" ref="P18" si="12">E18*$M$6/$B$6*$O$8</f>
        <v>7.4160819292356273</v>
      </c>
      <c r="Q18">
        <f t="shared" ref="Q18" si="13">F18*$M$6/$B$6*$O$8</f>
        <v>11.236487771569132</v>
      </c>
      <c r="R18">
        <f t="shared" ref="R18" si="14">G18*$M$6/$B$6*$O$8</f>
        <v>16.180542391059547</v>
      </c>
      <c r="S18">
        <f t="shared" ref="S18" si="15">H18*$M$6/$B$6*$O$8</f>
        <v>4.7193248640590344</v>
      </c>
      <c r="T18">
        <f t="shared" ref="T18" si="16">I18*$M$6/$B$6*$O$8</f>
        <v>4.7193248640590344</v>
      </c>
    </row>
    <row r="19" spans="1:20" x14ac:dyDescent="0.25">
      <c r="A19" s="107"/>
      <c r="B19" s="107" t="s">
        <v>285</v>
      </c>
      <c r="C19" s="107">
        <v>0</v>
      </c>
      <c r="D19" s="108">
        <f>0.1*$F19</f>
        <v>0.19001999999999999</v>
      </c>
      <c r="E19" s="108">
        <f>0.3*$F19</f>
        <v>0.5700599999999999</v>
      </c>
      <c r="F19" s="108">
        <v>1.9001999999999999</v>
      </c>
      <c r="G19" s="108">
        <f>3*$F19</f>
        <v>5.7005999999999997</v>
      </c>
      <c r="H19" s="108">
        <f>8*$F19</f>
        <v>15.201599999999999</v>
      </c>
      <c r="I19" s="109">
        <f>3*$B$6</f>
        <v>114</v>
      </c>
      <c r="M19" s="107" t="s">
        <v>285</v>
      </c>
      <c r="N19" s="107">
        <v>0</v>
      </c>
      <c r="O19" s="120">
        <f>D19*0.0254</f>
        <v>4.8265079999999993E-3</v>
      </c>
      <c r="P19" s="120">
        <f t="shared" ref="P19" si="17">E19*0.0254</f>
        <v>1.4479523999999997E-2</v>
      </c>
      <c r="Q19" s="120">
        <f t="shared" ref="Q19" si="18">F19*0.0254</f>
        <v>4.8265079999999995E-2</v>
      </c>
      <c r="R19" s="120">
        <f t="shared" ref="R19" si="19">G19*0.0254</f>
        <v>0.14479523999999999</v>
      </c>
      <c r="S19" s="120">
        <f t="shared" ref="S19" si="20">H19*0.0254</f>
        <v>0.38612063999999996</v>
      </c>
      <c r="T19" s="120">
        <f t="shared" ref="T19" si="21">I19*0.0254</f>
        <v>2.8956</v>
      </c>
    </row>
    <row r="20" spans="1:20" x14ac:dyDescent="0.25">
      <c r="A20" s="39">
        <v>108</v>
      </c>
      <c r="B20" s="39" t="s">
        <v>284</v>
      </c>
      <c r="C20" s="39">
        <v>0</v>
      </c>
      <c r="D20" s="100">
        <v>44.281314523779329</v>
      </c>
      <c r="E20" s="100">
        <v>63.534059968900785</v>
      </c>
      <c r="F20" s="100">
        <v>96.263727225607241</v>
      </c>
      <c r="G20" s="100">
        <v>138.61976720487442</v>
      </c>
      <c r="H20" s="100">
        <v>59.683510879876486</v>
      </c>
      <c r="I20" s="100">
        <v>59.683510879876486</v>
      </c>
      <c r="L20" s="39">
        <f>A20*0.0254</f>
        <v>2.7431999999999999</v>
      </c>
      <c r="M20" s="39" t="s">
        <v>284</v>
      </c>
      <c r="N20" s="39">
        <v>0</v>
      </c>
      <c r="O20">
        <f>D20*$M$6/$B$6*$O$8</f>
        <v>7.3493299495255329</v>
      </c>
      <c r="P20">
        <f t="shared" ref="P20" si="22">E20*$M$6/$B$6*$O$8</f>
        <v>10.54469079714533</v>
      </c>
      <c r="Q20">
        <f t="shared" ref="Q20" si="23">F20*$M$6/$B$6*$O$8</f>
        <v>15.976804238098984</v>
      </c>
      <c r="R20">
        <f t="shared" ref="R20" si="24">G20*$M$6/$B$6*$O$8</f>
        <v>23.006598102862537</v>
      </c>
      <c r="S20">
        <f t="shared" ref="S20" si="25">H20*$M$6/$B$6*$O$8</f>
        <v>9.9056186276213687</v>
      </c>
      <c r="T20">
        <f t="shared" ref="T20" si="26">I20*$M$6/$B$6*$O$8</f>
        <v>9.9056186276213687</v>
      </c>
    </row>
    <row r="21" spans="1:20" x14ac:dyDescent="0.25">
      <c r="A21" s="107"/>
      <c r="B21" s="107" t="s">
        <v>285</v>
      </c>
      <c r="C21" s="107">
        <v>0</v>
      </c>
      <c r="D21" s="108">
        <f>0.1*$F21</f>
        <v>0.19001999999999999</v>
      </c>
      <c r="E21" s="108">
        <f>0.3*$F21</f>
        <v>0.5700599999999999</v>
      </c>
      <c r="F21" s="108">
        <v>1.9001999999999999</v>
      </c>
      <c r="G21" s="108">
        <f>3*$F21</f>
        <v>5.7005999999999997</v>
      </c>
      <c r="H21" s="108">
        <f>8*$F21</f>
        <v>15.201599999999999</v>
      </c>
      <c r="I21" s="109">
        <f>3*$B$6</f>
        <v>114</v>
      </c>
      <c r="M21" s="107" t="s">
        <v>285</v>
      </c>
      <c r="N21" s="107">
        <v>0</v>
      </c>
      <c r="O21" s="120">
        <f>D21*0.0254</f>
        <v>4.8265079999999993E-3</v>
      </c>
      <c r="P21" s="120">
        <f t="shared" ref="P21" si="27">E21*0.0254</f>
        <v>1.4479523999999997E-2</v>
      </c>
      <c r="Q21" s="120">
        <f t="shared" ref="Q21" si="28">F21*0.0254</f>
        <v>4.8265079999999995E-2</v>
      </c>
      <c r="R21" s="120">
        <f t="shared" ref="R21" si="29">G21*0.0254</f>
        <v>0.14479523999999999</v>
      </c>
      <c r="S21" s="120">
        <f t="shared" ref="S21" si="30">H21*0.0254</f>
        <v>0.38612063999999996</v>
      </c>
      <c r="T21" s="120">
        <f t="shared" ref="T21" si="31">I21*0.0254</f>
        <v>2.8956</v>
      </c>
    </row>
    <row r="22" spans="1:20" x14ac:dyDescent="0.25">
      <c r="A22" s="39">
        <v>144</v>
      </c>
      <c r="B22" s="39" t="s">
        <v>284</v>
      </c>
      <c r="C22" s="39">
        <v>0</v>
      </c>
      <c r="D22" s="100">
        <v>58.832442565875787</v>
      </c>
      <c r="E22" s="100">
        <v>84.411765420604397</v>
      </c>
      <c r="F22" s="39">
        <v>127.89661427364301</v>
      </c>
      <c r="G22" s="100">
        <v>184.17112455404592</v>
      </c>
      <c r="H22" s="100">
        <v>104.87522370438727</v>
      </c>
      <c r="I22" s="100">
        <v>104.87522370438727</v>
      </c>
      <c r="L22" s="39">
        <f>A22*0.0254</f>
        <v>3.6576</v>
      </c>
      <c r="M22" s="39" t="s">
        <v>284</v>
      </c>
      <c r="N22" s="39">
        <v>0</v>
      </c>
      <c r="O22">
        <f>D22*$M$6/$B$6*$O$8</f>
        <v>9.7643675849085625</v>
      </c>
      <c r="P22">
        <f t="shared" ref="P22" si="32">E22*$M$6/$B$6*$O$8</f>
        <v>14.009744795738376</v>
      </c>
      <c r="Q22">
        <f t="shared" ref="Q22" si="33">F22*$M$6/$B$6*$O$8</f>
        <v>21.226886054149048</v>
      </c>
      <c r="R22">
        <f t="shared" ref="R22" si="34">G22*$M$6/$B$6*$O$8</f>
        <v>30.566715917974633</v>
      </c>
      <c r="S22">
        <f t="shared" ref="S22" si="35">H22*$M$6/$B$6*$O$8</f>
        <v>17.406046564402224</v>
      </c>
      <c r="T22">
        <f t="shared" ref="T22" si="36">I22*$M$6/$B$6*$O$8</f>
        <v>17.406046564402224</v>
      </c>
    </row>
    <row r="23" spans="1:20" x14ac:dyDescent="0.25">
      <c r="A23" s="107"/>
      <c r="B23" s="107" t="s">
        <v>285</v>
      </c>
      <c r="C23" s="107">
        <v>0</v>
      </c>
      <c r="D23" s="108">
        <f>0.1*$F23</f>
        <v>0.19001999999999999</v>
      </c>
      <c r="E23" s="108">
        <f>0.3*$F23</f>
        <v>0.5700599999999999</v>
      </c>
      <c r="F23" s="108">
        <v>1.9001999999999999</v>
      </c>
      <c r="G23" s="108">
        <f>3*$F23</f>
        <v>5.7005999999999997</v>
      </c>
      <c r="H23" s="108">
        <f>8*$F23</f>
        <v>15.201599999999999</v>
      </c>
      <c r="I23" s="109">
        <f>3*$B$6</f>
        <v>114</v>
      </c>
      <c r="M23" s="107" t="s">
        <v>285</v>
      </c>
      <c r="N23" s="107">
        <v>0</v>
      </c>
      <c r="O23" s="120">
        <f>D23*0.0254</f>
        <v>4.8265079999999993E-3</v>
      </c>
      <c r="P23" s="120">
        <f t="shared" ref="P23" si="37">E23*0.0254</f>
        <v>1.4479523999999997E-2</v>
      </c>
      <c r="Q23" s="120">
        <f t="shared" ref="Q23" si="38">F23*0.0254</f>
        <v>4.8265079999999995E-2</v>
      </c>
      <c r="R23" s="120">
        <f t="shared" ref="R23" si="39">G23*0.0254</f>
        <v>0.14479523999999999</v>
      </c>
      <c r="S23" s="120">
        <f t="shared" ref="S23" si="40">H23*0.0254</f>
        <v>0.38612063999999996</v>
      </c>
      <c r="T23" s="120">
        <f t="shared" ref="T23" si="41">I23*0.0254</f>
        <v>2.8956</v>
      </c>
    </row>
    <row r="24" spans="1:20" x14ac:dyDescent="0.25">
      <c r="A24" s="39">
        <v>180</v>
      </c>
      <c r="B24" s="39" t="s">
        <v>284</v>
      </c>
      <c r="C24" s="39">
        <v>0</v>
      </c>
      <c r="D24" s="100">
        <v>74.796436375057226</v>
      </c>
      <c r="E24" s="100">
        <v>107.31662610334297</v>
      </c>
      <c r="F24" s="100">
        <v>162.60094864142874</v>
      </c>
      <c r="G24" s="100">
        <v>234.14536604365739</v>
      </c>
      <c r="H24" s="100">
        <v>165.85296761425732</v>
      </c>
      <c r="I24" s="100">
        <v>165.85296761425732</v>
      </c>
      <c r="L24" s="39">
        <f>A24*0.0254</f>
        <v>4.5720000000000001</v>
      </c>
      <c r="M24" s="39" t="s">
        <v>284</v>
      </c>
      <c r="N24" s="39">
        <v>0</v>
      </c>
      <c r="O24">
        <f>D24*$M$6/$B$6*$O$8</f>
        <v>12.41389728107089</v>
      </c>
      <c r="P24">
        <f t="shared" ref="P24" si="42">E24*$M$6/$B$6*$O$8</f>
        <v>17.81124392501475</v>
      </c>
      <c r="Q24">
        <f t="shared" ref="Q24" si="43">F24*$M$6/$B$6*$O$8</f>
        <v>26.986733219719319</v>
      </c>
      <c r="R24">
        <f t="shared" ref="R24" si="44">G24*$M$6/$B$6*$O$8</f>
        <v>38.860895836395819</v>
      </c>
      <c r="S24">
        <f t="shared" ref="S24" si="45">H24*$M$6/$B$6*$O$8</f>
        <v>27.526467884113703</v>
      </c>
      <c r="T24">
        <f t="shared" ref="T24" si="46">I24*$M$6/$B$6*$O$8</f>
        <v>27.526467884113703</v>
      </c>
    </row>
    <row r="25" spans="1:20" x14ac:dyDescent="0.25">
      <c r="A25" s="107"/>
      <c r="B25" s="107" t="s">
        <v>285</v>
      </c>
      <c r="C25" s="107">
        <v>0</v>
      </c>
      <c r="D25" s="108">
        <f>0.1*$F25</f>
        <v>0.19001999999999999</v>
      </c>
      <c r="E25" s="108">
        <f>0.3*$F25</f>
        <v>0.5700599999999999</v>
      </c>
      <c r="F25" s="108">
        <v>1.9001999999999999</v>
      </c>
      <c r="G25" s="108">
        <f>3*$F25</f>
        <v>5.7005999999999997</v>
      </c>
      <c r="H25" s="108">
        <f>8*$F25</f>
        <v>15.201599999999999</v>
      </c>
      <c r="I25" s="109">
        <f>3*$B$6</f>
        <v>114</v>
      </c>
      <c r="M25" s="107" t="s">
        <v>285</v>
      </c>
      <c r="N25" s="107">
        <v>0</v>
      </c>
      <c r="O25" s="120">
        <f>D25*0.0254</f>
        <v>4.8265079999999993E-3</v>
      </c>
      <c r="P25" s="120">
        <f t="shared" ref="P25" si="47">E25*0.0254</f>
        <v>1.4479523999999997E-2</v>
      </c>
      <c r="Q25" s="120">
        <f t="shared" ref="Q25" si="48">F25*0.0254</f>
        <v>4.8265079999999995E-2</v>
      </c>
      <c r="R25" s="120">
        <f t="shared" ref="R25" si="49">G25*0.0254</f>
        <v>0.14479523999999999</v>
      </c>
      <c r="S25" s="120">
        <f t="shared" ref="S25" si="50">H25*0.0254</f>
        <v>0.38612063999999996</v>
      </c>
      <c r="T25" s="120">
        <f t="shared" ref="T25" si="51">I25*0.0254</f>
        <v>2.8956</v>
      </c>
    </row>
    <row r="26" spans="1:20" x14ac:dyDescent="0.25">
      <c r="A26" s="39">
        <v>216</v>
      </c>
      <c r="B26" s="39" t="s">
        <v>284</v>
      </c>
      <c r="C26" s="39">
        <v>0</v>
      </c>
      <c r="D26" s="100">
        <v>92.173295951323666</v>
      </c>
      <c r="E26" s="100">
        <v>132.24864201711657</v>
      </c>
      <c r="F26" s="100">
        <v>200.3767303289645</v>
      </c>
      <c r="G26" s="100">
        <v>288.54249167370887</v>
      </c>
      <c r="H26" s="100">
        <v>248.46714560791597</v>
      </c>
      <c r="I26" s="100">
        <v>248.46714560791597</v>
      </c>
      <c r="L26" s="39">
        <f>A26*0.0254</f>
        <v>5.4863999999999997</v>
      </c>
      <c r="M26" s="39" t="s">
        <v>284</v>
      </c>
      <c r="N26" s="39">
        <v>0</v>
      </c>
      <c r="O26">
        <f>D26*$M$6/$B$6*$O$8</f>
        <v>15.297919038012507</v>
      </c>
      <c r="P26">
        <f t="shared" ref="P26" si="52">E26*$M$6/$B$6*$O$8</f>
        <v>21.949188184974464</v>
      </c>
      <c r="Q26">
        <f t="shared" ref="Q26" si="53">F26*$M$6/$B$6*$O$8</f>
        <v>33.256345734809798</v>
      </c>
      <c r="R26">
        <f t="shared" ref="R26" si="54">G26*$M$6/$B$6*$O$8</f>
        <v>47.889137858126112</v>
      </c>
      <c r="S26">
        <f t="shared" ref="S26" si="55">H26*$M$6/$B$6*$O$8</f>
        <v>41.237868711164154</v>
      </c>
      <c r="T26">
        <f t="shared" ref="T26" si="56">I26*$M$6/$B$6*$O$8</f>
        <v>41.237868711164154</v>
      </c>
    </row>
    <row r="27" spans="1:20" x14ac:dyDescent="0.25">
      <c r="A27" s="107"/>
      <c r="B27" s="107" t="s">
        <v>285</v>
      </c>
      <c r="C27" s="107">
        <v>0</v>
      </c>
      <c r="D27" s="108">
        <f>0.1*$F27</f>
        <v>0.19001999999999999</v>
      </c>
      <c r="E27" s="108">
        <f>0.3*$F27</f>
        <v>0.5700599999999999</v>
      </c>
      <c r="F27" s="108">
        <v>1.9001999999999999</v>
      </c>
      <c r="G27" s="108">
        <f>3*$F27</f>
        <v>5.7005999999999997</v>
      </c>
      <c r="H27" s="108">
        <f>8*$F27</f>
        <v>15.201599999999999</v>
      </c>
      <c r="I27" s="109">
        <f>3*$B$6</f>
        <v>114</v>
      </c>
      <c r="M27" s="107" t="s">
        <v>285</v>
      </c>
      <c r="N27" s="107">
        <v>0</v>
      </c>
      <c r="O27" s="120">
        <f>D27*0.0254</f>
        <v>4.8265079999999993E-3</v>
      </c>
      <c r="P27" s="120">
        <f t="shared" ref="P27" si="57">E27*0.0254</f>
        <v>1.4479523999999997E-2</v>
      </c>
      <c r="Q27" s="120">
        <f t="shared" ref="Q27" si="58">F27*0.0254</f>
        <v>4.8265079999999995E-2</v>
      </c>
      <c r="R27" s="120">
        <f t="shared" ref="R27" si="59">G27*0.0254</f>
        <v>0.14479523999999999</v>
      </c>
      <c r="S27" s="120">
        <f t="shared" ref="S27" si="60">H27*0.0254</f>
        <v>0.38612063999999996</v>
      </c>
      <c r="T27" s="120">
        <f t="shared" ref="T27" si="61">I27*0.0254</f>
        <v>2.8956</v>
      </c>
    </row>
    <row r="28" spans="1:20" x14ac:dyDescent="0.25">
      <c r="A28" s="39">
        <v>252</v>
      </c>
      <c r="B28" s="39" t="s">
        <v>284</v>
      </c>
      <c r="C28" s="39">
        <v>0</v>
      </c>
      <c r="D28" s="100">
        <v>110.90042250327784</v>
      </c>
      <c r="E28" s="100">
        <v>159.11799750470297</v>
      </c>
      <c r="F28" s="100">
        <v>241.08787500712572</v>
      </c>
      <c r="G28" s="100">
        <v>347.16654001026103</v>
      </c>
      <c r="H28" s="100">
        <v>347.16654001026103</v>
      </c>
      <c r="I28" s="110"/>
      <c r="L28" s="39">
        <f>A28*0.0254</f>
        <v>6.4007999999999994</v>
      </c>
      <c r="M28" s="39" t="s">
        <v>284</v>
      </c>
      <c r="N28" s="39">
        <v>0</v>
      </c>
      <c r="O28">
        <f>D28*$M$6/$B$6*$O$8</f>
        <v>18.406043390620027</v>
      </c>
      <c r="P28">
        <f t="shared" ref="P28" si="62">E28*$M$6/$B$6*$O$8</f>
        <v>26.40867095175917</v>
      </c>
      <c r="Q28">
        <f t="shared" ref="Q28" si="63">F28*$M$6/$B$6*$O$8</f>
        <v>40.013137805695706</v>
      </c>
      <c r="R28">
        <f t="shared" ref="R28" si="64">G28*$M$6/$B$6*$O$8</f>
        <v>57.618918440201824</v>
      </c>
      <c r="S28">
        <f t="shared" ref="S28" si="65">H28*$M$6/$B$6*$O$8</f>
        <v>57.618918440201824</v>
      </c>
      <c r="T28">
        <f t="shared" ref="T28" si="66">I28*$M$6/$B$6*$O$8</f>
        <v>0</v>
      </c>
    </row>
    <row r="29" spans="1:20" x14ac:dyDescent="0.25">
      <c r="A29" s="107"/>
      <c r="B29" s="107" t="s">
        <v>285</v>
      </c>
      <c r="C29" s="107">
        <v>0</v>
      </c>
      <c r="D29" s="108">
        <f>0.1*$F29</f>
        <v>0.19001999999999999</v>
      </c>
      <c r="E29" s="108">
        <f>0.3*$F29</f>
        <v>0.5700599999999999</v>
      </c>
      <c r="F29" s="108">
        <v>1.9001999999999999</v>
      </c>
      <c r="G29" s="108">
        <f>3*$F29</f>
        <v>5.7005999999999997</v>
      </c>
      <c r="H29" s="109">
        <f>3*$B$6</f>
        <v>114</v>
      </c>
      <c r="I29" s="110"/>
      <c r="M29" s="107" t="s">
        <v>285</v>
      </c>
      <c r="N29" s="107">
        <v>0</v>
      </c>
      <c r="O29" s="120">
        <f>D29*0.0254</f>
        <v>4.8265079999999993E-3</v>
      </c>
      <c r="P29" s="120">
        <f t="shared" ref="P29" si="67">E29*0.0254</f>
        <v>1.4479523999999997E-2</v>
      </c>
      <c r="Q29" s="120">
        <f t="shared" ref="Q29" si="68">F29*0.0254</f>
        <v>4.8265079999999995E-2</v>
      </c>
      <c r="R29" s="120">
        <f t="shared" ref="R29" si="69">G29*0.0254</f>
        <v>0.14479523999999999</v>
      </c>
      <c r="S29" s="120">
        <f t="shared" ref="S29" si="70">H29*0.0254</f>
        <v>2.8956</v>
      </c>
      <c r="T29" s="120">
        <f t="shared" ref="T29" si="71">I29*0.0254</f>
        <v>0</v>
      </c>
    </row>
    <row r="30" spans="1:20" x14ac:dyDescent="0.25">
      <c r="A30" s="39">
        <v>480</v>
      </c>
      <c r="B30" s="39" t="s">
        <v>284</v>
      </c>
      <c r="C30" s="39">
        <v>0</v>
      </c>
      <c r="D30" s="100">
        <v>186.52498929195778</v>
      </c>
      <c r="E30" s="100">
        <v>267.62281072324379</v>
      </c>
      <c r="F30" s="100">
        <v>405.48910715642995</v>
      </c>
      <c r="G30" s="100">
        <v>583.90431430525916</v>
      </c>
      <c r="H30" s="100">
        <v>583.90431430525916</v>
      </c>
      <c r="I30" s="100"/>
      <c r="L30" s="39">
        <f>A30*0.0254</f>
        <v>12.192</v>
      </c>
      <c r="M30" s="39" t="s">
        <v>284</v>
      </c>
      <c r="N30" s="39">
        <v>0</v>
      </c>
      <c r="O30">
        <f>D30*$M$6/$B$6*$O$8</f>
        <v>30.957384731705936</v>
      </c>
      <c r="P30">
        <f t="shared" ref="P30" si="72">E30*$M$6/$B$6*$O$8</f>
        <v>44.417117223752001</v>
      </c>
      <c r="Q30">
        <f t="shared" ref="Q30" si="73">F30*$M$6/$B$6*$O$8</f>
        <v>67.298662460230304</v>
      </c>
      <c r="R30">
        <f t="shared" ref="R30" si="74">G30*$M$6/$B$6*$O$8</f>
        <v>96.910073942731643</v>
      </c>
      <c r="S30">
        <f t="shared" ref="S30" si="75">H30*$M$6/$B$6*$O$8</f>
        <v>96.910073942731643</v>
      </c>
      <c r="T30">
        <f t="shared" ref="T30" si="76">I30*$M$6/$B$6*$O$8</f>
        <v>0</v>
      </c>
    </row>
    <row r="31" spans="1:20" x14ac:dyDescent="0.25">
      <c r="A31" s="107"/>
      <c r="B31" s="107" t="s">
        <v>285</v>
      </c>
      <c r="C31" s="107">
        <v>0</v>
      </c>
      <c r="D31" s="108">
        <f>0.1*$F31</f>
        <v>0.19001999999999999</v>
      </c>
      <c r="E31" s="108">
        <f>0.3*$F31</f>
        <v>0.5700599999999999</v>
      </c>
      <c r="F31" s="108">
        <v>1.9001999999999999</v>
      </c>
      <c r="G31" s="108">
        <f>3*$F31</f>
        <v>5.7005999999999997</v>
      </c>
      <c r="H31" s="109">
        <f>3*$B$6</f>
        <v>114</v>
      </c>
      <c r="I31" s="111"/>
      <c r="M31" s="107" t="s">
        <v>285</v>
      </c>
      <c r="N31" s="107">
        <v>0</v>
      </c>
      <c r="O31" s="120">
        <f>D31*0.0254</f>
        <v>4.8265079999999993E-3</v>
      </c>
      <c r="P31" s="120">
        <f t="shared" ref="P31" si="77">E31*0.0254</f>
        <v>1.4479523999999997E-2</v>
      </c>
      <c r="Q31" s="120">
        <f t="shared" ref="Q31" si="78">F31*0.0254</f>
        <v>4.8265079999999995E-2</v>
      </c>
      <c r="R31" s="120">
        <f t="shared" ref="R31" si="79">G31*0.0254</f>
        <v>0.14479523999999999</v>
      </c>
      <c r="S31" s="120">
        <f t="shared" ref="S31" si="80">H31*0.0254</f>
        <v>2.8956</v>
      </c>
      <c r="T31" s="120">
        <f t="shared" ref="T31" si="81">I31*0.0254</f>
        <v>0</v>
      </c>
    </row>
    <row r="32" spans="1:20" x14ac:dyDescent="0.25">
      <c r="A32" s="39">
        <v>481</v>
      </c>
      <c r="B32" s="39" t="s">
        <v>284</v>
      </c>
      <c r="C32" s="39">
        <v>0</v>
      </c>
      <c r="D32" s="100">
        <v>186.52498929195778</v>
      </c>
      <c r="E32" s="100">
        <v>267.62281072324379</v>
      </c>
      <c r="F32" s="100">
        <v>405.48910715642995</v>
      </c>
      <c r="G32" s="100">
        <v>583.90431430525916</v>
      </c>
      <c r="H32" s="100">
        <v>583.90431430525916</v>
      </c>
      <c r="I32" s="111"/>
      <c r="L32" s="39">
        <f>A32*0.0254</f>
        <v>12.2174</v>
      </c>
      <c r="M32" s="39" t="s">
        <v>284</v>
      </c>
      <c r="N32" s="39">
        <v>0</v>
      </c>
      <c r="O32">
        <f>D32*$M$6/$B$6*$O$8</f>
        <v>30.957384731705936</v>
      </c>
      <c r="P32">
        <f t="shared" ref="P32" si="82">E32*$M$6/$B$6*$O$8</f>
        <v>44.417117223752001</v>
      </c>
      <c r="Q32">
        <f t="shared" ref="Q32" si="83">F32*$M$6/$B$6*$O$8</f>
        <v>67.298662460230304</v>
      </c>
      <c r="R32">
        <f t="shared" ref="R32" si="84">G32*$M$6/$B$6*$O$8</f>
        <v>96.910073942731643</v>
      </c>
      <c r="S32">
        <f t="shared" ref="S32" si="85">H32*$M$6/$B$6*$O$8</f>
        <v>96.910073942731643</v>
      </c>
      <c r="T32">
        <f t="shared" ref="T32" si="86">I32*$M$6/$B$6*$O$8</f>
        <v>0</v>
      </c>
    </row>
    <row r="33" spans="1:20" x14ac:dyDescent="0.25">
      <c r="A33" s="107"/>
      <c r="B33" s="107" t="s">
        <v>285</v>
      </c>
      <c r="C33" s="107">
        <v>0</v>
      </c>
      <c r="D33" s="108">
        <f>0.1*$F33</f>
        <v>0.10451099999999998</v>
      </c>
      <c r="E33" s="108">
        <f>0.3*$F33</f>
        <v>0.3135329999999999</v>
      </c>
      <c r="F33" s="108">
        <v>1.0451099999999998</v>
      </c>
      <c r="G33" s="108">
        <f>3*$F33</f>
        <v>3.1353299999999993</v>
      </c>
      <c r="H33" s="109">
        <f>3*$B$6</f>
        <v>114</v>
      </c>
      <c r="I33" s="111"/>
      <c r="M33" s="107" t="s">
        <v>285</v>
      </c>
      <c r="N33" s="107">
        <v>0</v>
      </c>
      <c r="O33" s="120">
        <f>D33*0.0254</f>
        <v>2.6545793999999995E-3</v>
      </c>
      <c r="P33" s="120">
        <f t="shared" ref="P33" si="87">E33*0.0254</f>
        <v>7.9637381999999972E-3</v>
      </c>
      <c r="Q33" s="120">
        <f t="shared" ref="Q33" si="88">F33*0.0254</f>
        <v>2.6545793999999994E-2</v>
      </c>
      <c r="R33" s="120">
        <f t="shared" ref="R33" si="89">G33*0.0254</f>
        <v>7.9637381999999979E-2</v>
      </c>
      <c r="S33" s="120">
        <f t="shared" ref="S33" si="90">H33*0.0254</f>
        <v>2.8956</v>
      </c>
      <c r="T33" s="120">
        <f t="shared" ref="T33" si="91">I33*0.0254</f>
        <v>0</v>
      </c>
    </row>
    <row r="34" spans="1:20" x14ac:dyDescent="0.25">
      <c r="A34" s="39">
        <v>840</v>
      </c>
      <c r="B34" s="39" t="s">
        <v>284</v>
      </c>
      <c r="C34" s="39">
        <v>0</v>
      </c>
      <c r="D34" s="100">
        <v>305.93219999999997</v>
      </c>
      <c r="E34" s="100">
        <v>438.94619999999998</v>
      </c>
      <c r="F34" s="100">
        <v>665.06999999999994</v>
      </c>
      <c r="G34" s="100">
        <v>957.70079999999984</v>
      </c>
      <c r="H34" s="100">
        <v>957.70079999999984</v>
      </c>
      <c r="I34" s="112"/>
      <c r="L34" s="39">
        <f>A34*0.0254</f>
        <v>21.335999999999999</v>
      </c>
      <c r="M34" s="39" t="s">
        <v>284</v>
      </c>
      <c r="N34" s="39">
        <v>0</v>
      </c>
      <c r="O34">
        <f>D34*$M$6/$B$6*$O$8</f>
        <v>50.775292110554503</v>
      </c>
      <c r="P34">
        <f t="shared" ref="P34" si="92">E34*$M$6/$B$6*$O$8</f>
        <v>72.851506071665142</v>
      </c>
      <c r="Q34">
        <f t="shared" ref="Q34" si="93">F34*$M$6/$B$6*$O$8</f>
        <v>110.38106980555325</v>
      </c>
      <c r="R34">
        <f t="shared" ref="R34" si="94">G34*$M$6/$B$6*$O$8</f>
        <v>158.94874051999668</v>
      </c>
      <c r="S34">
        <f t="shared" ref="S34" si="95">H34*$M$6/$B$6*$O$8</f>
        <v>158.94874051999668</v>
      </c>
      <c r="T34">
        <f t="shared" ref="T34" si="96">I34*$M$6/$B$6*$O$8</f>
        <v>0</v>
      </c>
    </row>
    <row r="35" spans="1:20" x14ac:dyDescent="0.25">
      <c r="A35" s="107"/>
      <c r="B35" s="107" t="s">
        <v>285</v>
      </c>
      <c r="C35" s="107">
        <v>0</v>
      </c>
      <c r="D35" s="108">
        <f>0.1*$F35</f>
        <v>0.10451099999999998</v>
      </c>
      <c r="E35" s="108">
        <f>0.3*$F35</f>
        <v>0.3135329999999999</v>
      </c>
      <c r="F35" s="108">
        <v>1.0451099999999998</v>
      </c>
      <c r="G35" s="108">
        <f>3*$F35</f>
        <v>3.1353299999999993</v>
      </c>
      <c r="H35" s="109">
        <f>3*$B$6</f>
        <v>114</v>
      </c>
      <c r="I35" s="111"/>
      <c r="M35" s="107" t="s">
        <v>285</v>
      </c>
      <c r="N35" s="107">
        <v>0</v>
      </c>
      <c r="O35" s="120">
        <f>D35*0.0254</f>
        <v>2.6545793999999995E-3</v>
      </c>
      <c r="P35" s="120">
        <f t="shared" ref="P35" si="97">E35*0.0254</f>
        <v>7.9637381999999972E-3</v>
      </c>
      <c r="Q35" s="120">
        <f t="shared" ref="Q35" si="98">F35*0.0254</f>
        <v>2.6545793999999994E-2</v>
      </c>
      <c r="R35" s="120">
        <f t="shared" ref="R35" si="99">G35*0.0254</f>
        <v>7.9637381999999979E-2</v>
      </c>
      <c r="S35" s="120">
        <f t="shared" ref="S35" si="100">H35*0.0254</f>
        <v>2.8956</v>
      </c>
      <c r="T35" s="120">
        <f t="shared" ref="T35" si="101">I35*0.0254</f>
        <v>0</v>
      </c>
    </row>
    <row r="36" spans="1:20" x14ac:dyDescent="0.25">
      <c r="A36" s="39">
        <v>1140</v>
      </c>
      <c r="B36" s="39" t="s">
        <v>284</v>
      </c>
      <c r="C36" s="39">
        <v>0</v>
      </c>
      <c r="D36" s="100">
        <v>410.64113750455249</v>
      </c>
      <c r="E36" s="100">
        <v>589.18076250653178</v>
      </c>
      <c r="F36" s="100">
        <v>892.69812500989667</v>
      </c>
      <c r="G36" s="100">
        <v>1285.4853000142512</v>
      </c>
      <c r="H36" s="100">
        <v>1285.4853000142512</v>
      </c>
      <c r="L36" s="39">
        <f>A36*0.0254</f>
        <v>28.956</v>
      </c>
      <c r="M36" s="39" t="s">
        <v>284</v>
      </c>
      <c r="N36" s="39">
        <v>0</v>
      </c>
      <c r="O36">
        <f>D36*$M$6/$B$6*$O$8</f>
        <v>68.153740303910581</v>
      </c>
      <c r="P36">
        <f t="shared" ref="P36" si="102">E36*$M$6/$B$6*$O$8</f>
        <v>97.785801305610818</v>
      </c>
      <c r="Q36">
        <f t="shared" ref="Q36" si="103">F36*$M$6/$B$6*$O$8</f>
        <v>148.16030500850124</v>
      </c>
      <c r="R36">
        <f t="shared" ref="R36" si="104">G36*$M$6/$B$6*$O$8</f>
        <v>213.35083921224174</v>
      </c>
      <c r="S36">
        <f t="shared" ref="S36" si="105">H36*$M$6/$B$6*$O$8</f>
        <v>213.35083921224174</v>
      </c>
      <c r="T36">
        <f t="shared" ref="T36" si="106">I36*$M$6/$B$6*$O$8</f>
        <v>0</v>
      </c>
    </row>
    <row r="37" spans="1:20" x14ac:dyDescent="0.25">
      <c r="A37" s="107"/>
      <c r="B37" s="107" t="s">
        <v>285</v>
      </c>
      <c r="C37" s="107">
        <v>0</v>
      </c>
      <c r="D37" s="108">
        <f>0.1*$F37</f>
        <v>0.13301400000000002</v>
      </c>
      <c r="E37" s="108">
        <f>0.3*$F37</f>
        <v>0.39904200000000001</v>
      </c>
      <c r="F37" s="108">
        <v>1.3301400000000001</v>
      </c>
      <c r="G37" s="108">
        <f>3*$F37</f>
        <v>3.9904200000000003</v>
      </c>
      <c r="H37" s="109">
        <f>3*$B$6</f>
        <v>114</v>
      </c>
      <c r="M37" s="107" t="s">
        <v>285</v>
      </c>
      <c r="N37" s="107">
        <v>0</v>
      </c>
      <c r="O37" s="120">
        <f>D37*0.0254</f>
        <v>3.3785556000000003E-3</v>
      </c>
      <c r="P37" s="120">
        <f t="shared" ref="P37" si="107">E37*0.0254</f>
        <v>1.01356668E-2</v>
      </c>
      <c r="Q37" s="120">
        <f t="shared" ref="Q37" si="108">F37*0.0254</f>
        <v>3.3785556000000001E-2</v>
      </c>
      <c r="R37" s="120">
        <f t="shared" ref="R37" si="109">G37*0.0254</f>
        <v>0.101356668</v>
      </c>
      <c r="S37" s="120">
        <f t="shared" ref="S37" si="110">H37*0.0254</f>
        <v>2.8956</v>
      </c>
      <c r="T37" s="120">
        <f t="shared" ref="T37" si="111">I37*0.0254</f>
        <v>0</v>
      </c>
    </row>
    <row r="38" spans="1:20" x14ac:dyDescent="0.25">
      <c r="A38" s="39">
        <v>1141</v>
      </c>
      <c r="B38" s="39" t="s">
        <v>284</v>
      </c>
      <c r="C38" s="39">
        <v>0</v>
      </c>
      <c r="D38" s="100">
        <v>414.82949500473467</v>
      </c>
      <c r="E38" s="100">
        <v>595.19014500679316</v>
      </c>
      <c r="F38" s="100">
        <v>901.80325001029269</v>
      </c>
      <c r="G38" s="100">
        <v>1298.5966800148215</v>
      </c>
      <c r="H38" s="100">
        <v>1298.5966800148215</v>
      </c>
      <c r="L38" s="39">
        <f>A38*0.0254</f>
        <v>28.981399999999997</v>
      </c>
      <c r="M38" s="39" t="s">
        <v>284</v>
      </c>
      <c r="N38" s="39">
        <v>0</v>
      </c>
      <c r="O38">
        <f>D38*$M$6/$B$6*$O$8</f>
        <v>68.848878231644832</v>
      </c>
      <c r="P38">
        <f t="shared" ref="P38" si="112">E38*$M$6/$B$6*$O$8</f>
        <v>98.783173114968676</v>
      </c>
      <c r="Q38">
        <f t="shared" ref="Q38" si="113">F38*$M$6/$B$6*$O$8</f>
        <v>149.67147441661919</v>
      </c>
      <c r="R38">
        <f t="shared" ref="R38" si="114">G38*$M$6/$B$6*$O$8</f>
        <v>215.52692315993164</v>
      </c>
      <c r="S38">
        <f t="shared" ref="S38" si="115">H38*$M$6/$B$6*$O$8</f>
        <v>215.52692315993164</v>
      </c>
      <c r="T38">
        <f t="shared" ref="T38" si="116">I38*$M$6/$B$6*$O$8</f>
        <v>0</v>
      </c>
    </row>
    <row r="39" spans="1:20" x14ac:dyDescent="0.25">
      <c r="A39" s="107" t="s">
        <v>300</v>
      </c>
      <c r="B39" s="107" t="s">
        <v>285</v>
      </c>
      <c r="C39" s="107">
        <v>0</v>
      </c>
      <c r="D39" s="108">
        <f>0.1*$F39</f>
        <v>0.13301400000000002</v>
      </c>
      <c r="E39" s="108">
        <f>0.3*$F39</f>
        <v>0.39904200000000001</v>
      </c>
      <c r="F39" s="108">
        <v>1.3301400000000001</v>
      </c>
      <c r="G39" s="108">
        <f>3*$F39</f>
        <v>3.9904200000000003</v>
      </c>
      <c r="H39" s="109">
        <f>3*$B$6</f>
        <v>114</v>
      </c>
      <c r="M39" s="107" t="s">
        <v>285</v>
      </c>
      <c r="N39" s="107">
        <v>0</v>
      </c>
      <c r="O39" s="120">
        <f>D39*0.0254</f>
        <v>3.3785556000000003E-3</v>
      </c>
      <c r="P39" s="120">
        <f t="shared" ref="P39" si="117">E39*0.0254</f>
        <v>1.01356668E-2</v>
      </c>
      <c r="Q39" s="120">
        <f t="shared" ref="Q39" si="118">F39*0.0254</f>
        <v>3.3785556000000001E-2</v>
      </c>
      <c r="R39" s="120">
        <f t="shared" ref="R39" si="119">G39*0.0254</f>
        <v>0.101356668</v>
      </c>
      <c r="S39" s="120">
        <f t="shared" ref="S39" si="120">H39*0.0254</f>
        <v>2.8956</v>
      </c>
      <c r="T39" s="120">
        <f>S39*1.1</f>
        <v>3.1851600000000002</v>
      </c>
    </row>
    <row r="40" spans="1:20" x14ac:dyDescent="0.25">
      <c r="L40" s="39"/>
    </row>
    <row r="42" spans="1:20" x14ac:dyDescent="0.25">
      <c r="A42" s="113" t="s">
        <v>306</v>
      </c>
      <c r="E42" s="114" t="s">
        <v>307</v>
      </c>
      <c r="F42" s="115"/>
      <c r="G42" s="115"/>
      <c r="H42" s="115"/>
      <c r="L42" s="39"/>
    </row>
    <row r="43" spans="1:20" x14ac:dyDescent="0.25">
      <c r="A43" t="s">
        <v>303</v>
      </c>
      <c r="B43" s="116"/>
    </row>
    <row r="44" spans="1:20" x14ac:dyDescent="0.25">
      <c r="A44" t="s">
        <v>304</v>
      </c>
    </row>
    <row r="45" spans="1:20" x14ac:dyDescent="0.25">
      <c r="A45" t="s">
        <v>305</v>
      </c>
      <c r="B45" s="117"/>
    </row>
    <row r="47" spans="1:20" x14ac:dyDescent="0.25">
      <c r="A47" t="s">
        <v>288</v>
      </c>
      <c r="B47">
        <v>38</v>
      </c>
      <c r="C47" t="s">
        <v>289</v>
      </c>
      <c r="D47" t="s">
        <v>290</v>
      </c>
    </row>
    <row r="48" spans="1:20" x14ac:dyDescent="0.25">
      <c r="B48" s="101">
        <f>B47/12</f>
        <v>3.1666666666666665</v>
      </c>
      <c r="C48" t="s">
        <v>91</v>
      </c>
      <c r="D48" s="101">
        <f>$B$6*PI()</f>
        <v>119.38052083641213</v>
      </c>
      <c r="E48" t="s">
        <v>289</v>
      </c>
    </row>
    <row r="49" spans="1:9" x14ac:dyDescent="0.25">
      <c r="B49" s="102"/>
      <c r="D49" s="101"/>
    </row>
    <row r="50" spans="1:9" x14ac:dyDescent="0.25">
      <c r="A50" s="39" t="s">
        <v>291</v>
      </c>
    </row>
    <row r="51" spans="1:9" x14ac:dyDescent="0.25">
      <c r="A51" s="39" t="s">
        <v>292</v>
      </c>
      <c r="B51" s="39"/>
      <c r="C51" s="39"/>
      <c r="D51" s="103" t="s">
        <v>293</v>
      </c>
      <c r="E51" s="103" t="s">
        <v>294</v>
      </c>
    </row>
    <row r="52" spans="1:9" x14ac:dyDescent="0.25">
      <c r="A52" s="39" t="s">
        <v>295</v>
      </c>
      <c r="B52" s="39"/>
      <c r="C52" s="39"/>
      <c r="D52" s="39"/>
      <c r="E52" s="104" t="s">
        <v>296</v>
      </c>
    </row>
    <row r="53" spans="1:9" x14ac:dyDescent="0.25">
      <c r="A53" s="105" t="s">
        <v>297</v>
      </c>
      <c r="B53" s="39"/>
      <c r="C53" s="39"/>
      <c r="D53" s="39"/>
      <c r="E53" s="39"/>
    </row>
    <row r="54" spans="1:9" ht="15.75" thickBot="1" x14ac:dyDescent="0.3">
      <c r="A54" s="106" t="s">
        <v>298</v>
      </c>
      <c r="B54" s="106" t="s">
        <v>299</v>
      </c>
      <c r="C54" s="106">
        <v>0</v>
      </c>
      <c r="D54" s="106">
        <v>1</v>
      </c>
      <c r="E54" s="106">
        <v>2</v>
      </c>
      <c r="F54" s="106">
        <v>3</v>
      </c>
      <c r="G54" s="106">
        <v>4</v>
      </c>
      <c r="H54" s="106">
        <v>5</v>
      </c>
      <c r="I54" s="106">
        <v>6</v>
      </c>
    </row>
    <row r="55" spans="1:9" x14ac:dyDescent="0.25">
      <c r="A55" s="39">
        <v>0</v>
      </c>
      <c r="B55" s="39" t="s">
        <v>284</v>
      </c>
      <c r="C55" s="39">
        <v>0</v>
      </c>
      <c r="D55" s="100">
        <f>0.23*$H55</f>
        <v>9.1051249999999992</v>
      </c>
      <c r="E55" s="100">
        <f>0.33*$H55</f>
        <v>13.063874999999999</v>
      </c>
      <c r="F55" s="100">
        <f>0.5*$H55</f>
        <v>19.793749999999999</v>
      </c>
      <c r="G55" s="100">
        <f>0.72*$H55</f>
        <v>28.502999999999997</v>
      </c>
      <c r="H55" s="100">
        <v>39.587499999999999</v>
      </c>
      <c r="I55" s="100">
        <f>$H55</f>
        <v>39.587499999999999</v>
      </c>
    </row>
    <row r="56" spans="1:9" x14ac:dyDescent="0.25">
      <c r="A56" s="107"/>
      <c r="B56" s="107" t="s">
        <v>285</v>
      </c>
      <c r="C56" s="107">
        <v>0</v>
      </c>
      <c r="D56" s="108">
        <f>0.1*$F56</f>
        <v>0.19001999999999999</v>
      </c>
      <c r="E56" s="108">
        <f>0.3*$F56</f>
        <v>0.5700599999999999</v>
      </c>
      <c r="F56" s="108">
        <v>1.9001999999999999</v>
      </c>
      <c r="G56" s="108">
        <f>3*$F56</f>
        <v>5.7005999999999997</v>
      </c>
      <c r="H56" s="108">
        <f>8*$F56</f>
        <v>15.201599999999999</v>
      </c>
      <c r="I56" s="109">
        <f>3*$B$6</f>
        <v>114</v>
      </c>
    </row>
    <row r="57" spans="1:9" x14ac:dyDescent="0.25">
      <c r="A57" s="39">
        <v>36</v>
      </c>
      <c r="B57" s="39" t="s">
        <v>284</v>
      </c>
      <c r="C57" s="39">
        <v>0</v>
      </c>
      <c r="D57" s="100">
        <f>0.23*$H57</f>
        <v>19.417655740841447</v>
      </c>
      <c r="E57" s="100">
        <f>0.33*$H57</f>
        <v>27.860114758598598</v>
      </c>
      <c r="F57" s="100">
        <f>0.5*$H57</f>
        <v>42.212295088785751</v>
      </c>
      <c r="G57" s="100">
        <f>0.72*$H57</f>
        <v>60.785704927851476</v>
      </c>
      <c r="H57" s="100">
        <v>84.424590177571503</v>
      </c>
      <c r="I57" s="100">
        <f>$H57</f>
        <v>84.424590177571503</v>
      </c>
    </row>
    <row r="58" spans="1:9" x14ac:dyDescent="0.25">
      <c r="A58" s="107"/>
      <c r="B58" s="107" t="s">
        <v>285</v>
      </c>
      <c r="C58" s="107">
        <v>0</v>
      </c>
      <c r="D58" s="108">
        <f>0.1*$F58</f>
        <v>0.19001999999999999</v>
      </c>
      <c r="E58" s="108">
        <f>0.3*$F58</f>
        <v>0.5700599999999999</v>
      </c>
      <c r="F58" s="108">
        <v>1.9001999999999999</v>
      </c>
      <c r="G58" s="108">
        <f>3*$F58</f>
        <v>5.7005999999999997</v>
      </c>
      <c r="H58" s="108">
        <f>8*$F58</f>
        <v>15.201599999999999</v>
      </c>
      <c r="I58" s="109">
        <f>3*$B$6</f>
        <v>114</v>
      </c>
    </row>
    <row r="59" spans="1:9" x14ac:dyDescent="0.25">
      <c r="A59" s="39">
        <v>72</v>
      </c>
      <c r="B59" s="39" t="s">
        <v>284</v>
      </c>
      <c r="C59" s="39">
        <v>0</v>
      </c>
      <c r="D59" s="100">
        <f>0.23*$H59</f>
        <v>31.143052248767894</v>
      </c>
      <c r="E59" s="100">
        <f>0.33*$H59</f>
        <v>44.683509748232197</v>
      </c>
      <c r="F59" s="100">
        <f>0.5*$H59</f>
        <v>67.702287497321507</v>
      </c>
      <c r="G59" s="100">
        <f>0.72*$H59</f>
        <v>97.491293996142971</v>
      </c>
      <c r="H59" s="100">
        <v>135.40457499464301</v>
      </c>
      <c r="I59" s="100">
        <f>$H59</f>
        <v>135.40457499464301</v>
      </c>
    </row>
    <row r="60" spans="1:9" x14ac:dyDescent="0.25">
      <c r="A60" s="107"/>
      <c r="B60" s="107" t="s">
        <v>285</v>
      </c>
      <c r="C60" s="107">
        <v>0</v>
      </c>
      <c r="D60" s="108">
        <f>0.1*$F60</f>
        <v>0.19001999999999999</v>
      </c>
      <c r="E60" s="108">
        <f>0.3*$F60</f>
        <v>0.5700599999999999</v>
      </c>
      <c r="F60" s="108">
        <v>1.9001999999999999</v>
      </c>
      <c r="G60" s="108">
        <f>3*$F60</f>
        <v>5.7005999999999997</v>
      </c>
      <c r="H60" s="108">
        <f>8*$F60</f>
        <v>15.201599999999999</v>
      </c>
      <c r="I60" s="109">
        <f>3*$B$6</f>
        <v>114</v>
      </c>
    </row>
    <row r="61" spans="1:9" x14ac:dyDescent="0.25">
      <c r="A61" s="39">
        <v>108</v>
      </c>
      <c r="B61" s="39" t="s">
        <v>284</v>
      </c>
      <c r="C61" s="39">
        <v>0</v>
      </c>
      <c r="D61" s="100">
        <f>0.23*$H61</f>
        <v>44.281314523779329</v>
      </c>
      <c r="E61" s="100">
        <f>0.33*$H61</f>
        <v>63.534059968900785</v>
      </c>
      <c r="F61" s="100">
        <f>0.5*$H61</f>
        <v>96.263727225607241</v>
      </c>
      <c r="G61" s="100">
        <f>0.72*$H61</f>
        <v>138.61976720487442</v>
      </c>
      <c r="H61" s="100">
        <v>192.52745445121448</v>
      </c>
      <c r="I61" s="100">
        <f>$H61</f>
        <v>192.52745445121448</v>
      </c>
    </row>
    <row r="62" spans="1:9" x14ac:dyDescent="0.25">
      <c r="A62" s="107"/>
      <c r="B62" s="107" t="s">
        <v>285</v>
      </c>
      <c r="C62" s="107">
        <v>0</v>
      </c>
      <c r="D62" s="108">
        <f>0.1*$F62</f>
        <v>0.19001999999999999</v>
      </c>
      <c r="E62" s="108">
        <f>0.3*$F62</f>
        <v>0.5700599999999999</v>
      </c>
      <c r="F62" s="108">
        <v>1.9001999999999999</v>
      </c>
      <c r="G62" s="108">
        <f>3*$F62</f>
        <v>5.7005999999999997</v>
      </c>
      <c r="H62" s="108">
        <f>8*$F62</f>
        <v>15.201599999999999</v>
      </c>
      <c r="I62" s="109">
        <f>3*$B$6</f>
        <v>114</v>
      </c>
    </row>
    <row r="63" spans="1:9" x14ac:dyDescent="0.25">
      <c r="A63" s="39">
        <v>144</v>
      </c>
      <c r="B63" s="39" t="s">
        <v>284</v>
      </c>
      <c r="C63" s="39">
        <v>0</v>
      </c>
      <c r="D63" s="100">
        <f>0.23*$H63</f>
        <v>58.832442565875787</v>
      </c>
      <c r="E63" s="100">
        <f>0.33*$H63</f>
        <v>84.411765420604397</v>
      </c>
      <c r="F63" s="100">
        <f>0.5*$H63</f>
        <v>127.89661427364301</v>
      </c>
      <c r="G63" s="100">
        <f>0.72*$H63</f>
        <v>184.17112455404592</v>
      </c>
      <c r="H63" s="100">
        <v>255.79322854728602</v>
      </c>
      <c r="I63" s="100">
        <f>$H63</f>
        <v>255.79322854728602</v>
      </c>
    </row>
    <row r="64" spans="1:9" x14ac:dyDescent="0.25">
      <c r="A64" s="107"/>
      <c r="B64" s="107" t="s">
        <v>285</v>
      </c>
      <c r="C64" s="107">
        <v>0</v>
      </c>
      <c r="D64" s="108">
        <f>0.1*$F64</f>
        <v>0.19001999999999999</v>
      </c>
      <c r="E64" s="108">
        <f>0.3*$F64</f>
        <v>0.5700599999999999</v>
      </c>
      <c r="F64" s="108">
        <v>1.9001999999999999</v>
      </c>
      <c r="G64" s="108">
        <f>3*$F64</f>
        <v>5.7005999999999997</v>
      </c>
      <c r="H64" s="108">
        <f>8*$F64</f>
        <v>15.201599999999999</v>
      </c>
      <c r="I64" s="109">
        <f>3*$B$6</f>
        <v>114</v>
      </c>
    </row>
    <row r="65" spans="1:9" x14ac:dyDescent="0.25">
      <c r="A65" s="39">
        <v>180</v>
      </c>
      <c r="B65" s="39" t="s">
        <v>284</v>
      </c>
      <c r="C65" s="39">
        <v>0</v>
      </c>
      <c r="D65" s="100">
        <f>0.23*$H65</f>
        <v>74.796436375057226</v>
      </c>
      <c r="E65" s="100">
        <f>0.33*$H65</f>
        <v>107.31662610334297</v>
      </c>
      <c r="F65" s="100">
        <f>0.5*$H65</f>
        <v>162.60094864142874</v>
      </c>
      <c r="G65" s="100">
        <f>0.72*$H65</f>
        <v>234.14536604365739</v>
      </c>
      <c r="H65" s="100">
        <v>325.20189728285749</v>
      </c>
      <c r="I65" s="100">
        <f>$H65</f>
        <v>325.20189728285749</v>
      </c>
    </row>
    <row r="66" spans="1:9" x14ac:dyDescent="0.25">
      <c r="A66" s="107"/>
      <c r="B66" s="107" t="s">
        <v>285</v>
      </c>
      <c r="C66" s="107">
        <v>0</v>
      </c>
      <c r="D66" s="108">
        <f>0.1*$F66</f>
        <v>0.19001999999999999</v>
      </c>
      <c r="E66" s="108">
        <f>0.3*$F66</f>
        <v>0.5700599999999999</v>
      </c>
      <c r="F66" s="108">
        <v>1.9001999999999999</v>
      </c>
      <c r="G66" s="108">
        <f>3*$F66</f>
        <v>5.7005999999999997</v>
      </c>
      <c r="H66" s="108">
        <f>8*$F66</f>
        <v>15.201599999999999</v>
      </c>
      <c r="I66" s="109">
        <f>3*$B$6</f>
        <v>114</v>
      </c>
    </row>
    <row r="67" spans="1:9" x14ac:dyDescent="0.25">
      <c r="A67" s="39">
        <v>216</v>
      </c>
      <c r="B67" s="39" t="s">
        <v>284</v>
      </c>
      <c r="C67" s="39">
        <v>0</v>
      </c>
      <c r="D67" s="100">
        <f>0.23*$H67</f>
        <v>92.173295951323666</v>
      </c>
      <c r="E67" s="100">
        <f>0.33*$H67</f>
        <v>132.24864201711657</v>
      </c>
      <c r="F67" s="100">
        <f>0.5*$H67</f>
        <v>200.3767303289645</v>
      </c>
      <c r="G67" s="100">
        <f>0.72*$H67</f>
        <v>288.54249167370887</v>
      </c>
      <c r="H67" s="100">
        <v>400.753460657929</v>
      </c>
      <c r="I67" s="100">
        <f>$H67</f>
        <v>400.753460657929</v>
      </c>
    </row>
    <row r="68" spans="1:9" x14ac:dyDescent="0.25">
      <c r="A68" s="107"/>
      <c r="B68" s="107" t="s">
        <v>285</v>
      </c>
      <c r="C68" s="107">
        <v>0</v>
      </c>
      <c r="D68" s="108">
        <f>0.1*$F68</f>
        <v>0.19001999999999999</v>
      </c>
      <c r="E68" s="108">
        <f>0.3*$F68</f>
        <v>0.5700599999999999</v>
      </c>
      <c r="F68" s="108">
        <v>1.9001999999999999</v>
      </c>
      <c r="G68" s="108">
        <f>3*$F68</f>
        <v>5.7005999999999997</v>
      </c>
      <c r="H68" s="108">
        <f>8*$F68</f>
        <v>15.201599999999999</v>
      </c>
      <c r="I68" s="109">
        <f>3*$B$6</f>
        <v>114</v>
      </c>
    </row>
    <row r="69" spans="1:9" x14ac:dyDescent="0.25">
      <c r="A69" s="39">
        <v>252</v>
      </c>
      <c r="B69" s="39" t="s">
        <v>284</v>
      </c>
      <c r="C69" s="39">
        <v>0</v>
      </c>
      <c r="D69" s="100">
        <f>0.23*$H69</f>
        <v>110.90042250327784</v>
      </c>
      <c r="E69" s="100">
        <f>0.33*$H69</f>
        <v>159.11799750470297</v>
      </c>
      <c r="F69" s="100">
        <f>0.5*$H69</f>
        <v>241.08787500712572</v>
      </c>
      <c r="G69" s="100">
        <f>0.72*$H69</f>
        <v>347.16654001026103</v>
      </c>
      <c r="H69" s="100">
        <v>482.17575001425143</v>
      </c>
      <c r="I69" s="100">
        <f>$H69</f>
        <v>482.17575001425143</v>
      </c>
    </row>
    <row r="70" spans="1:9" x14ac:dyDescent="0.25">
      <c r="A70" s="107"/>
      <c r="B70" s="107" t="s">
        <v>285</v>
      </c>
      <c r="C70" s="107">
        <v>0</v>
      </c>
      <c r="D70" s="108">
        <f>0.1*$F70</f>
        <v>0.19001999999999999</v>
      </c>
      <c r="E70" s="108">
        <f>0.3*$F70</f>
        <v>0.5700599999999999</v>
      </c>
      <c r="F70" s="108">
        <v>1.9001999999999999</v>
      </c>
      <c r="G70" s="108">
        <f>3*$F70</f>
        <v>5.7005999999999997</v>
      </c>
      <c r="H70" s="108">
        <f>8*$F70</f>
        <v>15.201599999999999</v>
      </c>
      <c r="I70" s="109">
        <f>3*$B$6</f>
        <v>114</v>
      </c>
    </row>
    <row r="71" spans="1:9" x14ac:dyDescent="0.25">
      <c r="A71" s="39">
        <v>480</v>
      </c>
      <c r="B71" s="39" t="s">
        <v>284</v>
      </c>
      <c r="C71" s="39">
        <v>0</v>
      </c>
      <c r="D71" s="100">
        <f>0.23*$H71</f>
        <v>186.52498929195778</v>
      </c>
      <c r="E71" s="100">
        <f>0.33*$H71</f>
        <v>267.62281072324379</v>
      </c>
      <c r="F71" s="100">
        <f>0.5*$H71</f>
        <v>405.48910715642995</v>
      </c>
      <c r="G71" s="100">
        <f>0.72*$H71</f>
        <v>583.90431430525916</v>
      </c>
      <c r="H71" s="100">
        <v>810.9782143128599</v>
      </c>
      <c r="I71" s="100">
        <f>$H71</f>
        <v>810.9782143128599</v>
      </c>
    </row>
    <row r="72" spans="1:9" x14ac:dyDescent="0.25">
      <c r="A72" s="107"/>
      <c r="B72" s="107" t="s">
        <v>285</v>
      </c>
      <c r="C72" s="107">
        <v>0</v>
      </c>
      <c r="D72" s="108">
        <f>0.1*$F72</f>
        <v>0.19001999999999999</v>
      </c>
      <c r="E72" s="108">
        <f>0.3*$F72</f>
        <v>0.5700599999999999</v>
      </c>
      <c r="F72" s="108">
        <v>1.9001999999999999</v>
      </c>
      <c r="G72" s="108">
        <f>3*$F72</f>
        <v>5.7005999999999997</v>
      </c>
      <c r="H72" s="108">
        <f>8*$F72</f>
        <v>15.201599999999999</v>
      </c>
      <c r="I72" s="109">
        <f>3*$B$6</f>
        <v>114</v>
      </c>
    </row>
    <row r="73" spans="1:9" x14ac:dyDescent="0.25">
      <c r="A73" s="39">
        <v>481</v>
      </c>
      <c r="B73" s="39" t="s">
        <v>284</v>
      </c>
      <c r="C73" s="39">
        <v>0</v>
      </c>
      <c r="D73" s="100">
        <f>0.23*$H73</f>
        <v>186.52498929195778</v>
      </c>
      <c r="E73" s="100">
        <f>0.33*$H73</f>
        <v>267.62281072324379</v>
      </c>
      <c r="F73" s="100">
        <f>0.5*$H73</f>
        <v>405.48910715642995</v>
      </c>
      <c r="G73" s="100">
        <f>0.72*$H73</f>
        <v>583.90431430525916</v>
      </c>
      <c r="H73" s="100">
        <v>810.9782143128599</v>
      </c>
      <c r="I73" s="100">
        <f>$H73</f>
        <v>810.9782143128599</v>
      </c>
    </row>
    <row r="74" spans="1:9" x14ac:dyDescent="0.25">
      <c r="A74" s="107"/>
      <c r="B74" s="107" t="s">
        <v>285</v>
      </c>
      <c r="C74" s="107">
        <v>0</v>
      </c>
      <c r="D74" s="108">
        <f>0.1*$F74</f>
        <v>0.10451099999999998</v>
      </c>
      <c r="E74" s="108">
        <f>0.3*$F74</f>
        <v>0.3135329999999999</v>
      </c>
      <c r="F74" s="108">
        <v>1.0451099999999998</v>
      </c>
      <c r="G74" s="108">
        <f>3*$F74</f>
        <v>3.1353299999999993</v>
      </c>
      <c r="H74" s="108">
        <f>8*$F74</f>
        <v>8.3608799999999981</v>
      </c>
      <c r="I74" s="109">
        <f>3*$B$6</f>
        <v>114</v>
      </c>
    </row>
    <row r="75" spans="1:9" x14ac:dyDescent="0.25">
      <c r="A75" s="39">
        <v>840</v>
      </c>
      <c r="B75" s="39" t="s">
        <v>284</v>
      </c>
      <c r="C75" s="39">
        <v>0</v>
      </c>
      <c r="D75" s="100">
        <f>0.23*$H75</f>
        <v>305.93219999999997</v>
      </c>
      <c r="E75" s="100">
        <f>0.33*$H75</f>
        <v>438.94619999999998</v>
      </c>
      <c r="F75" s="100">
        <f>0.5*$H75</f>
        <v>665.06999999999994</v>
      </c>
      <c r="G75" s="100">
        <f>0.72*$H75</f>
        <v>957.70079999999984</v>
      </c>
      <c r="H75" s="100">
        <v>1330.1399999999999</v>
      </c>
      <c r="I75" s="100">
        <f>$H75</f>
        <v>1330.1399999999999</v>
      </c>
    </row>
    <row r="76" spans="1:9" x14ac:dyDescent="0.25">
      <c r="A76" s="107"/>
      <c r="B76" s="107" t="s">
        <v>285</v>
      </c>
      <c r="C76" s="107">
        <v>0</v>
      </c>
      <c r="D76" s="108">
        <f>0.1*$F76</f>
        <v>0.10451099999999998</v>
      </c>
      <c r="E76" s="108">
        <f>0.3*$F76</f>
        <v>0.3135329999999999</v>
      </c>
      <c r="F76" s="108">
        <v>1.0451099999999998</v>
      </c>
      <c r="G76" s="108">
        <f>3*$F76</f>
        <v>3.1353299999999993</v>
      </c>
      <c r="H76" s="108">
        <f>8*$F76</f>
        <v>8.3608799999999981</v>
      </c>
      <c r="I76" s="109">
        <f>3*$B$6</f>
        <v>114</v>
      </c>
    </row>
    <row r="77" spans="1:9" x14ac:dyDescent="0.25">
      <c r="A77" s="39">
        <v>1140</v>
      </c>
      <c r="B77" s="39" t="s">
        <v>284</v>
      </c>
      <c r="C77" s="39">
        <v>0</v>
      </c>
      <c r="D77" s="100">
        <f>0.23*$H77</f>
        <v>410.64113750455249</v>
      </c>
      <c r="E77" s="100">
        <f>0.33*$H77</f>
        <v>589.18076250653178</v>
      </c>
      <c r="F77" s="100">
        <f>0.5*$H77</f>
        <v>892.69812500989667</v>
      </c>
      <c r="G77" s="100">
        <f>0.72*$H77</f>
        <v>1285.4853000142512</v>
      </c>
      <c r="H77" s="100">
        <v>1785.3962500197933</v>
      </c>
      <c r="I77" s="100">
        <f>$H77</f>
        <v>1785.3962500197933</v>
      </c>
    </row>
    <row r="78" spans="1:9" x14ac:dyDescent="0.25">
      <c r="A78" s="107"/>
      <c r="B78" s="107" t="s">
        <v>285</v>
      </c>
      <c r="C78" s="107">
        <v>0</v>
      </c>
      <c r="D78" s="108">
        <f>0.1*$F78</f>
        <v>0.13301400000000002</v>
      </c>
      <c r="E78" s="108">
        <f>0.3*$F78</f>
        <v>0.39904200000000001</v>
      </c>
      <c r="F78" s="108">
        <v>1.3301400000000001</v>
      </c>
      <c r="G78" s="108">
        <f>3*$F78</f>
        <v>3.9904200000000003</v>
      </c>
      <c r="H78" s="108">
        <f>8*$F78</f>
        <v>10.641120000000001</v>
      </c>
      <c r="I78" s="109">
        <f>3*$B$6</f>
        <v>114</v>
      </c>
    </row>
    <row r="79" spans="1:9" x14ac:dyDescent="0.25">
      <c r="A79" s="39">
        <v>1141</v>
      </c>
      <c r="B79" s="39" t="s">
        <v>284</v>
      </c>
      <c r="C79" s="39">
        <v>0</v>
      </c>
      <c r="D79" s="100">
        <f>0.23*$H79</f>
        <v>414.82949500473467</v>
      </c>
      <c r="E79" s="100">
        <f>0.33*$H79</f>
        <v>595.19014500679316</v>
      </c>
      <c r="F79" s="100">
        <f>0.5*$H79</f>
        <v>901.80325001029269</v>
      </c>
      <c r="G79" s="100">
        <f>0.72*$H79</f>
        <v>1298.5966800148215</v>
      </c>
      <c r="H79" s="100">
        <v>1803.6065000205854</v>
      </c>
      <c r="I79" s="100">
        <f>$H79</f>
        <v>1803.6065000205854</v>
      </c>
    </row>
    <row r="80" spans="1:9" x14ac:dyDescent="0.25">
      <c r="A80" s="107" t="s">
        <v>300</v>
      </c>
      <c r="B80" s="107" t="s">
        <v>285</v>
      </c>
      <c r="C80" s="107">
        <v>0</v>
      </c>
      <c r="D80" s="108">
        <f>0.1*$F80</f>
        <v>0.13301400000000002</v>
      </c>
      <c r="E80" s="108">
        <f>0.3*$F80</f>
        <v>0.39904200000000001</v>
      </c>
      <c r="F80" s="108">
        <v>1.3301400000000001</v>
      </c>
      <c r="G80" s="108">
        <f>3*$F80</f>
        <v>3.9904200000000003</v>
      </c>
      <c r="H80" s="108">
        <f>8*$F80</f>
        <v>10.641120000000001</v>
      </c>
      <c r="I80" s="109">
        <f>3*$B$6</f>
        <v>114</v>
      </c>
    </row>
    <row r="83" spans="1:10" x14ac:dyDescent="0.25">
      <c r="A83" s="113" t="s">
        <v>312</v>
      </c>
    </row>
    <row r="84" spans="1:10" x14ac:dyDescent="0.25">
      <c r="A84" t="s">
        <v>303</v>
      </c>
      <c r="B84" s="116"/>
    </row>
    <row r="85" spans="1:10" x14ac:dyDescent="0.25">
      <c r="A85" t="s">
        <v>304</v>
      </c>
    </row>
    <row r="86" spans="1:10" x14ac:dyDescent="0.25">
      <c r="A86" t="s">
        <v>305</v>
      </c>
      <c r="B86" s="117"/>
      <c r="D86" s="116" t="s">
        <v>313</v>
      </c>
    </row>
    <row r="88" spans="1:10" x14ac:dyDescent="0.25">
      <c r="A88" t="s">
        <v>288</v>
      </c>
      <c r="B88">
        <v>38</v>
      </c>
      <c r="C88" t="s">
        <v>289</v>
      </c>
      <c r="D88" t="s">
        <v>290</v>
      </c>
    </row>
    <row r="89" spans="1:10" x14ac:dyDescent="0.25">
      <c r="B89" s="101">
        <f>B88/12</f>
        <v>3.1666666666666665</v>
      </c>
      <c r="C89" t="s">
        <v>91</v>
      </c>
      <c r="D89" s="101">
        <f>$B$6*PI()</f>
        <v>119.38052083641213</v>
      </c>
      <c r="E89" t="s">
        <v>289</v>
      </c>
    </row>
    <row r="90" spans="1:10" x14ac:dyDescent="0.25">
      <c r="B90" s="102"/>
      <c r="D90" s="101"/>
    </row>
    <row r="91" spans="1:10" x14ac:dyDescent="0.25">
      <c r="A91" s="39" t="s">
        <v>291</v>
      </c>
      <c r="B91" s="39"/>
      <c r="C91" s="39"/>
      <c r="D91" s="103" t="s">
        <v>293</v>
      </c>
      <c r="E91" s="103" t="s">
        <v>314</v>
      </c>
      <c r="F91" s="39"/>
      <c r="G91" s="39"/>
      <c r="H91" s="39"/>
      <c r="I91" s="39"/>
      <c r="J91" s="39"/>
    </row>
    <row r="92" spans="1:10" x14ac:dyDescent="0.25">
      <c r="A92" s="39" t="s">
        <v>292</v>
      </c>
      <c r="B92" s="39"/>
      <c r="C92" s="39"/>
      <c r="D92" s="39"/>
      <c r="E92" s="104" t="s">
        <v>315</v>
      </c>
      <c r="F92" s="39"/>
      <c r="G92" s="39"/>
      <c r="H92" s="39"/>
      <c r="I92" s="39"/>
      <c r="J92" s="39"/>
    </row>
    <row r="93" spans="1:10" x14ac:dyDescent="0.25">
      <c r="A93" s="39" t="s">
        <v>295</v>
      </c>
      <c r="B93" s="39"/>
      <c r="C93" s="39"/>
      <c r="D93" s="39"/>
      <c r="E93" s="39"/>
      <c r="F93" s="39"/>
      <c r="G93" s="39"/>
      <c r="H93" s="39"/>
      <c r="I93" s="39"/>
      <c r="J93" s="39"/>
    </row>
    <row r="94" spans="1:10" x14ac:dyDescent="0.25">
      <c r="A94" s="39" t="s">
        <v>297</v>
      </c>
      <c r="B94" s="39"/>
      <c r="C94" s="39"/>
      <c r="D94" s="39"/>
      <c r="E94" s="39"/>
      <c r="F94" s="39"/>
      <c r="G94" s="39"/>
      <c r="H94" s="39"/>
      <c r="I94" s="39"/>
      <c r="J94" s="39"/>
    </row>
    <row r="95" spans="1:10" ht="15.75" thickBot="1" x14ac:dyDescent="0.3">
      <c r="A95" s="106" t="s">
        <v>298</v>
      </c>
      <c r="B95" s="106" t="s">
        <v>299</v>
      </c>
      <c r="C95" s="106">
        <v>0</v>
      </c>
      <c r="D95" s="106">
        <v>1</v>
      </c>
      <c r="E95" s="106">
        <v>2</v>
      </c>
      <c r="F95" s="106">
        <v>3</v>
      </c>
      <c r="G95" s="106">
        <v>4</v>
      </c>
      <c r="H95" s="106">
        <v>5</v>
      </c>
      <c r="I95" s="106">
        <v>6</v>
      </c>
      <c r="J95" s="106">
        <v>7</v>
      </c>
    </row>
    <row r="96" spans="1:10" x14ac:dyDescent="0.25">
      <c r="A96" s="39">
        <v>0</v>
      </c>
      <c r="B96" s="39" t="s">
        <v>316</v>
      </c>
      <c r="C96" s="39">
        <v>0</v>
      </c>
      <c r="D96" s="100">
        <f>0.3*$H96</f>
        <v>12.435</v>
      </c>
      <c r="E96" s="100">
        <f>0.5*$H96</f>
        <v>20.725000000000001</v>
      </c>
      <c r="F96" s="100">
        <f>0.75*$H96</f>
        <v>31.087500000000002</v>
      </c>
      <c r="G96" s="100">
        <f>0.9*$H96</f>
        <v>37.305000000000007</v>
      </c>
      <c r="H96" s="100">
        <v>41.45</v>
      </c>
      <c r="I96" s="100">
        <f>0.7*$H96</f>
        <v>29.015000000000001</v>
      </c>
      <c r="J96" s="100">
        <f>0.7*$H96</f>
        <v>29.015000000000001</v>
      </c>
    </row>
    <row r="97" spans="1:16" x14ac:dyDescent="0.25">
      <c r="A97" s="107"/>
      <c r="B97" s="119" t="s">
        <v>317</v>
      </c>
      <c r="C97" s="107">
        <v>0</v>
      </c>
      <c r="D97" s="108">
        <f>0.0016*$B$6</f>
        <v>6.08E-2</v>
      </c>
      <c r="E97" s="108">
        <f>0.0031*$B$6</f>
        <v>0.1178</v>
      </c>
      <c r="F97" s="108">
        <f>0.0057*$B$6</f>
        <v>0.21660000000000001</v>
      </c>
      <c r="G97" s="108">
        <f>0.008*$B$6</f>
        <v>0.30399999999999999</v>
      </c>
      <c r="H97" s="108">
        <f>0.01*$B$6</f>
        <v>0.38</v>
      </c>
      <c r="I97" s="108">
        <f>0.02*$B$6</f>
        <v>0.76</v>
      </c>
      <c r="J97" s="108">
        <f>$B$6</f>
        <v>38</v>
      </c>
    </row>
    <row r="98" spans="1:16" x14ac:dyDescent="0.25">
      <c r="A98" s="39">
        <v>840</v>
      </c>
      <c r="B98" s="39" t="s">
        <v>316</v>
      </c>
      <c r="C98" s="39">
        <v>0</v>
      </c>
      <c r="D98" s="100">
        <f>0.3*$H98</f>
        <v>139.27799999999999</v>
      </c>
      <c r="E98" s="100">
        <f>0.5*$H98</f>
        <v>232.13</v>
      </c>
      <c r="F98" s="100">
        <f>0.75*$H98</f>
        <v>348.19499999999999</v>
      </c>
      <c r="G98" s="100">
        <f>0.9*$H98</f>
        <v>417.834</v>
      </c>
      <c r="H98" s="100">
        <v>464.26</v>
      </c>
      <c r="I98" s="100">
        <f>0.7*$H98</f>
        <v>324.98199999999997</v>
      </c>
      <c r="J98" s="100">
        <f>0.7*$H98</f>
        <v>324.98199999999997</v>
      </c>
    </row>
    <row r="99" spans="1:16" x14ac:dyDescent="0.25">
      <c r="A99" s="107"/>
      <c r="B99" s="119" t="s">
        <v>317</v>
      </c>
      <c r="C99" s="107">
        <v>0</v>
      </c>
      <c r="D99" s="108">
        <f>0.0016*$B$6</f>
        <v>6.08E-2</v>
      </c>
      <c r="E99" s="108">
        <f>0.0031*$B$6</f>
        <v>0.1178</v>
      </c>
      <c r="F99" s="108">
        <f>0.0057*$B$6</f>
        <v>0.21660000000000001</v>
      </c>
      <c r="G99" s="108">
        <f>0.008*$B$6</f>
        <v>0.30399999999999999</v>
      </c>
      <c r="H99" s="108">
        <f>0.01*$B$6</f>
        <v>0.38</v>
      </c>
      <c r="I99" s="108">
        <f>0.02*$B$6</f>
        <v>0.76</v>
      </c>
      <c r="J99" s="108">
        <f>$B$6</f>
        <v>38</v>
      </c>
    </row>
    <row r="100" spans="1:16" x14ac:dyDescent="0.25">
      <c r="A100" s="39">
        <v>1920</v>
      </c>
      <c r="B100" s="39" t="s">
        <v>316</v>
      </c>
      <c r="C100" s="39">
        <v>0</v>
      </c>
      <c r="D100" s="100">
        <f>0.3*$H100</f>
        <v>310.88399999999996</v>
      </c>
      <c r="E100" s="100">
        <f>0.5*$H100</f>
        <v>518.14</v>
      </c>
      <c r="F100" s="100">
        <f>0.75*$H100</f>
        <v>777.21</v>
      </c>
      <c r="G100" s="100">
        <f>0.9*$H100</f>
        <v>932.65200000000004</v>
      </c>
      <c r="H100" s="100">
        <v>1036.28</v>
      </c>
      <c r="I100" s="100">
        <f>0.7*$H100</f>
        <v>725.39599999999996</v>
      </c>
      <c r="J100" s="100">
        <f>0.7*$H100</f>
        <v>725.39599999999996</v>
      </c>
    </row>
    <row r="101" spans="1:16" x14ac:dyDescent="0.25">
      <c r="A101" s="107"/>
      <c r="B101" s="119" t="s">
        <v>317</v>
      </c>
      <c r="C101" s="107">
        <v>0</v>
      </c>
      <c r="D101" s="108">
        <f>0.0016*$B$6</f>
        <v>6.08E-2</v>
      </c>
      <c r="E101" s="108">
        <f>0.0031*$B$6</f>
        <v>0.1178</v>
      </c>
      <c r="F101" s="108">
        <f>0.0057*$B$6</f>
        <v>0.21660000000000001</v>
      </c>
      <c r="G101" s="108">
        <f>0.008*$B$6</f>
        <v>0.30399999999999999</v>
      </c>
      <c r="H101" s="108">
        <f>0.01*$B$6</f>
        <v>0.38</v>
      </c>
      <c r="I101" s="108">
        <f>0.02*$B$6</f>
        <v>0.76</v>
      </c>
      <c r="J101" s="108">
        <f>$B$6</f>
        <v>38</v>
      </c>
    </row>
    <row r="102" spans="1:16" x14ac:dyDescent="0.25">
      <c r="A102" s="39">
        <v>5988</v>
      </c>
      <c r="B102" s="39" t="s">
        <v>316</v>
      </c>
      <c r="C102" s="39">
        <v>0</v>
      </c>
      <c r="D102" s="100">
        <f>0.3*$H102</f>
        <v>770.99699999999996</v>
      </c>
      <c r="E102" s="100">
        <f>0.5*$H102</f>
        <v>1284.9949999999999</v>
      </c>
      <c r="F102" s="100">
        <f>0.75*$H102</f>
        <v>1927.4924999999998</v>
      </c>
      <c r="G102" s="100">
        <f>0.9*$H102</f>
        <v>2312.991</v>
      </c>
      <c r="H102" s="100">
        <v>2569.9899999999998</v>
      </c>
      <c r="I102" s="100">
        <f>0.7*$H102</f>
        <v>1798.9929999999997</v>
      </c>
      <c r="J102" s="100">
        <f>0.7*$H102</f>
        <v>1798.9929999999997</v>
      </c>
    </row>
    <row r="103" spans="1:16" x14ac:dyDescent="0.25">
      <c r="A103" s="107"/>
      <c r="B103" s="119" t="s">
        <v>317</v>
      </c>
      <c r="C103" s="107">
        <v>0</v>
      </c>
      <c r="D103" s="108">
        <f>0.0016*$B$6</f>
        <v>6.08E-2</v>
      </c>
      <c r="E103" s="108">
        <f>0.0031*$B$6</f>
        <v>0.1178</v>
      </c>
      <c r="F103" s="108">
        <f>0.0057*$B$6</f>
        <v>0.21660000000000001</v>
      </c>
      <c r="G103" s="108">
        <f>0.008*$B$6</f>
        <v>0.30399999999999999</v>
      </c>
      <c r="H103" s="108">
        <f>0.01*$B$6</f>
        <v>0.38</v>
      </c>
      <c r="I103" s="108">
        <f>0.02*$B$6</f>
        <v>0.76</v>
      </c>
      <c r="J103" s="108">
        <f>$B$6</f>
        <v>38</v>
      </c>
    </row>
    <row r="105" spans="1:16" s="118" customFormat="1" x14ac:dyDescent="0.25"/>
    <row r="106" spans="1:16" ht="15.75" thickBot="1" x14ac:dyDescent="0.3"/>
    <row r="107" spans="1:16" x14ac:dyDescent="0.25">
      <c r="A107" s="123" t="s">
        <v>344</v>
      </c>
      <c r="B107" s="148" t="s">
        <v>345</v>
      </c>
      <c r="C107" s="148"/>
      <c r="D107" s="148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149"/>
    </row>
    <row r="108" spans="1:16" x14ac:dyDescent="0.25">
      <c r="A108" s="124" t="s">
        <v>89</v>
      </c>
      <c r="B108" s="125" t="s">
        <v>346</v>
      </c>
      <c r="C108" s="125" t="s">
        <v>347</v>
      </c>
      <c r="D108" s="125" t="s">
        <v>348</v>
      </c>
      <c r="E108" s="125" t="s">
        <v>349</v>
      </c>
      <c r="F108" s="125" t="s">
        <v>350</v>
      </c>
      <c r="G108" s="125" t="s">
        <v>351</v>
      </c>
      <c r="H108" s="125" t="s">
        <v>352</v>
      </c>
      <c r="I108" s="125" t="s">
        <v>353</v>
      </c>
      <c r="J108" s="125" t="s">
        <v>354</v>
      </c>
      <c r="K108" s="125" t="s">
        <v>355</v>
      </c>
      <c r="L108" s="125" t="s">
        <v>356</v>
      </c>
      <c r="M108" s="125" t="s">
        <v>357</v>
      </c>
      <c r="N108" s="125" t="s">
        <v>358</v>
      </c>
      <c r="O108" s="125" t="s">
        <v>359</v>
      </c>
      <c r="P108" s="126" t="s">
        <v>360</v>
      </c>
    </row>
    <row r="109" spans="1:16" x14ac:dyDescent="0.25">
      <c r="A109" s="127">
        <v>0</v>
      </c>
      <c r="B109" s="128">
        <v>0</v>
      </c>
      <c r="C109" s="128">
        <v>0</v>
      </c>
      <c r="D109" s="128">
        <v>0</v>
      </c>
      <c r="E109" s="128">
        <v>9.11</v>
      </c>
      <c r="F109" s="128">
        <v>0.19</v>
      </c>
      <c r="G109" s="128">
        <v>13.06</v>
      </c>
      <c r="H109" s="128">
        <v>0.56999999999999995</v>
      </c>
      <c r="I109" s="128">
        <v>19.79</v>
      </c>
      <c r="J109" s="128">
        <v>1.9</v>
      </c>
      <c r="K109" s="128">
        <v>28.5</v>
      </c>
      <c r="L109" s="128">
        <v>5.7</v>
      </c>
      <c r="M109" s="128">
        <v>39.590000000000003</v>
      </c>
      <c r="N109" s="128">
        <v>15.2</v>
      </c>
      <c r="O109" s="128">
        <v>39.590000000000003</v>
      </c>
      <c r="P109" s="129">
        <v>114</v>
      </c>
    </row>
    <row r="110" spans="1:16" x14ac:dyDescent="0.25">
      <c r="A110" s="127">
        <v>36</v>
      </c>
      <c r="B110" s="128">
        <v>0.91</v>
      </c>
      <c r="C110" s="128">
        <v>0</v>
      </c>
      <c r="D110" s="128">
        <v>0</v>
      </c>
      <c r="E110" s="128">
        <v>26.35</v>
      </c>
      <c r="F110" s="128">
        <v>0.19</v>
      </c>
      <c r="G110" s="128">
        <v>37.94</v>
      </c>
      <c r="H110" s="128">
        <v>0.56999999999999995</v>
      </c>
      <c r="I110" s="128">
        <v>52.7</v>
      </c>
      <c r="J110" s="128">
        <v>1.9</v>
      </c>
      <c r="K110" s="128">
        <v>52.7</v>
      </c>
      <c r="L110" s="128">
        <v>5.7</v>
      </c>
      <c r="M110" s="128">
        <v>84.42</v>
      </c>
      <c r="N110" s="128">
        <v>15.2</v>
      </c>
      <c r="O110" s="128">
        <v>52.7</v>
      </c>
      <c r="P110" s="129">
        <v>114</v>
      </c>
    </row>
    <row r="111" spans="1:16" x14ac:dyDescent="0.25">
      <c r="A111" s="127">
        <v>72</v>
      </c>
      <c r="B111" s="128">
        <v>1.83</v>
      </c>
      <c r="C111" s="128">
        <v>0</v>
      </c>
      <c r="D111" s="128">
        <v>0</v>
      </c>
      <c r="E111" s="128">
        <v>43.23</v>
      </c>
      <c r="F111" s="128">
        <v>0.19</v>
      </c>
      <c r="G111" s="128">
        <v>62.24</v>
      </c>
      <c r="H111" s="128">
        <v>0.56999999999999995</v>
      </c>
      <c r="I111" s="128">
        <v>86.45</v>
      </c>
      <c r="J111" s="128">
        <v>1.9</v>
      </c>
      <c r="K111" s="128">
        <v>86.45</v>
      </c>
      <c r="L111" s="128">
        <v>5.7</v>
      </c>
      <c r="M111" s="128">
        <v>135.4</v>
      </c>
      <c r="N111" s="128">
        <v>15.2</v>
      </c>
      <c r="O111" s="128">
        <v>86.45</v>
      </c>
      <c r="P111" s="129">
        <v>114</v>
      </c>
    </row>
    <row r="112" spans="1:16" x14ac:dyDescent="0.25">
      <c r="A112" s="127">
        <v>108</v>
      </c>
      <c r="B112" s="128">
        <v>2.74</v>
      </c>
      <c r="C112" s="128">
        <v>0</v>
      </c>
      <c r="D112" s="128">
        <v>0</v>
      </c>
      <c r="E112" s="128">
        <v>61.88</v>
      </c>
      <c r="F112" s="128">
        <v>0.19</v>
      </c>
      <c r="G112" s="128">
        <v>89.1</v>
      </c>
      <c r="H112" s="128">
        <v>0.56999999999999995</v>
      </c>
      <c r="I112" s="128">
        <v>123.75</v>
      </c>
      <c r="J112" s="128">
        <v>1.9</v>
      </c>
      <c r="K112" s="128">
        <v>123.75</v>
      </c>
      <c r="L112" s="128">
        <v>5.7</v>
      </c>
      <c r="M112" s="128">
        <v>192.53</v>
      </c>
      <c r="N112" s="128">
        <v>15.2</v>
      </c>
      <c r="O112" s="128">
        <v>123.75</v>
      </c>
      <c r="P112" s="129">
        <v>114</v>
      </c>
    </row>
    <row r="113" spans="1:16" x14ac:dyDescent="0.25">
      <c r="A113" s="127">
        <v>144</v>
      </c>
      <c r="B113" s="128">
        <v>3.66</v>
      </c>
      <c r="C113" s="128">
        <v>0</v>
      </c>
      <c r="D113" s="128">
        <v>0</v>
      </c>
      <c r="E113" s="128">
        <v>86.93</v>
      </c>
      <c r="F113" s="128">
        <v>0.19</v>
      </c>
      <c r="G113" s="128">
        <v>125.18</v>
      </c>
      <c r="H113" s="128">
        <v>0.56999999999999995</v>
      </c>
      <c r="I113" s="128">
        <v>173.86</v>
      </c>
      <c r="J113" s="128">
        <v>1.9</v>
      </c>
      <c r="K113" s="128">
        <v>173.86</v>
      </c>
      <c r="L113" s="128">
        <v>5.7</v>
      </c>
      <c r="M113" s="128">
        <v>255.79</v>
      </c>
      <c r="N113" s="128">
        <v>15.2</v>
      </c>
      <c r="O113" s="128">
        <v>173.86</v>
      </c>
      <c r="P113" s="129">
        <v>114</v>
      </c>
    </row>
    <row r="114" spans="1:16" x14ac:dyDescent="0.25">
      <c r="A114" s="127">
        <v>180</v>
      </c>
      <c r="B114" s="128">
        <v>4.57</v>
      </c>
      <c r="C114" s="128">
        <v>0</v>
      </c>
      <c r="D114" s="128">
        <v>0</v>
      </c>
      <c r="E114" s="128">
        <v>123.75</v>
      </c>
      <c r="F114" s="128">
        <v>0.19</v>
      </c>
      <c r="G114" s="128">
        <v>178.2</v>
      </c>
      <c r="H114" s="128">
        <v>0.56999999999999995</v>
      </c>
      <c r="I114" s="128">
        <v>247.5</v>
      </c>
      <c r="J114" s="128">
        <v>1.9</v>
      </c>
      <c r="K114" s="128">
        <v>247.5</v>
      </c>
      <c r="L114" s="128">
        <v>5.7</v>
      </c>
      <c r="M114" s="128">
        <v>325.2</v>
      </c>
      <c r="N114" s="128">
        <v>15.2</v>
      </c>
      <c r="O114" s="128">
        <v>247.5</v>
      </c>
      <c r="P114" s="129">
        <v>114</v>
      </c>
    </row>
    <row r="115" spans="1:16" x14ac:dyDescent="0.25">
      <c r="A115" s="127">
        <v>216</v>
      </c>
      <c r="B115" s="128">
        <v>5.46</v>
      </c>
      <c r="C115" s="128">
        <v>0</v>
      </c>
      <c r="D115" s="128">
        <v>0</v>
      </c>
      <c r="E115" s="128">
        <v>270</v>
      </c>
      <c r="F115" s="128">
        <v>0.19</v>
      </c>
      <c r="G115" s="128">
        <v>388.8</v>
      </c>
      <c r="H115" s="128">
        <v>0.56999999999999995</v>
      </c>
      <c r="I115" s="128">
        <v>540</v>
      </c>
      <c r="J115" s="128">
        <v>1.9</v>
      </c>
      <c r="K115" s="128">
        <v>540</v>
      </c>
      <c r="L115" s="128">
        <v>5.7</v>
      </c>
      <c r="M115" s="128">
        <v>400.75</v>
      </c>
      <c r="N115" s="128">
        <v>15.2</v>
      </c>
      <c r="O115" s="128">
        <v>540</v>
      </c>
      <c r="P115" s="129">
        <v>114</v>
      </c>
    </row>
    <row r="116" spans="1:16" x14ac:dyDescent="0.25">
      <c r="A116" s="127">
        <v>252</v>
      </c>
      <c r="B116" s="128">
        <v>6.37</v>
      </c>
      <c r="C116" s="128">
        <v>0</v>
      </c>
      <c r="D116" s="128">
        <v>0</v>
      </c>
      <c r="E116" s="128">
        <v>326.25</v>
      </c>
      <c r="F116" s="128">
        <v>0.19</v>
      </c>
      <c r="G116" s="128">
        <v>469.8</v>
      </c>
      <c r="H116" s="128">
        <v>0.56999999999999995</v>
      </c>
      <c r="I116" s="128">
        <v>652.5</v>
      </c>
      <c r="J116" s="128">
        <v>1.9</v>
      </c>
      <c r="K116" s="128">
        <v>652.5</v>
      </c>
      <c r="L116" s="128">
        <v>5.7</v>
      </c>
      <c r="M116" s="128">
        <v>482.18</v>
      </c>
      <c r="N116" s="128">
        <v>15.2</v>
      </c>
      <c r="O116" s="128">
        <v>652.5</v>
      </c>
      <c r="P116" s="129">
        <v>114</v>
      </c>
    </row>
    <row r="117" spans="1:16" x14ac:dyDescent="0.25">
      <c r="A117" s="127">
        <v>480</v>
      </c>
      <c r="B117" s="128">
        <v>12.13</v>
      </c>
      <c r="C117" s="128">
        <v>0</v>
      </c>
      <c r="D117" s="128">
        <v>0</v>
      </c>
      <c r="E117" s="128">
        <v>326.25</v>
      </c>
      <c r="F117" s="128">
        <v>0.19</v>
      </c>
      <c r="G117" s="128">
        <v>469.8</v>
      </c>
      <c r="H117" s="128">
        <v>0.56999999999999995</v>
      </c>
      <c r="I117" s="128">
        <v>352.5</v>
      </c>
      <c r="J117" s="128">
        <v>1.9</v>
      </c>
      <c r="K117" s="128">
        <v>652.5</v>
      </c>
      <c r="L117" s="128">
        <v>5.7</v>
      </c>
      <c r="M117" s="128">
        <v>810.98</v>
      </c>
      <c r="N117" s="128">
        <v>15.2</v>
      </c>
      <c r="O117" s="128">
        <v>652.5</v>
      </c>
      <c r="P117" s="129">
        <v>114</v>
      </c>
    </row>
    <row r="118" spans="1:16" x14ac:dyDescent="0.25">
      <c r="A118" s="127">
        <v>481</v>
      </c>
      <c r="B118" s="128">
        <v>12.13</v>
      </c>
      <c r="C118" s="128">
        <v>0</v>
      </c>
      <c r="D118" s="128">
        <v>0</v>
      </c>
      <c r="E118" s="128">
        <v>675</v>
      </c>
      <c r="F118" s="128">
        <v>0.1</v>
      </c>
      <c r="G118" s="128">
        <v>972</v>
      </c>
      <c r="H118" s="128">
        <v>0.31</v>
      </c>
      <c r="I118" s="128">
        <v>1350</v>
      </c>
      <c r="J118" s="128">
        <v>1.05</v>
      </c>
      <c r="K118" s="128">
        <v>1350</v>
      </c>
      <c r="L118" s="128">
        <v>3.14</v>
      </c>
      <c r="M118" s="128">
        <v>810.98</v>
      </c>
      <c r="N118" s="128">
        <v>8.36</v>
      </c>
      <c r="O118" s="128">
        <v>1350</v>
      </c>
      <c r="P118" s="129">
        <v>114</v>
      </c>
    </row>
    <row r="119" spans="1:16" x14ac:dyDescent="0.25">
      <c r="A119" s="127">
        <v>840</v>
      </c>
      <c r="B119" s="128">
        <v>21.23</v>
      </c>
      <c r="C119" s="128">
        <v>0</v>
      </c>
      <c r="D119" s="128">
        <v>0</v>
      </c>
      <c r="E119" s="128">
        <v>1012.5</v>
      </c>
      <c r="F119" s="128">
        <v>0.1</v>
      </c>
      <c r="G119" s="128">
        <v>1458</v>
      </c>
      <c r="H119" s="128">
        <v>0.31</v>
      </c>
      <c r="I119" s="128">
        <v>2025</v>
      </c>
      <c r="J119" s="128">
        <v>1.05</v>
      </c>
      <c r="K119" s="128">
        <v>2025</v>
      </c>
      <c r="L119" s="128">
        <v>3.14</v>
      </c>
      <c r="M119" s="128">
        <v>1330.14</v>
      </c>
      <c r="N119" s="128">
        <v>8.36</v>
      </c>
      <c r="O119" s="128">
        <v>2025</v>
      </c>
      <c r="P119" s="129">
        <v>114</v>
      </c>
    </row>
    <row r="120" spans="1:16" x14ac:dyDescent="0.25">
      <c r="A120" s="127">
        <v>1140</v>
      </c>
      <c r="B120" s="128">
        <v>28.82</v>
      </c>
      <c r="C120" s="128">
        <v>0</v>
      </c>
      <c r="D120" s="128">
        <v>0</v>
      </c>
      <c r="E120" s="128">
        <v>675</v>
      </c>
      <c r="F120" s="128">
        <v>0.13</v>
      </c>
      <c r="G120" s="128">
        <v>972</v>
      </c>
      <c r="H120" s="128">
        <v>0.4</v>
      </c>
      <c r="I120" s="128">
        <v>1350</v>
      </c>
      <c r="J120" s="128">
        <v>1.33</v>
      </c>
      <c r="K120" s="128">
        <v>1350</v>
      </c>
      <c r="L120" s="128">
        <v>3.99</v>
      </c>
      <c r="M120" s="128">
        <v>1785.4</v>
      </c>
      <c r="N120" s="128">
        <v>10.64</v>
      </c>
      <c r="O120" s="128">
        <v>1350</v>
      </c>
      <c r="P120" s="129">
        <v>114</v>
      </c>
    </row>
    <row r="121" spans="1:16" ht="15.75" thickBot="1" x14ac:dyDescent="0.3">
      <c r="A121" s="130">
        <v>1141</v>
      </c>
      <c r="B121" s="131">
        <v>28.82</v>
      </c>
      <c r="C121" s="131">
        <v>0</v>
      </c>
      <c r="D121" s="131">
        <v>0</v>
      </c>
      <c r="E121" s="131">
        <v>1012.5</v>
      </c>
      <c r="F121" s="131">
        <v>0.13</v>
      </c>
      <c r="G121" s="131">
        <v>1458</v>
      </c>
      <c r="H121" s="131">
        <v>0.4</v>
      </c>
      <c r="I121" s="131">
        <v>2025</v>
      </c>
      <c r="J121" s="131">
        <v>1.33</v>
      </c>
      <c r="K121" s="131">
        <v>2025</v>
      </c>
      <c r="L121" s="131">
        <v>3.99</v>
      </c>
      <c r="M121" s="131">
        <v>1803.61</v>
      </c>
      <c r="N121" s="131">
        <v>10.64</v>
      </c>
      <c r="O121" s="131">
        <v>2025</v>
      </c>
      <c r="P121" s="132">
        <v>114</v>
      </c>
    </row>
    <row r="122" spans="1:16" x14ac:dyDescent="0.25">
      <c r="K122"/>
    </row>
    <row r="123" spans="1:16" ht="15.75" thickBot="1" x14ac:dyDescent="0.3">
      <c r="A123" t="s">
        <v>361</v>
      </c>
      <c r="K123"/>
    </row>
    <row r="124" spans="1:16" x14ac:dyDescent="0.25">
      <c r="A124" s="123" t="s">
        <v>362</v>
      </c>
      <c r="B124" s="148" t="s">
        <v>363</v>
      </c>
      <c r="C124" s="148"/>
      <c r="D124" s="148"/>
      <c r="E124" s="148"/>
      <c r="F124" s="148"/>
      <c r="G124" s="148"/>
      <c r="H124" s="148"/>
      <c r="I124" s="148"/>
      <c r="J124" s="148"/>
      <c r="K124" s="148"/>
      <c r="L124" s="148"/>
      <c r="M124" s="148"/>
      <c r="N124" s="148"/>
      <c r="O124" s="148"/>
      <c r="P124" s="149"/>
    </row>
    <row r="125" spans="1:16" x14ac:dyDescent="0.25">
      <c r="A125" s="124" t="s">
        <v>89</v>
      </c>
      <c r="B125" s="125" t="s">
        <v>346</v>
      </c>
      <c r="C125" s="125" t="s">
        <v>347</v>
      </c>
      <c r="D125" s="125" t="s">
        <v>348</v>
      </c>
      <c r="E125" s="125" t="s">
        <v>349</v>
      </c>
      <c r="F125" s="125" t="s">
        <v>350</v>
      </c>
      <c r="G125" s="125" t="s">
        <v>351</v>
      </c>
      <c r="H125" s="125" t="s">
        <v>352</v>
      </c>
      <c r="I125" s="125" t="s">
        <v>353</v>
      </c>
      <c r="J125" s="125" t="s">
        <v>354</v>
      </c>
      <c r="K125" s="125" t="s">
        <v>355</v>
      </c>
      <c r="L125" s="125" t="s">
        <v>356</v>
      </c>
      <c r="M125" s="125" t="s">
        <v>357</v>
      </c>
      <c r="N125" s="125" t="s">
        <v>358</v>
      </c>
      <c r="O125" s="125" t="s">
        <v>359</v>
      </c>
      <c r="P125" s="126" t="s">
        <v>360</v>
      </c>
    </row>
    <row r="126" spans="1:16" x14ac:dyDescent="0.25">
      <c r="A126" s="127">
        <v>0</v>
      </c>
      <c r="B126" s="128">
        <v>0</v>
      </c>
      <c r="C126" s="128">
        <v>0</v>
      </c>
      <c r="D126" s="128">
        <v>0</v>
      </c>
      <c r="E126" s="128">
        <v>9.11</v>
      </c>
      <c r="F126" s="128">
        <v>0.19</v>
      </c>
      <c r="G126" s="128">
        <v>13.06</v>
      </c>
      <c r="H126" s="128">
        <v>0.56999999999999995</v>
      </c>
      <c r="I126" s="128">
        <v>19.79</v>
      </c>
      <c r="J126" s="128">
        <v>1.9</v>
      </c>
      <c r="K126" s="128">
        <v>28.5</v>
      </c>
      <c r="L126" s="128">
        <v>5.7</v>
      </c>
      <c r="M126" s="128">
        <v>0</v>
      </c>
      <c r="N126" s="128">
        <v>15.2</v>
      </c>
      <c r="O126" s="128">
        <v>0</v>
      </c>
      <c r="P126" s="129">
        <v>114</v>
      </c>
    </row>
    <row r="127" spans="1:16" x14ac:dyDescent="0.25">
      <c r="A127" s="127">
        <v>36</v>
      </c>
      <c r="B127" s="128">
        <v>0.91</v>
      </c>
      <c r="C127" s="128">
        <v>0</v>
      </c>
      <c r="D127" s="128">
        <v>0</v>
      </c>
      <c r="E127" s="128">
        <v>19.420000000000002</v>
      </c>
      <c r="F127" s="128">
        <v>0.19</v>
      </c>
      <c r="G127" s="128">
        <v>27.86</v>
      </c>
      <c r="H127" s="128">
        <v>0.56999999999999995</v>
      </c>
      <c r="I127" s="128">
        <v>42.21</v>
      </c>
      <c r="J127" s="128">
        <v>1.9</v>
      </c>
      <c r="K127" s="128">
        <v>60.79</v>
      </c>
      <c r="L127" s="128">
        <v>5.7</v>
      </c>
      <c r="M127" s="128">
        <v>8.44</v>
      </c>
      <c r="N127" s="128">
        <v>15.2</v>
      </c>
      <c r="O127" s="128">
        <v>8.44</v>
      </c>
      <c r="P127" s="129">
        <v>114</v>
      </c>
    </row>
    <row r="128" spans="1:16" x14ac:dyDescent="0.25">
      <c r="A128" s="127">
        <v>72</v>
      </c>
      <c r="B128" s="128">
        <v>1.83</v>
      </c>
      <c r="C128" s="128">
        <v>0</v>
      </c>
      <c r="D128" s="128">
        <v>0</v>
      </c>
      <c r="E128" s="128">
        <v>31.14</v>
      </c>
      <c r="F128" s="128">
        <v>0.19</v>
      </c>
      <c r="G128" s="128">
        <v>44.68</v>
      </c>
      <c r="H128" s="128">
        <v>0.56999999999999995</v>
      </c>
      <c r="I128" s="128">
        <v>67.7</v>
      </c>
      <c r="J128" s="128">
        <v>1.9</v>
      </c>
      <c r="K128" s="128">
        <v>97.49</v>
      </c>
      <c r="L128" s="128">
        <v>5.7</v>
      </c>
      <c r="M128" s="128">
        <v>28.43</v>
      </c>
      <c r="N128" s="128">
        <v>15.2</v>
      </c>
      <c r="O128" s="128">
        <v>28.43</v>
      </c>
      <c r="P128" s="129">
        <v>114</v>
      </c>
    </row>
    <row r="129" spans="1:16" x14ac:dyDescent="0.25">
      <c r="A129" s="127">
        <v>108</v>
      </c>
      <c r="B129" s="128">
        <v>2.74</v>
      </c>
      <c r="C129" s="128">
        <v>0</v>
      </c>
      <c r="D129" s="128">
        <v>0</v>
      </c>
      <c r="E129" s="128">
        <v>44.28</v>
      </c>
      <c r="F129" s="128">
        <v>0.19</v>
      </c>
      <c r="G129" s="128">
        <v>63.53</v>
      </c>
      <c r="H129" s="128">
        <v>0.56999999999999995</v>
      </c>
      <c r="I129" s="128">
        <v>96.26</v>
      </c>
      <c r="J129" s="128">
        <v>1.9</v>
      </c>
      <c r="K129" s="128">
        <v>138.62</v>
      </c>
      <c r="L129" s="128">
        <v>5.7</v>
      </c>
      <c r="M129" s="128">
        <v>59.68</v>
      </c>
      <c r="N129" s="128">
        <v>15.2</v>
      </c>
      <c r="O129" s="128">
        <v>59.68</v>
      </c>
      <c r="P129" s="129">
        <v>114</v>
      </c>
    </row>
    <row r="130" spans="1:16" x14ac:dyDescent="0.25">
      <c r="A130" s="127">
        <v>144</v>
      </c>
      <c r="B130" s="128">
        <v>3.66</v>
      </c>
      <c r="C130" s="128">
        <v>0</v>
      </c>
      <c r="D130" s="128">
        <v>0</v>
      </c>
      <c r="E130" s="128">
        <v>58.83</v>
      </c>
      <c r="F130" s="128">
        <v>0.19</v>
      </c>
      <c r="G130" s="128">
        <v>84.41</v>
      </c>
      <c r="H130" s="128">
        <v>0.56999999999999995</v>
      </c>
      <c r="I130" s="128">
        <v>127.9</v>
      </c>
      <c r="J130" s="128">
        <v>1.9</v>
      </c>
      <c r="K130" s="128">
        <v>184.17</v>
      </c>
      <c r="L130" s="128">
        <v>5.7</v>
      </c>
      <c r="M130" s="128">
        <v>104.88</v>
      </c>
      <c r="N130" s="128">
        <v>15.2</v>
      </c>
      <c r="O130" s="128">
        <v>104.88</v>
      </c>
      <c r="P130" s="129">
        <v>114</v>
      </c>
    </row>
    <row r="131" spans="1:16" x14ac:dyDescent="0.25">
      <c r="A131" s="127">
        <v>180</v>
      </c>
      <c r="B131" s="128">
        <v>4.57</v>
      </c>
      <c r="C131" s="128">
        <v>0</v>
      </c>
      <c r="D131" s="128">
        <v>0</v>
      </c>
      <c r="E131" s="128">
        <v>74.8</v>
      </c>
      <c r="F131" s="128">
        <v>0.19</v>
      </c>
      <c r="G131" s="128">
        <v>107.32</v>
      </c>
      <c r="H131" s="128">
        <v>0.56999999999999995</v>
      </c>
      <c r="I131" s="128">
        <v>162.6</v>
      </c>
      <c r="J131" s="128">
        <v>1.9</v>
      </c>
      <c r="K131" s="128">
        <v>234.15</v>
      </c>
      <c r="L131" s="128">
        <v>5.7</v>
      </c>
      <c r="M131" s="128">
        <v>165.875</v>
      </c>
      <c r="N131" s="128">
        <v>15.2</v>
      </c>
      <c r="O131" s="128">
        <v>165.85</v>
      </c>
      <c r="P131" s="129">
        <v>114</v>
      </c>
    </row>
    <row r="132" spans="1:16" x14ac:dyDescent="0.25">
      <c r="A132" s="127">
        <v>216</v>
      </c>
      <c r="B132" s="128">
        <v>5.46</v>
      </c>
      <c r="C132" s="128">
        <v>0</v>
      </c>
      <c r="D132" s="128">
        <v>0</v>
      </c>
      <c r="E132" s="128">
        <v>92.17</v>
      </c>
      <c r="F132" s="128">
        <v>0.19</v>
      </c>
      <c r="G132" s="128">
        <v>132.25</v>
      </c>
      <c r="H132" s="128">
        <v>0.56999999999999995</v>
      </c>
      <c r="I132" s="128">
        <v>200.38</v>
      </c>
      <c r="J132" s="128">
        <v>1.9</v>
      </c>
      <c r="K132" s="128">
        <v>288.54000000000002</v>
      </c>
      <c r="L132" s="128">
        <v>5.7</v>
      </c>
      <c r="M132" s="128">
        <v>248.47</v>
      </c>
      <c r="N132" s="128">
        <v>15.2</v>
      </c>
      <c r="O132" s="128">
        <v>248.47</v>
      </c>
      <c r="P132" s="129">
        <v>114</v>
      </c>
    </row>
    <row r="133" spans="1:16" x14ac:dyDescent="0.25">
      <c r="A133" s="127">
        <v>252</v>
      </c>
      <c r="B133" s="128">
        <v>6.37</v>
      </c>
      <c r="C133" s="128">
        <v>0</v>
      </c>
      <c r="D133" s="128">
        <v>0</v>
      </c>
      <c r="E133" s="128">
        <v>110.9</v>
      </c>
      <c r="F133" s="128">
        <v>0.19</v>
      </c>
      <c r="G133" s="128">
        <v>159.12</v>
      </c>
      <c r="H133" s="128">
        <v>0.56999999999999995</v>
      </c>
      <c r="I133" s="128">
        <v>241.09</v>
      </c>
      <c r="J133" s="128">
        <v>1.9</v>
      </c>
      <c r="K133" s="128">
        <v>347.17</v>
      </c>
      <c r="L133" s="128">
        <v>5.7</v>
      </c>
      <c r="M133" s="128">
        <v>347.14</v>
      </c>
      <c r="N133" s="128">
        <v>114</v>
      </c>
      <c r="O133" s="128"/>
      <c r="P133" s="129"/>
    </row>
    <row r="134" spans="1:16" x14ac:dyDescent="0.25">
      <c r="A134" s="127">
        <v>480</v>
      </c>
      <c r="B134" s="128">
        <v>12.13</v>
      </c>
      <c r="C134" s="128">
        <v>0</v>
      </c>
      <c r="D134" s="128">
        <v>0</v>
      </c>
      <c r="E134" s="128">
        <v>186.52</v>
      </c>
      <c r="F134" s="128">
        <v>0.19</v>
      </c>
      <c r="G134" s="128">
        <v>267.62</v>
      </c>
      <c r="H134" s="128">
        <v>0.56999999999999995</v>
      </c>
      <c r="I134" s="128">
        <v>405.49</v>
      </c>
      <c r="J134" s="128">
        <v>1.9</v>
      </c>
      <c r="K134" s="128">
        <v>583.9</v>
      </c>
      <c r="L134" s="128">
        <v>5.7</v>
      </c>
      <c r="M134" s="128">
        <v>583.9</v>
      </c>
      <c r="N134" s="128">
        <v>114</v>
      </c>
      <c r="O134" s="128"/>
      <c r="P134" s="129"/>
    </row>
    <row r="135" spans="1:16" x14ac:dyDescent="0.25">
      <c r="A135" s="127">
        <v>481</v>
      </c>
      <c r="B135" s="128">
        <v>12.13</v>
      </c>
      <c r="C135" s="128">
        <v>0</v>
      </c>
      <c r="D135" s="128">
        <v>0</v>
      </c>
      <c r="E135" s="128">
        <v>186.52</v>
      </c>
      <c r="F135" s="128">
        <v>0.1</v>
      </c>
      <c r="G135" s="128">
        <v>267.62</v>
      </c>
      <c r="H135" s="128">
        <v>0.31</v>
      </c>
      <c r="I135" s="128">
        <v>405.49</v>
      </c>
      <c r="J135" s="128">
        <v>1.05</v>
      </c>
      <c r="K135" s="128">
        <v>583.9</v>
      </c>
      <c r="L135" s="128">
        <v>3.14</v>
      </c>
      <c r="M135" s="128">
        <v>583.9</v>
      </c>
      <c r="N135" s="128">
        <v>114</v>
      </c>
      <c r="O135" s="128"/>
      <c r="P135" s="129"/>
    </row>
    <row r="136" spans="1:16" x14ac:dyDescent="0.25">
      <c r="A136" s="127">
        <v>840</v>
      </c>
      <c r="B136" s="128">
        <v>21.23</v>
      </c>
      <c r="C136" s="128">
        <v>0</v>
      </c>
      <c r="D136" s="128">
        <v>0</v>
      </c>
      <c r="E136" s="128">
        <v>305.93</v>
      </c>
      <c r="F136" s="128">
        <v>0.1</v>
      </c>
      <c r="G136" s="128">
        <v>438.95</v>
      </c>
      <c r="H136" s="128">
        <v>0.31</v>
      </c>
      <c r="I136" s="128">
        <v>665.07</v>
      </c>
      <c r="J136" s="128">
        <v>1.05</v>
      </c>
      <c r="K136" s="128">
        <v>957.7</v>
      </c>
      <c r="L136" s="128">
        <v>3.14</v>
      </c>
      <c r="M136" s="128">
        <v>957.7</v>
      </c>
      <c r="N136" s="128">
        <v>114</v>
      </c>
      <c r="O136" s="128"/>
      <c r="P136" s="129"/>
    </row>
    <row r="137" spans="1:16" x14ac:dyDescent="0.25">
      <c r="A137" s="127">
        <v>1140</v>
      </c>
      <c r="B137" s="128">
        <v>28.82</v>
      </c>
      <c r="C137" s="128">
        <v>0</v>
      </c>
      <c r="D137" s="128">
        <v>0</v>
      </c>
      <c r="E137" s="128">
        <v>410.64</v>
      </c>
      <c r="F137" s="128">
        <v>0.13</v>
      </c>
      <c r="G137" s="128">
        <v>589.95000000000005</v>
      </c>
      <c r="H137" s="128">
        <v>0.4</v>
      </c>
      <c r="I137" s="128">
        <v>892.7</v>
      </c>
      <c r="J137" s="128">
        <v>1.33</v>
      </c>
      <c r="K137" s="128">
        <v>1285.49</v>
      </c>
      <c r="L137" s="128">
        <v>3.99</v>
      </c>
      <c r="M137" s="128">
        <v>1285.49</v>
      </c>
      <c r="N137" s="128">
        <v>114</v>
      </c>
      <c r="O137" s="128"/>
      <c r="P137" s="129"/>
    </row>
    <row r="138" spans="1:16" ht="15.75" thickBot="1" x14ac:dyDescent="0.3">
      <c r="A138" s="130">
        <v>1141</v>
      </c>
      <c r="B138" s="131">
        <v>28.82</v>
      </c>
      <c r="C138" s="131">
        <v>0</v>
      </c>
      <c r="D138" s="131">
        <v>0</v>
      </c>
      <c r="E138" s="131">
        <v>414.83</v>
      </c>
      <c r="F138" s="131">
        <v>0.13</v>
      </c>
      <c r="G138" s="131">
        <v>595.19000000000005</v>
      </c>
      <c r="H138" s="131">
        <v>0.4</v>
      </c>
      <c r="I138" s="131">
        <v>901.8</v>
      </c>
      <c r="J138" s="131">
        <v>1.33</v>
      </c>
      <c r="K138" s="131">
        <v>1298.5999999999999</v>
      </c>
      <c r="L138" s="131">
        <v>3.99</v>
      </c>
      <c r="M138" s="131">
        <v>1298.5999999999999</v>
      </c>
      <c r="N138" s="131">
        <v>114</v>
      </c>
      <c r="O138" s="131"/>
      <c r="P138" s="132"/>
    </row>
    <row r="140" spans="1:16" s="118" customFormat="1" x14ac:dyDescent="0.25"/>
  </sheetData>
  <mergeCells count="2">
    <mergeCell ref="B107:P107"/>
    <mergeCell ref="B124:P12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8"/>
  <sheetViews>
    <sheetView workbookViewId="0">
      <selection activeCell="A4" sqref="A4"/>
    </sheetView>
  </sheetViews>
  <sheetFormatPr defaultRowHeight="15" x14ac:dyDescent="0.25"/>
  <cols>
    <col min="1" max="1" width="14.5703125" customWidth="1"/>
    <col min="2" max="3" width="11.85546875" customWidth="1"/>
    <col min="4" max="4" width="14.42578125" customWidth="1"/>
  </cols>
  <sheetData>
    <row r="1" spans="1:3" x14ac:dyDescent="0.25">
      <c r="A1" s="40"/>
      <c r="B1" s="144" t="s">
        <v>123</v>
      </c>
      <c r="C1" s="144"/>
    </row>
    <row r="2" spans="1:3" x14ac:dyDescent="0.25">
      <c r="A2" s="49" t="s">
        <v>12</v>
      </c>
      <c r="B2" s="56" t="s">
        <v>93</v>
      </c>
      <c r="C2" s="57" t="s">
        <v>94</v>
      </c>
    </row>
    <row r="3" spans="1:3" x14ac:dyDescent="0.25">
      <c r="A3" s="40" t="s">
        <v>129</v>
      </c>
      <c r="B3" s="43" t="s">
        <v>89</v>
      </c>
      <c r="C3" s="8" t="s">
        <v>89</v>
      </c>
    </row>
    <row r="4" spans="1:3" x14ac:dyDescent="0.25">
      <c r="A4" s="40" t="s">
        <v>124</v>
      </c>
      <c r="B4" s="8">
        <v>6</v>
      </c>
      <c r="C4" s="46">
        <v>1</v>
      </c>
    </row>
    <row r="5" spans="1:3" x14ac:dyDescent="0.25">
      <c r="A5" s="40" t="s">
        <v>125</v>
      </c>
      <c r="B5" s="8">
        <v>6</v>
      </c>
      <c r="C5" s="46">
        <v>1</v>
      </c>
    </row>
    <row r="6" spans="1:3" x14ac:dyDescent="0.25">
      <c r="A6" s="40" t="s">
        <v>126</v>
      </c>
      <c r="B6" s="8">
        <v>5</v>
      </c>
      <c r="C6" s="46">
        <v>0.5</v>
      </c>
    </row>
    <row r="7" spans="1:3" x14ac:dyDescent="0.25">
      <c r="A7" s="40" t="s">
        <v>127</v>
      </c>
      <c r="B7" s="8">
        <v>3</v>
      </c>
      <c r="C7" s="46">
        <v>0.25</v>
      </c>
    </row>
    <row r="8" spans="1:3" x14ac:dyDescent="0.25">
      <c r="A8" s="40" t="s">
        <v>128</v>
      </c>
      <c r="B8" s="8">
        <v>3</v>
      </c>
      <c r="C8" s="46">
        <v>0.25</v>
      </c>
    </row>
  </sheetData>
  <mergeCells count="1">
    <mergeCell ref="B1:C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AG127"/>
  <sheetViews>
    <sheetView zoomScaleNormal="100" workbookViewId="0"/>
  </sheetViews>
  <sheetFormatPr defaultRowHeight="15" x14ac:dyDescent="0.25"/>
  <sheetData>
    <row r="17" spans="1:4" x14ac:dyDescent="0.25">
      <c r="A17" t="s">
        <v>7</v>
      </c>
    </row>
    <row r="18" spans="1:4" ht="15.75" thickBot="1" x14ac:dyDescent="0.3"/>
    <row r="19" spans="1:4" ht="15.75" thickBot="1" x14ac:dyDescent="0.3">
      <c r="A19" s="150" t="s">
        <v>12</v>
      </c>
      <c r="B19" s="152" t="s">
        <v>13</v>
      </c>
      <c r="C19" s="153"/>
      <c r="D19" s="154"/>
    </row>
    <row r="20" spans="1:4" ht="15.75" thickBot="1" x14ac:dyDescent="0.3">
      <c r="A20" s="151"/>
      <c r="B20" s="3">
        <v>5</v>
      </c>
      <c r="C20" s="3">
        <v>10</v>
      </c>
      <c r="D20" s="3">
        <v>100</v>
      </c>
    </row>
    <row r="21" spans="1:4" ht="18" thickBot="1" x14ac:dyDescent="0.3">
      <c r="A21" s="4" t="s">
        <v>14</v>
      </c>
      <c r="B21" s="5">
        <v>7.07</v>
      </c>
      <c r="C21" s="5">
        <v>7.68</v>
      </c>
      <c r="D21" s="5">
        <v>9.67</v>
      </c>
    </row>
    <row r="22" spans="1:4" ht="18" thickBot="1" x14ac:dyDescent="0.3">
      <c r="A22" s="4" t="s">
        <v>15</v>
      </c>
      <c r="B22" s="5">
        <v>13.15</v>
      </c>
      <c r="C22" s="5">
        <v>14.28</v>
      </c>
      <c r="D22" s="5">
        <v>17.989999999999998</v>
      </c>
    </row>
    <row r="23" spans="1:4" ht="18" thickBot="1" x14ac:dyDescent="0.3">
      <c r="A23" s="4" t="s">
        <v>16</v>
      </c>
      <c r="B23" s="5">
        <v>12.15</v>
      </c>
      <c r="C23" s="5">
        <v>12.51</v>
      </c>
      <c r="D23" s="5">
        <v>13.73</v>
      </c>
    </row>
    <row r="35" spans="1:33" x14ac:dyDescent="0.25">
      <c r="A35" t="s">
        <v>58</v>
      </c>
    </row>
    <row r="36" spans="1:33" x14ac:dyDescent="0.25">
      <c r="AF36" s="51" t="s">
        <v>160</v>
      </c>
      <c r="AG36" s="51" t="s">
        <v>39</v>
      </c>
    </row>
    <row r="37" spans="1:33" x14ac:dyDescent="0.25">
      <c r="J37" s="6" t="s">
        <v>59</v>
      </c>
      <c r="K37" s="6">
        <v>1</v>
      </c>
      <c r="L37" s="6">
        <v>2</v>
      </c>
      <c r="M37" s="6">
        <v>3</v>
      </c>
      <c r="N37" s="6">
        <v>4</v>
      </c>
      <c r="O37" s="6">
        <v>5</v>
      </c>
      <c r="P37" s="6">
        <v>6</v>
      </c>
      <c r="Q37" s="6">
        <v>7</v>
      </c>
      <c r="R37" s="6">
        <v>8</v>
      </c>
      <c r="S37" s="6">
        <v>9</v>
      </c>
      <c r="T37" s="6">
        <v>10</v>
      </c>
      <c r="U37" s="6">
        <v>11</v>
      </c>
      <c r="V37" s="6">
        <v>12</v>
      </c>
      <c r="W37" s="6">
        <v>13</v>
      </c>
      <c r="X37" s="6">
        <v>14</v>
      </c>
      <c r="Y37" s="6">
        <v>15</v>
      </c>
      <c r="Z37" s="6">
        <v>16</v>
      </c>
      <c r="AA37" s="6">
        <v>17</v>
      </c>
      <c r="AB37" s="6">
        <v>18</v>
      </c>
      <c r="AC37" s="6">
        <v>19</v>
      </c>
      <c r="AD37" s="7" t="s">
        <v>60</v>
      </c>
      <c r="AF37" s="51" t="s">
        <v>91</v>
      </c>
      <c r="AG37" s="51" t="s">
        <v>161</v>
      </c>
    </row>
    <row r="38" spans="1:33" ht="15.75" thickBot="1" x14ac:dyDescent="0.3">
      <c r="J38" s="6">
        <v>50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F38" s="54">
        <f>J38</f>
        <v>50</v>
      </c>
      <c r="AG38" s="54">
        <f t="shared" ref="AG38:AG61" si="0">AD39/$AD$64*100</f>
        <v>0</v>
      </c>
    </row>
    <row r="39" spans="1:33" ht="15.75" customHeight="1" thickBot="1" x14ac:dyDescent="0.3">
      <c r="C39" s="12" t="s">
        <v>62</v>
      </c>
      <c r="D39" s="37" t="s">
        <v>63</v>
      </c>
      <c r="E39" s="38"/>
      <c r="F39" s="13" t="s">
        <v>39</v>
      </c>
      <c r="J39" s="6">
        <v>48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F39" s="54">
        <f t="shared" ref="AF39:AF63" si="1">J39</f>
        <v>48</v>
      </c>
      <c r="AG39" s="54">
        <f t="shared" si="0"/>
        <v>3.9334151483684195E-4</v>
      </c>
    </row>
    <row r="40" spans="1:33" ht="15.75" thickBot="1" x14ac:dyDescent="0.3">
      <c r="C40" s="14">
        <v>1</v>
      </c>
      <c r="D40" s="15" t="s">
        <v>64</v>
      </c>
      <c r="E40" s="16" t="s">
        <v>65</v>
      </c>
      <c r="F40" s="17">
        <v>6.6E-3</v>
      </c>
      <c r="J40" s="6">
        <v>46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>
        <v>1</v>
      </c>
      <c r="Z40" s="6"/>
      <c r="AA40" s="6"/>
      <c r="AB40" s="6"/>
      <c r="AC40" s="6"/>
      <c r="AD40" s="6">
        <v>1</v>
      </c>
      <c r="AF40" s="54">
        <f t="shared" si="1"/>
        <v>46</v>
      </c>
      <c r="AG40" s="54">
        <f t="shared" si="0"/>
        <v>7.8668302967368391E-4</v>
      </c>
    </row>
    <row r="41" spans="1:33" ht="15.75" thickBot="1" x14ac:dyDescent="0.3">
      <c r="C41" s="18">
        <v>2</v>
      </c>
      <c r="D41" s="19" t="s">
        <v>64</v>
      </c>
      <c r="E41" s="20" t="s">
        <v>66</v>
      </c>
      <c r="F41" s="21">
        <v>7.85E-2</v>
      </c>
      <c r="J41" s="6">
        <v>44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>
        <v>2</v>
      </c>
      <c r="Z41" s="6"/>
      <c r="AA41" s="6"/>
      <c r="AB41" s="6"/>
      <c r="AC41" s="6"/>
      <c r="AD41" s="6">
        <v>2</v>
      </c>
      <c r="AF41" s="54">
        <f t="shared" si="1"/>
        <v>44</v>
      </c>
      <c r="AG41" s="54">
        <f t="shared" si="0"/>
        <v>3.9334151483684195E-4</v>
      </c>
    </row>
    <row r="42" spans="1:33" ht="15.75" thickBot="1" x14ac:dyDescent="0.3">
      <c r="C42" s="22">
        <v>3</v>
      </c>
      <c r="D42" s="19" t="s">
        <v>67</v>
      </c>
      <c r="E42" s="20" t="s">
        <v>66</v>
      </c>
      <c r="F42" s="21">
        <v>6.0199999999999997E-2</v>
      </c>
      <c r="J42" s="6">
        <v>42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>
        <v>1</v>
      </c>
      <c r="Z42" s="6"/>
      <c r="AA42" s="6"/>
      <c r="AB42" s="6"/>
      <c r="AC42" s="6"/>
      <c r="AD42" s="6">
        <v>1</v>
      </c>
      <c r="AF42" s="54">
        <f t="shared" si="1"/>
        <v>42</v>
      </c>
      <c r="AG42" s="54">
        <f t="shared" si="0"/>
        <v>3.9334151483684195E-4</v>
      </c>
    </row>
    <row r="43" spans="1:33" ht="15.75" thickBot="1" x14ac:dyDescent="0.3">
      <c r="C43" s="23">
        <v>4</v>
      </c>
      <c r="D43" s="19" t="s">
        <v>68</v>
      </c>
      <c r="E43" s="20" t="s">
        <v>69</v>
      </c>
      <c r="F43" s="21">
        <v>2.4899999999999999E-2</v>
      </c>
      <c r="J43" s="6">
        <v>40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>
        <v>1</v>
      </c>
      <c r="Z43" s="6"/>
      <c r="AA43" s="6"/>
      <c r="AB43" s="6"/>
      <c r="AC43" s="6"/>
      <c r="AD43" s="6">
        <v>1</v>
      </c>
      <c r="AF43" s="54">
        <f t="shared" si="1"/>
        <v>40</v>
      </c>
      <c r="AG43" s="54">
        <f t="shared" si="0"/>
        <v>1.5733660593473678E-3</v>
      </c>
    </row>
    <row r="44" spans="1:33" ht="15.75" thickBot="1" x14ac:dyDescent="0.3">
      <c r="C44" s="24">
        <v>5</v>
      </c>
      <c r="D44" s="19" t="s">
        <v>64</v>
      </c>
      <c r="E44" s="20" t="s">
        <v>70</v>
      </c>
      <c r="F44" s="21">
        <v>7.0400000000000004E-2</v>
      </c>
      <c r="J44" s="6">
        <v>38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>
        <v>4</v>
      </c>
      <c r="Z44" s="6"/>
      <c r="AA44" s="6"/>
      <c r="AB44" s="6"/>
      <c r="AC44" s="6"/>
      <c r="AD44" s="6">
        <v>4</v>
      </c>
      <c r="AF44" s="54">
        <f t="shared" si="1"/>
        <v>38</v>
      </c>
      <c r="AG44" s="54">
        <f t="shared" si="0"/>
        <v>1.1800245445105259E-3</v>
      </c>
    </row>
    <row r="45" spans="1:33" ht="15.75" thickBot="1" x14ac:dyDescent="0.3">
      <c r="C45" s="25">
        <v>6</v>
      </c>
      <c r="D45" s="19" t="s">
        <v>67</v>
      </c>
      <c r="E45" s="20" t="s">
        <v>70</v>
      </c>
      <c r="F45" s="21">
        <v>0.18809999999999999</v>
      </c>
      <c r="J45" s="6">
        <v>36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>
        <v>3</v>
      </c>
      <c r="Z45" s="6"/>
      <c r="AA45" s="6"/>
      <c r="AB45" s="6"/>
      <c r="AC45" s="6"/>
      <c r="AD45" s="6">
        <v>3</v>
      </c>
      <c r="AF45" s="54">
        <f t="shared" si="1"/>
        <v>36</v>
      </c>
      <c r="AG45" s="54">
        <f t="shared" si="0"/>
        <v>1.9667075741842096E-3</v>
      </c>
    </row>
    <row r="46" spans="1:33" ht="15.75" thickBot="1" x14ac:dyDescent="0.3">
      <c r="C46" s="26">
        <v>7</v>
      </c>
      <c r="D46" s="19" t="s">
        <v>67</v>
      </c>
      <c r="E46" s="20" t="s">
        <v>71</v>
      </c>
      <c r="F46" s="21">
        <v>0.1593</v>
      </c>
      <c r="J46" s="6">
        <v>34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>
        <v>2</v>
      </c>
      <c r="Y46" s="6">
        <v>3</v>
      </c>
      <c r="Z46" s="6"/>
      <c r="AA46" s="6"/>
      <c r="AB46" s="6"/>
      <c r="AC46" s="6"/>
      <c r="AD46" s="6">
        <v>5</v>
      </c>
      <c r="AF46" s="54">
        <f t="shared" si="1"/>
        <v>34</v>
      </c>
      <c r="AG46" s="54">
        <f t="shared" si="0"/>
        <v>7.8668302967368391E-4</v>
      </c>
    </row>
    <row r="47" spans="1:33" ht="15.75" thickBot="1" x14ac:dyDescent="0.3">
      <c r="C47" s="27">
        <v>8</v>
      </c>
      <c r="D47" s="19" t="s">
        <v>72</v>
      </c>
      <c r="E47" s="20" t="s">
        <v>71</v>
      </c>
      <c r="F47" s="21">
        <v>0.1239</v>
      </c>
      <c r="J47" s="6">
        <v>32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>
        <v>2</v>
      </c>
      <c r="Z47" s="6"/>
      <c r="AA47" s="6"/>
      <c r="AB47" s="6"/>
      <c r="AC47" s="6"/>
      <c r="AD47" s="6">
        <v>2</v>
      </c>
      <c r="AF47" s="54">
        <f t="shared" si="1"/>
        <v>32</v>
      </c>
      <c r="AG47" s="54">
        <f t="shared" si="0"/>
        <v>1.9667075741842096E-3</v>
      </c>
    </row>
    <row r="48" spans="1:33" ht="15.75" thickBot="1" x14ac:dyDescent="0.3">
      <c r="C48" s="28">
        <v>9</v>
      </c>
      <c r="D48" s="19" t="s">
        <v>73</v>
      </c>
      <c r="E48" s="20" t="s">
        <v>74</v>
      </c>
      <c r="F48" s="21">
        <v>9.74E-2</v>
      </c>
      <c r="J48" s="6">
        <v>30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>
        <v>1</v>
      </c>
      <c r="Y48" s="6">
        <v>4</v>
      </c>
      <c r="Z48" s="6"/>
      <c r="AA48" s="6"/>
      <c r="AB48" s="6"/>
      <c r="AC48" s="6"/>
      <c r="AD48" s="6">
        <v>5</v>
      </c>
      <c r="AF48" s="54">
        <f t="shared" si="1"/>
        <v>30</v>
      </c>
      <c r="AG48" s="54">
        <f t="shared" si="0"/>
        <v>1.2980269989615784E-2</v>
      </c>
    </row>
    <row r="49" spans="3:33" ht="15.75" thickBot="1" x14ac:dyDescent="0.3">
      <c r="C49" s="29">
        <v>10</v>
      </c>
      <c r="D49" s="19" t="s">
        <v>75</v>
      </c>
      <c r="E49" s="20" t="s">
        <v>74</v>
      </c>
      <c r="F49" s="21">
        <v>7.9399999999999998E-2</v>
      </c>
      <c r="J49" s="6">
        <v>28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>
        <v>5</v>
      </c>
      <c r="V49" s="6">
        <v>9</v>
      </c>
      <c r="W49" s="6">
        <v>11</v>
      </c>
      <c r="X49" s="6">
        <v>2</v>
      </c>
      <c r="Y49" s="6">
        <v>5</v>
      </c>
      <c r="Z49" s="6">
        <v>1</v>
      </c>
      <c r="AA49" s="6"/>
      <c r="AB49" s="6"/>
      <c r="AC49" s="6"/>
      <c r="AD49" s="6">
        <v>33</v>
      </c>
      <c r="AF49" s="54">
        <f t="shared" si="1"/>
        <v>28</v>
      </c>
      <c r="AG49" s="54">
        <f t="shared" si="0"/>
        <v>1.5340319078636835E-2</v>
      </c>
    </row>
    <row r="50" spans="3:33" ht="15.75" thickBot="1" x14ac:dyDescent="0.3">
      <c r="C50" s="30">
        <v>11</v>
      </c>
      <c r="D50" s="19" t="s">
        <v>76</v>
      </c>
      <c r="E50" s="20" t="s">
        <v>77</v>
      </c>
      <c r="F50" s="21">
        <v>5.1900000000000002E-2</v>
      </c>
      <c r="J50" s="6">
        <v>26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>
        <v>8</v>
      </c>
      <c r="V50" s="6">
        <v>20</v>
      </c>
      <c r="W50" s="6">
        <v>3</v>
      </c>
      <c r="X50" s="6">
        <v>3</v>
      </c>
      <c r="Y50" s="6">
        <v>3</v>
      </c>
      <c r="Z50" s="6">
        <v>2</v>
      </c>
      <c r="AA50" s="6"/>
      <c r="AB50" s="6"/>
      <c r="AC50" s="6"/>
      <c r="AD50" s="6">
        <v>39</v>
      </c>
      <c r="AF50" s="54">
        <f t="shared" si="1"/>
        <v>26</v>
      </c>
      <c r="AG50" s="54">
        <f t="shared" si="0"/>
        <v>9.4401963560842069E-3</v>
      </c>
    </row>
    <row r="51" spans="3:33" ht="15.75" thickBot="1" x14ac:dyDescent="0.3">
      <c r="C51" s="31">
        <v>12</v>
      </c>
      <c r="D51" s="19" t="s">
        <v>78</v>
      </c>
      <c r="E51" s="20" t="s">
        <v>77</v>
      </c>
      <c r="F51" s="21">
        <v>5.1400000000000001E-2</v>
      </c>
      <c r="J51" s="6">
        <v>24</v>
      </c>
      <c r="K51" s="6"/>
      <c r="L51" s="6"/>
      <c r="M51" s="6"/>
      <c r="N51" s="6"/>
      <c r="O51" s="6"/>
      <c r="P51" s="6"/>
      <c r="Q51" s="6"/>
      <c r="R51" s="6"/>
      <c r="S51" s="6"/>
      <c r="T51" s="6">
        <v>1</v>
      </c>
      <c r="U51" s="6">
        <v>4</v>
      </c>
      <c r="V51" s="6">
        <v>12</v>
      </c>
      <c r="W51" s="6">
        <v>1</v>
      </c>
      <c r="X51" s="6">
        <v>1</v>
      </c>
      <c r="Y51" s="6">
        <v>4</v>
      </c>
      <c r="Z51" s="6">
        <v>1</v>
      </c>
      <c r="AA51" s="6"/>
      <c r="AB51" s="6"/>
      <c r="AC51" s="6"/>
      <c r="AD51" s="6">
        <v>24</v>
      </c>
      <c r="AF51" s="54">
        <f t="shared" si="1"/>
        <v>24</v>
      </c>
      <c r="AG51" s="54">
        <f t="shared" si="0"/>
        <v>1.809370968249473E-2</v>
      </c>
    </row>
    <row r="52" spans="3:33" ht="15.75" thickBot="1" x14ac:dyDescent="0.3">
      <c r="C52" s="32">
        <v>13</v>
      </c>
      <c r="D52" s="19" t="s">
        <v>79</v>
      </c>
      <c r="E52" s="20" t="s">
        <v>80</v>
      </c>
      <c r="F52" s="21">
        <v>2.7000000000000001E-3</v>
      </c>
      <c r="J52" s="6">
        <v>22</v>
      </c>
      <c r="K52" s="6"/>
      <c r="L52" s="6"/>
      <c r="M52" s="6"/>
      <c r="N52" s="6"/>
      <c r="O52" s="6"/>
      <c r="P52" s="6"/>
      <c r="Q52" s="6"/>
      <c r="R52" s="6"/>
      <c r="S52" s="6"/>
      <c r="T52" s="6" t="s">
        <v>61</v>
      </c>
      <c r="U52" s="6">
        <v>19</v>
      </c>
      <c r="V52" s="6">
        <v>11</v>
      </c>
      <c r="W52" s="6">
        <v>2</v>
      </c>
      <c r="X52" s="6"/>
      <c r="Y52" s="6">
        <v>4</v>
      </c>
      <c r="Z52" s="6">
        <v>9</v>
      </c>
      <c r="AA52" s="6"/>
      <c r="AB52" s="6"/>
      <c r="AC52" s="6"/>
      <c r="AD52" s="6">
        <v>46</v>
      </c>
      <c r="AF52" s="54">
        <f t="shared" si="1"/>
        <v>22</v>
      </c>
      <c r="AG52" s="54">
        <f t="shared" si="0"/>
        <v>2.8713930583089464E-2</v>
      </c>
    </row>
    <row r="53" spans="3:33" ht="15.75" thickBot="1" x14ac:dyDescent="0.3">
      <c r="C53" s="33">
        <v>14</v>
      </c>
      <c r="D53" s="19" t="s">
        <v>81</v>
      </c>
      <c r="E53" s="20" t="s">
        <v>82</v>
      </c>
      <c r="F53" s="21">
        <v>1.1999999999999999E-3</v>
      </c>
      <c r="J53" s="6">
        <v>20</v>
      </c>
      <c r="K53" s="6"/>
      <c r="L53" s="6"/>
      <c r="M53" s="6"/>
      <c r="N53" s="6"/>
      <c r="O53" s="6"/>
      <c r="P53" s="6"/>
      <c r="Q53" s="6"/>
      <c r="R53" s="6"/>
      <c r="S53" s="6">
        <v>1</v>
      </c>
      <c r="T53" s="6">
        <v>4</v>
      </c>
      <c r="U53" s="6">
        <v>24</v>
      </c>
      <c r="V53" s="6">
        <v>26</v>
      </c>
      <c r="W53" s="6"/>
      <c r="X53" s="6">
        <v>2</v>
      </c>
      <c r="Y53" s="6">
        <v>7</v>
      </c>
      <c r="Z53" s="6">
        <v>4</v>
      </c>
      <c r="AA53" s="6">
        <v>5</v>
      </c>
      <c r="AB53" s="6"/>
      <c r="AC53" s="6"/>
      <c r="AD53" s="6">
        <v>73</v>
      </c>
      <c r="AF53" s="54">
        <f t="shared" si="1"/>
        <v>20</v>
      </c>
      <c r="AG53" s="54">
        <f t="shared" si="0"/>
        <v>6.5688032977752608E-2</v>
      </c>
    </row>
    <row r="54" spans="3:33" ht="15.75" thickBot="1" x14ac:dyDescent="0.3">
      <c r="C54" s="34">
        <v>15</v>
      </c>
      <c r="D54" s="19" t="s">
        <v>78</v>
      </c>
      <c r="E54" s="20" t="s">
        <v>82</v>
      </c>
      <c r="F54" s="21">
        <v>3.0000000000000001E-3</v>
      </c>
      <c r="J54" s="6">
        <v>18</v>
      </c>
      <c r="K54" s="6"/>
      <c r="L54" s="6"/>
      <c r="M54" s="6"/>
      <c r="N54" s="6"/>
      <c r="O54" s="6"/>
      <c r="P54" s="6"/>
      <c r="Q54" s="6"/>
      <c r="R54" s="6"/>
      <c r="S54" s="6"/>
      <c r="T54" s="6">
        <v>4</v>
      </c>
      <c r="U54" s="6">
        <v>93</v>
      </c>
      <c r="V54" s="6">
        <v>44</v>
      </c>
      <c r="W54" s="6">
        <v>2</v>
      </c>
      <c r="X54" s="6">
        <v>5</v>
      </c>
      <c r="Y54" s="6">
        <v>15</v>
      </c>
      <c r="Z54" s="6">
        <v>3</v>
      </c>
      <c r="AA54" s="6">
        <v>1</v>
      </c>
      <c r="AB54" s="6"/>
      <c r="AC54" s="6"/>
      <c r="AD54" s="6">
        <v>167</v>
      </c>
      <c r="AF54" s="54">
        <f t="shared" si="1"/>
        <v>18</v>
      </c>
      <c r="AG54" s="54">
        <f t="shared" si="0"/>
        <v>0.11800245445105259</v>
      </c>
    </row>
    <row r="55" spans="3:33" ht="29.25" thickBot="1" x14ac:dyDescent="0.3">
      <c r="C55" s="35">
        <v>16</v>
      </c>
      <c r="D55" s="19" t="s">
        <v>83</v>
      </c>
      <c r="E55" s="20" t="s">
        <v>84</v>
      </c>
      <c r="F55" s="21">
        <v>5.9999999999999995E-4</v>
      </c>
      <c r="J55" s="6">
        <v>16</v>
      </c>
      <c r="K55" s="6"/>
      <c r="L55" s="6"/>
      <c r="M55" s="6"/>
      <c r="N55" s="6"/>
      <c r="O55" s="6"/>
      <c r="P55" s="6"/>
      <c r="Q55" s="6"/>
      <c r="R55" s="6"/>
      <c r="S55" s="6">
        <v>3</v>
      </c>
      <c r="T55" s="6">
        <v>114</v>
      </c>
      <c r="U55" s="6">
        <v>117</v>
      </c>
      <c r="V55" s="6">
        <v>43</v>
      </c>
      <c r="W55" s="6">
        <v>7</v>
      </c>
      <c r="X55" s="6">
        <v>4</v>
      </c>
      <c r="Y55" s="6">
        <v>9</v>
      </c>
      <c r="Z55" s="6">
        <v>3</v>
      </c>
      <c r="AA55" s="6"/>
      <c r="AB55" s="6"/>
      <c r="AC55" s="6"/>
      <c r="AD55" s="6">
        <v>300</v>
      </c>
      <c r="AF55" s="54">
        <f t="shared" si="1"/>
        <v>16</v>
      </c>
      <c r="AG55" s="54">
        <f t="shared" si="0"/>
        <v>0.22853142012020516</v>
      </c>
    </row>
    <row r="56" spans="3:33" ht="29.25" thickBot="1" x14ac:dyDescent="0.3">
      <c r="C56" s="36">
        <v>17</v>
      </c>
      <c r="D56" s="19" t="s">
        <v>85</v>
      </c>
      <c r="E56" s="20" t="s">
        <v>86</v>
      </c>
      <c r="F56" s="21">
        <v>5.0000000000000001E-4</v>
      </c>
      <c r="J56" s="6">
        <v>14</v>
      </c>
      <c r="K56" s="6"/>
      <c r="L56" s="6"/>
      <c r="M56" s="6"/>
      <c r="N56" s="6"/>
      <c r="O56" s="6"/>
      <c r="P56" s="6"/>
      <c r="Q56" s="6"/>
      <c r="R56" s="6" t="s">
        <v>61</v>
      </c>
      <c r="S56" s="6">
        <v>60</v>
      </c>
      <c r="T56" s="6">
        <v>399</v>
      </c>
      <c r="U56" s="6">
        <v>70</v>
      </c>
      <c r="V56" s="6">
        <v>16</v>
      </c>
      <c r="W56" s="6">
        <v>12</v>
      </c>
      <c r="X56" s="6">
        <v>10</v>
      </c>
      <c r="Y56" s="6">
        <v>7</v>
      </c>
      <c r="Z56" s="6">
        <v>6</v>
      </c>
      <c r="AA56" s="6"/>
      <c r="AB56" s="6"/>
      <c r="AC56" s="6"/>
      <c r="AD56" s="6">
        <v>581</v>
      </c>
      <c r="AF56" s="54">
        <f t="shared" si="1"/>
        <v>14</v>
      </c>
      <c r="AG56" s="54">
        <f t="shared" si="0"/>
        <v>0.64311337675823665</v>
      </c>
    </row>
    <row r="57" spans="3:33" x14ac:dyDescent="0.25">
      <c r="J57" s="6">
        <v>12</v>
      </c>
      <c r="K57" s="6"/>
      <c r="L57" s="6"/>
      <c r="M57" s="6"/>
      <c r="N57" s="6"/>
      <c r="O57" s="6"/>
      <c r="P57" s="6"/>
      <c r="Q57" s="6">
        <v>2</v>
      </c>
      <c r="R57" s="6">
        <v>9</v>
      </c>
      <c r="S57" s="6">
        <v>924</v>
      </c>
      <c r="T57" s="6">
        <v>541</v>
      </c>
      <c r="U57" s="6">
        <v>85</v>
      </c>
      <c r="V57" s="6">
        <v>22</v>
      </c>
      <c r="W57" s="6">
        <v>30</v>
      </c>
      <c r="X57" s="6">
        <v>13</v>
      </c>
      <c r="Y57" s="6">
        <v>5</v>
      </c>
      <c r="Z57" s="6">
        <v>4</v>
      </c>
      <c r="AA57" s="6"/>
      <c r="AB57" s="6"/>
      <c r="AC57" s="6"/>
      <c r="AD57" s="6">
        <v>1635</v>
      </c>
      <c r="AF57" s="54">
        <f t="shared" si="1"/>
        <v>12</v>
      </c>
      <c r="AG57" s="54">
        <f t="shared" si="0"/>
        <v>1.2940935838132099</v>
      </c>
    </row>
    <row r="58" spans="3:33" x14ac:dyDescent="0.25">
      <c r="J58" s="6">
        <v>10</v>
      </c>
      <c r="K58" s="6"/>
      <c r="L58" s="6"/>
      <c r="M58" s="6"/>
      <c r="N58" s="6"/>
      <c r="O58" s="6"/>
      <c r="P58" s="6"/>
      <c r="Q58" s="6">
        <v>7</v>
      </c>
      <c r="R58" s="6">
        <v>550</v>
      </c>
      <c r="S58" s="6">
        <v>2210</v>
      </c>
      <c r="T58" s="9">
        <v>395</v>
      </c>
      <c r="U58" s="6">
        <v>61</v>
      </c>
      <c r="V58" s="6">
        <v>39</v>
      </c>
      <c r="W58" s="6">
        <v>9</v>
      </c>
      <c r="X58" s="6">
        <v>2</v>
      </c>
      <c r="Y58" s="6">
        <v>12</v>
      </c>
      <c r="Z58" s="6">
        <v>5</v>
      </c>
      <c r="AA58" s="6"/>
      <c r="AB58" s="6"/>
      <c r="AC58" s="6"/>
      <c r="AD58" s="6">
        <v>3290</v>
      </c>
      <c r="AF58" s="54">
        <f t="shared" si="1"/>
        <v>10</v>
      </c>
      <c r="AG58" s="54">
        <f t="shared" si="0"/>
        <v>3.0601969854306303</v>
      </c>
    </row>
    <row r="59" spans="3:33" x14ac:dyDescent="0.25">
      <c r="J59" s="6">
        <v>8</v>
      </c>
      <c r="K59" s="6"/>
      <c r="L59" s="6"/>
      <c r="M59" s="6"/>
      <c r="N59" s="6"/>
      <c r="O59" s="6"/>
      <c r="P59" s="6">
        <v>10</v>
      </c>
      <c r="Q59" s="6">
        <v>433</v>
      </c>
      <c r="R59" s="6">
        <v>4236</v>
      </c>
      <c r="S59" s="6">
        <v>2669</v>
      </c>
      <c r="T59" s="6">
        <v>314</v>
      </c>
      <c r="U59" s="6">
        <v>71</v>
      </c>
      <c r="V59" s="6">
        <v>24</v>
      </c>
      <c r="W59" s="6">
        <v>7</v>
      </c>
      <c r="X59" s="6">
        <v>2</v>
      </c>
      <c r="Y59" s="6">
        <v>5</v>
      </c>
      <c r="Z59" s="6">
        <v>8</v>
      </c>
      <c r="AA59" s="6">
        <v>1</v>
      </c>
      <c r="AB59" s="6"/>
      <c r="AC59" s="6"/>
      <c r="AD59" s="6">
        <v>7780</v>
      </c>
      <c r="AF59" s="54">
        <f t="shared" si="1"/>
        <v>8</v>
      </c>
      <c r="AG59" s="54">
        <f t="shared" si="0"/>
        <v>8.0725479089965066</v>
      </c>
    </row>
    <row r="60" spans="3:33" x14ac:dyDescent="0.25">
      <c r="J60" s="6">
        <v>6</v>
      </c>
      <c r="K60" s="6"/>
      <c r="L60" s="6"/>
      <c r="M60" s="6"/>
      <c r="N60" s="6"/>
      <c r="O60" s="6">
        <v>25</v>
      </c>
      <c r="P60" s="6">
        <v>346</v>
      </c>
      <c r="Q60" s="6">
        <v>7496</v>
      </c>
      <c r="R60" s="9">
        <v>9512</v>
      </c>
      <c r="S60" s="6">
        <v>2720</v>
      </c>
      <c r="T60" s="6">
        <v>309</v>
      </c>
      <c r="U60" s="6">
        <v>75</v>
      </c>
      <c r="V60" s="6">
        <v>16</v>
      </c>
      <c r="W60" s="6">
        <v>3</v>
      </c>
      <c r="X60" s="6">
        <v>5</v>
      </c>
      <c r="Y60" s="6">
        <v>2</v>
      </c>
      <c r="Z60" s="6">
        <v>3</v>
      </c>
      <c r="AA60" s="6">
        <v>8</v>
      </c>
      <c r="AB60" s="6">
        <v>2</v>
      </c>
      <c r="AC60" s="6">
        <v>1</v>
      </c>
      <c r="AD60" s="6">
        <v>20523</v>
      </c>
      <c r="AF60" s="54">
        <f t="shared" si="1"/>
        <v>6</v>
      </c>
      <c r="AG60" s="54">
        <f t="shared" si="0"/>
        <v>19.906227382862895</v>
      </c>
    </row>
    <row r="61" spans="3:33" x14ac:dyDescent="0.25">
      <c r="J61" s="6">
        <v>4</v>
      </c>
      <c r="K61" s="6"/>
      <c r="L61" s="6"/>
      <c r="M61" s="6"/>
      <c r="N61" s="6">
        <v>23</v>
      </c>
      <c r="O61" s="6">
        <v>632</v>
      </c>
      <c r="P61" s="6">
        <v>14312</v>
      </c>
      <c r="Q61" s="6">
        <v>21811</v>
      </c>
      <c r="R61" s="6">
        <v>12066</v>
      </c>
      <c r="S61" s="6">
        <v>1558</v>
      </c>
      <c r="T61" s="6">
        <v>145</v>
      </c>
      <c r="U61" s="6">
        <v>39</v>
      </c>
      <c r="V61" s="6">
        <v>14</v>
      </c>
      <c r="W61" s="6"/>
      <c r="X61" s="6">
        <v>2</v>
      </c>
      <c r="Y61" s="6">
        <v>3</v>
      </c>
      <c r="Z61" s="6">
        <v>2</v>
      </c>
      <c r="AA61" s="6">
        <v>1</v>
      </c>
      <c r="AB61" s="6"/>
      <c r="AC61" s="6"/>
      <c r="AD61" s="6">
        <v>50608</v>
      </c>
      <c r="AF61" s="54">
        <f t="shared" si="1"/>
        <v>4</v>
      </c>
      <c r="AG61" s="54">
        <f t="shared" si="0"/>
        <v>47.377198779067939</v>
      </c>
    </row>
    <row r="62" spans="3:33" x14ac:dyDescent="0.25">
      <c r="J62" s="6">
        <v>2</v>
      </c>
      <c r="K62" s="6"/>
      <c r="L62" s="6"/>
      <c r="M62" s="6"/>
      <c r="N62" s="6">
        <v>4157</v>
      </c>
      <c r="O62" s="9">
        <v>32001</v>
      </c>
      <c r="P62" s="6">
        <v>56309</v>
      </c>
      <c r="Q62" s="9">
        <v>21889</v>
      </c>
      <c r="R62" s="6">
        <v>4029</v>
      </c>
      <c r="S62" s="6">
        <v>1483</v>
      </c>
      <c r="T62" s="6">
        <v>462</v>
      </c>
      <c r="U62" s="6">
        <v>83</v>
      </c>
      <c r="V62" s="6">
        <v>14</v>
      </c>
      <c r="W62" s="6">
        <v>1</v>
      </c>
      <c r="X62" s="6"/>
      <c r="Y62" s="6"/>
      <c r="Z62" s="6"/>
      <c r="AA62" s="6"/>
      <c r="AB62" s="6"/>
      <c r="AC62" s="6"/>
      <c r="AD62" s="6">
        <v>120448</v>
      </c>
      <c r="AF62" s="54">
        <f t="shared" si="1"/>
        <v>2</v>
      </c>
      <c r="AG62" s="54">
        <f>AD63/$AD$64*100</f>
        <v>19.140391453475566</v>
      </c>
    </row>
    <row r="63" spans="3:33" x14ac:dyDescent="0.25">
      <c r="J63" s="6">
        <v>0</v>
      </c>
      <c r="K63" s="6"/>
      <c r="L63" s="6"/>
      <c r="M63" s="6">
        <v>347</v>
      </c>
      <c r="N63" s="6">
        <v>12119</v>
      </c>
      <c r="O63" s="6">
        <v>18010</v>
      </c>
      <c r="P63" s="6">
        <v>11254</v>
      </c>
      <c r="Q63" s="6">
        <v>1244</v>
      </c>
      <c r="R63" s="6">
        <v>3726</v>
      </c>
      <c r="S63" s="6">
        <v>1651</v>
      </c>
      <c r="T63" s="6">
        <v>291</v>
      </c>
      <c r="U63" s="6">
        <v>19</v>
      </c>
      <c r="V63" s="6"/>
      <c r="W63" s="6"/>
      <c r="X63" s="6"/>
      <c r="Y63" s="6"/>
      <c r="Z63" s="6"/>
      <c r="AA63" s="6"/>
      <c r="AB63" s="6"/>
      <c r="AC63" s="6"/>
      <c r="AD63" s="6">
        <v>48661</v>
      </c>
      <c r="AF63" s="54">
        <f t="shared" si="1"/>
        <v>0</v>
      </c>
      <c r="AG63" s="54">
        <v>0</v>
      </c>
    </row>
    <row r="64" spans="3:33" x14ac:dyDescent="0.25">
      <c r="J64" s="10" t="s">
        <v>60</v>
      </c>
      <c r="K64" s="11"/>
      <c r="L64" s="11"/>
      <c r="M64" s="11">
        <v>347</v>
      </c>
      <c r="N64" s="11">
        <v>16299</v>
      </c>
      <c r="O64" s="11">
        <v>50668</v>
      </c>
      <c r="P64" s="11">
        <v>82231</v>
      </c>
      <c r="Q64" s="11">
        <v>52882</v>
      </c>
      <c r="R64" s="11">
        <v>34128</v>
      </c>
      <c r="S64" s="11">
        <v>13279</v>
      </c>
      <c r="T64" s="11">
        <v>3000</v>
      </c>
      <c r="U64" s="11">
        <v>773</v>
      </c>
      <c r="V64" s="11">
        <v>310</v>
      </c>
      <c r="W64" s="11">
        <v>88</v>
      </c>
      <c r="X64" s="11">
        <v>54</v>
      </c>
      <c r="Y64" s="11">
        <v>102</v>
      </c>
      <c r="Z64" s="11">
        <v>51</v>
      </c>
      <c r="AA64" s="11">
        <v>16</v>
      </c>
      <c r="AB64" s="11">
        <v>2</v>
      </c>
      <c r="AC64" s="11">
        <v>1</v>
      </c>
      <c r="AD64" s="11">
        <v>254232</v>
      </c>
    </row>
    <row r="69" spans="1:18" x14ac:dyDescent="0.25">
      <c r="A69" s="2" t="s">
        <v>191</v>
      </c>
    </row>
    <row r="70" spans="1:18" ht="15.75" thickBot="1" x14ac:dyDescent="0.3"/>
    <row r="71" spans="1:18" ht="15.75" thickBot="1" x14ac:dyDescent="0.3">
      <c r="D71" s="155" t="s">
        <v>162</v>
      </c>
      <c r="E71" s="157" t="s">
        <v>163</v>
      </c>
      <c r="F71" s="158"/>
      <c r="G71" s="158"/>
      <c r="H71" s="158"/>
      <c r="I71" s="158"/>
      <c r="J71" s="158"/>
      <c r="K71" s="158"/>
      <c r="L71" s="158"/>
      <c r="M71" s="159"/>
      <c r="N71" s="160" t="s">
        <v>164</v>
      </c>
      <c r="P71" s="2" t="s">
        <v>160</v>
      </c>
      <c r="Q71" s="51" t="s">
        <v>160</v>
      </c>
      <c r="R71" s="51" t="s">
        <v>39</v>
      </c>
    </row>
    <row r="72" spans="1:18" ht="15.75" thickBot="1" x14ac:dyDescent="0.3">
      <c r="D72" s="156"/>
      <c r="E72" s="70" t="s">
        <v>165</v>
      </c>
      <c r="F72" s="70" t="s">
        <v>166</v>
      </c>
      <c r="G72" s="70" t="s">
        <v>167</v>
      </c>
      <c r="H72" s="71" t="s">
        <v>168</v>
      </c>
      <c r="I72" s="71" t="s">
        <v>169</v>
      </c>
      <c r="J72" s="71" t="s">
        <v>170</v>
      </c>
      <c r="K72" s="71" t="s">
        <v>171</v>
      </c>
      <c r="L72" s="71" t="s">
        <v>172</v>
      </c>
      <c r="M72" s="71" t="s">
        <v>173</v>
      </c>
      <c r="N72" s="161"/>
      <c r="P72" s="2" t="s">
        <v>174</v>
      </c>
      <c r="Q72" s="51" t="s">
        <v>91</v>
      </c>
      <c r="R72" s="51" t="s">
        <v>161</v>
      </c>
    </row>
    <row r="73" spans="1:18" ht="15.75" thickBot="1" x14ac:dyDescent="0.3">
      <c r="D73" s="72" t="s">
        <v>175</v>
      </c>
      <c r="E73" s="73">
        <v>8.9999999999999993E-3</v>
      </c>
      <c r="F73" s="73">
        <v>2.5000000000000001E-2</v>
      </c>
      <c r="G73" s="73">
        <v>2.5000000000000001E-2</v>
      </c>
      <c r="H73" s="73">
        <v>6.7000000000000004E-2</v>
      </c>
      <c r="I73" s="73">
        <v>3.0000000000000001E-3</v>
      </c>
      <c r="J73" s="73">
        <v>3.1E-2</v>
      </c>
      <c r="K73" s="73">
        <v>1.7999999999999999E-2</v>
      </c>
      <c r="L73" s="73">
        <v>6.0000000000000001E-3</v>
      </c>
      <c r="M73" s="74">
        <v>0</v>
      </c>
      <c r="N73" s="73">
        <v>0.184</v>
      </c>
      <c r="O73">
        <f>SUM(E73:M73)</f>
        <v>0.184</v>
      </c>
      <c r="P73" s="75">
        <v>0.5</v>
      </c>
      <c r="Q73" s="68">
        <f>P73/0.3048</f>
        <v>1.6404199475065615</v>
      </c>
      <c r="R73" s="1">
        <f>O73</f>
        <v>0.184</v>
      </c>
    </row>
    <row r="74" spans="1:18" ht="15.75" thickBot="1" x14ac:dyDescent="0.3">
      <c r="D74" s="72" t="s">
        <v>176</v>
      </c>
      <c r="E74" s="73">
        <v>0.18099999999999999</v>
      </c>
      <c r="F74" s="73">
        <v>1.8819999999999999</v>
      </c>
      <c r="G74" s="73">
        <v>2.7040000000000002</v>
      </c>
      <c r="H74" s="73">
        <v>1.6950000000000001</v>
      </c>
      <c r="I74" s="73">
        <v>1.002</v>
      </c>
      <c r="J74" s="73">
        <v>0.57599999999999996</v>
      </c>
      <c r="K74" s="73">
        <v>0.441</v>
      </c>
      <c r="L74" s="73">
        <v>1.7999999999999999E-2</v>
      </c>
      <c r="M74" s="74">
        <v>0</v>
      </c>
      <c r="N74" s="73">
        <v>8.4990000000000006</v>
      </c>
      <c r="O74">
        <f t="shared" ref="O74:O89" si="2">SUM(E74:M74)</f>
        <v>8.4990000000000006</v>
      </c>
      <c r="P74" s="75">
        <f>P73+0.5</f>
        <v>1</v>
      </c>
      <c r="Q74" s="68">
        <f t="shared" ref="Q74:Q88" si="3">P74/0.3048</f>
        <v>3.280839895013123</v>
      </c>
      <c r="R74" s="1">
        <f t="shared" ref="R74:R88" si="4">O74</f>
        <v>8.4990000000000006</v>
      </c>
    </row>
    <row r="75" spans="1:18" ht="15.75" thickBot="1" x14ac:dyDescent="0.3">
      <c r="D75" s="72" t="s">
        <v>177</v>
      </c>
      <c r="E75" s="74">
        <v>0</v>
      </c>
      <c r="F75" s="73">
        <v>6.3179999999999996</v>
      </c>
      <c r="G75" s="73">
        <v>11.084</v>
      </c>
      <c r="H75" s="73">
        <v>4.0339999999999998</v>
      </c>
      <c r="I75" s="73">
        <v>2.5720000000000001</v>
      </c>
      <c r="J75" s="73">
        <v>1.986</v>
      </c>
      <c r="K75" s="73">
        <v>0.74199999999999999</v>
      </c>
      <c r="L75" s="73">
        <v>4.9000000000000002E-2</v>
      </c>
      <c r="M75" s="73">
        <v>3.0000000000000001E-3</v>
      </c>
      <c r="N75" s="73">
        <v>26.788</v>
      </c>
      <c r="O75">
        <f t="shared" si="2"/>
        <v>26.788</v>
      </c>
      <c r="P75" s="75">
        <f t="shared" ref="P75:P88" si="5">P74+0.5</f>
        <v>1.5</v>
      </c>
      <c r="Q75" s="68">
        <f t="shared" si="3"/>
        <v>4.9212598425196852</v>
      </c>
      <c r="R75" s="1">
        <f t="shared" si="4"/>
        <v>26.788</v>
      </c>
    </row>
    <row r="76" spans="1:18" ht="15.75" thickBot="1" x14ac:dyDescent="0.3">
      <c r="D76" s="72" t="s">
        <v>178</v>
      </c>
      <c r="E76" s="74">
        <v>0</v>
      </c>
      <c r="F76" s="73">
        <v>1.137</v>
      </c>
      <c r="G76" s="73">
        <v>15.938000000000001</v>
      </c>
      <c r="H76" s="73">
        <v>5.4720000000000004</v>
      </c>
      <c r="I76" s="73">
        <v>2.9060000000000001</v>
      </c>
      <c r="J76" s="73">
        <v>2.06</v>
      </c>
      <c r="K76" s="73">
        <v>0.60699999999999998</v>
      </c>
      <c r="L76" s="73">
        <v>2.8000000000000001E-2</v>
      </c>
      <c r="M76" s="73">
        <v>3.0000000000000001E-3</v>
      </c>
      <c r="N76" s="73">
        <v>28.151</v>
      </c>
      <c r="O76">
        <f t="shared" si="2"/>
        <v>28.150999999999996</v>
      </c>
      <c r="P76" s="75">
        <f t="shared" si="5"/>
        <v>2</v>
      </c>
      <c r="Q76" s="68">
        <f t="shared" si="3"/>
        <v>6.561679790026246</v>
      </c>
      <c r="R76" s="1">
        <f t="shared" si="4"/>
        <v>28.150999999999996</v>
      </c>
    </row>
    <row r="77" spans="1:18" ht="15.75" thickBot="1" x14ac:dyDescent="0.3">
      <c r="D77" s="72" t="s">
        <v>179</v>
      </c>
      <c r="E77" s="74">
        <v>0</v>
      </c>
      <c r="F77" s="73">
        <v>2.8000000000000001E-2</v>
      </c>
      <c r="G77" s="73">
        <v>8.2789999999999999</v>
      </c>
      <c r="H77" s="73">
        <v>5.1589999999999998</v>
      </c>
      <c r="I77" s="73">
        <v>2.6789999999999998</v>
      </c>
      <c r="J77" s="73">
        <v>1.6579999999999999</v>
      </c>
      <c r="K77" s="73">
        <v>0.46</v>
      </c>
      <c r="L77" s="73">
        <v>2.8000000000000001E-2</v>
      </c>
      <c r="M77" s="73">
        <v>8.9999999999999993E-3</v>
      </c>
      <c r="N77" s="73">
        <v>18.3</v>
      </c>
      <c r="O77">
        <f t="shared" si="2"/>
        <v>18.3</v>
      </c>
      <c r="P77" s="75">
        <f t="shared" si="5"/>
        <v>2.5</v>
      </c>
      <c r="Q77" s="68">
        <f t="shared" si="3"/>
        <v>8.2020997375328086</v>
      </c>
      <c r="R77" s="1">
        <f t="shared" si="4"/>
        <v>18.3</v>
      </c>
    </row>
    <row r="78" spans="1:18" ht="15.75" thickBot="1" x14ac:dyDescent="0.3">
      <c r="D78" s="72" t="s">
        <v>180</v>
      </c>
      <c r="E78" s="74">
        <v>0</v>
      </c>
      <c r="F78" s="74">
        <v>0</v>
      </c>
      <c r="G78" s="73">
        <v>1.661</v>
      </c>
      <c r="H78" s="73">
        <v>4.258</v>
      </c>
      <c r="I78" s="73">
        <v>1.9650000000000001</v>
      </c>
      <c r="J78" s="73">
        <v>1.1919999999999999</v>
      </c>
      <c r="K78" s="73">
        <v>0.28799999999999998</v>
      </c>
      <c r="L78" s="73">
        <v>1.4999999999999999E-2</v>
      </c>
      <c r="M78" s="73">
        <v>3.0000000000000001E-3</v>
      </c>
      <c r="N78" s="73">
        <v>9.3819999999999997</v>
      </c>
      <c r="O78">
        <f t="shared" si="2"/>
        <v>9.3820000000000014</v>
      </c>
      <c r="P78" s="75">
        <f t="shared" si="5"/>
        <v>3</v>
      </c>
      <c r="Q78" s="68">
        <f t="shared" si="3"/>
        <v>9.8425196850393704</v>
      </c>
      <c r="R78" s="1">
        <f t="shared" si="4"/>
        <v>9.3820000000000014</v>
      </c>
    </row>
    <row r="79" spans="1:18" ht="15.75" thickBot="1" x14ac:dyDescent="0.3">
      <c r="D79" s="72" t="s">
        <v>181</v>
      </c>
      <c r="E79" s="74">
        <v>0</v>
      </c>
      <c r="F79" s="74">
        <v>0</v>
      </c>
      <c r="G79" s="73">
        <v>9.1999999999999998E-2</v>
      </c>
      <c r="H79" s="73">
        <v>2.3109999999999999</v>
      </c>
      <c r="I79" s="73">
        <v>1.143</v>
      </c>
      <c r="J79" s="73">
        <v>0.64400000000000002</v>
      </c>
      <c r="K79" s="73">
        <v>0.20499999999999999</v>
      </c>
      <c r="L79" s="73">
        <v>2.5000000000000001E-2</v>
      </c>
      <c r="M79" s="73">
        <v>3.0000000000000001E-3</v>
      </c>
      <c r="N79" s="73">
        <v>4.423</v>
      </c>
      <c r="O79">
        <f t="shared" si="2"/>
        <v>4.4230000000000009</v>
      </c>
      <c r="P79" s="75">
        <f t="shared" si="5"/>
        <v>3.5</v>
      </c>
      <c r="Q79" s="68">
        <f t="shared" si="3"/>
        <v>11.48293963254593</v>
      </c>
      <c r="R79" s="1">
        <f t="shared" si="4"/>
        <v>4.4230000000000009</v>
      </c>
    </row>
    <row r="80" spans="1:18" ht="15.75" thickBot="1" x14ac:dyDescent="0.3">
      <c r="D80" s="72" t="s">
        <v>182</v>
      </c>
      <c r="E80" s="74">
        <v>0</v>
      </c>
      <c r="F80" s="74">
        <v>0</v>
      </c>
      <c r="G80" s="73">
        <v>8.9999999999999993E-3</v>
      </c>
      <c r="H80" s="73">
        <v>0.73899999999999999</v>
      </c>
      <c r="I80" s="73">
        <v>0.64700000000000002</v>
      </c>
      <c r="J80" s="73">
        <v>0.38600000000000001</v>
      </c>
      <c r="K80" s="73">
        <v>9.5000000000000001E-2</v>
      </c>
      <c r="L80" s="73">
        <v>3.1E-2</v>
      </c>
      <c r="M80" s="74">
        <v>0</v>
      </c>
      <c r="N80" s="73">
        <v>1.907</v>
      </c>
      <c r="O80">
        <f t="shared" si="2"/>
        <v>1.907</v>
      </c>
      <c r="P80" s="75">
        <f t="shared" si="5"/>
        <v>4</v>
      </c>
      <c r="Q80" s="68">
        <f t="shared" si="3"/>
        <v>13.123359580052492</v>
      </c>
      <c r="R80" s="1">
        <f t="shared" si="4"/>
        <v>1.907</v>
      </c>
    </row>
    <row r="81" spans="1:18" ht="15.75" thickBot="1" x14ac:dyDescent="0.3">
      <c r="D81" s="72" t="s">
        <v>183</v>
      </c>
      <c r="E81" s="74">
        <v>0</v>
      </c>
      <c r="F81" s="74">
        <v>0</v>
      </c>
      <c r="G81" s="74">
        <v>0</v>
      </c>
      <c r="H81" s="73">
        <v>0.19600000000000001</v>
      </c>
      <c r="I81" s="73">
        <v>0.49399999999999999</v>
      </c>
      <c r="J81" s="73">
        <v>0.29099999999999998</v>
      </c>
      <c r="K81" s="73">
        <v>7.3999999999999996E-2</v>
      </c>
      <c r="L81" s="73">
        <v>1.7999999999999999E-2</v>
      </c>
      <c r="M81" s="74">
        <v>0</v>
      </c>
      <c r="N81" s="73">
        <v>1.073</v>
      </c>
      <c r="O81">
        <f t="shared" si="2"/>
        <v>1.073</v>
      </c>
      <c r="P81" s="75">
        <f t="shared" si="5"/>
        <v>4.5</v>
      </c>
      <c r="Q81" s="68">
        <f t="shared" si="3"/>
        <v>14.763779527559054</v>
      </c>
      <c r="R81" s="1">
        <f t="shared" si="4"/>
        <v>1.073</v>
      </c>
    </row>
    <row r="82" spans="1:18" ht="15.75" thickBot="1" x14ac:dyDescent="0.3">
      <c r="D82" s="72" t="s">
        <v>184</v>
      </c>
      <c r="E82" s="74">
        <v>0</v>
      </c>
      <c r="F82" s="74">
        <v>0</v>
      </c>
      <c r="G82" s="74">
        <v>0</v>
      </c>
      <c r="H82" s="73">
        <v>4.2999999999999997E-2</v>
      </c>
      <c r="I82" s="74">
        <v>0.34</v>
      </c>
      <c r="J82" s="73">
        <v>0.13500000000000001</v>
      </c>
      <c r="K82" s="73">
        <v>9.5000000000000001E-2</v>
      </c>
      <c r="L82" s="73">
        <v>6.0000000000000001E-3</v>
      </c>
      <c r="M82" s="74">
        <v>0</v>
      </c>
      <c r="N82" s="73">
        <v>0.61899999999999999</v>
      </c>
      <c r="O82">
        <f t="shared" si="2"/>
        <v>0.61899999999999999</v>
      </c>
      <c r="P82" s="75">
        <f t="shared" si="5"/>
        <v>5</v>
      </c>
      <c r="Q82" s="68">
        <f t="shared" si="3"/>
        <v>16.404199475065617</v>
      </c>
      <c r="R82" s="1">
        <f t="shared" si="4"/>
        <v>0.61899999999999999</v>
      </c>
    </row>
    <row r="83" spans="1:18" ht="15.75" thickBot="1" x14ac:dyDescent="0.3">
      <c r="D83" s="72" t="s">
        <v>185</v>
      </c>
      <c r="E83" s="74">
        <v>0</v>
      </c>
      <c r="F83" s="74">
        <v>0</v>
      </c>
      <c r="G83" s="74">
        <v>0</v>
      </c>
      <c r="H83" s="73">
        <v>6.0000000000000001E-3</v>
      </c>
      <c r="I83" s="73">
        <v>0.14699999999999999</v>
      </c>
      <c r="J83" s="73">
        <v>0.13200000000000001</v>
      </c>
      <c r="K83" s="73">
        <v>8.8999999999999996E-2</v>
      </c>
      <c r="L83" s="73">
        <v>4.5999999999999999E-2</v>
      </c>
      <c r="M83" s="74">
        <v>0</v>
      </c>
      <c r="N83" s="73">
        <v>0.42</v>
      </c>
      <c r="O83">
        <f t="shared" si="2"/>
        <v>0.42</v>
      </c>
      <c r="P83" s="75">
        <f t="shared" si="5"/>
        <v>5.5</v>
      </c>
      <c r="Q83" s="68">
        <f t="shared" si="3"/>
        <v>18.044619422572179</v>
      </c>
      <c r="R83" s="1">
        <f t="shared" si="4"/>
        <v>0.42</v>
      </c>
    </row>
    <row r="84" spans="1:18" ht="15.75" thickBot="1" x14ac:dyDescent="0.3">
      <c r="D84" s="72" t="s">
        <v>186</v>
      </c>
      <c r="E84" s="74">
        <v>0</v>
      </c>
      <c r="F84" s="74">
        <v>0</v>
      </c>
      <c r="G84" s="74">
        <v>0</v>
      </c>
      <c r="H84" s="74">
        <v>0</v>
      </c>
      <c r="I84" s="73">
        <v>3.4000000000000002E-2</v>
      </c>
      <c r="J84" s="73">
        <v>5.5E-2</v>
      </c>
      <c r="K84" s="73">
        <v>3.4000000000000002E-2</v>
      </c>
      <c r="L84" s="73">
        <v>1.2E-2</v>
      </c>
      <c r="M84" s="74">
        <v>0</v>
      </c>
      <c r="N84" s="73">
        <v>0.13500000000000001</v>
      </c>
      <c r="O84">
        <f t="shared" si="2"/>
        <v>0.13500000000000001</v>
      </c>
      <c r="P84" s="75">
        <f t="shared" si="5"/>
        <v>6</v>
      </c>
      <c r="Q84" s="68">
        <f t="shared" si="3"/>
        <v>19.685039370078741</v>
      </c>
      <c r="R84" s="1">
        <f t="shared" si="4"/>
        <v>0.13500000000000001</v>
      </c>
    </row>
    <row r="85" spans="1:18" ht="15.75" thickBot="1" x14ac:dyDescent="0.3">
      <c r="D85" s="72" t="s">
        <v>187</v>
      </c>
      <c r="E85" s="74">
        <v>0</v>
      </c>
      <c r="F85" s="74">
        <v>0</v>
      </c>
      <c r="G85" s="74">
        <v>0</v>
      </c>
      <c r="H85" s="74">
        <v>0</v>
      </c>
      <c r="I85" s="74">
        <v>0</v>
      </c>
      <c r="J85" s="73">
        <v>3.6999999999999998E-2</v>
      </c>
      <c r="K85" s="73">
        <v>2.5000000000000001E-2</v>
      </c>
      <c r="L85" s="74">
        <v>0</v>
      </c>
      <c r="M85" s="74">
        <v>0</v>
      </c>
      <c r="N85" s="73">
        <v>6.2E-2</v>
      </c>
      <c r="O85">
        <f t="shared" si="2"/>
        <v>6.2E-2</v>
      </c>
      <c r="P85" s="75">
        <f t="shared" si="5"/>
        <v>6.5</v>
      </c>
      <c r="Q85" s="68">
        <f t="shared" si="3"/>
        <v>21.325459317585302</v>
      </c>
      <c r="R85" s="1">
        <f t="shared" si="4"/>
        <v>6.2E-2</v>
      </c>
    </row>
    <row r="86" spans="1:18" ht="15.75" thickBot="1" x14ac:dyDescent="0.3">
      <c r="D86" s="72" t="s">
        <v>188</v>
      </c>
      <c r="E86" s="74">
        <v>0</v>
      </c>
      <c r="F86" s="74">
        <v>0</v>
      </c>
      <c r="G86" s="74">
        <v>0</v>
      </c>
      <c r="H86" s="74">
        <v>0</v>
      </c>
      <c r="I86" s="74">
        <v>0</v>
      </c>
      <c r="J86" s="73">
        <v>8.9999999999999993E-3</v>
      </c>
      <c r="K86" s="73">
        <v>1.4999999999999999E-2</v>
      </c>
      <c r="L86" s="74">
        <v>0</v>
      </c>
      <c r="M86" s="74">
        <v>0</v>
      </c>
      <c r="N86" s="73">
        <v>2.4E-2</v>
      </c>
      <c r="O86">
        <f t="shared" si="2"/>
        <v>2.4E-2</v>
      </c>
      <c r="P86" s="75">
        <f t="shared" si="5"/>
        <v>7</v>
      </c>
      <c r="Q86" s="68">
        <f t="shared" si="3"/>
        <v>22.965879265091861</v>
      </c>
      <c r="R86" s="1">
        <f t="shared" si="4"/>
        <v>2.4E-2</v>
      </c>
    </row>
    <row r="87" spans="1:18" ht="15.75" thickBot="1" x14ac:dyDescent="0.3">
      <c r="D87" s="72" t="s">
        <v>189</v>
      </c>
      <c r="E87" s="74">
        <v>0</v>
      </c>
      <c r="F87" s="74">
        <v>0</v>
      </c>
      <c r="G87" s="74">
        <v>0</v>
      </c>
      <c r="H87" s="74">
        <v>0</v>
      </c>
      <c r="I87" s="74">
        <v>0</v>
      </c>
      <c r="J87" s="73">
        <v>3.0000000000000001E-3</v>
      </c>
      <c r="K87" s="73">
        <v>1.7999999999999999E-2</v>
      </c>
      <c r="L87" s="74">
        <v>0</v>
      </c>
      <c r="M87" s="74">
        <v>0</v>
      </c>
      <c r="N87" s="73">
        <v>2.1000000000000001E-2</v>
      </c>
      <c r="O87">
        <f t="shared" si="2"/>
        <v>2.0999999999999998E-2</v>
      </c>
      <c r="P87" s="75">
        <f t="shared" si="5"/>
        <v>7.5</v>
      </c>
      <c r="Q87" s="68">
        <f t="shared" si="3"/>
        <v>24.606299212598422</v>
      </c>
      <c r="R87" s="1">
        <f t="shared" si="4"/>
        <v>2.0999999999999998E-2</v>
      </c>
    </row>
    <row r="88" spans="1:18" ht="15.75" thickBot="1" x14ac:dyDescent="0.3">
      <c r="D88" s="72" t="s">
        <v>190</v>
      </c>
      <c r="E88" s="74">
        <v>0</v>
      </c>
      <c r="F88" s="74">
        <v>0</v>
      </c>
      <c r="G88" s="74">
        <v>0</v>
      </c>
      <c r="H88" s="74">
        <v>0</v>
      </c>
      <c r="I88" s="74">
        <v>0</v>
      </c>
      <c r="J88" s="74">
        <v>0</v>
      </c>
      <c r="K88" s="73">
        <v>1.2E-2</v>
      </c>
      <c r="L88" s="74">
        <v>0</v>
      </c>
      <c r="M88" s="74">
        <v>0</v>
      </c>
      <c r="N88" s="73">
        <v>1.2E-2</v>
      </c>
      <c r="O88">
        <f t="shared" si="2"/>
        <v>1.2E-2</v>
      </c>
      <c r="P88" s="75">
        <f t="shared" si="5"/>
        <v>8</v>
      </c>
      <c r="Q88" s="68">
        <f t="shared" si="3"/>
        <v>26.246719160104984</v>
      </c>
      <c r="R88" s="1">
        <f t="shared" si="4"/>
        <v>1.2E-2</v>
      </c>
    </row>
    <row r="89" spans="1:18" ht="15.75" thickBot="1" x14ac:dyDescent="0.3">
      <c r="D89" s="72" t="s">
        <v>164</v>
      </c>
      <c r="E89" s="73">
        <v>0.19</v>
      </c>
      <c r="F89" s="73">
        <v>9.39</v>
      </c>
      <c r="G89" s="73">
        <v>39.792000000000002</v>
      </c>
      <c r="H89" s="73">
        <v>23.98</v>
      </c>
      <c r="I89" s="73">
        <v>13.932</v>
      </c>
      <c r="J89" s="73">
        <v>9.1950000000000003</v>
      </c>
      <c r="K89" s="73">
        <v>3.218</v>
      </c>
      <c r="L89" s="73">
        <v>0.28199999999999997</v>
      </c>
      <c r="M89" s="73">
        <v>2.1000000000000001E-2</v>
      </c>
      <c r="N89" s="74">
        <v>100</v>
      </c>
      <c r="O89">
        <f t="shared" si="2"/>
        <v>100.00000000000001</v>
      </c>
    </row>
    <row r="90" spans="1:18" x14ac:dyDescent="0.25">
      <c r="E90">
        <f>SUM(E73:E88)</f>
        <v>0.19</v>
      </c>
      <c r="F90">
        <f t="shared" ref="F90:N90" si="6">SUM(F73:F88)</f>
        <v>9.39</v>
      </c>
      <c r="G90">
        <f t="shared" si="6"/>
        <v>39.792000000000002</v>
      </c>
      <c r="H90">
        <f t="shared" si="6"/>
        <v>23.98</v>
      </c>
      <c r="I90">
        <f t="shared" si="6"/>
        <v>13.932000000000002</v>
      </c>
      <c r="J90">
        <f t="shared" si="6"/>
        <v>9.1950000000000003</v>
      </c>
      <c r="K90">
        <f t="shared" si="6"/>
        <v>3.218</v>
      </c>
      <c r="L90">
        <f t="shared" si="6"/>
        <v>0.28200000000000003</v>
      </c>
      <c r="M90">
        <f t="shared" si="6"/>
        <v>2.0999999999999998E-2</v>
      </c>
      <c r="N90">
        <f t="shared" si="6"/>
        <v>100</v>
      </c>
    </row>
    <row r="93" spans="1:18" x14ac:dyDescent="0.25">
      <c r="A93" s="2" t="s">
        <v>192</v>
      </c>
      <c r="F93" t="s">
        <v>205</v>
      </c>
    </row>
    <row r="94" spans="1:18" x14ac:dyDescent="0.25">
      <c r="F94" t="s">
        <v>206</v>
      </c>
    </row>
    <row r="95" spans="1:18" x14ac:dyDescent="0.25">
      <c r="F95" t="s">
        <v>207</v>
      </c>
      <c r="G95" t="s">
        <v>208</v>
      </c>
    </row>
    <row r="96" spans="1:18" x14ac:dyDescent="0.25">
      <c r="F96" t="s">
        <v>164</v>
      </c>
    </row>
    <row r="97" spans="1:23" x14ac:dyDescent="0.25">
      <c r="G97" s="2" t="s">
        <v>209</v>
      </c>
      <c r="H97" s="2" t="s">
        <v>210</v>
      </c>
      <c r="I97" s="2" t="s">
        <v>211</v>
      </c>
      <c r="J97" s="2" t="s">
        <v>212</v>
      </c>
      <c r="K97" s="2" t="s">
        <v>213</v>
      </c>
      <c r="L97" s="2" t="s">
        <v>214</v>
      </c>
      <c r="M97" s="2" t="s">
        <v>215</v>
      </c>
      <c r="N97" s="2" t="s">
        <v>216</v>
      </c>
      <c r="O97" s="2" t="s">
        <v>217</v>
      </c>
      <c r="P97" s="2" t="s">
        <v>218</v>
      </c>
      <c r="Q97" s="2" t="s">
        <v>219</v>
      </c>
      <c r="R97" s="2" t="s">
        <v>220</v>
      </c>
      <c r="S97" s="2" t="s">
        <v>221</v>
      </c>
      <c r="T97" s="2" t="s">
        <v>222</v>
      </c>
      <c r="U97" s="2" t="s">
        <v>223</v>
      </c>
      <c r="V97" s="2" t="s">
        <v>224</v>
      </c>
      <c r="W97" s="2" t="s">
        <v>60</v>
      </c>
    </row>
    <row r="98" spans="1:23" x14ac:dyDescent="0.25">
      <c r="F98" t="s">
        <v>225</v>
      </c>
      <c r="G98">
        <v>1.2689999999999999</v>
      </c>
      <c r="H98">
        <v>0.81399999999999995</v>
      </c>
      <c r="I98">
        <v>0.36599999999999999</v>
      </c>
      <c r="J98">
        <v>0.25800000000000001</v>
      </c>
      <c r="K98">
        <v>0.224</v>
      </c>
      <c r="L98">
        <v>0.245</v>
      </c>
      <c r="M98">
        <v>0.17100000000000001</v>
      </c>
      <c r="N98">
        <v>0.192</v>
      </c>
      <c r="O98">
        <v>0.158</v>
      </c>
      <c r="P98">
        <v>0.105</v>
      </c>
      <c r="Q98">
        <v>0.245</v>
      </c>
      <c r="R98">
        <v>0.35</v>
      </c>
      <c r="S98">
        <v>1.0369999999999999</v>
      </c>
      <c r="T98">
        <v>1.9510000000000001</v>
      </c>
      <c r="U98">
        <v>2.4929999999999999</v>
      </c>
      <c r="V98">
        <v>2.0529999999999999</v>
      </c>
      <c r="W98">
        <v>11.930999999999999</v>
      </c>
    </row>
    <row r="99" spans="1:23" x14ac:dyDescent="0.25">
      <c r="F99" t="s">
        <v>226</v>
      </c>
      <c r="G99">
        <v>2.87</v>
      </c>
      <c r="H99">
        <v>0.93700000000000006</v>
      </c>
      <c r="I99">
        <v>0.42399999999999999</v>
      </c>
      <c r="J99">
        <v>0.371</v>
      </c>
      <c r="K99">
        <v>0.33700000000000002</v>
      </c>
      <c r="L99">
        <v>0.316</v>
      </c>
      <c r="M99">
        <v>0.25</v>
      </c>
      <c r="N99">
        <v>0.219</v>
      </c>
      <c r="O99">
        <v>0.2</v>
      </c>
      <c r="P99">
        <v>0.221</v>
      </c>
      <c r="Q99">
        <v>0.28399999999999997</v>
      </c>
      <c r="R99">
        <v>0.7</v>
      </c>
      <c r="S99">
        <v>2.6509999999999998</v>
      </c>
      <c r="T99">
        <v>7.05</v>
      </c>
      <c r="U99">
        <v>8.3559999999999999</v>
      </c>
      <c r="V99">
        <v>5.8390000000000004</v>
      </c>
      <c r="W99">
        <v>31.024999999999999</v>
      </c>
    </row>
    <row r="100" spans="1:23" x14ac:dyDescent="0.25">
      <c r="F100" t="s">
        <v>227</v>
      </c>
      <c r="G100">
        <v>1.706</v>
      </c>
      <c r="H100">
        <v>0.50800000000000001</v>
      </c>
      <c r="I100">
        <v>0.28399999999999997</v>
      </c>
      <c r="J100">
        <v>0.26300000000000001</v>
      </c>
      <c r="K100">
        <v>0.16800000000000001</v>
      </c>
      <c r="L100">
        <v>0.158</v>
      </c>
      <c r="M100">
        <v>0.14499999999999999</v>
      </c>
      <c r="N100">
        <v>0.09</v>
      </c>
      <c r="O100">
        <v>2.5999999999999999E-2</v>
      </c>
      <c r="P100">
        <v>5.2999999999999999E-2</v>
      </c>
      <c r="Q100">
        <v>0.09</v>
      </c>
      <c r="R100">
        <v>0.32900000000000001</v>
      </c>
      <c r="S100">
        <v>2.5510000000000002</v>
      </c>
      <c r="T100">
        <v>8.8089999999999993</v>
      </c>
      <c r="U100">
        <v>9.1440000000000001</v>
      </c>
      <c r="V100">
        <v>5.3209999999999997</v>
      </c>
      <c r="W100">
        <v>29.645</v>
      </c>
    </row>
    <row r="101" spans="1:23" x14ac:dyDescent="0.25">
      <c r="F101" t="s">
        <v>228</v>
      </c>
      <c r="G101">
        <v>0.47399999999999998</v>
      </c>
      <c r="H101">
        <v>0.158</v>
      </c>
      <c r="I101">
        <v>3.6999999999999998E-2</v>
      </c>
      <c r="J101">
        <v>1.6E-2</v>
      </c>
      <c r="K101">
        <v>1.6E-2</v>
      </c>
      <c r="L101">
        <v>1.2999999999999999E-2</v>
      </c>
      <c r="M101">
        <v>3.0000000000000001E-3</v>
      </c>
      <c r="N101">
        <v>1.0999999999999999E-2</v>
      </c>
      <c r="O101">
        <v>0</v>
      </c>
      <c r="P101">
        <v>3.0000000000000001E-3</v>
      </c>
      <c r="Q101">
        <v>1.0999999999999999E-2</v>
      </c>
      <c r="R101">
        <v>5.8000000000000003E-2</v>
      </c>
      <c r="S101">
        <v>1.224</v>
      </c>
      <c r="T101">
        <v>6.5289999999999999</v>
      </c>
      <c r="U101">
        <v>6.3129999999999997</v>
      </c>
      <c r="V101">
        <v>2.3170000000000002</v>
      </c>
      <c r="W101">
        <v>17.183</v>
      </c>
    </row>
    <row r="102" spans="1:23" x14ac:dyDescent="0.25">
      <c r="F102" t="s">
        <v>229</v>
      </c>
      <c r="G102">
        <v>5.5E-2</v>
      </c>
      <c r="H102">
        <v>2.4E-2</v>
      </c>
      <c r="I102">
        <v>3.0000000000000001E-3</v>
      </c>
      <c r="J102">
        <v>3.0000000000000001E-3</v>
      </c>
      <c r="K102">
        <v>8.0000000000000002E-3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1.6E-2</v>
      </c>
      <c r="S102">
        <v>0.36099999999999999</v>
      </c>
      <c r="T102">
        <v>2.9990000000000001</v>
      </c>
      <c r="U102">
        <v>2.7559999999999998</v>
      </c>
      <c r="V102">
        <v>0.57399999999999995</v>
      </c>
      <c r="W102">
        <v>6.7990000000000004</v>
      </c>
    </row>
    <row r="103" spans="1:23" x14ac:dyDescent="0.25">
      <c r="F103" t="s">
        <v>230</v>
      </c>
      <c r="G103">
        <v>2.4E-2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8.2000000000000003E-2</v>
      </c>
      <c r="T103">
        <v>0.94</v>
      </c>
      <c r="U103">
        <v>1.179</v>
      </c>
      <c r="V103">
        <v>0.182</v>
      </c>
      <c r="W103">
        <v>2.407</v>
      </c>
    </row>
    <row r="104" spans="1:23" x14ac:dyDescent="0.25">
      <c r="F104" t="s">
        <v>231</v>
      </c>
      <c r="G104">
        <v>3.0000000000000001E-3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2.1000000000000001E-2</v>
      </c>
      <c r="T104">
        <v>0.505</v>
      </c>
      <c r="U104">
        <v>0.376</v>
      </c>
      <c r="V104">
        <v>5.5E-2</v>
      </c>
      <c r="W104">
        <v>0.96</v>
      </c>
    </row>
    <row r="105" spans="1:23" x14ac:dyDescent="0.25">
      <c r="F105" t="s">
        <v>232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4.7E-2</v>
      </c>
      <c r="U105">
        <v>3.0000000000000001E-3</v>
      </c>
      <c r="V105">
        <v>0</v>
      </c>
      <c r="W105">
        <v>0.05</v>
      </c>
    </row>
    <row r="106" spans="1:23" x14ac:dyDescent="0.25">
      <c r="F106" t="s">
        <v>164</v>
      </c>
      <c r="G106">
        <v>6.4009999999999998</v>
      </c>
      <c r="H106">
        <v>2.4409999999999998</v>
      </c>
      <c r="I106">
        <v>1.1140000000000001</v>
      </c>
      <c r="J106">
        <v>0.91100000000000003</v>
      </c>
      <c r="K106">
        <v>0.753</v>
      </c>
      <c r="L106">
        <v>0.73199999999999998</v>
      </c>
      <c r="M106">
        <v>0.56899999999999995</v>
      </c>
      <c r="N106">
        <v>0.51200000000000001</v>
      </c>
      <c r="O106">
        <v>0.38400000000000001</v>
      </c>
      <c r="P106">
        <v>0.38200000000000001</v>
      </c>
      <c r="Q106">
        <v>0.63</v>
      </c>
      <c r="R106">
        <v>1.4530000000000001</v>
      </c>
      <c r="S106">
        <v>7.9269999999999996</v>
      </c>
      <c r="T106">
        <v>28.83</v>
      </c>
      <c r="U106">
        <v>30.62</v>
      </c>
      <c r="V106">
        <v>16.341000000000001</v>
      </c>
      <c r="W106">
        <v>100</v>
      </c>
    </row>
    <row r="108" spans="1:23" x14ac:dyDescent="0.25">
      <c r="A108" t="s">
        <v>204</v>
      </c>
    </row>
    <row r="111" spans="1:23" x14ac:dyDescent="0.25">
      <c r="D111" t="s">
        <v>196</v>
      </c>
    </row>
    <row r="112" spans="1:23" x14ac:dyDescent="0.25">
      <c r="D112" t="s">
        <v>197</v>
      </c>
    </row>
    <row r="113" spans="4:12" x14ac:dyDescent="0.25">
      <c r="D113" t="s">
        <v>198</v>
      </c>
    </row>
    <row r="116" spans="4:12" x14ac:dyDescent="0.25">
      <c r="D116" t="s">
        <v>160</v>
      </c>
      <c r="E116" t="s">
        <v>197</v>
      </c>
      <c r="F116" t="s">
        <v>202</v>
      </c>
      <c r="G116" t="s">
        <v>201</v>
      </c>
      <c r="H116" t="s">
        <v>39</v>
      </c>
      <c r="J116" s="51" t="s">
        <v>160</v>
      </c>
      <c r="K116" s="51" t="s">
        <v>197</v>
      </c>
      <c r="L116" s="51" t="s">
        <v>39</v>
      </c>
    </row>
    <row r="117" spans="4:12" x14ac:dyDescent="0.25">
      <c r="D117" t="s">
        <v>174</v>
      </c>
      <c r="H117" t="s">
        <v>199</v>
      </c>
      <c r="J117" s="51" t="s">
        <v>91</v>
      </c>
      <c r="K117" s="51" t="s">
        <v>203</v>
      </c>
      <c r="L117" s="51" t="s">
        <v>199</v>
      </c>
    </row>
    <row r="118" spans="4:12" x14ac:dyDescent="0.25">
      <c r="D118">
        <v>1.45</v>
      </c>
      <c r="E118">
        <v>6.23</v>
      </c>
      <c r="F118">
        <v>6</v>
      </c>
      <c r="G118">
        <v>3.4076000000000002E-3</v>
      </c>
      <c r="H118">
        <v>9.6</v>
      </c>
      <c r="J118" s="1">
        <f>D118/0.3048</f>
        <v>4.7572178477690281</v>
      </c>
      <c r="K118" s="1">
        <f>E118</f>
        <v>6.23</v>
      </c>
      <c r="L118" s="1">
        <f>H118</f>
        <v>9.6</v>
      </c>
    </row>
    <row r="119" spans="4:12" x14ac:dyDescent="0.25">
      <c r="D119">
        <v>1.69</v>
      </c>
      <c r="E119">
        <v>7.99</v>
      </c>
      <c r="F119">
        <v>6</v>
      </c>
      <c r="G119">
        <v>1.7126999999999999E-3</v>
      </c>
      <c r="H119">
        <v>26.99</v>
      </c>
      <c r="J119" s="1">
        <f t="shared" ref="J119:J127" si="7">D119/0.3048</f>
        <v>5.5446194225721781</v>
      </c>
      <c r="K119" s="1">
        <f t="shared" ref="K119:K127" si="8">E119</f>
        <v>7.99</v>
      </c>
      <c r="L119" s="1">
        <f t="shared" ref="L119:L127" si="9">H119</f>
        <v>26.99</v>
      </c>
    </row>
    <row r="120" spans="4:12" x14ac:dyDescent="0.25">
      <c r="D120">
        <v>1.97</v>
      </c>
      <c r="E120">
        <v>9.94</v>
      </c>
      <c r="F120">
        <v>6</v>
      </c>
      <c r="G120">
        <v>9.8229999999999997E-4</v>
      </c>
      <c r="H120">
        <v>17.28</v>
      </c>
      <c r="J120" s="1">
        <f t="shared" si="7"/>
        <v>6.4632545931758525</v>
      </c>
      <c r="K120" s="1">
        <f t="shared" si="8"/>
        <v>9.94</v>
      </c>
      <c r="L120" s="1">
        <f t="shared" si="9"/>
        <v>17.28</v>
      </c>
    </row>
    <row r="121" spans="4:12" x14ac:dyDescent="0.25">
      <c r="D121">
        <v>1.88</v>
      </c>
      <c r="E121">
        <v>12.02</v>
      </c>
      <c r="F121">
        <v>6</v>
      </c>
      <c r="G121">
        <v>4.1580000000000002E-4</v>
      </c>
      <c r="H121">
        <v>18.989999999999998</v>
      </c>
      <c r="J121" s="1">
        <f t="shared" si="7"/>
        <v>6.167979002624671</v>
      </c>
      <c r="K121" s="1">
        <f t="shared" si="8"/>
        <v>12.02</v>
      </c>
      <c r="L121" s="1">
        <f t="shared" si="9"/>
        <v>18.989999999999998</v>
      </c>
    </row>
    <row r="122" spans="4:12" x14ac:dyDescent="0.25">
      <c r="D122">
        <v>1.87</v>
      </c>
      <c r="E122">
        <v>13.99</v>
      </c>
      <c r="F122">
        <v>6</v>
      </c>
      <c r="G122">
        <v>2.232E-4</v>
      </c>
      <c r="H122">
        <v>16.39</v>
      </c>
      <c r="J122" s="1">
        <f t="shared" si="7"/>
        <v>6.135170603674541</v>
      </c>
      <c r="K122" s="1">
        <f t="shared" si="8"/>
        <v>13.99</v>
      </c>
      <c r="L122" s="1">
        <f t="shared" si="9"/>
        <v>16.39</v>
      </c>
    </row>
    <row r="123" spans="4:12" x14ac:dyDescent="0.25">
      <c r="D123">
        <v>1.91</v>
      </c>
      <c r="E123">
        <v>15.5</v>
      </c>
      <c r="F123">
        <v>6</v>
      </c>
      <c r="G123">
        <v>1.551E-4</v>
      </c>
      <c r="H123">
        <v>5.2</v>
      </c>
      <c r="J123" s="1">
        <f t="shared" si="7"/>
        <v>6.2664041994750654</v>
      </c>
      <c r="K123" s="1">
        <f t="shared" si="8"/>
        <v>15.5</v>
      </c>
      <c r="L123" s="1">
        <f t="shared" si="9"/>
        <v>5.2</v>
      </c>
    </row>
    <row r="124" spans="4:12" x14ac:dyDescent="0.25">
      <c r="D124">
        <v>1.94</v>
      </c>
      <c r="E124">
        <v>16.5</v>
      </c>
      <c r="F124">
        <v>6</v>
      </c>
      <c r="G124">
        <v>1.2430000000000001E-4</v>
      </c>
      <c r="H124">
        <v>2.4</v>
      </c>
      <c r="J124" s="1">
        <f t="shared" si="7"/>
        <v>6.364829396325459</v>
      </c>
      <c r="K124" s="1">
        <f t="shared" si="8"/>
        <v>16.5</v>
      </c>
      <c r="L124" s="1">
        <f t="shared" si="9"/>
        <v>2.4</v>
      </c>
    </row>
    <row r="125" spans="4:12" x14ac:dyDescent="0.25">
      <c r="D125">
        <v>1.93</v>
      </c>
      <c r="E125">
        <v>17.5</v>
      </c>
      <c r="F125">
        <v>6</v>
      </c>
      <c r="G125">
        <v>9.7700000000000003E-5</v>
      </c>
      <c r="H125">
        <v>1.74</v>
      </c>
      <c r="J125" s="1">
        <f t="shared" si="7"/>
        <v>6.3320209973753272</v>
      </c>
      <c r="K125" s="1">
        <f t="shared" si="8"/>
        <v>17.5</v>
      </c>
      <c r="L125" s="1">
        <f t="shared" si="9"/>
        <v>1.74</v>
      </c>
    </row>
    <row r="126" spans="4:12" x14ac:dyDescent="0.25">
      <c r="D126">
        <v>1.86</v>
      </c>
      <c r="E126">
        <v>18.5</v>
      </c>
      <c r="F126">
        <v>6</v>
      </c>
      <c r="G126">
        <v>7.2799999999999994E-5</v>
      </c>
      <c r="H126">
        <v>0.76</v>
      </c>
      <c r="J126" s="1">
        <f t="shared" si="7"/>
        <v>6.1023622047244093</v>
      </c>
      <c r="K126" s="1">
        <f t="shared" si="8"/>
        <v>18.5</v>
      </c>
      <c r="L126" s="1">
        <f t="shared" si="9"/>
        <v>0.76</v>
      </c>
    </row>
    <row r="127" spans="4:12" x14ac:dyDescent="0.25">
      <c r="D127">
        <v>1.77</v>
      </c>
      <c r="E127">
        <v>20.18</v>
      </c>
      <c r="F127">
        <v>6</v>
      </c>
      <c r="G127">
        <v>4.6699999999999997E-5</v>
      </c>
      <c r="H127">
        <v>0.65</v>
      </c>
      <c r="J127" s="1">
        <f t="shared" si="7"/>
        <v>5.8070866141732278</v>
      </c>
      <c r="K127" s="1">
        <f t="shared" si="8"/>
        <v>20.18</v>
      </c>
      <c r="L127" s="1">
        <f t="shared" si="9"/>
        <v>0.65</v>
      </c>
    </row>
  </sheetData>
  <mergeCells count="5">
    <mergeCell ref="A19:A20"/>
    <mergeCell ref="B19:D19"/>
    <mergeCell ref="D71:D72"/>
    <mergeCell ref="E71:M71"/>
    <mergeCell ref="N71:N72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R117"/>
  <sheetViews>
    <sheetView zoomScale="70" zoomScaleNormal="70" workbookViewId="0"/>
  </sheetViews>
  <sheetFormatPr defaultRowHeight="15" x14ac:dyDescent="0.25"/>
  <sheetData>
    <row r="5" spans="1:18" x14ac:dyDescent="0.25">
      <c r="A5" s="2" t="s">
        <v>7</v>
      </c>
    </row>
    <row r="7" spans="1:18" ht="15.75" customHeight="1" thickBot="1" x14ac:dyDescent="0.3">
      <c r="L7" t="s">
        <v>8</v>
      </c>
      <c r="M7" t="s">
        <v>9</v>
      </c>
      <c r="Q7" t="s">
        <v>10</v>
      </c>
      <c r="R7" t="s">
        <v>11</v>
      </c>
    </row>
    <row r="8" spans="1:18" ht="56.25" customHeight="1" thickBot="1" x14ac:dyDescent="0.3">
      <c r="A8" s="150" t="s">
        <v>17</v>
      </c>
      <c r="B8" s="152" t="s">
        <v>18</v>
      </c>
      <c r="C8" s="153"/>
      <c r="D8" s="153"/>
      <c r="E8" s="154"/>
      <c r="L8">
        <v>4.9510172570390552</v>
      </c>
      <c r="M8">
        <v>1</v>
      </c>
      <c r="Q8">
        <v>5</v>
      </c>
      <c r="R8">
        <v>4.8299528448888634E-4</v>
      </c>
    </row>
    <row r="9" spans="1:18" ht="29.25" thickBot="1" x14ac:dyDescent="0.3">
      <c r="A9" s="151"/>
      <c r="B9" s="3" t="s">
        <v>19</v>
      </c>
      <c r="C9" s="3" t="s">
        <v>20</v>
      </c>
      <c r="D9" s="3" t="s">
        <v>21</v>
      </c>
      <c r="E9" s="3" t="s">
        <v>22</v>
      </c>
      <c r="L9">
        <v>14.877765667574931</v>
      </c>
      <c r="M9">
        <v>1</v>
      </c>
      <c r="Q9">
        <v>5</v>
      </c>
      <c r="R9">
        <v>1.3638810219155245E-3</v>
      </c>
    </row>
    <row r="10" spans="1:18" ht="29.25" thickBot="1" x14ac:dyDescent="0.3">
      <c r="A10" s="4" t="s">
        <v>23</v>
      </c>
      <c r="B10" s="5">
        <v>0.91</v>
      </c>
      <c r="C10" s="5">
        <v>1.02</v>
      </c>
      <c r="D10" s="5">
        <v>1.25</v>
      </c>
      <c r="E10" s="5">
        <v>1.35</v>
      </c>
      <c r="L10">
        <v>24.886893732970027</v>
      </c>
      <c r="M10">
        <v>0.97948696478253383</v>
      </c>
      <c r="Q10">
        <v>10</v>
      </c>
      <c r="R10">
        <v>4.0250819421859931E-3</v>
      </c>
    </row>
    <row r="11" spans="1:18" ht="29.25" thickBot="1" x14ac:dyDescent="0.3">
      <c r="A11" s="4" t="s">
        <v>24</v>
      </c>
      <c r="B11" s="5">
        <v>0.3</v>
      </c>
      <c r="C11" s="5">
        <v>0.34</v>
      </c>
      <c r="D11" s="5">
        <v>0.41</v>
      </c>
      <c r="E11" s="5">
        <v>0.43</v>
      </c>
      <c r="L11">
        <v>35.019591280653955</v>
      </c>
      <c r="M11">
        <v>0.91282009874726755</v>
      </c>
      <c r="Q11">
        <v>10</v>
      </c>
      <c r="R11">
        <v>7.9162391762781555E-3</v>
      </c>
    </row>
    <row r="12" spans="1:18" ht="15.75" thickBot="1" x14ac:dyDescent="0.3">
      <c r="A12" s="4" t="s">
        <v>25</v>
      </c>
      <c r="B12" s="5">
        <v>0.11</v>
      </c>
      <c r="C12" s="5">
        <v>0.3</v>
      </c>
      <c r="D12" s="5">
        <v>0.34</v>
      </c>
      <c r="E12" s="5">
        <v>0.36</v>
      </c>
      <c r="L12">
        <v>45.349999999999994</v>
      </c>
      <c r="M12">
        <v>0.9025635811385343</v>
      </c>
      <c r="Q12">
        <v>10</v>
      </c>
      <c r="R12">
        <v>1.3288951034147225E-2</v>
      </c>
    </row>
    <row r="13" spans="1:18" ht="15.75" thickBot="1" x14ac:dyDescent="0.3">
      <c r="A13" s="4" t="s">
        <v>26</v>
      </c>
      <c r="B13" s="5">
        <v>0.11</v>
      </c>
      <c r="C13" s="5">
        <v>0.16</v>
      </c>
      <c r="D13" s="5">
        <v>0.18</v>
      </c>
      <c r="E13" s="5">
        <v>0.19</v>
      </c>
      <c r="L13">
        <v>56.018165304268848</v>
      </c>
      <c r="M13">
        <v>0.88717930314693372</v>
      </c>
      <c r="Q13">
        <v>10</v>
      </c>
      <c r="R13">
        <v>2.0637094379917221E-2</v>
      </c>
    </row>
    <row r="14" spans="1:18" x14ac:dyDescent="0.25">
      <c r="L14">
        <v>67.230036330608542</v>
      </c>
      <c r="M14">
        <v>0.89230706352980116</v>
      </c>
      <c r="Q14">
        <v>10</v>
      </c>
      <c r="R14">
        <v>3.086352621043827E-2</v>
      </c>
    </row>
    <row r="15" spans="1:18" x14ac:dyDescent="0.25">
      <c r="L15">
        <v>79.331607629427793</v>
      </c>
      <c r="M15">
        <v>0.79487164151133372</v>
      </c>
      <c r="Q15">
        <v>10</v>
      </c>
      <c r="R15">
        <v>4.5757021754476511E-2</v>
      </c>
    </row>
    <row r="16" spans="1:18" x14ac:dyDescent="0.25">
      <c r="L16">
        <v>92.924250681198913</v>
      </c>
      <c r="M16">
        <v>0.73846129308480046</v>
      </c>
      <c r="Q16">
        <v>10</v>
      </c>
      <c r="R16">
        <v>6.9542235498432109E-2</v>
      </c>
    </row>
    <row r="17" spans="12:18" x14ac:dyDescent="0.25">
      <c r="L17">
        <v>108.74114441416893</v>
      </c>
      <c r="M17">
        <v>0.68205094465826732</v>
      </c>
      <c r="Q17">
        <v>5</v>
      </c>
      <c r="R17">
        <v>8.8154832778923234E-2</v>
      </c>
    </row>
    <row r="18" spans="12:18" x14ac:dyDescent="0.25">
      <c r="L18">
        <v>128.34750227066303</v>
      </c>
      <c r="M18">
        <v>0.6512813918320679</v>
      </c>
      <c r="Q18">
        <v>5</v>
      </c>
      <c r="R18">
        <v>0.11656255708495972</v>
      </c>
    </row>
    <row r="19" spans="12:18" x14ac:dyDescent="0.25">
      <c r="L19">
        <v>153.55567665758403</v>
      </c>
      <c r="M19">
        <v>0.53846169182199977</v>
      </c>
      <c r="Q19">
        <v>2.5</v>
      </c>
      <c r="R19">
        <v>0.13813169863183775</v>
      </c>
    </row>
    <row r="20" spans="12:18" x14ac:dyDescent="0.25">
      <c r="L20">
        <v>187.24895549500457</v>
      </c>
      <c r="M20">
        <v>0.45128179056926715</v>
      </c>
      <c r="Q20">
        <v>2.5</v>
      </c>
      <c r="R20">
        <v>0.17036320089244286</v>
      </c>
    </row>
    <row r="21" spans="12:18" x14ac:dyDescent="0.25">
      <c r="L21">
        <v>232.80490463215261</v>
      </c>
      <c r="M21">
        <v>0.41025671697733279</v>
      </c>
      <c r="Q21">
        <v>2</v>
      </c>
      <c r="R21">
        <v>0.21378908102649044</v>
      </c>
    </row>
    <row r="22" spans="12:18" x14ac:dyDescent="0.25">
      <c r="L22">
        <v>293.84822888283378</v>
      </c>
      <c r="M22">
        <v>0.34358985094206651</v>
      </c>
      <c r="Q22">
        <v>1</v>
      </c>
      <c r="R22">
        <v>0.25033173824107668</v>
      </c>
    </row>
    <row r="23" spans="12:18" x14ac:dyDescent="0.25">
      <c r="L23">
        <v>373.09745685740234</v>
      </c>
      <c r="M23">
        <v>0.30256378050713395</v>
      </c>
      <c r="Q23">
        <v>1</v>
      </c>
      <c r="R23">
        <v>0.31672497796146898</v>
      </c>
    </row>
    <row r="24" spans="12:18" x14ac:dyDescent="0.25">
      <c r="L24">
        <v>471.4587647593097</v>
      </c>
      <c r="M24">
        <v>0.21538487609739956</v>
      </c>
      <c r="Q24">
        <v>0.25</v>
      </c>
      <c r="R24">
        <v>0.34564789053543721</v>
      </c>
    </row>
    <row r="25" spans="12:18" x14ac:dyDescent="0.25">
      <c r="L25">
        <v>587.77883742052677</v>
      </c>
      <c r="M25">
        <v>0.174358805662467</v>
      </c>
      <c r="Q25">
        <v>0.25</v>
      </c>
      <c r="R25">
        <v>0.38770077955846638</v>
      </c>
    </row>
    <row r="26" spans="12:18" x14ac:dyDescent="0.25">
      <c r="L26">
        <v>718.92724795640322</v>
      </c>
      <c r="M26">
        <v>0.13846149245340009</v>
      </c>
      <c r="Q26">
        <v>0.25</v>
      </c>
      <c r="R26">
        <v>0.46291264019521605</v>
      </c>
    </row>
    <row r="27" spans="12:18" x14ac:dyDescent="0.25">
      <c r="L27">
        <v>861.69118982742964</v>
      </c>
      <c r="M27">
        <v>0.10769193962720067</v>
      </c>
      <c r="Q27">
        <v>0.15</v>
      </c>
      <c r="R27">
        <v>0.56836605933842399</v>
      </c>
    </row>
    <row r="28" spans="12:18" x14ac:dyDescent="0.25">
      <c r="L28">
        <v>1167.3197093551316</v>
      </c>
      <c r="M28">
        <v>9.7435422018467513E-2</v>
      </c>
      <c r="Q28">
        <v>0.05</v>
      </c>
      <c r="R28">
        <v>0.6524046751292405</v>
      </c>
    </row>
    <row r="29" spans="12:18" x14ac:dyDescent="0.25">
      <c r="L29">
        <v>1326.3124432334241</v>
      </c>
      <c r="M29">
        <v>9.7435422018467513E-2</v>
      </c>
      <c r="Q29">
        <v>4.3155185631365681E-2</v>
      </c>
      <c r="R29">
        <v>0.91215306279162378</v>
      </c>
    </row>
    <row r="30" spans="12:18" x14ac:dyDescent="0.25">
      <c r="L30">
        <v>1487.7765667574931</v>
      </c>
      <c r="M30">
        <v>9.7435422018467513E-2</v>
      </c>
      <c r="Q30">
        <v>3.4224071843171611E-3</v>
      </c>
      <c r="R30">
        <v>1.0087356564675967</v>
      </c>
    </row>
    <row r="31" spans="12:18" x14ac:dyDescent="0.25">
      <c r="L31">
        <v>1650.8882833787466</v>
      </c>
      <c r="M31">
        <v>0.1025641792443332</v>
      </c>
      <c r="Q31">
        <v>3.0801664658854449E-3</v>
      </c>
      <c r="R31">
        <v>1.35</v>
      </c>
    </row>
    <row r="32" spans="12:18" x14ac:dyDescent="0.25">
      <c r="L32">
        <v>1783</v>
      </c>
      <c r="M32">
        <v>9.2307661635600058E-2</v>
      </c>
    </row>
    <row r="37" spans="1:44" x14ac:dyDescent="0.25">
      <c r="A37" t="s">
        <v>27</v>
      </c>
    </row>
    <row r="38" spans="1:44" x14ac:dyDescent="0.25">
      <c r="L38" s="49" t="s">
        <v>56</v>
      </c>
      <c r="M38" s="40"/>
      <c r="Z38" s="49" t="s">
        <v>57</v>
      </c>
      <c r="AA38" s="40"/>
    </row>
    <row r="39" spans="1:44" x14ac:dyDescent="0.25">
      <c r="A39" s="51" t="s">
        <v>194</v>
      </c>
      <c r="B39" s="1"/>
      <c r="C39" s="51" t="s">
        <v>195</v>
      </c>
      <c r="D39" s="1"/>
      <c r="L39" s="76" t="s">
        <v>28</v>
      </c>
      <c r="M39" s="76" t="s">
        <v>29</v>
      </c>
      <c r="O39">
        <v>25.926616623660959</v>
      </c>
      <c r="P39">
        <v>22.103370083665652</v>
      </c>
      <c r="Q39">
        <v>14.329580107905231</v>
      </c>
      <c r="R39">
        <v>6.4415122370787392</v>
      </c>
      <c r="S39">
        <v>2.5343654703260614</v>
      </c>
      <c r="T39">
        <v>1.4653608569864727</v>
      </c>
      <c r="U39">
        <v>0.83032293377120969</v>
      </c>
      <c r="V39">
        <v>0.2140902337946673</v>
      </c>
      <c r="W39">
        <v>0.15478145281100947</v>
      </c>
      <c r="Z39" s="40" t="s">
        <v>28</v>
      </c>
      <c r="AA39" s="40" t="s">
        <v>29</v>
      </c>
      <c r="AC39" t="s">
        <v>39</v>
      </c>
      <c r="AD39">
        <v>0</v>
      </c>
      <c r="AE39">
        <v>1.839766081871345</v>
      </c>
      <c r="AF39">
        <v>4.0734715576820841</v>
      </c>
      <c r="AG39">
        <v>3.9573631047315261</v>
      </c>
      <c r="AH39">
        <v>3.9172780435938339</v>
      </c>
      <c r="AI39">
        <v>3.7500265816055292</v>
      </c>
      <c r="AJ39">
        <v>2.9220627325890485</v>
      </c>
      <c r="AK39">
        <v>2.1410951621477938</v>
      </c>
      <c r="AL39">
        <v>1.5937267410951623</v>
      </c>
      <c r="AM39">
        <v>1.0007442849548114</v>
      </c>
      <c r="AN39">
        <v>0.47134502923976612</v>
      </c>
      <c r="AO39">
        <v>0.19213184476342368</v>
      </c>
      <c r="AP39">
        <v>8.5699096225412025E-2</v>
      </c>
      <c r="AQ39">
        <v>4.4231791600212657E-2</v>
      </c>
      <c r="AR39">
        <v>1.1057947900053164E-2</v>
      </c>
    </row>
    <row r="40" spans="1:44" x14ac:dyDescent="0.25">
      <c r="A40" s="51" t="s">
        <v>55</v>
      </c>
      <c r="B40" s="51" t="s">
        <v>39</v>
      </c>
      <c r="C40" s="51" t="s">
        <v>55</v>
      </c>
      <c r="D40" s="51" t="s">
        <v>39</v>
      </c>
      <c r="L40" s="77">
        <v>0</v>
      </c>
      <c r="M40" s="77">
        <v>1</v>
      </c>
      <c r="O40" t="s">
        <v>30</v>
      </c>
      <c r="P40" t="s">
        <v>31</v>
      </c>
      <c r="Q40" t="s">
        <v>32</v>
      </c>
      <c r="R40" t="s">
        <v>33</v>
      </c>
      <c r="S40" t="s">
        <v>34</v>
      </c>
      <c r="T40" t="s">
        <v>35</v>
      </c>
      <c r="U40" t="s">
        <v>36</v>
      </c>
      <c r="V40" t="s">
        <v>37</v>
      </c>
      <c r="W40" t="s">
        <v>38</v>
      </c>
      <c r="Z40" s="40">
        <v>0</v>
      </c>
      <c r="AA40" s="40">
        <v>1</v>
      </c>
      <c r="AD40" t="s">
        <v>40</v>
      </c>
      <c r="AE40" t="s">
        <v>41</v>
      </c>
      <c r="AF40" t="s">
        <v>42</v>
      </c>
      <c r="AG40" t="s">
        <v>43</v>
      </c>
      <c r="AH40" t="s">
        <v>44</v>
      </c>
      <c r="AI40" t="s">
        <v>45</v>
      </c>
      <c r="AJ40" t="s">
        <v>46</v>
      </c>
      <c r="AK40" t="s">
        <v>47</v>
      </c>
      <c r="AL40" t="s">
        <v>48</v>
      </c>
      <c r="AM40" t="s">
        <v>49</v>
      </c>
      <c r="AN40" t="s">
        <v>50</v>
      </c>
      <c r="AO40" t="s">
        <v>51</v>
      </c>
      <c r="AP40" t="s">
        <v>52</v>
      </c>
      <c r="AQ40" t="s">
        <v>53</v>
      </c>
      <c r="AR40" t="s">
        <v>54</v>
      </c>
    </row>
    <row r="41" spans="1:44" x14ac:dyDescent="0.25">
      <c r="A41" s="51" t="s">
        <v>193</v>
      </c>
      <c r="B41" s="51" t="s">
        <v>161</v>
      </c>
      <c r="C41" s="51" t="s">
        <v>193</v>
      </c>
      <c r="D41" s="51" t="s">
        <v>161</v>
      </c>
      <c r="L41" s="77">
        <v>25</v>
      </c>
      <c r="M41" s="77">
        <v>1</v>
      </c>
      <c r="O41">
        <v>0.1028</v>
      </c>
      <c r="P41">
        <v>0.2056</v>
      </c>
      <c r="Q41">
        <v>0.30840000000000001</v>
      </c>
      <c r="R41">
        <v>0.41120000000000001</v>
      </c>
      <c r="S41">
        <v>0.51400000000000001</v>
      </c>
      <c r="T41">
        <v>0.61680000000000001</v>
      </c>
      <c r="U41">
        <v>0.71960000000000002</v>
      </c>
      <c r="V41">
        <v>0.82240000000000002</v>
      </c>
      <c r="W41">
        <v>0.92520000000000002</v>
      </c>
      <c r="Z41" s="40">
        <v>25</v>
      </c>
      <c r="AA41" s="40">
        <v>1</v>
      </c>
      <c r="AD41">
        <v>0.12859999999999999</v>
      </c>
      <c r="AE41">
        <v>0.25719999999999998</v>
      </c>
      <c r="AF41">
        <v>0.38579999999999998</v>
      </c>
      <c r="AG41">
        <v>0.51439999999999997</v>
      </c>
      <c r="AH41">
        <v>0.64300000000000002</v>
      </c>
      <c r="AI41">
        <v>0.77160000000000006</v>
      </c>
      <c r="AJ41">
        <v>0.90020000000000011</v>
      </c>
      <c r="AK41">
        <v>1.0288000000000002</v>
      </c>
      <c r="AL41">
        <v>1.1574000000000002</v>
      </c>
      <c r="AM41">
        <v>1.2860000000000003</v>
      </c>
      <c r="AN41">
        <v>1.4146000000000003</v>
      </c>
      <c r="AO41">
        <v>1.5432000000000003</v>
      </c>
      <c r="AP41">
        <v>1.6718000000000004</v>
      </c>
      <c r="AQ41">
        <v>1.8004000000000004</v>
      </c>
      <c r="AR41">
        <v>1.9290000000000005</v>
      </c>
    </row>
    <row r="42" spans="1:44" x14ac:dyDescent="0.25">
      <c r="A42" s="79">
        <v>0.1028</v>
      </c>
      <c r="B42" s="55">
        <v>25.926616623660959</v>
      </c>
      <c r="C42" s="79">
        <v>0.12859999999999999</v>
      </c>
      <c r="D42" s="55">
        <v>0</v>
      </c>
      <c r="L42" s="77">
        <v>50</v>
      </c>
      <c r="M42" s="77">
        <v>0.996</v>
      </c>
      <c r="O42">
        <v>0.1028</v>
      </c>
      <c r="P42">
        <v>0.2056</v>
      </c>
      <c r="Q42">
        <v>0.30840000000000001</v>
      </c>
      <c r="R42">
        <v>0.41120000000000001</v>
      </c>
      <c r="S42">
        <v>0.51400000000000001</v>
      </c>
      <c r="T42">
        <v>0.61680000000000001</v>
      </c>
      <c r="U42">
        <v>0.71960000000000002</v>
      </c>
      <c r="V42">
        <v>0.82240000000000002</v>
      </c>
      <c r="W42">
        <v>0.92520000000000002</v>
      </c>
      <c r="Z42" s="40">
        <v>50</v>
      </c>
      <c r="AA42" s="40">
        <v>0.996</v>
      </c>
      <c r="AB42" t="s">
        <v>55</v>
      </c>
      <c r="AD42">
        <v>0.12859999999999999</v>
      </c>
      <c r="AE42">
        <v>0.25719999999999998</v>
      </c>
      <c r="AF42">
        <v>0.38579999999999998</v>
      </c>
      <c r="AG42">
        <v>0.51439999999999997</v>
      </c>
      <c r="AH42">
        <v>0.64300000000000002</v>
      </c>
      <c r="AI42">
        <v>0.77160000000000006</v>
      </c>
      <c r="AJ42">
        <v>0.90020000000000011</v>
      </c>
      <c r="AK42">
        <v>1.0288000000000002</v>
      </c>
      <c r="AL42">
        <v>1.1574000000000002</v>
      </c>
      <c r="AM42">
        <v>1.2860000000000003</v>
      </c>
      <c r="AN42">
        <v>1.4146000000000003</v>
      </c>
      <c r="AO42">
        <v>1.5432000000000003</v>
      </c>
      <c r="AP42">
        <v>1.6718000000000004</v>
      </c>
      <c r="AQ42">
        <v>1.8004000000000004</v>
      </c>
      <c r="AR42">
        <v>1.9290000000000005</v>
      </c>
    </row>
    <row r="43" spans="1:44" x14ac:dyDescent="0.25">
      <c r="A43" s="79">
        <v>0.2056</v>
      </c>
      <c r="B43" s="55">
        <v>22.103370083665652</v>
      </c>
      <c r="C43" s="79">
        <v>0.25719999999999998</v>
      </c>
      <c r="D43" s="55">
        <v>1.839766081871345</v>
      </c>
      <c r="L43" s="77">
        <v>75</v>
      </c>
      <c r="M43" s="77">
        <v>0.90900000000000003</v>
      </c>
      <c r="O43">
        <v>0.1023888</v>
      </c>
      <c r="P43">
        <v>0.2047776</v>
      </c>
      <c r="Q43">
        <v>0.30716640000000001</v>
      </c>
      <c r="R43">
        <v>0.40955520000000001</v>
      </c>
      <c r="S43">
        <v>0.51194400000000007</v>
      </c>
      <c r="T43">
        <v>0.61433280000000001</v>
      </c>
      <c r="U43">
        <v>0.71672160000000007</v>
      </c>
      <c r="V43">
        <v>0.81911040000000002</v>
      </c>
      <c r="W43">
        <v>0.92149920000000007</v>
      </c>
      <c r="Z43" s="40">
        <v>75</v>
      </c>
      <c r="AA43" s="40">
        <v>0.90900000000000003</v>
      </c>
      <c r="AD43">
        <v>0.12859999999999999</v>
      </c>
      <c r="AE43">
        <v>0.25719999999999998</v>
      </c>
      <c r="AF43">
        <v>0.38579999999999998</v>
      </c>
      <c r="AG43">
        <v>0.51439999999999997</v>
      </c>
      <c r="AH43">
        <v>0.64300000000000002</v>
      </c>
      <c r="AI43">
        <v>0.77160000000000006</v>
      </c>
      <c r="AJ43">
        <v>0.90020000000000011</v>
      </c>
      <c r="AK43">
        <v>1.0288000000000002</v>
      </c>
      <c r="AL43">
        <v>1.1574000000000002</v>
      </c>
      <c r="AM43">
        <v>1.2860000000000003</v>
      </c>
      <c r="AN43">
        <v>1.4146000000000003</v>
      </c>
      <c r="AO43">
        <v>1.5432000000000003</v>
      </c>
      <c r="AP43">
        <v>1.6718000000000004</v>
      </c>
      <c r="AQ43">
        <v>1.8004000000000004</v>
      </c>
      <c r="AR43">
        <v>1.9290000000000005</v>
      </c>
    </row>
    <row r="44" spans="1:44" x14ac:dyDescent="0.25">
      <c r="A44" s="79">
        <v>0.30840000000000001</v>
      </c>
      <c r="B44" s="55">
        <v>14.329580107905231</v>
      </c>
      <c r="C44" s="79">
        <v>0.38579999999999998</v>
      </c>
      <c r="D44" s="55">
        <v>4.0734715576820841</v>
      </c>
      <c r="L44" s="77">
        <v>100</v>
      </c>
      <c r="M44" s="77">
        <v>0.77100000000000002</v>
      </c>
      <c r="O44">
        <v>9.3445200000000006E-2</v>
      </c>
      <c r="P44">
        <v>0.18689040000000001</v>
      </c>
      <c r="Q44">
        <v>0.28033560000000002</v>
      </c>
      <c r="R44">
        <v>0.37378080000000002</v>
      </c>
      <c r="S44">
        <v>0.46722600000000003</v>
      </c>
      <c r="T44">
        <v>0.56067120000000004</v>
      </c>
      <c r="U44">
        <v>0.65411640000000004</v>
      </c>
      <c r="V44">
        <v>0.74756160000000005</v>
      </c>
      <c r="W44">
        <v>0.84100680000000005</v>
      </c>
      <c r="Z44" s="40">
        <v>100</v>
      </c>
      <c r="AA44" s="40">
        <v>0.77100000000000002</v>
      </c>
      <c r="AD44">
        <v>0.12808559999999999</v>
      </c>
      <c r="AE44">
        <v>0.25617119999999999</v>
      </c>
      <c r="AF44">
        <v>0.38425679999999995</v>
      </c>
      <c r="AG44">
        <v>0.51234239999999998</v>
      </c>
      <c r="AH44">
        <v>0.640428</v>
      </c>
      <c r="AI44">
        <v>0.76851360000000002</v>
      </c>
      <c r="AJ44">
        <v>0.89659920000000015</v>
      </c>
      <c r="AK44">
        <v>1.0246848000000002</v>
      </c>
      <c r="AL44">
        <v>1.1527704000000003</v>
      </c>
      <c r="AM44">
        <v>1.2808560000000002</v>
      </c>
      <c r="AN44">
        <v>1.4089416000000003</v>
      </c>
      <c r="AO44">
        <v>1.5370272000000003</v>
      </c>
      <c r="AP44">
        <v>1.6651128000000004</v>
      </c>
      <c r="AQ44">
        <v>1.7931984000000005</v>
      </c>
      <c r="AR44">
        <v>1.9212840000000004</v>
      </c>
    </row>
    <row r="45" spans="1:44" x14ac:dyDescent="0.25">
      <c r="A45" s="79">
        <v>0.41120000000000001</v>
      </c>
      <c r="B45" s="55">
        <v>6.4415122370787392</v>
      </c>
      <c r="C45" s="79">
        <v>0.51439999999999997</v>
      </c>
      <c r="D45" s="55">
        <v>3.9573631047315261</v>
      </c>
      <c r="L45" s="77">
        <v>125</v>
      </c>
      <c r="M45" s="77">
        <v>0.68</v>
      </c>
      <c r="O45">
        <v>7.9258800000000004E-2</v>
      </c>
      <c r="P45">
        <v>0.15851760000000001</v>
      </c>
      <c r="Q45">
        <v>0.2377764</v>
      </c>
      <c r="R45">
        <v>0.31703520000000002</v>
      </c>
      <c r="S45">
        <v>0.39629400000000004</v>
      </c>
      <c r="T45">
        <v>0.4755528</v>
      </c>
      <c r="U45">
        <v>0.55481160000000007</v>
      </c>
      <c r="V45">
        <v>0.63407040000000003</v>
      </c>
      <c r="W45">
        <v>0.7133292</v>
      </c>
      <c r="Z45" s="40">
        <v>125</v>
      </c>
      <c r="AA45" s="40">
        <v>0.68</v>
      </c>
      <c r="AD45">
        <v>0.1168974</v>
      </c>
      <c r="AE45">
        <v>0.2337948</v>
      </c>
      <c r="AF45">
        <v>0.35069220000000001</v>
      </c>
      <c r="AG45">
        <v>0.46758959999999999</v>
      </c>
      <c r="AH45">
        <v>0.58448699999999998</v>
      </c>
      <c r="AI45">
        <v>0.70138440000000013</v>
      </c>
      <c r="AJ45">
        <v>0.81828180000000017</v>
      </c>
      <c r="AK45">
        <v>0.93517920000000021</v>
      </c>
      <c r="AL45">
        <v>1.0520766000000001</v>
      </c>
      <c r="AM45">
        <v>1.1689740000000002</v>
      </c>
      <c r="AN45">
        <v>1.2858714000000002</v>
      </c>
      <c r="AO45">
        <v>1.4027688000000003</v>
      </c>
      <c r="AP45">
        <v>1.5196662000000005</v>
      </c>
      <c r="AQ45">
        <v>1.6365636000000006</v>
      </c>
      <c r="AR45">
        <v>1.7534610000000006</v>
      </c>
    </row>
    <row r="46" spans="1:44" x14ac:dyDescent="0.25">
      <c r="A46" s="79">
        <v>0.51400000000000001</v>
      </c>
      <c r="B46" s="55">
        <v>2.5343654703260614</v>
      </c>
      <c r="C46" s="79">
        <v>0.64300000000000002</v>
      </c>
      <c r="D46" s="55">
        <v>3.9172780435938339</v>
      </c>
      <c r="L46" s="77">
        <v>200</v>
      </c>
      <c r="M46" s="77">
        <v>0.50600000000000001</v>
      </c>
      <c r="O46">
        <v>6.9904000000000008E-2</v>
      </c>
      <c r="P46">
        <v>0.13980800000000002</v>
      </c>
      <c r="Q46">
        <v>0.20971200000000001</v>
      </c>
      <c r="R46">
        <v>0.27961600000000003</v>
      </c>
      <c r="S46">
        <v>0.34952000000000005</v>
      </c>
      <c r="T46">
        <v>0.41942400000000002</v>
      </c>
      <c r="U46">
        <v>0.48932800000000004</v>
      </c>
      <c r="V46">
        <v>0.55923200000000006</v>
      </c>
      <c r="W46">
        <v>0.62913600000000003</v>
      </c>
      <c r="Z46" s="40">
        <v>200</v>
      </c>
      <c r="AA46" s="40">
        <v>0.50600000000000001</v>
      </c>
      <c r="AD46">
        <v>9.9150599999999992E-2</v>
      </c>
      <c r="AE46">
        <v>0.19830119999999998</v>
      </c>
      <c r="AF46">
        <v>0.29745179999999999</v>
      </c>
      <c r="AG46">
        <v>0.39660239999999997</v>
      </c>
      <c r="AH46">
        <v>0.495753</v>
      </c>
      <c r="AI46">
        <v>0.59490360000000009</v>
      </c>
      <c r="AJ46">
        <v>0.69405420000000007</v>
      </c>
      <c r="AK46">
        <v>0.79320480000000015</v>
      </c>
      <c r="AL46">
        <v>0.89235540000000013</v>
      </c>
      <c r="AM46">
        <v>0.99150600000000022</v>
      </c>
      <c r="AN46">
        <v>1.0906566000000002</v>
      </c>
      <c r="AO46">
        <v>1.1898072000000004</v>
      </c>
      <c r="AP46">
        <v>1.2889578000000004</v>
      </c>
      <c r="AQ46">
        <v>1.3881084000000004</v>
      </c>
      <c r="AR46">
        <v>1.4872590000000003</v>
      </c>
    </row>
    <row r="47" spans="1:44" x14ac:dyDescent="0.25">
      <c r="A47" s="79">
        <v>0.61680000000000001</v>
      </c>
      <c r="B47" s="55">
        <v>1.4653608569864727</v>
      </c>
      <c r="C47" s="79">
        <v>0.77160000000000006</v>
      </c>
      <c r="D47" s="55">
        <v>3.7500265816055292</v>
      </c>
      <c r="L47" s="77">
        <v>300</v>
      </c>
      <c r="M47" s="77">
        <v>0.35699999999999998</v>
      </c>
      <c r="O47">
        <v>5.2016800000000002E-2</v>
      </c>
      <c r="P47">
        <v>0.1040336</v>
      </c>
      <c r="Q47">
        <v>0.15605040000000001</v>
      </c>
      <c r="R47">
        <v>0.20806720000000001</v>
      </c>
      <c r="S47">
        <v>0.26008399999999998</v>
      </c>
      <c r="T47">
        <v>0.31210080000000001</v>
      </c>
      <c r="U47">
        <v>0.36411759999999999</v>
      </c>
      <c r="V47">
        <v>0.41613440000000002</v>
      </c>
      <c r="W47">
        <v>0.46815119999999999</v>
      </c>
      <c r="Z47" s="40">
        <v>300</v>
      </c>
      <c r="AA47" s="40">
        <v>0.35699999999999998</v>
      </c>
      <c r="AD47">
        <v>8.7447999999999998E-2</v>
      </c>
      <c r="AE47">
        <v>0.174896</v>
      </c>
      <c r="AF47">
        <v>0.26234400000000002</v>
      </c>
      <c r="AG47">
        <v>0.34979199999999999</v>
      </c>
      <c r="AH47">
        <v>0.43724000000000002</v>
      </c>
      <c r="AI47">
        <v>0.52468800000000004</v>
      </c>
      <c r="AJ47">
        <v>0.61213600000000012</v>
      </c>
      <c r="AK47">
        <v>0.69958400000000021</v>
      </c>
      <c r="AL47">
        <v>0.78703200000000018</v>
      </c>
      <c r="AM47">
        <v>0.87448000000000026</v>
      </c>
      <c r="AN47">
        <v>0.96192800000000023</v>
      </c>
      <c r="AO47">
        <v>1.0493760000000003</v>
      </c>
      <c r="AP47">
        <v>1.1368240000000003</v>
      </c>
      <c r="AQ47">
        <v>1.2242720000000005</v>
      </c>
      <c r="AR47">
        <v>1.3117200000000004</v>
      </c>
    </row>
    <row r="48" spans="1:44" x14ac:dyDescent="0.25">
      <c r="A48" s="79">
        <v>0.71960000000000002</v>
      </c>
      <c r="B48" s="55">
        <v>0.83032293377120969</v>
      </c>
      <c r="C48" s="79">
        <v>0.90020000000000011</v>
      </c>
      <c r="D48" s="55">
        <v>2.9220627325890485</v>
      </c>
      <c r="L48" s="77">
        <v>400</v>
      </c>
      <c r="M48" s="77">
        <v>0.27500000000000002</v>
      </c>
      <c r="O48">
        <v>3.6699599999999999E-2</v>
      </c>
      <c r="P48">
        <v>7.3399199999999998E-2</v>
      </c>
      <c r="Q48">
        <v>0.1100988</v>
      </c>
      <c r="R48">
        <v>0.1467984</v>
      </c>
      <c r="S48">
        <v>0.18349799999999999</v>
      </c>
      <c r="T48">
        <v>0.22019759999999999</v>
      </c>
      <c r="U48">
        <v>0.25689719999999999</v>
      </c>
      <c r="V48">
        <v>0.29359679999999999</v>
      </c>
      <c r="W48">
        <v>0.33029639999999999</v>
      </c>
      <c r="Z48" s="40">
        <v>400</v>
      </c>
      <c r="AA48" s="40">
        <v>0.27500000000000002</v>
      </c>
      <c r="AD48">
        <v>6.5071599999999993E-2</v>
      </c>
      <c r="AE48">
        <v>0.13014319999999999</v>
      </c>
      <c r="AF48">
        <v>0.19521479999999999</v>
      </c>
      <c r="AG48">
        <v>0.26028639999999997</v>
      </c>
      <c r="AH48">
        <v>0.32535800000000004</v>
      </c>
      <c r="AI48">
        <v>0.39042960000000004</v>
      </c>
      <c r="AJ48">
        <v>0.45550120000000005</v>
      </c>
      <c r="AK48">
        <v>0.52057280000000006</v>
      </c>
      <c r="AL48">
        <v>0.58564440000000006</v>
      </c>
      <c r="AM48">
        <v>0.65071600000000018</v>
      </c>
      <c r="AN48">
        <v>0.71578760000000019</v>
      </c>
      <c r="AO48">
        <v>0.7808592000000002</v>
      </c>
      <c r="AP48">
        <v>0.8459308000000002</v>
      </c>
      <c r="AQ48">
        <v>0.91100240000000021</v>
      </c>
      <c r="AR48">
        <v>0.97607400000000022</v>
      </c>
    </row>
    <row r="49" spans="1:44" x14ac:dyDescent="0.25">
      <c r="A49" s="79">
        <v>0.82240000000000002</v>
      </c>
      <c r="B49" s="55">
        <v>0.2140902337946673</v>
      </c>
      <c r="C49" s="79">
        <v>1.0288000000000002</v>
      </c>
      <c r="D49" s="55">
        <v>2.1410951621477938</v>
      </c>
      <c r="L49" s="77">
        <v>500</v>
      </c>
      <c r="M49" s="77">
        <v>0.217</v>
      </c>
      <c r="O49">
        <v>2.8270000000000003E-2</v>
      </c>
      <c r="P49">
        <v>5.6540000000000007E-2</v>
      </c>
      <c r="Q49">
        <v>8.481000000000001E-2</v>
      </c>
      <c r="R49">
        <v>0.11308000000000001</v>
      </c>
      <c r="S49">
        <v>0.14135</v>
      </c>
      <c r="T49">
        <v>0.16962000000000002</v>
      </c>
      <c r="U49">
        <v>0.19789000000000001</v>
      </c>
      <c r="V49">
        <v>0.22616000000000003</v>
      </c>
      <c r="W49">
        <v>0.25443000000000005</v>
      </c>
      <c r="Z49" s="40">
        <v>500</v>
      </c>
      <c r="AA49" s="40">
        <v>0.217</v>
      </c>
      <c r="AD49">
        <v>4.5910199999999998E-2</v>
      </c>
      <c r="AE49">
        <v>9.1820399999999996E-2</v>
      </c>
      <c r="AF49">
        <v>0.13773059999999998</v>
      </c>
      <c r="AG49">
        <v>0.18364079999999999</v>
      </c>
      <c r="AH49">
        <v>0.22955100000000001</v>
      </c>
      <c r="AI49">
        <v>0.27546120000000002</v>
      </c>
      <c r="AJ49">
        <v>0.32137140000000003</v>
      </c>
      <c r="AK49">
        <v>0.36728160000000004</v>
      </c>
      <c r="AL49">
        <v>0.41319180000000005</v>
      </c>
      <c r="AM49">
        <v>0.45910200000000007</v>
      </c>
      <c r="AN49">
        <v>0.50501220000000013</v>
      </c>
      <c r="AO49">
        <v>0.55092240000000015</v>
      </c>
      <c r="AP49">
        <v>0.59683260000000016</v>
      </c>
      <c r="AQ49">
        <v>0.64274280000000017</v>
      </c>
      <c r="AR49">
        <v>0.68865300000000018</v>
      </c>
    </row>
    <row r="50" spans="1:44" x14ac:dyDescent="0.25">
      <c r="A50" s="79">
        <v>0.92520000000000002</v>
      </c>
      <c r="B50" s="55">
        <v>0.15478145281100947</v>
      </c>
      <c r="C50" s="79">
        <v>1.1574000000000002</v>
      </c>
      <c r="D50" s="55">
        <v>1.5937267410951623</v>
      </c>
      <c r="L50" s="77">
        <v>600</v>
      </c>
      <c r="M50" s="77">
        <v>0.17399999999999999</v>
      </c>
      <c r="O50">
        <v>2.23076E-2</v>
      </c>
      <c r="P50">
        <v>4.4615200000000001E-2</v>
      </c>
      <c r="Q50">
        <v>6.6922800000000005E-2</v>
      </c>
      <c r="R50">
        <v>8.9230400000000001E-2</v>
      </c>
      <c r="S50">
        <v>0.111538</v>
      </c>
      <c r="T50">
        <v>0.13384560000000001</v>
      </c>
      <c r="U50">
        <v>0.15615319999999999</v>
      </c>
      <c r="V50">
        <v>0.1784608</v>
      </c>
      <c r="W50">
        <v>0.20076840000000001</v>
      </c>
      <c r="Z50" s="40">
        <v>600</v>
      </c>
      <c r="AA50" s="40">
        <v>0.17399999999999999</v>
      </c>
      <c r="AD50">
        <v>3.5365000000000001E-2</v>
      </c>
      <c r="AE50">
        <v>7.0730000000000001E-2</v>
      </c>
      <c r="AF50">
        <v>0.10609500000000001</v>
      </c>
      <c r="AG50">
        <v>0.14146</v>
      </c>
      <c r="AH50">
        <v>0.17682500000000001</v>
      </c>
      <c r="AI50">
        <v>0.21219000000000005</v>
      </c>
      <c r="AJ50">
        <v>0.24755500000000005</v>
      </c>
      <c r="AK50">
        <v>0.28292000000000006</v>
      </c>
      <c r="AL50">
        <v>0.3182850000000001</v>
      </c>
      <c r="AM50">
        <v>0.35365000000000008</v>
      </c>
      <c r="AN50">
        <v>0.38901500000000011</v>
      </c>
      <c r="AO50">
        <v>0.42438000000000015</v>
      </c>
      <c r="AP50">
        <v>0.45974500000000013</v>
      </c>
      <c r="AQ50">
        <v>0.49511000000000016</v>
      </c>
      <c r="AR50">
        <v>0.53047500000000014</v>
      </c>
    </row>
    <row r="51" spans="1:44" x14ac:dyDescent="0.25">
      <c r="A51" s="1"/>
      <c r="B51" s="1"/>
      <c r="C51" s="79">
        <v>1.2860000000000003</v>
      </c>
      <c r="D51" s="55">
        <v>1.0007442849548114</v>
      </c>
      <c r="L51" s="77">
        <v>700</v>
      </c>
      <c r="M51" s="77">
        <v>0.15</v>
      </c>
      <c r="O51">
        <v>1.7887199999999999E-2</v>
      </c>
      <c r="P51">
        <v>3.5774399999999998E-2</v>
      </c>
      <c r="Q51">
        <v>5.3661599999999997E-2</v>
      </c>
      <c r="R51">
        <v>7.1548799999999996E-2</v>
      </c>
      <c r="S51">
        <v>8.9436000000000002E-2</v>
      </c>
      <c r="T51">
        <v>0.10732319999999999</v>
      </c>
      <c r="U51">
        <v>0.1252104</v>
      </c>
      <c r="V51">
        <v>0.14309759999999999</v>
      </c>
      <c r="W51">
        <v>0.16098479999999998</v>
      </c>
      <c r="Z51" s="40">
        <v>700</v>
      </c>
      <c r="AA51" s="40">
        <v>0.15</v>
      </c>
      <c r="AD51">
        <v>2.7906199999999999E-2</v>
      </c>
      <c r="AE51">
        <v>5.5812399999999998E-2</v>
      </c>
      <c r="AF51">
        <v>8.371859999999999E-2</v>
      </c>
      <c r="AG51">
        <v>0.1116248</v>
      </c>
      <c r="AH51">
        <v>0.13953100000000002</v>
      </c>
      <c r="AI51">
        <v>0.16743720000000001</v>
      </c>
      <c r="AJ51">
        <v>0.19534340000000003</v>
      </c>
      <c r="AK51">
        <v>0.22324960000000002</v>
      </c>
      <c r="AL51">
        <v>0.25115580000000004</v>
      </c>
      <c r="AM51">
        <v>0.27906200000000003</v>
      </c>
      <c r="AN51">
        <v>0.30696820000000008</v>
      </c>
      <c r="AO51">
        <v>0.33487440000000007</v>
      </c>
      <c r="AP51">
        <v>0.36278060000000006</v>
      </c>
      <c r="AQ51">
        <v>0.39068680000000011</v>
      </c>
      <c r="AR51">
        <v>0.4185930000000001</v>
      </c>
    </row>
    <row r="52" spans="1:44" x14ac:dyDescent="0.25">
      <c r="A52" s="1"/>
      <c r="B52" s="1"/>
      <c r="C52" s="79">
        <v>1.4146000000000003</v>
      </c>
      <c r="D52" s="55">
        <v>0.47134502923976612</v>
      </c>
      <c r="L52" s="77">
        <v>750</v>
      </c>
      <c r="M52" s="77">
        <v>0.14000000000000001</v>
      </c>
      <c r="O52">
        <v>1.542E-2</v>
      </c>
      <c r="P52">
        <v>3.0839999999999999E-2</v>
      </c>
      <c r="Q52">
        <v>4.6260000000000003E-2</v>
      </c>
      <c r="R52">
        <v>6.1679999999999999E-2</v>
      </c>
      <c r="S52">
        <v>7.7100000000000002E-2</v>
      </c>
      <c r="T52">
        <v>9.2520000000000005E-2</v>
      </c>
      <c r="U52">
        <v>0.10793999999999999</v>
      </c>
      <c r="V52">
        <v>0.12336</v>
      </c>
      <c r="W52">
        <v>0.13877999999999999</v>
      </c>
      <c r="Z52" s="40">
        <v>750</v>
      </c>
      <c r="AA52" s="40">
        <v>0.14000000000000001</v>
      </c>
      <c r="AD52">
        <v>2.2376399999999998E-2</v>
      </c>
      <c r="AE52">
        <v>4.4752799999999995E-2</v>
      </c>
      <c r="AF52">
        <v>6.7129199999999986E-2</v>
      </c>
      <c r="AG52">
        <v>8.9505599999999991E-2</v>
      </c>
      <c r="AH52">
        <v>0.111882</v>
      </c>
      <c r="AI52">
        <v>0.1342584</v>
      </c>
      <c r="AJ52">
        <v>0.15663480000000002</v>
      </c>
      <c r="AK52">
        <v>0.17901120000000001</v>
      </c>
      <c r="AL52">
        <v>0.20138760000000003</v>
      </c>
      <c r="AM52">
        <v>0.22376400000000002</v>
      </c>
      <c r="AN52">
        <v>0.24614040000000004</v>
      </c>
      <c r="AO52">
        <v>0.26851680000000006</v>
      </c>
      <c r="AP52">
        <v>0.29089320000000007</v>
      </c>
      <c r="AQ52">
        <v>0.31326960000000004</v>
      </c>
      <c r="AR52">
        <v>0.33564600000000006</v>
      </c>
    </row>
    <row r="53" spans="1:44" x14ac:dyDescent="0.25">
      <c r="A53" s="1"/>
      <c r="B53" s="1"/>
      <c r="C53" s="79">
        <v>1.5432000000000003</v>
      </c>
      <c r="D53" s="55">
        <v>0.19213184476342368</v>
      </c>
      <c r="L53" s="77">
        <v>800</v>
      </c>
      <c r="M53" s="77">
        <v>0.121</v>
      </c>
      <c r="O53">
        <v>1.4392000000000002E-2</v>
      </c>
      <c r="P53">
        <v>2.8784000000000004E-2</v>
      </c>
      <c r="Q53">
        <v>4.3176000000000006E-2</v>
      </c>
      <c r="R53">
        <v>5.7568000000000008E-2</v>
      </c>
      <c r="S53">
        <v>7.196000000000001E-2</v>
      </c>
      <c r="T53">
        <v>8.6352000000000012E-2</v>
      </c>
      <c r="U53">
        <v>0.10074400000000001</v>
      </c>
      <c r="V53">
        <v>0.11513600000000002</v>
      </c>
      <c r="W53">
        <v>0.129528</v>
      </c>
      <c r="Z53" s="40">
        <v>800</v>
      </c>
      <c r="AA53" s="40">
        <v>0.121</v>
      </c>
      <c r="AD53">
        <v>1.9289999999999998E-2</v>
      </c>
      <c r="AE53">
        <v>3.8579999999999996E-2</v>
      </c>
      <c r="AF53">
        <v>5.7869999999999991E-2</v>
      </c>
      <c r="AG53">
        <v>7.7159999999999992E-2</v>
      </c>
      <c r="AH53">
        <v>9.6449999999999994E-2</v>
      </c>
      <c r="AI53">
        <v>0.11574000000000001</v>
      </c>
      <c r="AJ53">
        <v>0.13503000000000001</v>
      </c>
      <c r="AK53">
        <v>0.15432000000000001</v>
      </c>
      <c r="AL53">
        <v>0.17361000000000001</v>
      </c>
      <c r="AM53">
        <v>0.19290000000000004</v>
      </c>
      <c r="AN53">
        <v>0.21219000000000005</v>
      </c>
      <c r="AO53">
        <v>0.23148000000000005</v>
      </c>
      <c r="AP53">
        <v>0.25077000000000005</v>
      </c>
      <c r="AQ53">
        <v>0.27006000000000008</v>
      </c>
      <c r="AR53">
        <v>0.28935000000000005</v>
      </c>
    </row>
    <row r="54" spans="1:44" x14ac:dyDescent="0.25">
      <c r="A54" s="1"/>
      <c r="B54" s="1"/>
      <c r="C54" s="79">
        <v>1.6718000000000004</v>
      </c>
      <c r="D54" s="55">
        <v>8.5699096225412025E-2</v>
      </c>
      <c r="L54" s="77">
        <v>900</v>
      </c>
      <c r="M54" s="77">
        <v>6.3E-2</v>
      </c>
      <c r="O54">
        <v>1.24388E-2</v>
      </c>
      <c r="P54">
        <v>2.48776E-2</v>
      </c>
      <c r="Q54">
        <v>3.73164E-2</v>
      </c>
      <c r="R54">
        <v>4.9755199999999999E-2</v>
      </c>
      <c r="S54">
        <v>6.2193999999999999E-2</v>
      </c>
      <c r="T54">
        <v>7.4632799999999999E-2</v>
      </c>
      <c r="U54">
        <v>8.7071599999999999E-2</v>
      </c>
      <c r="V54">
        <v>9.9510399999999999E-2</v>
      </c>
      <c r="W54">
        <v>0.1119492</v>
      </c>
      <c r="Z54" s="40">
        <v>900</v>
      </c>
      <c r="AA54" s="40">
        <v>6.3E-2</v>
      </c>
      <c r="AD54">
        <v>1.8003999999999999E-2</v>
      </c>
      <c r="AE54">
        <v>3.6007999999999998E-2</v>
      </c>
      <c r="AF54">
        <v>5.4012000000000004E-2</v>
      </c>
      <c r="AG54">
        <v>7.2015999999999997E-2</v>
      </c>
      <c r="AH54">
        <v>9.0020000000000017E-2</v>
      </c>
      <c r="AI54">
        <v>0.10802400000000002</v>
      </c>
      <c r="AJ54">
        <v>0.12602800000000003</v>
      </c>
      <c r="AK54">
        <v>0.14403200000000005</v>
      </c>
      <c r="AL54">
        <v>0.16203600000000004</v>
      </c>
      <c r="AM54">
        <v>0.18004000000000006</v>
      </c>
      <c r="AN54">
        <v>0.19804400000000005</v>
      </c>
      <c r="AO54">
        <v>0.21604800000000007</v>
      </c>
      <c r="AP54">
        <v>0.23405200000000007</v>
      </c>
      <c r="AQ54">
        <v>0.25205600000000011</v>
      </c>
      <c r="AR54">
        <v>0.27006000000000008</v>
      </c>
    </row>
    <row r="55" spans="1:44" x14ac:dyDescent="0.25">
      <c r="A55" s="1"/>
      <c r="B55" s="1"/>
      <c r="C55" s="79">
        <v>1.8004000000000004</v>
      </c>
      <c r="D55" s="55">
        <v>4.4231791600212657E-2</v>
      </c>
      <c r="H55" s="81"/>
      <c r="L55" s="77">
        <v>1000</v>
      </c>
      <c r="M55" s="77">
        <v>0</v>
      </c>
      <c r="O55">
        <v>6.4764000000000002E-3</v>
      </c>
      <c r="P55">
        <v>1.29528E-2</v>
      </c>
      <c r="Q55">
        <v>1.9429200000000001E-2</v>
      </c>
      <c r="R55">
        <v>2.5905600000000001E-2</v>
      </c>
      <c r="S55">
        <v>3.2382000000000001E-2</v>
      </c>
      <c r="T55">
        <v>3.8858400000000001E-2</v>
      </c>
      <c r="U55">
        <v>4.5334800000000001E-2</v>
      </c>
      <c r="V55">
        <v>5.1811200000000002E-2</v>
      </c>
      <c r="W55">
        <v>5.8287600000000002E-2</v>
      </c>
      <c r="Z55" s="40">
        <v>1000</v>
      </c>
      <c r="AA55" s="40">
        <v>0</v>
      </c>
      <c r="AD55">
        <v>1.5560599999999999E-2</v>
      </c>
      <c r="AE55">
        <v>3.1121199999999998E-2</v>
      </c>
      <c r="AF55">
        <v>4.6681799999999996E-2</v>
      </c>
      <c r="AG55">
        <v>6.2242399999999996E-2</v>
      </c>
      <c r="AH55">
        <v>7.7802999999999997E-2</v>
      </c>
      <c r="AI55">
        <v>9.3363600000000005E-2</v>
      </c>
      <c r="AJ55">
        <v>0.10892420000000001</v>
      </c>
      <c r="AK55">
        <v>0.12448480000000002</v>
      </c>
      <c r="AL55">
        <v>0.14004540000000001</v>
      </c>
      <c r="AM55">
        <v>0.15560600000000002</v>
      </c>
      <c r="AN55">
        <v>0.17116660000000003</v>
      </c>
      <c r="AO55">
        <v>0.18672720000000004</v>
      </c>
      <c r="AP55">
        <v>0.20228780000000005</v>
      </c>
      <c r="AQ55">
        <v>0.21784840000000005</v>
      </c>
      <c r="AR55">
        <v>0.23340900000000006</v>
      </c>
    </row>
    <row r="56" spans="1:44" x14ac:dyDescent="0.25">
      <c r="A56" s="1"/>
      <c r="B56" s="1"/>
      <c r="C56" s="79">
        <v>1.9290000000000005</v>
      </c>
      <c r="D56" s="55">
        <v>1.1057947900053164E-2</v>
      </c>
      <c r="H56" s="80"/>
      <c r="O56">
        <v>0.08</v>
      </c>
      <c r="P56">
        <v>0.08</v>
      </c>
      <c r="Q56">
        <v>0.08</v>
      </c>
      <c r="R56">
        <v>0.08</v>
      </c>
      <c r="S56">
        <v>0.08</v>
      </c>
      <c r="T56">
        <v>0.08</v>
      </c>
      <c r="U56">
        <v>0.08</v>
      </c>
      <c r="V56">
        <v>0.08</v>
      </c>
      <c r="W56">
        <v>0.08</v>
      </c>
      <c r="Z56" s="40">
        <v>2896</v>
      </c>
      <c r="AA56" s="40"/>
      <c r="AD56">
        <v>8.1017999999999993E-3</v>
      </c>
      <c r="AE56">
        <v>1.6203599999999999E-2</v>
      </c>
      <c r="AF56">
        <v>2.4305399999999998E-2</v>
      </c>
      <c r="AG56">
        <v>3.2407199999999997E-2</v>
      </c>
      <c r="AH56">
        <v>4.0509000000000003E-2</v>
      </c>
      <c r="AI56">
        <v>4.8610800000000003E-2</v>
      </c>
      <c r="AJ56">
        <v>5.6712600000000009E-2</v>
      </c>
      <c r="AK56">
        <v>6.4814400000000008E-2</v>
      </c>
      <c r="AL56">
        <v>7.2916200000000014E-2</v>
      </c>
      <c r="AM56">
        <v>8.1018000000000021E-2</v>
      </c>
      <c r="AN56">
        <v>8.9119800000000013E-2</v>
      </c>
      <c r="AO56">
        <v>9.7221600000000019E-2</v>
      </c>
      <c r="AP56">
        <v>0.10532340000000003</v>
      </c>
      <c r="AQ56">
        <v>0.11342520000000003</v>
      </c>
      <c r="AR56">
        <v>0.12152700000000004</v>
      </c>
    </row>
    <row r="57" spans="1:44" x14ac:dyDescent="0.25">
      <c r="H57" s="80"/>
      <c r="O57">
        <v>0.08</v>
      </c>
      <c r="P57">
        <v>0.08</v>
      </c>
      <c r="Q57">
        <v>0.08</v>
      </c>
      <c r="R57">
        <v>0.08</v>
      </c>
      <c r="S57">
        <v>0.08</v>
      </c>
      <c r="T57">
        <v>0.08</v>
      </c>
      <c r="U57">
        <v>0.08</v>
      </c>
      <c r="V57">
        <v>0.08</v>
      </c>
      <c r="W57">
        <v>0.08</v>
      </c>
      <c r="AD57">
        <v>0.08</v>
      </c>
      <c r="AE57">
        <v>0.08</v>
      </c>
      <c r="AF57">
        <v>0.08</v>
      </c>
      <c r="AG57">
        <v>0.08</v>
      </c>
      <c r="AH57">
        <v>0.08</v>
      </c>
      <c r="AI57">
        <v>0.08</v>
      </c>
      <c r="AJ57">
        <v>0.08</v>
      </c>
      <c r="AK57">
        <v>0.08</v>
      </c>
      <c r="AL57">
        <v>0.08</v>
      </c>
      <c r="AM57">
        <v>0.08</v>
      </c>
      <c r="AN57">
        <v>0.08</v>
      </c>
      <c r="AO57">
        <v>0.08</v>
      </c>
      <c r="AP57">
        <v>0.08</v>
      </c>
      <c r="AQ57">
        <v>0.08</v>
      </c>
      <c r="AR57">
        <v>0.08</v>
      </c>
    </row>
    <row r="58" spans="1:44" x14ac:dyDescent="0.25">
      <c r="AD58">
        <v>0.08</v>
      </c>
      <c r="AE58">
        <v>0.08</v>
      </c>
      <c r="AF58">
        <v>0.08</v>
      </c>
      <c r="AG58">
        <v>0.08</v>
      </c>
      <c r="AH58">
        <v>0.08</v>
      </c>
      <c r="AI58">
        <v>0.08</v>
      </c>
      <c r="AJ58">
        <v>0.08</v>
      </c>
      <c r="AK58">
        <v>0.08</v>
      </c>
      <c r="AL58">
        <v>0.08</v>
      </c>
      <c r="AM58">
        <v>0.08</v>
      </c>
      <c r="AN58">
        <v>0.08</v>
      </c>
      <c r="AO58">
        <v>0.08</v>
      </c>
      <c r="AP58">
        <v>0.08</v>
      </c>
      <c r="AQ58">
        <v>0.08</v>
      </c>
      <c r="AR58">
        <v>0.08</v>
      </c>
    </row>
    <row r="61" spans="1:44" x14ac:dyDescent="0.25">
      <c r="A61" s="2" t="s">
        <v>192</v>
      </c>
    </row>
    <row r="63" spans="1:44" x14ac:dyDescent="0.25">
      <c r="G63" t="s">
        <v>208</v>
      </c>
    </row>
    <row r="64" spans="1:44" ht="45" x14ac:dyDescent="0.25">
      <c r="A64" s="51" t="s">
        <v>55</v>
      </c>
      <c r="B64" s="82" t="s">
        <v>39</v>
      </c>
      <c r="C64" s="51" t="s">
        <v>233</v>
      </c>
      <c r="D64" s="52" t="s">
        <v>234</v>
      </c>
    </row>
    <row r="65" spans="1:23" x14ac:dyDescent="0.25">
      <c r="A65" s="51" t="s">
        <v>193</v>
      </c>
      <c r="B65" s="82" t="s">
        <v>161</v>
      </c>
      <c r="C65" s="51" t="s">
        <v>174</v>
      </c>
      <c r="D65" s="51"/>
      <c r="G65" s="2" t="s">
        <v>209</v>
      </c>
      <c r="H65" s="2" t="s">
        <v>210</v>
      </c>
      <c r="I65" s="2" t="s">
        <v>211</v>
      </c>
      <c r="J65" s="2" t="s">
        <v>212</v>
      </c>
      <c r="K65" s="2" t="s">
        <v>213</v>
      </c>
      <c r="L65" s="2" t="s">
        <v>214</v>
      </c>
      <c r="M65" s="2" t="s">
        <v>215</v>
      </c>
      <c r="N65" s="2" t="s">
        <v>216</v>
      </c>
      <c r="O65" s="2" t="s">
        <v>217</v>
      </c>
      <c r="P65" s="2" t="s">
        <v>218</v>
      </c>
      <c r="Q65" s="2" t="s">
        <v>219</v>
      </c>
      <c r="R65" s="2" t="s">
        <v>220</v>
      </c>
      <c r="S65" s="2" t="s">
        <v>221</v>
      </c>
      <c r="T65" s="2" t="s">
        <v>222</v>
      </c>
      <c r="U65" s="2" t="s">
        <v>223</v>
      </c>
      <c r="V65" s="2" t="s">
        <v>224</v>
      </c>
      <c r="W65" s="2" t="s">
        <v>60</v>
      </c>
    </row>
    <row r="66" spans="1:23" x14ac:dyDescent="0.25">
      <c r="A66" s="1">
        <v>0.2</v>
      </c>
      <c r="B66" s="78">
        <f>W66</f>
        <v>11.930999999999999</v>
      </c>
      <c r="C66" s="1">
        <v>0</v>
      </c>
      <c r="D66" s="1">
        <v>1</v>
      </c>
      <c r="F66" t="s">
        <v>225</v>
      </c>
      <c r="G66">
        <v>1.2689999999999999</v>
      </c>
      <c r="H66">
        <v>0.81399999999999995</v>
      </c>
      <c r="I66">
        <v>0.36599999999999999</v>
      </c>
      <c r="J66">
        <v>0.25800000000000001</v>
      </c>
      <c r="K66">
        <v>0.224</v>
      </c>
      <c r="L66">
        <v>0.245</v>
      </c>
      <c r="M66">
        <v>0.17100000000000001</v>
      </c>
      <c r="N66">
        <v>0.192</v>
      </c>
      <c r="O66">
        <v>0.158</v>
      </c>
      <c r="P66">
        <v>0.105</v>
      </c>
      <c r="Q66">
        <v>0.245</v>
      </c>
      <c r="R66">
        <v>0.35</v>
      </c>
      <c r="S66">
        <v>1.0369999999999999</v>
      </c>
      <c r="T66">
        <v>1.9510000000000001</v>
      </c>
      <c r="U66">
        <v>2.4929999999999999</v>
      </c>
      <c r="V66">
        <v>2.0529999999999999</v>
      </c>
      <c r="W66">
        <v>11.930999999999999</v>
      </c>
    </row>
    <row r="67" spans="1:23" x14ac:dyDescent="0.25">
      <c r="A67" s="1">
        <f>A66+0.2</f>
        <v>0.4</v>
      </c>
      <c r="B67" s="78">
        <f t="shared" ref="B67:B73" si="0">W67</f>
        <v>31.024999999999999</v>
      </c>
      <c r="C67" s="1">
        <v>10</v>
      </c>
      <c r="D67" s="1">
        <v>1</v>
      </c>
      <c r="F67" t="s">
        <v>226</v>
      </c>
      <c r="G67">
        <v>2.87</v>
      </c>
      <c r="H67">
        <v>0.93700000000000006</v>
      </c>
      <c r="I67">
        <v>0.42399999999999999</v>
      </c>
      <c r="J67">
        <v>0.371</v>
      </c>
      <c r="K67">
        <v>0.33700000000000002</v>
      </c>
      <c r="L67">
        <v>0.316</v>
      </c>
      <c r="M67">
        <v>0.25</v>
      </c>
      <c r="N67">
        <v>0.219</v>
      </c>
      <c r="O67">
        <v>0.2</v>
      </c>
      <c r="P67">
        <v>0.221</v>
      </c>
      <c r="Q67">
        <v>0.28399999999999997</v>
      </c>
      <c r="R67">
        <v>0.7</v>
      </c>
      <c r="S67">
        <v>2.6509999999999998</v>
      </c>
      <c r="T67">
        <v>7.05</v>
      </c>
      <c r="U67">
        <v>8.3559999999999999</v>
      </c>
      <c r="V67">
        <v>5.8390000000000004</v>
      </c>
      <c r="W67">
        <v>31.024999999999999</v>
      </c>
    </row>
    <row r="68" spans="1:23" x14ac:dyDescent="0.25">
      <c r="A68" s="1">
        <f t="shared" ref="A68:A73" si="1">A67+0.2</f>
        <v>0.60000000000000009</v>
      </c>
      <c r="B68" s="78">
        <f t="shared" si="0"/>
        <v>29.645</v>
      </c>
      <c r="C68" s="1">
        <v>20</v>
      </c>
      <c r="D68" s="1">
        <v>0.8</v>
      </c>
      <c r="F68" t="s">
        <v>227</v>
      </c>
      <c r="G68">
        <v>1.706</v>
      </c>
      <c r="H68">
        <v>0.50800000000000001</v>
      </c>
      <c r="I68">
        <v>0.28399999999999997</v>
      </c>
      <c r="J68">
        <v>0.26300000000000001</v>
      </c>
      <c r="K68">
        <v>0.16800000000000001</v>
      </c>
      <c r="L68">
        <v>0.158</v>
      </c>
      <c r="M68">
        <v>0.14499999999999999</v>
      </c>
      <c r="N68">
        <v>0.09</v>
      </c>
      <c r="O68">
        <v>2.5999999999999999E-2</v>
      </c>
      <c r="P68">
        <v>5.2999999999999999E-2</v>
      </c>
      <c r="Q68">
        <v>0.09</v>
      </c>
      <c r="R68">
        <v>0.32900000000000001</v>
      </c>
      <c r="S68">
        <v>2.5510000000000002</v>
      </c>
      <c r="T68">
        <v>8.8089999999999993</v>
      </c>
      <c r="U68">
        <v>9.1440000000000001</v>
      </c>
      <c r="V68">
        <v>5.3209999999999997</v>
      </c>
      <c r="W68">
        <v>29.645</v>
      </c>
    </row>
    <row r="69" spans="1:23" x14ac:dyDescent="0.25">
      <c r="A69" s="1">
        <f t="shared" si="1"/>
        <v>0.8</v>
      </c>
      <c r="B69" s="78">
        <f t="shared" si="0"/>
        <v>17.183</v>
      </c>
      <c r="C69" s="1">
        <v>50</v>
      </c>
      <c r="D69" s="1">
        <v>0.72</v>
      </c>
      <c r="F69" t="s">
        <v>228</v>
      </c>
      <c r="G69">
        <v>0.47399999999999998</v>
      </c>
      <c r="H69">
        <v>0.158</v>
      </c>
      <c r="I69">
        <v>3.6999999999999998E-2</v>
      </c>
      <c r="J69">
        <v>1.6E-2</v>
      </c>
      <c r="K69">
        <v>1.6E-2</v>
      </c>
      <c r="L69">
        <v>1.2999999999999999E-2</v>
      </c>
      <c r="M69">
        <v>3.0000000000000001E-3</v>
      </c>
      <c r="N69">
        <v>1.0999999999999999E-2</v>
      </c>
      <c r="O69">
        <v>0</v>
      </c>
      <c r="P69">
        <v>3.0000000000000001E-3</v>
      </c>
      <c r="Q69">
        <v>1.0999999999999999E-2</v>
      </c>
      <c r="R69">
        <v>5.8000000000000003E-2</v>
      </c>
      <c r="S69">
        <v>1.224</v>
      </c>
      <c r="T69">
        <v>6.5289999999999999</v>
      </c>
      <c r="U69">
        <v>6.3129999999999997</v>
      </c>
      <c r="V69">
        <v>2.3170000000000002</v>
      </c>
      <c r="W69">
        <v>17.183</v>
      </c>
    </row>
    <row r="70" spans="1:23" x14ac:dyDescent="0.25">
      <c r="A70" s="1">
        <f t="shared" si="1"/>
        <v>1</v>
      </c>
      <c r="B70" s="78">
        <f t="shared" si="0"/>
        <v>6.7990000000000004</v>
      </c>
      <c r="C70" s="1">
        <v>100</v>
      </c>
      <c r="D70" s="1">
        <v>0.51</v>
      </c>
      <c r="F70" t="s">
        <v>229</v>
      </c>
      <c r="G70">
        <v>5.5E-2</v>
      </c>
      <c r="H70">
        <v>2.4E-2</v>
      </c>
      <c r="I70">
        <v>3.0000000000000001E-3</v>
      </c>
      <c r="J70">
        <v>3.0000000000000001E-3</v>
      </c>
      <c r="K70">
        <v>8.0000000000000002E-3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1.6E-2</v>
      </c>
      <c r="S70">
        <v>0.36099999999999999</v>
      </c>
      <c r="T70">
        <v>2.9990000000000001</v>
      </c>
      <c r="U70">
        <v>2.7559999999999998</v>
      </c>
      <c r="V70">
        <v>0.57399999999999995</v>
      </c>
      <c r="W70">
        <v>6.7990000000000004</v>
      </c>
    </row>
    <row r="71" spans="1:23" x14ac:dyDescent="0.25">
      <c r="A71" s="1">
        <f t="shared" si="1"/>
        <v>1.2</v>
      </c>
      <c r="B71" s="78">
        <f t="shared" si="0"/>
        <v>2.407</v>
      </c>
      <c r="C71" s="1">
        <v>125</v>
      </c>
      <c r="D71" s="1">
        <v>0.43</v>
      </c>
      <c r="F71" t="s">
        <v>230</v>
      </c>
      <c r="G71">
        <v>2.4E-2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8.2000000000000003E-2</v>
      </c>
      <c r="T71">
        <v>0.94</v>
      </c>
      <c r="U71">
        <v>1.179</v>
      </c>
      <c r="V71">
        <v>0.182</v>
      </c>
      <c r="W71">
        <v>2.407</v>
      </c>
    </row>
    <row r="72" spans="1:23" x14ac:dyDescent="0.25">
      <c r="A72" s="1">
        <f t="shared" si="1"/>
        <v>1.4</v>
      </c>
      <c r="B72" s="78">
        <f t="shared" si="0"/>
        <v>0.96</v>
      </c>
      <c r="C72" s="1">
        <v>150</v>
      </c>
      <c r="D72" s="1">
        <v>0.37</v>
      </c>
      <c r="F72" t="s">
        <v>231</v>
      </c>
      <c r="G72">
        <v>3.0000000000000001E-3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2.1000000000000001E-2</v>
      </c>
      <c r="T72">
        <v>0.505</v>
      </c>
      <c r="U72">
        <v>0.376</v>
      </c>
      <c r="V72">
        <v>5.5E-2</v>
      </c>
      <c r="W72">
        <v>0.96</v>
      </c>
    </row>
    <row r="73" spans="1:23" x14ac:dyDescent="0.25">
      <c r="A73" s="1">
        <f t="shared" si="1"/>
        <v>1.5999999999999999</v>
      </c>
      <c r="B73" s="78">
        <f t="shared" si="0"/>
        <v>0.05</v>
      </c>
      <c r="C73" s="1">
        <v>200</v>
      </c>
      <c r="D73" s="1">
        <v>0.28999999999999998</v>
      </c>
      <c r="F73" t="s">
        <v>232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4.7E-2</v>
      </c>
      <c r="U73">
        <v>3.0000000000000001E-3</v>
      </c>
      <c r="V73">
        <v>0</v>
      </c>
      <c r="W73">
        <v>0.05</v>
      </c>
    </row>
    <row r="74" spans="1:23" x14ac:dyDescent="0.25">
      <c r="C74" s="1">
        <v>300</v>
      </c>
      <c r="D74" s="1">
        <v>0.3</v>
      </c>
      <c r="F74" t="s">
        <v>164</v>
      </c>
      <c r="G74">
        <v>6.4009999999999998</v>
      </c>
      <c r="H74">
        <v>2.4409999999999998</v>
      </c>
      <c r="I74">
        <v>1.1140000000000001</v>
      </c>
      <c r="J74">
        <v>0.91100000000000003</v>
      </c>
      <c r="K74">
        <v>0.753</v>
      </c>
      <c r="L74">
        <v>0.73199999999999998</v>
      </c>
      <c r="M74">
        <v>0.56899999999999995</v>
      </c>
      <c r="N74">
        <v>0.51200000000000001</v>
      </c>
      <c r="O74">
        <v>0.38400000000000001</v>
      </c>
      <c r="P74">
        <v>0.38200000000000001</v>
      </c>
      <c r="Q74">
        <v>0.63</v>
      </c>
      <c r="R74">
        <v>1.4530000000000001</v>
      </c>
      <c r="S74">
        <v>7.9269999999999996</v>
      </c>
      <c r="T74">
        <v>28.83</v>
      </c>
      <c r="U74">
        <v>30.62</v>
      </c>
      <c r="V74">
        <v>16.341000000000001</v>
      </c>
      <c r="W74">
        <v>100</v>
      </c>
    </row>
    <row r="75" spans="1:23" x14ac:dyDescent="0.25">
      <c r="C75" s="1">
        <v>400</v>
      </c>
      <c r="D75" s="1">
        <v>0.28000000000000003</v>
      </c>
    </row>
    <row r="76" spans="1:23" x14ac:dyDescent="0.25">
      <c r="C76" s="1">
        <v>450</v>
      </c>
      <c r="D76" s="1">
        <v>0.25</v>
      </c>
    </row>
    <row r="77" spans="1:23" x14ac:dyDescent="0.25">
      <c r="C77" s="1">
        <v>500</v>
      </c>
      <c r="D77" s="1">
        <v>0.23</v>
      </c>
    </row>
    <row r="78" spans="1:23" x14ac:dyDescent="0.25">
      <c r="C78" s="1">
        <v>627</v>
      </c>
      <c r="D78" s="1">
        <v>0.2</v>
      </c>
    </row>
    <row r="79" spans="1:23" x14ac:dyDescent="0.25">
      <c r="C79" s="1">
        <v>800</v>
      </c>
      <c r="D79" s="1">
        <v>0.21</v>
      </c>
    </row>
    <row r="80" spans="1:23" x14ac:dyDescent="0.25">
      <c r="C80" s="1">
        <v>1000</v>
      </c>
      <c r="D80" s="1">
        <v>0.28999999999999998</v>
      </c>
    </row>
    <row r="81" spans="1:7" x14ac:dyDescent="0.25">
      <c r="C81" s="1">
        <v>1250</v>
      </c>
      <c r="D81" s="1">
        <v>0.52</v>
      </c>
    </row>
    <row r="82" spans="1:7" x14ac:dyDescent="0.25">
      <c r="C82" s="1">
        <v>1500</v>
      </c>
      <c r="D82" s="1">
        <v>0.43</v>
      </c>
    </row>
    <row r="83" spans="1:7" x14ac:dyDescent="0.25">
      <c r="C83" s="1">
        <v>1650</v>
      </c>
      <c r="D83" s="1">
        <v>0.31</v>
      </c>
    </row>
    <row r="88" spans="1:7" x14ac:dyDescent="0.25">
      <c r="A88" t="s">
        <v>200</v>
      </c>
      <c r="B88" t="s">
        <v>235</v>
      </c>
    </row>
    <row r="89" spans="1:7" x14ac:dyDescent="0.25">
      <c r="A89" t="s">
        <v>236</v>
      </c>
    </row>
    <row r="90" spans="1:7" x14ac:dyDescent="0.25">
      <c r="A90" t="s">
        <v>237</v>
      </c>
    </row>
    <row r="91" spans="1:7" x14ac:dyDescent="0.25">
      <c r="A91" t="s">
        <v>238</v>
      </c>
    </row>
    <row r="92" spans="1:7" x14ac:dyDescent="0.25">
      <c r="A92" t="s">
        <v>239</v>
      </c>
    </row>
    <row r="93" spans="1:7" x14ac:dyDescent="0.25">
      <c r="A93" t="s">
        <v>39</v>
      </c>
    </row>
    <row r="94" spans="1:7" x14ac:dyDescent="0.25">
      <c r="A94" t="s">
        <v>240</v>
      </c>
    </row>
    <row r="95" spans="1:7" x14ac:dyDescent="0.25">
      <c r="A95" t="s">
        <v>39</v>
      </c>
      <c r="B95" t="s">
        <v>238</v>
      </c>
      <c r="C95" t="s">
        <v>239</v>
      </c>
      <c r="D95" t="s">
        <v>39</v>
      </c>
      <c r="F95" s="51" t="str">
        <f>B95</f>
        <v>Velocity</v>
      </c>
      <c r="G95" s="51" t="str">
        <f>D95</f>
        <v>Probability</v>
      </c>
    </row>
    <row r="96" spans="1:7" x14ac:dyDescent="0.25">
      <c r="A96" t="s">
        <v>206</v>
      </c>
      <c r="B96" t="s">
        <v>193</v>
      </c>
      <c r="C96" t="s">
        <v>199</v>
      </c>
      <c r="D96" t="s">
        <v>199</v>
      </c>
      <c r="F96" s="51" t="str">
        <f>B96</f>
        <v>m/s</v>
      </c>
      <c r="G96" s="51" t="str">
        <f>D96</f>
        <v>(%)</v>
      </c>
    </row>
    <row r="97" spans="1:7" x14ac:dyDescent="0.25">
      <c r="A97">
        <v>1</v>
      </c>
      <c r="B97">
        <v>0.10299999999999999</v>
      </c>
      <c r="C97">
        <v>95</v>
      </c>
      <c r="D97">
        <v>5</v>
      </c>
      <c r="F97" s="1">
        <f>B97</f>
        <v>0.10299999999999999</v>
      </c>
      <c r="G97" s="1">
        <f>D97</f>
        <v>5</v>
      </c>
    </row>
    <row r="98" spans="1:7" x14ac:dyDescent="0.25">
      <c r="A98">
        <v>2</v>
      </c>
      <c r="B98">
        <v>0.14599999999999999</v>
      </c>
      <c r="C98">
        <v>90</v>
      </c>
      <c r="D98">
        <v>5</v>
      </c>
      <c r="F98" s="1">
        <f t="shared" ref="F98:F117" si="2">B98</f>
        <v>0.14599999999999999</v>
      </c>
      <c r="G98" s="1">
        <f t="shared" ref="G98:G117" si="3">D98</f>
        <v>5</v>
      </c>
    </row>
    <row r="99" spans="1:7" x14ac:dyDescent="0.25">
      <c r="A99">
        <v>3</v>
      </c>
      <c r="B99">
        <v>0.21</v>
      </c>
      <c r="C99">
        <v>80</v>
      </c>
      <c r="D99">
        <v>10</v>
      </c>
      <c r="F99" s="1">
        <f t="shared" si="2"/>
        <v>0.21</v>
      </c>
      <c r="G99" s="1">
        <f t="shared" si="3"/>
        <v>10</v>
      </c>
    </row>
    <row r="100" spans="1:7" x14ac:dyDescent="0.25">
      <c r="A100">
        <v>4</v>
      </c>
      <c r="B100">
        <v>0.26400000000000001</v>
      </c>
      <c r="C100">
        <v>70</v>
      </c>
      <c r="D100">
        <v>10</v>
      </c>
      <c r="F100" s="1">
        <f t="shared" si="2"/>
        <v>0.26400000000000001</v>
      </c>
      <c r="G100" s="1">
        <f t="shared" si="3"/>
        <v>10</v>
      </c>
    </row>
    <row r="101" spans="1:7" x14ac:dyDescent="0.25">
      <c r="A101">
        <v>5</v>
      </c>
      <c r="B101">
        <v>0.315</v>
      </c>
      <c r="C101">
        <v>60</v>
      </c>
      <c r="D101">
        <v>10</v>
      </c>
      <c r="F101" s="1">
        <f t="shared" si="2"/>
        <v>0.315</v>
      </c>
      <c r="G101" s="1">
        <f t="shared" si="3"/>
        <v>10</v>
      </c>
    </row>
    <row r="102" spans="1:7" x14ac:dyDescent="0.25">
      <c r="A102">
        <v>6</v>
      </c>
      <c r="B102">
        <v>0.36499999999999999</v>
      </c>
      <c r="C102">
        <v>50</v>
      </c>
      <c r="D102">
        <v>10</v>
      </c>
      <c r="F102" s="1">
        <f t="shared" si="2"/>
        <v>0.36499999999999999</v>
      </c>
      <c r="G102" s="1">
        <f t="shared" si="3"/>
        <v>10</v>
      </c>
    </row>
    <row r="103" spans="1:7" x14ac:dyDescent="0.25">
      <c r="A103">
        <v>7</v>
      </c>
      <c r="B103">
        <v>0.41899999999999998</v>
      </c>
      <c r="C103">
        <v>40</v>
      </c>
      <c r="D103">
        <v>10</v>
      </c>
      <c r="F103" s="1">
        <f t="shared" si="2"/>
        <v>0.41899999999999998</v>
      </c>
      <c r="G103" s="1">
        <f t="shared" si="3"/>
        <v>10</v>
      </c>
    </row>
    <row r="104" spans="1:7" x14ac:dyDescent="0.25">
      <c r="A104">
        <v>8</v>
      </c>
      <c r="B104">
        <v>0.47799999999999998</v>
      </c>
      <c r="C104">
        <v>30</v>
      </c>
      <c r="D104">
        <v>10</v>
      </c>
      <c r="F104" s="1">
        <f t="shared" si="2"/>
        <v>0.47799999999999998</v>
      </c>
      <c r="G104" s="1">
        <f t="shared" si="3"/>
        <v>10</v>
      </c>
    </row>
    <row r="105" spans="1:7" x14ac:dyDescent="0.25">
      <c r="A105">
        <v>9</v>
      </c>
      <c r="B105">
        <v>0.55100000000000005</v>
      </c>
      <c r="C105">
        <v>20</v>
      </c>
      <c r="D105">
        <v>10</v>
      </c>
      <c r="F105" s="1">
        <f t="shared" si="2"/>
        <v>0.55100000000000005</v>
      </c>
      <c r="G105" s="1">
        <f t="shared" si="3"/>
        <v>10</v>
      </c>
    </row>
    <row r="106" spans="1:7" x14ac:dyDescent="0.25">
      <c r="A106">
        <v>10</v>
      </c>
      <c r="B106">
        <v>0.59699999999999998</v>
      </c>
      <c r="C106">
        <v>15</v>
      </c>
      <c r="D106">
        <v>5</v>
      </c>
      <c r="F106" s="1">
        <f t="shared" si="2"/>
        <v>0.59699999999999998</v>
      </c>
      <c r="G106" s="1">
        <f t="shared" si="3"/>
        <v>5</v>
      </c>
    </row>
    <row r="107" spans="1:7" x14ac:dyDescent="0.25">
      <c r="A107">
        <v>11</v>
      </c>
      <c r="B107">
        <v>0.65600000000000003</v>
      </c>
      <c r="C107">
        <v>10</v>
      </c>
      <c r="D107">
        <v>5</v>
      </c>
      <c r="F107" s="1">
        <f t="shared" si="2"/>
        <v>0.65600000000000003</v>
      </c>
      <c r="G107" s="1">
        <f t="shared" si="3"/>
        <v>5</v>
      </c>
    </row>
    <row r="108" spans="1:7" x14ac:dyDescent="0.25">
      <c r="A108">
        <v>12</v>
      </c>
      <c r="B108">
        <v>0.69499999999999995</v>
      </c>
      <c r="C108">
        <v>7.5</v>
      </c>
      <c r="D108">
        <v>2.5</v>
      </c>
      <c r="F108" s="1">
        <f t="shared" si="2"/>
        <v>0.69499999999999995</v>
      </c>
      <c r="G108" s="1">
        <f t="shared" si="3"/>
        <v>2.5</v>
      </c>
    </row>
    <row r="109" spans="1:7" x14ac:dyDescent="0.25">
      <c r="A109">
        <v>13</v>
      </c>
      <c r="B109">
        <v>0.746</v>
      </c>
      <c r="C109">
        <v>5</v>
      </c>
      <c r="D109">
        <v>2.5</v>
      </c>
      <c r="F109" s="1">
        <f t="shared" si="2"/>
        <v>0.746</v>
      </c>
      <c r="G109" s="1">
        <f t="shared" si="3"/>
        <v>2.5</v>
      </c>
    </row>
    <row r="110" spans="1:7" x14ac:dyDescent="0.25">
      <c r="A110">
        <v>14</v>
      </c>
      <c r="B110">
        <v>0.80500000000000005</v>
      </c>
      <c r="C110">
        <v>3</v>
      </c>
      <c r="D110">
        <v>2</v>
      </c>
      <c r="F110" s="1">
        <f t="shared" si="2"/>
        <v>0.80500000000000005</v>
      </c>
      <c r="G110" s="1">
        <f t="shared" si="3"/>
        <v>2</v>
      </c>
    </row>
    <row r="111" spans="1:7" x14ac:dyDescent="0.25">
      <c r="A111">
        <v>15</v>
      </c>
      <c r="B111">
        <v>0.84899999999999998</v>
      </c>
      <c r="C111">
        <v>2</v>
      </c>
      <c r="D111">
        <v>1</v>
      </c>
      <c r="F111" s="1">
        <f t="shared" si="2"/>
        <v>0.84899999999999998</v>
      </c>
      <c r="G111" s="1">
        <f t="shared" si="3"/>
        <v>1</v>
      </c>
    </row>
    <row r="112" spans="1:7" x14ac:dyDescent="0.25">
      <c r="A112">
        <v>16</v>
      </c>
      <c r="B112">
        <v>0.91900000000000004</v>
      </c>
      <c r="C112">
        <v>1</v>
      </c>
      <c r="D112">
        <v>1</v>
      </c>
      <c r="F112" s="1">
        <f t="shared" si="2"/>
        <v>0.91900000000000004</v>
      </c>
      <c r="G112" s="1">
        <f t="shared" si="3"/>
        <v>1</v>
      </c>
    </row>
    <row r="113" spans="1:7" x14ac:dyDescent="0.25">
      <c r="A113">
        <v>17</v>
      </c>
      <c r="B113">
        <v>0.94699999999999995</v>
      </c>
      <c r="C113">
        <v>0.75</v>
      </c>
      <c r="D113">
        <v>0.25</v>
      </c>
      <c r="F113" s="1">
        <f t="shared" si="2"/>
        <v>0.94699999999999995</v>
      </c>
      <c r="G113" s="1">
        <f t="shared" si="3"/>
        <v>0.25</v>
      </c>
    </row>
    <row r="114" spans="1:7" x14ac:dyDescent="0.25">
      <c r="A114">
        <v>18</v>
      </c>
      <c r="B114">
        <v>0.98399999999999999</v>
      </c>
      <c r="C114">
        <v>0.5</v>
      </c>
      <c r="D114">
        <v>0.25</v>
      </c>
      <c r="F114" s="1">
        <f t="shared" si="2"/>
        <v>0.98399999999999999</v>
      </c>
      <c r="G114" s="1">
        <f t="shared" si="3"/>
        <v>0.25</v>
      </c>
    </row>
    <row r="115" spans="1:7" x14ac:dyDescent="0.25">
      <c r="A115">
        <v>19</v>
      </c>
      <c r="B115">
        <v>1.0449999999999999</v>
      </c>
      <c r="C115">
        <v>0.25</v>
      </c>
      <c r="D115">
        <v>0.25</v>
      </c>
      <c r="F115" s="1">
        <f t="shared" si="2"/>
        <v>1.0449999999999999</v>
      </c>
      <c r="G115" s="1">
        <f t="shared" si="3"/>
        <v>0.25</v>
      </c>
    </row>
    <row r="116" spans="1:7" x14ac:dyDescent="0.25">
      <c r="A116">
        <v>20</v>
      </c>
      <c r="B116">
        <v>1.119</v>
      </c>
      <c r="C116">
        <v>0.1</v>
      </c>
      <c r="D116">
        <v>0.15</v>
      </c>
      <c r="F116" s="1">
        <f t="shared" si="2"/>
        <v>1.119</v>
      </c>
      <c r="G116" s="1">
        <f t="shared" si="3"/>
        <v>0.15</v>
      </c>
    </row>
    <row r="117" spans="1:7" x14ac:dyDescent="0.25">
      <c r="A117">
        <v>21</v>
      </c>
      <c r="B117">
        <v>1.173</v>
      </c>
      <c r="C117">
        <v>0.05</v>
      </c>
      <c r="D117">
        <v>0.05</v>
      </c>
      <c r="F117" s="1">
        <f t="shared" si="2"/>
        <v>1.173</v>
      </c>
      <c r="G117" s="1">
        <f t="shared" si="3"/>
        <v>0.05</v>
      </c>
    </row>
  </sheetData>
  <mergeCells count="2">
    <mergeCell ref="A8:A9"/>
    <mergeCell ref="B8:E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7" zoomScale="85" zoomScaleNormal="85" workbookViewId="0">
      <selection activeCell="E12" sqref="E12"/>
    </sheetView>
  </sheetViews>
  <sheetFormatPr defaultRowHeight="15" x14ac:dyDescent="0.25"/>
  <cols>
    <col min="1" max="1" width="33.7109375" customWidth="1"/>
    <col min="2" max="2" width="18.42578125" customWidth="1"/>
    <col min="3" max="5" width="15" customWidth="1"/>
    <col min="6" max="6" width="13.140625" style="85" customWidth="1"/>
    <col min="7" max="16384" width="9.140625" style="85"/>
  </cols>
  <sheetData>
    <row r="1" spans="1:7" ht="30" customHeight="1" x14ac:dyDescent="0.25">
      <c r="A1" s="51" t="s">
        <v>137</v>
      </c>
      <c r="B1" s="51" t="s">
        <v>258</v>
      </c>
      <c r="C1" s="52" t="s">
        <v>241</v>
      </c>
      <c r="D1" s="52" t="s">
        <v>364</v>
      </c>
      <c r="E1" s="52" t="s">
        <v>242</v>
      </c>
      <c r="F1" s="58" t="s">
        <v>268</v>
      </c>
      <c r="G1" s="138" t="s">
        <v>371</v>
      </c>
    </row>
    <row r="2" spans="1:7" x14ac:dyDescent="0.25">
      <c r="A2" s="51"/>
      <c r="B2" s="51"/>
      <c r="C2" s="1" t="s">
        <v>91</v>
      </c>
      <c r="D2" s="1" t="s">
        <v>91</v>
      </c>
      <c r="E2" s="1" t="s">
        <v>90</v>
      </c>
      <c r="F2" s="64" t="s">
        <v>174</v>
      </c>
      <c r="G2" s="136" t="s">
        <v>372</v>
      </c>
    </row>
    <row r="3" spans="1:7" ht="16.5" customHeight="1" x14ac:dyDescent="0.25">
      <c r="A3" s="135" t="s">
        <v>369</v>
      </c>
      <c r="B3" s="83">
        <v>1</v>
      </c>
      <c r="C3" s="54"/>
      <c r="D3" s="54"/>
      <c r="E3" s="54">
        <v>1</v>
      </c>
      <c r="F3" s="65"/>
      <c r="G3" s="140"/>
    </row>
    <row r="4" spans="1:7" x14ac:dyDescent="0.25">
      <c r="A4" s="1" t="str">
        <f>Joints!A4</f>
        <v>Diverter</v>
      </c>
      <c r="B4" s="83">
        <v>1</v>
      </c>
      <c r="C4" s="54">
        <f>'Ref Stack-ups'!B3</f>
        <v>15</v>
      </c>
      <c r="D4" s="54"/>
      <c r="E4" s="54">
        <v>1</v>
      </c>
      <c r="F4" s="85">
        <v>0.25</v>
      </c>
      <c r="G4" s="140"/>
    </row>
    <row r="5" spans="1:7" x14ac:dyDescent="0.25">
      <c r="A5" s="88" t="s">
        <v>134</v>
      </c>
      <c r="B5" s="83">
        <v>1</v>
      </c>
      <c r="C5" s="83"/>
      <c r="D5" s="54"/>
      <c r="E5" s="54">
        <v>1</v>
      </c>
      <c r="G5" s="140"/>
    </row>
    <row r="6" spans="1:7" x14ac:dyDescent="0.25">
      <c r="A6" s="1" t="str">
        <f>Joints!A12</f>
        <v>15ft Pup Jt.</v>
      </c>
      <c r="B6" s="83">
        <v>1</v>
      </c>
      <c r="C6" s="54">
        <f>'Ref Stack-ups'!B5</f>
        <v>15</v>
      </c>
      <c r="D6" s="54"/>
      <c r="E6" s="54">
        <v>1</v>
      </c>
      <c r="F6" s="85">
        <v>1</v>
      </c>
      <c r="G6" s="140"/>
    </row>
    <row r="7" spans="1:7" x14ac:dyDescent="0.25">
      <c r="A7" s="1" t="str">
        <f>Joints!A17</f>
        <v>Inner Barrel</v>
      </c>
      <c r="B7" s="83">
        <v>1</v>
      </c>
      <c r="C7" s="54">
        <f>'Ref Stack-ups'!B6</f>
        <v>10</v>
      </c>
      <c r="D7" s="54"/>
      <c r="E7" s="54">
        <v>1</v>
      </c>
      <c r="F7" s="85">
        <v>1</v>
      </c>
      <c r="G7" s="140"/>
    </row>
    <row r="8" spans="1:7" x14ac:dyDescent="0.25">
      <c r="A8" s="1" t="s">
        <v>368</v>
      </c>
      <c r="B8" s="83">
        <v>1</v>
      </c>
      <c r="C8" s="54"/>
      <c r="D8" s="54"/>
      <c r="E8" s="54">
        <v>1</v>
      </c>
      <c r="G8" s="140"/>
    </row>
    <row r="9" spans="1:7" x14ac:dyDescent="0.25">
      <c r="A9" s="1" t="str">
        <f>Joints!A18</f>
        <v>Outer Barrel</v>
      </c>
      <c r="B9" s="83">
        <v>1</v>
      </c>
      <c r="C9" s="54">
        <f>'Ref Stack-ups'!B7</f>
        <v>60</v>
      </c>
      <c r="D9" s="54"/>
      <c r="E9" s="54">
        <v>1</v>
      </c>
      <c r="F9" s="85">
        <v>1</v>
      </c>
      <c r="G9" s="137">
        <v>1</v>
      </c>
    </row>
    <row r="10" spans="1:7" x14ac:dyDescent="0.25">
      <c r="A10" s="90" t="s">
        <v>145</v>
      </c>
      <c r="B10" s="91">
        <v>1</v>
      </c>
      <c r="C10" s="90"/>
      <c r="D10" s="91">
        <v>2500</v>
      </c>
      <c r="E10" s="90"/>
      <c r="G10" s="140"/>
    </row>
    <row r="11" spans="1:7" x14ac:dyDescent="0.25">
      <c r="A11" s="1" t="str">
        <f>Joints!A10</f>
        <v>5ft Pup Jt.</v>
      </c>
      <c r="B11" s="83">
        <v>1</v>
      </c>
      <c r="C11" s="54">
        <f>Joints!H10</f>
        <v>5</v>
      </c>
      <c r="D11" s="54"/>
      <c r="E11" s="83">
        <v>0</v>
      </c>
      <c r="F11" s="85">
        <v>1</v>
      </c>
      <c r="G11" s="140">
        <v>1</v>
      </c>
    </row>
    <row r="12" spans="1:7" x14ac:dyDescent="0.25">
      <c r="A12" s="1" t="str">
        <f>Joints!A11</f>
        <v>10ft Pup Jt.</v>
      </c>
      <c r="B12" s="83">
        <v>1</v>
      </c>
      <c r="C12" s="54">
        <f>Joints!H11</f>
        <v>10</v>
      </c>
      <c r="D12" s="54"/>
      <c r="E12" s="83">
        <f>'Ref Stack-ups'!E10</f>
        <v>1</v>
      </c>
      <c r="F12" s="85">
        <v>1</v>
      </c>
      <c r="G12" s="140">
        <v>1</v>
      </c>
    </row>
    <row r="13" spans="1:7" x14ac:dyDescent="0.25">
      <c r="A13" s="1" t="str">
        <f>Joints!A12</f>
        <v>15ft Pup Jt.</v>
      </c>
      <c r="B13" s="83">
        <v>1</v>
      </c>
      <c r="C13" s="54">
        <f>Joints!H12</f>
        <v>15</v>
      </c>
      <c r="D13" s="54"/>
      <c r="E13" s="83">
        <v>0</v>
      </c>
      <c r="F13" s="85">
        <v>1</v>
      </c>
      <c r="G13" s="140">
        <v>1</v>
      </c>
    </row>
    <row r="14" spans="1:7" x14ac:dyDescent="0.25">
      <c r="A14" s="1" t="str">
        <f>Joints!A13</f>
        <v>20ft Pup Jt.</v>
      </c>
      <c r="B14" s="83">
        <v>1</v>
      </c>
      <c r="C14" s="54">
        <f>Joints!H13</f>
        <v>20</v>
      </c>
      <c r="D14" s="54"/>
      <c r="E14" s="83">
        <f>'Ref Stack-ups'!E15</f>
        <v>1</v>
      </c>
      <c r="F14" s="85">
        <v>1</v>
      </c>
      <c r="G14" s="140">
        <v>1</v>
      </c>
    </row>
    <row r="15" spans="1:7" x14ac:dyDescent="0.25">
      <c r="A15" s="1" t="str">
        <f>Joints!A14</f>
        <v>25ft Pup Jt.</v>
      </c>
      <c r="B15" s="83">
        <v>1</v>
      </c>
      <c r="C15" s="54">
        <f>Joints!H14</f>
        <v>25</v>
      </c>
      <c r="D15" s="54"/>
      <c r="E15" s="83">
        <v>0</v>
      </c>
      <c r="F15" s="85">
        <v>1</v>
      </c>
      <c r="G15" s="140">
        <v>1</v>
      </c>
    </row>
    <row r="16" spans="1:7" x14ac:dyDescent="0.25">
      <c r="A16" s="1" t="str">
        <f>Joints!A15</f>
        <v>30ft Pup Jt.</v>
      </c>
      <c r="B16" s="83">
        <v>1</v>
      </c>
      <c r="C16" s="54">
        <f>Joints!H15</f>
        <v>30</v>
      </c>
      <c r="D16" s="54"/>
      <c r="E16" s="83">
        <v>0</v>
      </c>
      <c r="F16" s="85">
        <v>1</v>
      </c>
      <c r="G16" s="140">
        <v>1</v>
      </c>
    </row>
    <row r="17" spans="1:7" x14ac:dyDescent="0.25">
      <c r="A17" s="1" t="str">
        <f>Joints!A16</f>
        <v>40ft Pup Jt.</v>
      </c>
      <c r="B17" s="83">
        <v>1</v>
      </c>
      <c r="C17" s="54">
        <f>Joints!H16</f>
        <v>40</v>
      </c>
      <c r="D17" s="54"/>
      <c r="E17" s="83">
        <v>1</v>
      </c>
      <c r="F17" s="85">
        <v>1</v>
      </c>
      <c r="G17" s="140">
        <v>1</v>
      </c>
    </row>
    <row r="18" spans="1:7" x14ac:dyDescent="0.25">
      <c r="A18" s="1" t="str">
        <f>Joints!A5</f>
        <v>75ft Bare jt.  - protected</v>
      </c>
      <c r="B18" s="83">
        <v>1</v>
      </c>
      <c r="C18" s="54">
        <f>'Ref Stack-ups'!B16</f>
        <v>75</v>
      </c>
      <c r="D18" s="54"/>
      <c r="E18" s="83">
        <f>'Ref Stack-ups'!E16</f>
        <v>3</v>
      </c>
      <c r="F18" s="85">
        <v>1</v>
      </c>
      <c r="G18" s="140">
        <v>1</v>
      </c>
    </row>
    <row r="19" spans="1:7" x14ac:dyDescent="0.25">
      <c r="A19" s="1" t="str">
        <f>Joints!A6</f>
        <v>75ft Buoyancy Jt. 2500 ft rating</v>
      </c>
      <c r="B19" s="83">
        <v>1</v>
      </c>
      <c r="C19" s="54">
        <f>'Ref Stack-ups'!B17</f>
        <v>75</v>
      </c>
      <c r="D19" s="54"/>
      <c r="E19" s="83">
        <f>'Ref Stack-ups'!E17</f>
        <v>26</v>
      </c>
      <c r="F19" s="85">
        <v>1</v>
      </c>
      <c r="G19" s="140">
        <v>1</v>
      </c>
    </row>
    <row r="20" spans="1:7" x14ac:dyDescent="0.25">
      <c r="A20" s="1" t="str">
        <f>Joints!A7</f>
        <v>75ft Buoyancy Jt. 5000 ft rating</v>
      </c>
      <c r="B20" s="83">
        <v>1</v>
      </c>
      <c r="C20" s="54">
        <f>'Ref Stack-ups'!B18</f>
        <v>75</v>
      </c>
      <c r="D20" s="54"/>
      <c r="E20" s="83">
        <v>0</v>
      </c>
      <c r="F20" s="85">
        <v>1</v>
      </c>
      <c r="G20" s="140">
        <v>1</v>
      </c>
    </row>
    <row r="21" spans="1:7" x14ac:dyDescent="0.25">
      <c r="A21" s="1" t="str">
        <f>Joints!A8</f>
        <v>75ft Buoyancy Jt. 7500 ft rating</v>
      </c>
      <c r="B21" s="83">
        <v>1</v>
      </c>
      <c r="C21" s="54">
        <f>'Ref Stack-ups'!B19</f>
        <v>75</v>
      </c>
      <c r="D21" s="54"/>
      <c r="E21" s="83">
        <v>0</v>
      </c>
      <c r="F21" s="85">
        <v>1</v>
      </c>
      <c r="G21" s="140">
        <v>1</v>
      </c>
    </row>
    <row r="22" spans="1:7" x14ac:dyDescent="0.25">
      <c r="A22" s="1" t="str">
        <f>Joints!A9</f>
        <v>75ft Buoyancy Jt. 10000 ft rating</v>
      </c>
      <c r="B22" s="83">
        <v>1</v>
      </c>
      <c r="C22" s="54">
        <f>'Ref Stack-ups'!B20</f>
        <v>75</v>
      </c>
      <c r="D22" s="54"/>
      <c r="E22" s="83">
        <v>0</v>
      </c>
      <c r="F22" s="85">
        <v>1</v>
      </c>
      <c r="G22" s="140"/>
    </row>
    <row r="23" spans="1:7" x14ac:dyDescent="0.25">
      <c r="A23" s="1" t="str">
        <f>Joints!A5</f>
        <v>75ft Bare jt.  - protected</v>
      </c>
      <c r="B23" s="83">
        <v>1</v>
      </c>
      <c r="C23" s="54">
        <f>'Ref Stack-ups'!B21</f>
        <v>75</v>
      </c>
      <c r="D23" s="54"/>
      <c r="E23" s="83">
        <f>'Ref Stack-ups'!E21</f>
        <v>3</v>
      </c>
      <c r="F23" s="85">
        <v>1</v>
      </c>
      <c r="G23" s="140"/>
    </row>
    <row r="24" spans="1:7" x14ac:dyDescent="0.25">
      <c r="A24" s="88" t="s">
        <v>148</v>
      </c>
      <c r="B24" s="83">
        <v>1</v>
      </c>
      <c r="C24" s="83"/>
      <c r="D24" s="54"/>
      <c r="E24" s="54">
        <v>1</v>
      </c>
      <c r="G24" s="140"/>
    </row>
    <row r="25" spans="1:7" x14ac:dyDescent="0.25">
      <c r="A25" s="1" t="str">
        <f>Joints!A20</f>
        <v>LMRP</v>
      </c>
      <c r="B25" s="83">
        <v>1</v>
      </c>
      <c r="C25" s="54">
        <f>'Ref Stack-ups'!B23</f>
        <v>20</v>
      </c>
      <c r="D25" s="54"/>
      <c r="E25" s="54">
        <v>1</v>
      </c>
      <c r="F25" s="85">
        <v>0.25</v>
      </c>
      <c r="G25" s="140"/>
    </row>
    <row r="26" spans="1:7" x14ac:dyDescent="0.25">
      <c r="A26" s="1" t="str">
        <f>Joints!A21</f>
        <v>BOP</v>
      </c>
      <c r="B26" s="83">
        <v>1</v>
      </c>
      <c r="C26" s="54">
        <f>'Ref Stack-ups'!B24</f>
        <v>23</v>
      </c>
      <c r="D26" s="54"/>
      <c r="E26" s="54">
        <v>1</v>
      </c>
      <c r="F26" s="85">
        <v>0.25</v>
      </c>
      <c r="G26" s="140"/>
    </row>
    <row r="27" spans="1:7" x14ac:dyDescent="0.25">
      <c r="A27" s="1" t="s">
        <v>149</v>
      </c>
      <c r="B27" s="83">
        <v>1</v>
      </c>
      <c r="C27" s="54">
        <v>2</v>
      </c>
      <c r="D27" s="83">
        <v>5</v>
      </c>
      <c r="E27" s="54">
        <v>0</v>
      </c>
      <c r="G27" s="140"/>
    </row>
    <row r="28" spans="1:7" x14ac:dyDescent="0.25">
      <c r="A28" s="66" t="s">
        <v>155</v>
      </c>
      <c r="B28" s="94">
        <v>1</v>
      </c>
      <c r="C28" s="66"/>
      <c r="D28" s="66"/>
      <c r="E28" s="66"/>
    </row>
    <row r="29" spans="1:7" x14ac:dyDescent="0.25">
      <c r="A29" s="1" t="str">
        <f>Joints!A22</f>
        <v>30ft Casing Program 1</v>
      </c>
      <c r="B29" s="83">
        <v>1</v>
      </c>
      <c r="C29" s="87">
        <v>30</v>
      </c>
      <c r="D29" s="87"/>
      <c r="E29" s="87">
        <v>3</v>
      </c>
      <c r="F29" s="97">
        <v>0.25</v>
      </c>
    </row>
    <row r="30" spans="1:7" x14ac:dyDescent="0.25">
      <c r="A30" s="1" t="str">
        <f>Joints!A23</f>
        <v>30ft Casing Program 2</v>
      </c>
      <c r="B30" s="83">
        <v>1</v>
      </c>
      <c r="C30" s="87">
        <v>30</v>
      </c>
      <c r="D30" s="87"/>
      <c r="E30" s="87">
        <v>5</v>
      </c>
      <c r="F30" s="97">
        <v>0.25</v>
      </c>
    </row>
    <row r="31" spans="1:7" x14ac:dyDescent="0.25">
      <c r="A31" s="64"/>
      <c r="B31" s="65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4"/>
  <sheetViews>
    <sheetView workbookViewId="0">
      <selection activeCell="B18" sqref="B18"/>
    </sheetView>
  </sheetViews>
  <sheetFormatPr defaultRowHeight="15" x14ac:dyDescent="0.25"/>
  <cols>
    <col min="1" max="1" width="21" customWidth="1"/>
    <col min="2" max="2" width="22.42578125" customWidth="1"/>
    <col min="3" max="3" width="21.140625" customWidth="1"/>
    <col min="4" max="4" width="17.5703125" customWidth="1"/>
    <col min="5" max="5" width="19.5703125" customWidth="1"/>
  </cols>
  <sheetData>
    <row r="1" spans="1:2" x14ac:dyDescent="0.25">
      <c r="A1" s="40" t="s">
        <v>1</v>
      </c>
      <c r="B1" s="40" t="s">
        <v>4</v>
      </c>
    </row>
    <row r="2" spans="1:2" x14ac:dyDescent="0.25">
      <c r="A2" s="40"/>
      <c r="B2" s="40" t="s">
        <v>5</v>
      </c>
    </row>
    <row r="3" spans="1:2" x14ac:dyDescent="0.25">
      <c r="A3" s="40" t="s">
        <v>2</v>
      </c>
      <c r="B3" s="40">
        <v>28</v>
      </c>
    </row>
    <row r="4" spans="1:2" x14ac:dyDescent="0.25">
      <c r="A4" s="40" t="s">
        <v>3</v>
      </c>
      <c r="B4" s="40">
        <v>130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15"/>
  <sheetViews>
    <sheetView zoomScale="115" zoomScaleNormal="115" workbookViewId="0"/>
  </sheetViews>
  <sheetFormatPr defaultRowHeight="15" x14ac:dyDescent="0.25"/>
  <cols>
    <col min="1" max="1" width="18.85546875" customWidth="1"/>
    <col min="3" max="3" width="10.28515625" customWidth="1"/>
  </cols>
  <sheetData>
    <row r="1" spans="1:5" ht="60" x14ac:dyDescent="0.25">
      <c r="A1" s="51" t="s">
        <v>120</v>
      </c>
      <c r="B1" s="51" t="s">
        <v>121</v>
      </c>
      <c r="C1" s="52" t="s">
        <v>122</v>
      </c>
      <c r="D1" s="52" t="s">
        <v>118</v>
      </c>
      <c r="E1" t="s">
        <v>117</v>
      </c>
    </row>
    <row r="2" spans="1:5" ht="30" x14ac:dyDescent="0.25">
      <c r="A2" s="53" t="s">
        <v>157</v>
      </c>
      <c r="B2" s="68">
        <v>0</v>
      </c>
      <c r="C2" s="55">
        <f t="shared" ref="C2:C9" si="0">D2^(1/3)</f>
        <v>1</v>
      </c>
      <c r="D2" s="55">
        <v>1</v>
      </c>
      <c r="E2" s="50">
        <v>1.58E-3</v>
      </c>
    </row>
    <row r="3" spans="1:5" x14ac:dyDescent="0.25">
      <c r="A3" s="1"/>
      <c r="B3" s="68">
        <v>0.3</v>
      </c>
      <c r="C3" s="55">
        <f t="shared" si="0"/>
        <v>0.49957770250179001</v>
      </c>
      <c r="D3" s="55">
        <f>E3/$E$2</f>
        <v>0.12468354430379747</v>
      </c>
      <c r="E3" s="50">
        <v>1.9699999999999999E-4</v>
      </c>
    </row>
    <row r="4" spans="1:5" x14ac:dyDescent="0.25">
      <c r="A4" s="1"/>
      <c r="B4" s="68">
        <v>0.5</v>
      </c>
      <c r="C4" s="55">
        <f t="shared" si="0"/>
        <v>0.44044555069881813</v>
      </c>
      <c r="D4" s="55">
        <f>E4/$E$2</f>
        <v>8.5443037974683542E-2</v>
      </c>
      <c r="E4" s="50">
        <v>1.35E-4</v>
      </c>
    </row>
    <row r="5" spans="1:5" x14ac:dyDescent="0.25">
      <c r="A5" s="1"/>
      <c r="B5" s="68">
        <v>1</v>
      </c>
      <c r="C5" s="55">
        <f t="shared" si="0"/>
        <v>0.3302314208613264</v>
      </c>
      <c r="D5" s="55">
        <f>E5/$E$2</f>
        <v>3.6012658227848104E-2</v>
      </c>
      <c r="E5" s="50">
        <v>5.6900000000000001E-5</v>
      </c>
    </row>
    <row r="6" spans="1:5" x14ac:dyDescent="0.25">
      <c r="A6" s="1" t="s">
        <v>119</v>
      </c>
      <c r="B6" s="67">
        <v>0.7</v>
      </c>
      <c r="C6" s="55">
        <f t="shared" si="0"/>
        <v>1</v>
      </c>
      <c r="D6" s="55">
        <f>E6/$E$6</f>
        <v>1</v>
      </c>
      <c r="E6" s="50">
        <v>1.58E-3</v>
      </c>
    </row>
    <row r="7" spans="1:5" x14ac:dyDescent="0.25">
      <c r="A7" s="1"/>
      <c r="B7" s="67">
        <v>0.8</v>
      </c>
      <c r="C7" s="55">
        <f t="shared" si="0"/>
        <v>0.94891117349573062</v>
      </c>
      <c r="D7" s="55">
        <f>E7/$E$6</f>
        <v>0.85443037974683544</v>
      </c>
      <c r="E7" s="50">
        <v>1.3500000000000001E-3</v>
      </c>
    </row>
    <row r="8" spans="1:5" x14ac:dyDescent="0.25">
      <c r="A8" s="1"/>
      <c r="B8" s="67">
        <v>0.9</v>
      </c>
      <c r="C8" s="55">
        <f t="shared" si="0"/>
        <v>0.90471041847123057</v>
      </c>
      <c r="D8" s="55">
        <f>E8/$E$6</f>
        <v>0.74050632911392411</v>
      </c>
      <c r="E8" s="50">
        <v>1.17E-3</v>
      </c>
    </row>
    <row r="9" spans="1:5" x14ac:dyDescent="0.25">
      <c r="A9" s="1"/>
      <c r="B9" s="67">
        <v>1</v>
      </c>
      <c r="C9" s="55">
        <f t="shared" si="0"/>
        <v>0.86426653060979453</v>
      </c>
      <c r="D9" s="55">
        <f>E9/$E$6</f>
        <v>0.64556962025316456</v>
      </c>
      <c r="E9" s="50">
        <v>1.0200000000000001E-3</v>
      </c>
    </row>
    <row r="10" spans="1:5" x14ac:dyDescent="0.25">
      <c r="A10" s="1" t="s">
        <v>158</v>
      </c>
      <c r="B10" s="67">
        <v>0</v>
      </c>
      <c r="C10" s="55">
        <f t="shared" ref="C10:C15" si="1">D10^(1/3)</f>
        <v>1</v>
      </c>
      <c r="D10" s="55">
        <f>E10/$E$10</f>
        <v>1</v>
      </c>
      <c r="E10" s="50">
        <v>3.5799999999999998E-3</v>
      </c>
    </row>
    <row r="11" spans="1:5" x14ac:dyDescent="0.25">
      <c r="A11" s="1"/>
      <c r="B11" s="67">
        <v>0.08</v>
      </c>
      <c r="C11" s="55">
        <f t="shared" si="1"/>
        <v>0.76136227400309464</v>
      </c>
      <c r="D11" s="55">
        <f>E11/$E$10</f>
        <v>0.44134078212290506</v>
      </c>
      <c r="E11" s="50">
        <v>1.58E-3</v>
      </c>
    </row>
    <row r="12" spans="1:5" x14ac:dyDescent="0.25">
      <c r="A12" s="1"/>
      <c r="B12" s="67">
        <v>0.2</v>
      </c>
      <c r="C12" s="55">
        <f t="shared" si="1"/>
        <v>0.25746570872685187</v>
      </c>
      <c r="D12" s="55">
        <f>E12/$E$10</f>
        <v>1.7067039106145251E-2</v>
      </c>
      <c r="E12" s="50">
        <v>6.1099999999999994E-5</v>
      </c>
    </row>
    <row r="13" spans="1:5" x14ac:dyDescent="0.25">
      <c r="A13" s="1" t="s">
        <v>159</v>
      </c>
      <c r="B13" s="69">
        <v>12.7</v>
      </c>
      <c r="C13" s="55">
        <f t="shared" si="1"/>
        <v>1</v>
      </c>
      <c r="D13" s="55">
        <f>E13/$E$13</f>
        <v>1</v>
      </c>
      <c r="E13" s="50">
        <v>1.58E-3</v>
      </c>
    </row>
    <row r="14" spans="1:5" x14ac:dyDescent="0.25">
      <c r="A14" s="1"/>
      <c r="B14" s="69">
        <v>14</v>
      </c>
      <c r="C14" s="55">
        <f t="shared" si="1"/>
        <v>0.99363040041916673</v>
      </c>
      <c r="D14" s="55">
        <f>E14/$E$13</f>
        <v>0.981012658227848</v>
      </c>
      <c r="E14" s="50">
        <v>1.5499999999999999E-3</v>
      </c>
    </row>
    <row r="15" spans="1:5" x14ac:dyDescent="0.25">
      <c r="A15" s="1"/>
      <c r="B15" s="69">
        <v>16</v>
      </c>
      <c r="C15" s="55">
        <f t="shared" si="1"/>
        <v>1</v>
      </c>
      <c r="D15" s="55">
        <f>E15/$E$13</f>
        <v>1</v>
      </c>
      <c r="E15" s="50">
        <v>1.58E-3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3:A8"/>
  <sheetViews>
    <sheetView workbookViewId="0">
      <selection activeCell="H22" sqref="H22"/>
    </sheetView>
  </sheetViews>
  <sheetFormatPr defaultRowHeight="15" x14ac:dyDescent="0.25"/>
  <sheetData>
    <row r="3" spans="1:1" x14ac:dyDescent="0.25">
      <c r="A3" t="s">
        <v>400</v>
      </c>
    </row>
    <row r="4" spans="1:1" x14ac:dyDescent="0.25">
      <c r="A4" t="s">
        <v>401</v>
      </c>
    </row>
    <row r="5" spans="1:1" x14ac:dyDescent="0.25">
      <c r="A5" t="s">
        <v>402</v>
      </c>
    </row>
    <row r="6" spans="1:1" x14ac:dyDescent="0.25">
      <c r="A6" t="s">
        <v>403</v>
      </c>
    </row>
    <row r="7" spans="1:1" x14ac:dyDescent="0.25">
      <c r="A7" t="s">
        <v>404</v>
      </c>
    </row>
    <row r="8" spans="1:1" x14ac:dyDescent="0.25">
      <c r="A8" t="s">
        <v>405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85" zoomScaleNormal="85" workbookViewId="0">
      <selection activeCell="D11" sqref="D11"/>
    </sheetView>
  </sheetViews>
  <sheetFormatPr defaultRowHeight="15" x14ac:dyDescent="0.25"/>
  <cols>
    <col min="1" max="1" width="33.7109375" customWidth="1"/>
    <col min="2" max="2" width="18.42578125" customWidth="1"/>
    <col min="3" max="5" width="15" customWidth="1"/>
    <col min="6" max="6" width="13.140625" style="85" customWidth="1"/>
    <col min="7" max="16384" width="9.140625" style="85"/>
  </cols>
  <sheetData>
    <row r="1" spans="1:7" ht="30" customHeight="1" x14ac:dyDescent="0.25">
      <c r="A1" s="51" t="s">
        <v>137</v>
      </c>
      <c r="B1" s="51" t="s">
        <v>258</v>
      </c>
      <c r="C1" s="52" t="s">
        <v>241</v>
      </c>
      <c r="D1" s="52" t="s">
        <v>364</v>
      </c>
      <c r="E1" s="52" t="s">
        <v>242</v>
      </c>
      <c r="F1" s="58" t="s">
        <v>268</v>
      </c>
      <c r="G1" s="138" t="s">
        <v>371</v>
      </c>
    </row>
    <row r="2" spans="1:7" x14ac:dyDescent="0.25">
      <c r="A2" s="51"/>
      <c r="B2" s="51"/>
      <c r="C2" s="1" t="s">
        <v>91</v>
      </c>
      <c r="D2" s="1" t="s">
        <v>91</v>
      </c>
      <c r="E2" s="1" t="s">
        <v>90</v>
      </c>
      <c r="F2" s="64" t="s">
        <v>174</v>
      </c>
      <c r="G2" s="136" t="s">
        <v>372</v>
      </c>
    </row>
    <row r="3" spans="1:7" ht="16.5" customHeight="1" x14ac:dyDescent="0.25">
      <c r="A3" s="135" t="s">
        <v>369</v>
      </c>
      <c r="B3" s="83">
        <v>1</v>
      </c>
      <c r="C3" s="54"/>
      <c r="D3" s="54"/>
      <c r="E3" s="54">
        <v>1</v>
      </c>
      <c r="F3" s="65"/>
      <c r="G3" s="140"/>
    </row>
    <row r="4" spans="1:7" x14ac:dyDescent="0.25">
      <c r="A4" s="1" t="str">
        <f>Joints!A4</f>
        <v>Diverter</v>
      </c>
      <c r="B4" s="83">
        <v>1</v>
      </c>
      <c r="C4" s="54">
        <f>'Ref Stack-ups'!B3</f>
        <v>15</v>
      </c>
      <c r="D4" s="54"/>
      <c r="E4" s="54">
        <v>1</v>
      </c>
      <c r="F4" s="85">
        <v>0.25</v>
      </c>
      <c r="G4" s="140"/>
    </row>
    <row r="5" spans="1:7" x14ac:dyDescent="0.25">
      <c r="A5" s="88" t="s">
        <v>134</v>
      </c>
      <c r="B5" s="83">
        <v>1</v>
      </c>
      <c r="C5" s="83"/>
      <c r="D5" s="54"/>
      <c r="E5" s="54">
        <v>1</v>
      </c>
      <c r="G5" s="140"/>
    </row>
    <row r="6" spans="1:7" x14ac:dyDescent="0.25">
      <c r="A6" s="1" t="str">
        <f>Joints!A12</f>
        <v>15ft Pup Jt.</v>
      </c>
      <c r="B6" s="83">
        <v>1</v>
      </c>
      <c r="C6" s="54">
        <f>'Ref Stack-ups'!B5</f>
        <v>15</v>
      </c>
      <c r="D6" s="54"/>
      <c r="E6" s="54">
        <v>1</v>
      </c>
      <c r="F6" s="85">
        <v>1</v>
      </c>
      <c r="G6" s="140"/>
    </row>
    <row r="7" spans="1:7" x14ac:dyDescent="0.25">
      <c r="A7" s="1" t="str">
        <f>Joints!A17</f>
        <v>Inner Barrel</v>
      </c>
      <c r="B7" s="83">
        <v>1</v>
      </c>
      <c r="C7" s="54">
        <f>'Ref Stack-ups'!B6</f>
        <v>10</v>
      </c>
      <c r="D7" s="54"/>
      <c r="E7" s="54">
        <v>1</v>
      </c>
      <c r="F7" s="85">
        <v>1</v>
      </c>
      <c r="G7" s="140"/>
    </row>
    <row r="8" spans="1:7" x14ac:dyDescent="0.25">
      <c r="A8" s="1" t="s">
        <v>368</v>
      </c>
      <c r="B8" s="83">
        <v>1</v>
      </c>
      <c r="C8" s="54"/>
      <c r="D8" s="54"/>
      <c r="E8" s="54">
        <v>1</v>
      </c>
      <c r="G8" s="140"/>
    </row>
    <row r="9" spans="1:7" x14ac:dyDescent="0.25">
      <c r="A9" s="1" t="str">
        <f>Joints!A18</f>
        <v>Outer Barrel</v>
      </c>
      <c r="B9" s="83">
        <v>1</v>
      </c>
      <c r="C9" s="54">
        <f>'Ref Stack-ups'!B7</f>
        <v>60</v>
      </c>
      <c r="D9" s="54"/>
      <c r="E9" s="54">
        <v>1</v>
      </c>
      <c r="F9" s="85">
        <v>1</v>
      </c>
      <c r="G9" s="137">
        <v>1</v>
      </c>
    </row>
    <row r="10" spans="1:7" x14ac:dyDescent="0.25">
      <c r="A10" s="90" t="s">
        <v>145</v>
      </c>
      <c r="B10" s="91">
        <v>1</v>
      </c>
      <c r="C10" s="90"/>
      <c r="D10" s="91">
        <v>5000</v>
      </c>
      <c r="E10" s="90"/>
      <c r="G10" s="140"/>
    </row>
    <row r="11" spans="1:7" x14ac:dyDescent="0.25">
      <c r="A11" s="1" t="str">
        <f>Joints!A10</f>
        <v>5ft Pup Jt.</v>
      </c>
      <c r="B11" s="83">
        <v>1</v>
      </c>
      <c r="C11" s="54">
        <f>Joints!H10</f>
        <v>5</v>
      </c>
      <c r="D11" s="54"/>
      <c r="E11" s="83">
        <f>'Ref Stack-ups'!F9</f>
        <v>0</v>
      </c>
      <c r="F11" s="85">
        <v>1</v>
      </c>
      <c r="G11" s="140">
        <v>1</v>
      </c>
    </row>
    <row r="12" spans="1:7" x14ac:dyDescent="0.25">
      <c r="A12" s="1" t="str">
        <f>Joints!A11</f>
        <v>10ft Pup Jt.</v>
      </c>
      <c r="B12" s="83">
        <v>1</v>
      </c>
      <c r="C12" s="54">
        <f>Joints!H11</f>
        <v>10</v>
      </c>
      <c r="D12" s="54"/>
      <c r="E12" s="83">
        <f>'Ref Stack-ups'!F10</f>
        <v>0</v>
      </c>
      <c r="F12" s="85">
        <v>1</v>
      </c>
      <c r="G12" s="140">
        <v>1</v>
      </c>
    </row>
    <row r="13" spans="1:7" x14ac:dyDescent="0.25">
      <c r="A13" s="1" t="str">
        <f>Joints!A12</f>
        <v>15ft Pup Jt.</v>
      </c>
      <c r="B13" s="83">
        <v>1</v>
      </c>
      <c r="C13" s="54">
        <f>Joints!H12</f>
        <v>15</v>
      </c>
      <c r="D13" s="54"/>
      <c r="E13" s="83">
        <f>'Ref Stack-ups'!F11</f>
        <v>0</v>
      </c>
      <c r="F13" s="85">
        <v>1</v>
      </c>
      <c r="G13" s="140">
        <v>1</v>
      </c>
    </row>
    <row r="14" spans="1:7" x14ac:dyDescent="0.25">
      <c r="A14" s="1" t="str">
        <f>Joints!A13</f>
        <v>20ft Pup Jt.</v>
      </c>
      <c r="B14" s="83">
        <v>1</v>
      </c>
      <c r="C14" s="54">
        <f>Joints!H13</f>
        <v>20</v>
      </c>
      <c r="D14" s="54"/>
      <c r="E14" s="83">
        <f>'Ref Stack-ups'!F12</f>
        <v>0</v>
      </c>
      <c r="F14" s="85">
        <v>1</v>
      </c>
      <c r="G14" s="140">
        <v>1</v>
      </c>
    </row>
    <row r="15" spans="1:7" x14ac:dyDescent="0.25">
      <c r="A15" s="1" t="str">
        <f>Joints!A14</f>
        <v>25ft Pup Jt.</v>
      </c>
      <c r="B15" s="83">
        <v>1</v>
      </c>
      <c r="C15" s="54">
        <f>Joints!H14</f>
        <v>25</v>
      </c>
      <c r="D15" s="54"/>
      <c r="E15" s="83">
        <f>'Ref Stack-ups'!F13</f>
        <v>0</v>
      </c>
      <c r="F15" s="85">
        <v>1</v>
      </c>
      <c r="G15" s="140">
        <v>1</v>
      </c>
    </row>
    <row r="16" spans="1:7" x14ac:dyDescent="0.25">
      <c r="A16" s="1" t="str">
        <f>Joints!A15</f>
        <v>30ft Pup Jt.</v>
      </c>
      <c r="B16" s="83">
        <v>1</v>
      </c>
      <c r="C16" s="54">
        <f>Joints!H15</f>
        <v>30</v>
      </c>
      <c r="D16" s="54"/>
      <c r="E16" s="83">
        <f>'Ref Stack-ups'!F14</f>
        <v>0</v>
      </c>
      <c r="F16" s="85">
        <v>1</v>
      </c>
      <c r="G16" s="140">
        <v>1</v>
      </c>
    </row>
    <row r="17" spans="1:7" x14ac:dyDescent="0.25">
      <c r="A17" s="1" t="str">
        <f>Joints!A16</f>
        <v>40ft Pup Jt.</v>
      </c>
      <c r="B17" s="83">
        <v>1</v>
      </c>
      <c r="C17" s="54">
        <f>Joints!H16</f>
        <v>40</v>
      </c>
      <c r="D17" s="54"/>
      <c r="E17" s="83">
        <f>'Ref Stack-ups'!F15</f>
        <v>0</v>
      </c>
      <c r="F17" s="85">
        <v>1</v>
      </c>
      <c r="G17" s="140">
        <v>1</v>
      </c>
    </row>
    <row r="18" spans="1:7" x14ac:dyDescent="0.25">
      <c r="A18" s="1" t="str">
        <f>Joints!A5</f>
        <v>75ft Bare jt.  - protected</v>
      </c>
      <c r="B18" s="83">
        <v>1</v>
      </c>
      <c r="C18" s="54">
        <f>'Ref Stack-ups'!B16</f>
        <v>75</v>
      </c>
      <c r="D18" s="54"/>
      <c r="E18" s="83">
        <f>'Ref Stack-ups'!F16</f>
        <v>3</v>
      </c>
      <c r="F18" s="85">
        <v>1</v>
      </c>
      <c r="G18" s="140">
        <v>1</v>
      </c>
    </row>
    <row r="19" spans="1:7" x14ac:dyDescent="0.25">
      <c r="A19" s="1" t="str">
        <f>Joints!A6</f>
        <v>75ft Buoyancy Jt. 2500 ft rating</v>
      </c>
      <c r="B19" s="83">
        <v>1</v>
      </c>
      <c r="C19" s="54">
        <f>'Ref Stack-ups'!B17</f>
        <v>75</v>
      </c>
      <c r="D19" s="54"/>
      <c r="E19" s="83">
        <f>'Ref Stack-ups'!F17</f>
        <v>32</v>
      </c>
      <c r="F19" s="85">
        <v>1</v>
      </c>
      <c r="G19" s="140">
        <v>1</v>
      </c>
    </row>
    <row r="20" spans="1:7" x14ac:dyDescent="0.25">
      <c r="A20" s="1" t="str">
        <f>Joints!A7</f>
        <v>75ft Buoyancy Jt. 5000 ft rating</v>
      </c>
      <c r="B20" s="83">
        <v>1</v>
      </c>
      <c r="C20" s="54">
        <f>'Ref Stack-ups'!B18</f>
        <v>75</v>
      </c>
      <c r="D20" s="54"/>
      <c r="E20" s="83">
        <f>'Ref Stack-ups'!F18</f>
        <v>28</v>
      </c>
      <c r="F20" s="85">
        <v>1</v>
      </c>
      <c r="G20" s="140">
        <v>1</v>
      </c>
    </row>
    <row r="21" spans="1:7" x14ac:dyDescent="0.25">
      <c r="A21" s="1" t="str">
        <f>Joints!A8</f>
        <v>75ft Buoyancy Jt. 7500 ft rating</v>
      </c>
      <c r="B21" s="83">
        <v>1</v>
      </c>
      <c r="C21" s="54">
        <f>'Ref Stack-ups'!B19</f>
        <v>75</v>
      </c>
      <c r="D21" s="54"/>
      <c r="E21" s="83">
        <f>'Ref Stack-ups'!F19</f>
        <v>0</v>
      </c>
      <c r="F21" s="85">
        <v>1</v>
      </c>
      <c r="G21" s="140">
        <v>1</v>
      </c>
    </row>
    <row r="22" spans="1:7" x14ac:dyDescent="0.25">
      <c r="A22" s="1" t="str">
        <f>Joints!A9</f>
        <v>75ft Buoyancy Jt. 10000 ft rating</v>
      </c>
      <c r="B22" s="83">
        <v>1</v>
      </c>
      <c r="C22" s="54">
        <f>'Ref Stack-ups'!B20</f>
        <v>75</v>
      </c>
      <c r="D22" s="54"/>
      <c r="E22" s="83">
        <f>'Ref Stack-ups'!F20</f>
        <v>0</v>
      </c>
      <c r="F22" s="85">
        <v>1</v>
      </c>
      <c r="G22" s="140"/>
    </row>
    <row r="23" spans="1:7" x14ac:dyDescent="0.25">
      <c r="A23" s="1" t="str">
        <f>Joints!A5</f>
        <v>75ft Bare jt.  - protected</v>
      </c>
      <c r="B23" s="83">
        <v>1</v>
      </c>
      <c r="C23" s="54">
        <f>'Ref Stack-ups'!B21</f>
        <v>75</v>
      </c>
      <c r="D23" s="54"/>
      <c r="E23" s="83">
        <f>'Ref Stack-ups'!F21</f>
        <v>3</v>
      </c>
      <c r="F23" s="85">
        <v>1</v>
      </c>
      <c r="G23" s="140"/>
    </row>
    <row r="24" spans="1:7" x14ac:dyDescent="0.25">
      <c r="A24" s="88" t="s">
        <v>148</v>
      </c>
      <c r="B24" s="83">
        <v>1</v>
      </c>
      <c r="C24" s="83"/>
      <c r="D24" s="54"/>
      <c r="E24" s="54">
        <v>1</v>
      </c>
      <c r="G24" s="140"/>
    </row>
    <row r="25" spans="1:7" x14ac:dyDescent="0.25">
      <c r="A25" s="1" t="str">
        <f>Joints!A20</f>
        <v>LMRP</v>
      </c>
      <c r="B25" s="83">
        <v>1</v>
      </c>
      <c r="C25" s="54">
        <f>'Ref Stack-ups'!B23</f>
        <v>20</v>
      </c>
      <c r="D25" s="54"/>
      <c r="E25" s="54">
        <v>1</v>
      </c>
      <c r="F25" s="85">
        <v>0.25</v>
      </c>
      <c r="G25" s="140"/>
    </row>
    <row r="26" spans="1:7" x14ac:dyDescent="0.25">
      <c r="A26" s="1" t="str">
        <f>Joints!A21</f>
        <v>BOP</v>
      </c>
      <c r="B26" s="83">
        <v>1</v>
      </c>
      <c r="C26" s="54">
        <f>'Ref Stack-ups'!B24</f>
        <v>23</v>
      </c>
      <c r="D26" s="54"/>
      <c r="E26" s="54">
        <v>1</v>
      </c>
      <c r="F26" s="85">
        <v>0.25</v>
      </c>
      <c r="G26" s="140"/>
    </row>
    <row r="27" spans="1:7" x14ac:dyDescent="0.25">
      <c r="A27" s="1" t="s">
        <v>149</v>
      </c>
      <c r="B27" s="83">
        <v>1</v>
      </c>
      <c r="C27" s="54">
        <v>2</v>
      </c>
      <c r="D27" s="83">
        <v>5</v>
      </c>
      <c r="E27" s="54">
        <v>0</v>
      </c>
      <c r="G27" s="140"/>
    </row>
    <row r="28" spans="1:7" x14ac:dyDescent="0.25">
      <c r="A28" s="66" t="s">
        <v>155</v>
      </c>
      <c r="B28" s="94">
        <v>1</v>
      </c>
      <c r="C28" s="66"/>
      <c r="D28" s="66"/>
      <c r="E28" s="66"/>
    </row>
    <row r="29" spans="1:7" x14ac:dyDescent="0.25">
      <c r="A29" s="1" t="str">
        <f>Joints!A22</f>
        <v>30ft Casing Program 1</v>
      </c>
      <c r="B29" s="83">
        <v>1</v>
      </c>
      <c r="C29" s="87">
        <v>30</v>
      </c>
      <c r="D29" s="87"/>
      <c r="E29" s="87">
        <v>3</v>
      </c>
      <c r="F29" s="97">
        <v>0.25</v>
      </c>
    </row>
    <row r="30" spans="1:7" x14ac:dyDescent="0.25">
      <c r="A30" s="1" t="str">
        <f>Joints!A23</f>
        <v>30ft Casing Program 2</v>
      </c>
      <c r="B30" s="83">
        <v>1</v>
      </c>
      <c r="C30" s="87">
        <v>30</v>
      </c>
      <c r="D30" s="87"/>
      <c r="E30" s="87">
        <v>5</v>
      </c>
      <c r="F30" s="97">
        <v>0.25</v>
      </c>
    </row>
    <row r="31" spans="1:7" x14ac:dyDescent="0.25">
      <c r="A31" s="64"/>
      <c r="B31" s="6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85" zoomScaleNormal="85" workbookViewId="0">
      <selection activeCell="D10" sqref="D10"/>
    </sheetView>
  </sheetViews>
  <sheetFormatPr defaultRowHeight="15" x14ac:dyDescent="0.25"/>
  <cols>
    <col min="1" max="1" width="33.7109375" customWidth="1"/>
    <col min="2" max="2" width="18.42578125" customWidth="1"/>
    <col min="3" max="5" width="15" customWidth="1"/>
    <col min="6" max="6" width="13.140625" style="85" customWidth="1"/>
    <col min="7" max="16384" width="9.140625" style="85"/>
  </cols>
  <sheetData>
    <row r="1" spans="1:7" ht="30" customHeight="1" x14ac:dyDescent="0.25">
      <c r="A1" s="51" t="s">
        <v>137</v>
      </c>
      <c r="B1" s="51" t="s">
        <v>258</v>
      </c>
      <c r="C1" s="52" t="s">
        <v>241</v>
      </c>
      <c r="D1" s="52" t="s">
        <v>364</v>
      </c>
      <c r="E1" s="52" t="s">
        <v>242</v>
      </c>
      <c r="F1" s="58" t="s">
        <v>268</v>
      </c>
      <c r="G1" s="138" t="s">
        <v>371</v>
      </c>
    </row>
    <row r="2" spans="1:7" x14ac:dyDescent="0.25">
      <c r="A2" s="51"/>
      <c r="B2" s="51"/>
      <c r="C2" s="1" t="s">
        <v>91</v>
      </c>
      <c r="D2" s="1" t="s">
        <v>91</v>
      </c>
      <c r="E2" s="1" t="s">
        <v>90</v>
      </c>
      <c r="F2" s="64" t="s">
        <v>174</v>
      </c>
      <c r="G2" s="136" t="s">
        <v>372</v>
      </c>
    </row>
    <row r="3" spans="1:7" ht="16.5" customHeight="1" x14ac:dyDescent="0.25">
      <c r="A3" s="135" t="s">
        <v>369</v>
      </c>
      <c r="B3" s="83">
        <v>1</v>
      </c>
      <c r="C3" s="54"/>
      <c r="D3" s="54"/>
      <c r="E3" s="54">
        <v>1</v>
      </c>
      <c r="F3" s="65"/>
      <c r="G3" s="140"/>
    </row>
    <row r="4" spans="1:7" x14ac:dyDescent="0.25">
      <c r="A4" s="1" t="str">
        <f>Joints!A4</f>
        <v>Diverter</v>
      </c>
      <c r="B4" s="83">
        <v>1</v>
      </c>
      <c r="C4" s="54">
        <f>'Ref Stack-ups'!B3</f>
        <v>15</v>
      </c>
      <c r="D4" s="54"/>
      <c r="E4" s="54">
        <v>1</v>
      </c>
      <c r="F4" s="85">
        <v>0.25</v>
      </c>
      <c r="G4" s="140"/>
    </row>
    <row r="5" spans="1:7" x14ac:dyDescent="0.25">
      <c r="A5" s="88" t="s">
        <v>134</v>
      </c>
      <c r="B5" s="83">
        <v>1</v>
      </c>
      <c r="C5" s="83"/>
      <c r="D5" s="54"/>
      <c r="E5" s="54">
        <v>1</v>
      </c>
      <c r="G5" s="140"/>
    </row>
    <row r="6" spans="1:7" x14ac:dyDescent="0.25">
      <c r="A6" s="1" t="str">
        <f>Joints!A12</f>
        <v>15ft Pup Jt.</v>
      </c>
      <c r="B6" s="83">
        <v>1</v>
      </c>
      <c r="C6" s="54">
        <f>'Ref Stack-ups'!B5</f>
        <v>15</v>
      </c>
      <c r="D6" s="54"/>
      <c r="E6" s="54">
        <v>1</v>
      </c>
      <c r="F6" s="85">
        <v>1</v>
      </c>
      <c r="G6" s="140"/>
    </row>
    <row r="7" spans="1:7" x14ac:dyDescent="0.25">
      <c r="A7" s="1" t="str">
        <f>Joints!A17</f>
        <v>Inner Barrel</v>
      </c>
      <c r="B7" s="83">
        <v>1</v>
      </c>
      <c r="C7" s="54">
        <f>'Ref Stack-ups'!B6</f>
        <v>10</v>
      </c>
      <c r="D7" s="54"/>
      <c r="E7" s="54">
        <v>1</v>
      </c>
      <c r="F7" s="85">
        <v>1</v>
      </c>
      <c r="G7" s="140"/>
    </row>
    <row r="8" spans="1:7" x14ac:dyDescent="0.25">
      <c r="A8" s="1" t="s">
        <v>368</v>
      </c>
      <c r="B8" s="83">
        <v>1</v>
      </c>
      <c r="C8" s="54"/>
      <c r="D8" s="54"/>
      <c r="E8" s="54">
        <v>1</v>
      </c>
      <c r="G8" s="140"/>
    </row>
    <row r="9" spans="1:7" x14ac:dyDescent="0.25">
      <c r="A9" s="1" t="str">
        <f>Joints!A18</f>
        <v>Outer Barrel</v>
      </c>
      <c r="B9" s="83">
        <v>1</v>
      </c>
      <c r="C9" s="54">
        <f>'Ref Stack-ups'!B7</f>
        <v>60</v>
      </c>
      <c r="D9" s="54"/>
      <c r="E9" s="54">
        <v>1</v>
      </c>
      <c r="F9" s="85">
        <v>1</v>
      </c>
      <c r="G9" s="137">
        <v>1</v>
      </c>
    </row>
    <row r="10" spans="1:7" x14ac:dyDescent="0.25">
      <c r="A10" s="90" t="s">
        <v>145</v>
      </c>
      <c r="B10" s="91">
        <v>1</v>
      </c>
      <c r="C10" s="90"/>
      <c r="D10" s="91">
        <v>8000</v>
      </c>
      <c r="E10" s="90"/>
      <c r="G10" s="140"/>
    </row>
    <row r="11" spans="1:7" x14ac:dyDescent="0.25">
      <c r="A11" s="1" t="str">
        <f>Joints!A10</f>
        <v>5ft Pup Jt.</v>
      </c>
      <c r="B11" s="83">
        <v>1</v>
      </c>
      <c r="C11" s="54">
        <f>Joints!H10</f>
        <v>5</v>
      </c>
      <c r="D11" s="54"/>
      <c r="E11" s="83">
        <f>'Ref Stack-ups'!G9</f>
        <v>0</v>
      </c>
      <c r="F11" s="85">
        <v>1</v>
      </c>
      <c r="G11" s="140">
        <v>1</v>
      </c>
    </row>
    <row r="12" spans="1:7" x14ac:dyDescent="0.25">
      <c r="A12" s="1" t="str">
        <f>Joints!A11</f>
        <v>10ft Pup Jt.</v>
      </c>
      <c r="B12" s="83">
        <v>1</v>
      </c>
      <c r="C12" s="54">
        <f>Joints!H11</f>
        <v>10</v>
      </c>
      <c r="D12" s="54"/>
      <c r="E12" s="83">
        <f>'Ref Stack-ups'!G10</f>
        <v>0</v>
      </c>
      <c r="F12" s="85">
        <v>1</v>
      </c>
      <c r="G12" s="140">
        <v>1</v>
      </c>
    </row>
    <row r="13" spans="1:7" x14ac:dyDescent="0.25">
      <c r="A13" s="1" t="str">
        <f>Joints!A12</f>
        <v>15ft Pup Jt.</v>
      </c>
      <c r="B13" s="83">
        <v>1</v>
      </c>
      <c r="C13" s="54">
        <f>Joints!H12</f>
        <v>15</v>
      </c>
      <c r="D13" s="54"/>
      <c r="E13" s="83">
        <f>'Ref Stack-ups'!G11</f>
        <v>0</v>
      </c>
      <c r="F13" s="85">
        <v>1</v>
      </c>
      <c r="G13" s="140">
        <v>1</v>
      </c>
    </row>
    <row r="14" spans="1:7" x14ac:dyDescent="0.25">
      <c r="A14" s="1" t="str">
        <f>Joints!A13</f>
        <v>20ft Pup Jt.</v>
      </c>
      <c r="B14" s="83">
        <v>1</v>
      </c>
      <c r="C14" s="54">
        <f>Joints!H13</f>
        <v>20</v>
      </c>
      <c r="D14" s="54"/>
      <c r="E14" s="83">
        <f>'Ref Stack-ups'!G12</f>
        <v>0</v>
      </c>
      <c r="F14" s="85">
        <v>1</v>
      </c>
      <c r="G14" s="140">
        <v>1</v>
      </c>
    </row>
    <row r="15" spans="1:7" x14ac:dyDescent="0.25">
      <c r="A15" s="1" t="str">
        <f>Joints!A14</f>
        <v>25ft Pup Jt.</v>
      </c>
      <c r="B15" s="83">
        <v>1</v>
      </c>
      <c r="C15" s="54">
        <f>Joints!H14</f>
        <v>25</v>
      </c>
      <c r="D15" s="54"/>
      <c r="E15" s="83">
        <f>'Ref Stack-ups'!G13</f>
        <v>0</v>
      </c>
      <c r="F15" s="85">
        <v>1</v>
      </c>
      <c r="G15" s="140">
        <v>1</v>
      </c>
    </row>
    <row r="16" spans="1:7" x14ac:dyDescent="0.25">
      <c r="A16" s="1" t="str">
        <f>Joints!A15</f>
        <v>30ft Pup Jt.</v>
      </c>
      <c r="B16" s="83">
        <v>1</v>
      </c>
      <c r="C16" s="54">
        <f>Joints!H15</f>
        <v>30</v>
      </c>
      <c r="D16" s="54"/>
      <c r="E16" s="83">
        <f>'Ref Stack-ups'!G14</f>
        <v>0</v>
      </c>
      <c r="F16" s="85">
        <v>1</v>
      </c>
      <c r="G16" s="140">
        <v>1</v>
      </c>
    </row>
    <row r="17" spans="1:7" x14ac:dyDescent="0.25">
      <c r="A17" s="1" t="str">
        <f>Joints!A16</f>
        <v>40ft Pup Jt.</v>
      </c>
      <c r="B17" s="83">
        <v>1</v>
      </c>
      <c r="C17" s="54">
        <f>Joints!H16</f>
        <v>40</v>
      </c>
      <c r="D17" s="54"/>
      <c r="E17" s="83">
        <f>'Ref Stack-ups'!G15</f>
        <v>0</v>
      </c>
      <c r="F17" s="85">
        <v>1</v>
      </c>
      <c r="G17" s="140">
        <v>1</v>
      </c>
    </row>
    <row r="18" spans="1:7" x14ac:dyDescent="0.25">
      <c r="A18" s="1" t="str">
        <f>Joints!A5</f>
        <v>75ft Bare jt.  - protected</v>
      </c>
      <c r="B18" s="83">
        <v>1</v>
      </c>
      <c r="C18" s="54">
        <f>'Ref Stack-ups'!B16</f>
        <v>75</v>
      </c>
      <c r="D18" s="54"/>
      <c r="E18" s="83">
        <f>'Ref Stack-ups'!G16</f>
        <v>3</v>
      </c>
      <c r="F18" s="85">
        <v>1</v>
      </c>
      <c r="G18" s="140">
        <v>1</v>
      </c>
    </row>
    <row r="19" spans="1:7" x14ac:dyDescent="0.25">
      <c r="A19" s="1" t="str">
        <f>Joints!A6</f>
        <v>75ft Buoyancy Jt. 2500 ft rating</v>
      </c>
      <c r="B19" s="83">
        <v>1</v>
      </c>
      <c r="C19" s="54">
        <f>'Ref Stack-ups'!B17</f>
        <v>75</v>
      </c>
      <c r="D19" s="54"/>
      <c r="E19" s="83">
        <f>'Ref Stack-ups'!G17</f>
        <v>32</v>
      </c>
      <c r="F19" s="85">
        <v>1</v>
      </c>
      <c r="G19" s="140">
        <v>1</v>
      </c>
    </row>
    <row r="20" spans="1:7" x14ac:dyDescent="0.25">
      <c r="A20" s="1" t="str">
        <f>Joints!A7</f>
        <v>75ft Buoyancy Jt. 5000 ft rating</v>
      </c>
      <c r="B20" s="83">
        <v>1</v>
      </c>
      <c r="C20" s="54">
        <f>'Ref Stack-ups'!B18</f>
        <v>75</v>
      </c>
      <c r="D20" s="54"/>
      <c r="E20" s="83">
        <f>'Ref Stack-ups'!G18</f>
        <v>32</v>
      </c>
      <c r="F20" s="85">
        <v>1</v>
      </c>
      <c r="G20" s="140">
        <v>1</v>
      </c>
    </row>
    <row r="21" spans="1:7" x14ac:dyDescent="0.25">
      <c r="A21" s="1" t="str">
        <f>Joints!A8</f>
        <v>75ft Buoyancy Jt. 7500 ft rating</v>
      </c>
      <c r="B21" s="83">
        <v>1</v>
      </c>
      <c r="C21" s="54">
        <f>'Ref Stack-ups'!B19</f>
        <v>75</v>
      </c>
      <c r="D21" s="54"/>
      <c r="E21" s="83">
        <f>'Ref Stack-ups'!G19</f>
        <v>32</v>
      </c>
      <c r="F21" s="85">
        <v>1</v>
      </c>
      <c r="G21" s="140">
        <v>1</v>
      </c>
    </row>
    <row r="22" spans="1:7" x14ac:dyDescent="0.25">
      <c r="A22" s="1" t="str">
        <f>Joints!A9</f>
        <v>75ft Buoyancy Jt. 10000 ft rating</v>
      </c>
      <c r="B22" s="83">
        <v>1</v>
      </c>
      <c r="C22" s="54">
        <f>'Ref Stack-ups'!B20</f>
        <v>75</v>
      </c>
      <c r="D22" s="54"/>
      <c r="E22" s="83">
        <f>'Ref Stack-ups'!G20</f>
        <v>4</v>
      </c>
      <c r="F22" s="85">
        <v>1</v>
      </c>
      <c r="G22" s="140"/>
    </row>
    <row r="23" spans="1:7" x14ac:dyDescent="0.25">
      <c r="A23" s="1" t="str">
        <f>Joints!A5</f>
        <v>75ft Bare jt.  - protected</v>
      </c>
      <c r="B23" s="83">
        <v>1</v>
      </c>
      <c r="C23" s="54">
        <f>'Ref Stack-ups'!B21</f>
        <v>75</v>
      </c>
      <c r="D23" s="54"/>
      <c r="E23" s="83">
        <f>'Ref Stack-ups'!G21</f>
        <v>3</v>
      </c>
      <c r="F23" s="85">
        <v>1</v>
      </c>
      <c r="G23" s="140"/>
    </row>
    <row r="24" spans="1:7" x14ac:dyDescent="0.25">
      <c r="A24" s="88" t="s">
        <v>148</v>
      </c>
      <c r="B24" s="83">
        <v>1</v>
      </c>
      <c r="C24" s="83"/>
      <c r="D24" s="54"/>
      <c r="E24" s="54">
        <v>1</v>
      </c>
      <c r="G24" s="140"/>
    </row>
    <row r="25" spans="1:7" x14ac:dyDescent="0.25">
      <c r="A25" s="1" t="str">
        <f>Joints!A20</f>
        <v>LMRP</v>
      </c>
      <c r="B25" s="83">
        <v>1</v>
      </c>
      <c r="C25" s="54">
        <f>'Ref Stack-ups'!B23</f>
        <v>20</v>
      </c>
      <c r="D25" s="54"/>
      <c r="E25" s="54">
        <v>1</v>
      </c>
      <c r="F25" s="85">
        <v>0.25</v>
      </c>
      <c r="G25" s="140"/>
    </row>
    <row r="26" spans="1:7" x14ac:dyDescent="0.25">
      <c r="A26" s="1" t="str">
        <f>Joints!A21</f>
        <v>BOP</v>
      </c>
      <c r="B26" s="83">
        <v>1</v>
      </c>
      <c r="C26" s="54">
        <f>'Ref Stack-ups'!B24</f>
        <v>23</v>
      </c>
      <c r="D26" s="54"/>
      <c r="E26" s="54">
        <v>1</v>
      </c>
      <c r="F26" s="85">
        <v>0.25</v>
      </c>
      <c r="G26" s="140"/>
    </row>
    <row r="27" spans="1:7" x14ac:dyDescent="0.25">
      <c r="A27" s="1" t="s">
        <v>149</v>
      </c>
      <c r="B27" s="83">
        <v>1</v>
      </c>
      <c r="C27" s="54">
        <v>2</v>
      </c>
      <c r="D27" s="83">
        <v>5</v>
      </c>
      <c r="E27" s="54">
        <v>0</v>
      </c>
      <c r="G27" s="140"/>
    </row>
    <row r="28" spans="1:7" x14ac:dyDescent="0.25">
      <c r="A28" s="66" t="s">
        <v>155</v>
      </c>
      <c r="B28" s="94">
        <v>1</v>
      </c>
      <c r="C28" s="66"/>
      <c r="D28" s="66"/>
      <c r="E28" s="66"/>
    </row>
    <row r="29" spans="1:7" x14ac:dyDescent="0.25">
      <c r="A29" s="1" t="str">
        <f>Joints!A22</f>
        <v>30ft Casing Program 1</v>
      </c>
      <c r="B29" s="83">
        <v>1</v>
      </c>
      <c r="C29" s="87">
        <v>30</v>
      </c>
      <c r="D29" s="87"/>
      <c r="E29" s="87">
        <v>3</v>
      </c>
      <c r="F29" s="97">
        <v>0.25</v>
      </c>
    </row>
    <row r="30" spans="1:7" x14ac:dyDescent="0.25">
      <c r="A30" s="1" t="str">
        <f>Joints!A23</f>
        <v>30ft Casing Program 2</v>
      </c>
      <c r="B30" s="83">
        <v>1</v>
      </c>
      <c r="C30" s="87">
        <v>30</v>
      </c>
      <c r="D30" s="87"/>
      <c r="E30" s="87">
        <v>5</v>
      </c>
      <c r="F30" s="97">
        <v>0.25</v>
      </c>
    </row>
    <row r="31" spans="1:7" x14ac:dyDescent="0.25">
      <c r="A31" s="64"/>
      <c r="B31" s="6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85" zoomScaleNormal="85" workbookViewId="0">
      <selection activeCell="B35" sqref="B35"/>
    </sheetView>
  </sheetViews>
  <sheetFormatPr defaultRowHeight="15" x14ac:dyDescent="0.25"/>
  <cols>
    <col min="1" max="1" width="33.7109375" customWidth="1"/>
    <col min="2" max="2" width="18.42578125" customWidth="1"/>
    <col min="3" max="5" width="15" customWidth="1"/>
    <col min="6" max="6" width="13.140625" style="85" customWidth="1"/>
    <col min="7" max="16384" width="9.140625" style="85"/>
  </cols>
  <sheetData>
    <row r="1" spans="1:7" ht="30" customHeight="1" x14ac:dyDescent="0.25">
      <c r="A1" s="51" t="s">
        <v>137</v>
      </c>
      <c r="B1" s="51" t="s">
        <v>258</v>
      </c>
      <c r="C1" s="52" t="s">
        <v>241</v>
      </c>
      <c r="D1" s="52" t="s">
        <v>364</v>
      </c>
      <c r="E1" s="52" t="s">
        <v>242</v>
      </c>
      <c r="F1" s="58" t="s">
        <v>268</v>
      </c>
      <c r="G1" s="138" t="s">
        <v>371</v>
      </c>
    </row>
    <row r="2" spans="1:7" x14ac:dyDescent="0.25">
      <c r="A2" s="51"/>
      <c r="B2" s="51"/>
      <c r="C2" s="1" t="s">
        <v>91</v>
      </c>
      <c r="D2" s="1" t="s">
        <v>91</v>
      </c>
      <c r="E2" s="1" t="s">
        <v>90</v>
      </c>
      <c r="F2" s="64" t="s">
        <v>174</v>
      </c>
      <c r="G2" s="136" t="s">
        <v>372</v>
      </c>
    </row>
    <row r="3" spans="1:7" ht="16.5" customHeight="1" x14ac:dyDescent="0.25">
      <c r="A3" s="135" t="s">
        <v>369</v>
      </c>
      <c r="B3" s="83">
        <v>1</v>
      </c>
      <c r="C3" s="54"/>
      <c r="D3" s="54"/>
      <c r="E3" s="54">
        <v>1</v>
      </c>
      <c r="F3" s="65"/>
      <c r="G3" s="140"/>
    </row>
    <row r="4" spans="1:7" x14ac:dyDescent="0.25">
      <c r="A4" s="1" t="str">
        <f>Joints!A4</f>
        <v>Diverter</v>
      </c>
      <c r="B4" s="83">
        <v>1</v>
      </c>
      <c r="C4" s="54">
        <f>'Ref Stack-ups'!B3</f>
        <v>15</v>
      </c>
      <c r="D4" s="54"/>
      <c r="E4" s="54">
        <v>1</v>
      </c>
      <c r="F4" s="85">
        <v>0.25</v>
      </c>
      <c r="G4" s="140"/>
    </row>
    <row r="5" spans="1:7" x14ac:dyDescent="0.25">
      <c r="A5" s="88" t="s">
        <v>134</v>
      </c>
      <c r="B5" s="83">
        <v>1</v>
      </c>
      <c r="C5" s="83"/>
      <c r="D5" s="54"/>
      <c r="E5" s="54">
        <v>1</v>
      </c>
      <c r="G5" s="140"/>
    </row>
    <row r="6" spans="1:7" x14ac:dyDescent="0.25">
      <c r="A6" s="1" t="str">
        <f>Joints!A12</f>
        <v>15ft Pup Jt.</v>
      </c>
      <c r="B6" s="83">
        <v>1</v>
      </c>
      <c r="C6" s="54">
        <f>'Ref Stack-ups'!B5</f>
        <v>15</v>
      </c>
      <c r="D6" s="54"/>
      <c r="E6" s="54">
        <v>1</v>
      </c>
      <c r="F6" s="85">
        <v>1</v>
      </c>
      <c r="G6" s="140"/>
    </row>
    <row r="7" spans="1:7" x14ac:dyDescent="0.25">
      <c r="A7" s="1" t="str">
        <f>Joints!A17</f>
        <v>Inner Barrel</v>
      </c>
      <c r="B7" s="83">
        <v>1</v>
      </c>
      <c r="C7" s="54">
        <f>'Ref Stack-ups'!B6</f>
        <v>10</v>
      </c>
      <c r="D7" s="54"/>
      <c r="E7" s="54">
        <v>1</v>
      </c>
      <c r="F7" s="85">
        <v>1</v>
      </c>
      <c r="G7" s="140"/>
    </row>
    <row r="8" spans="1:7" x14ac:dyDescent="0.25">
      <c r="A8" s="1" t="s">
        <v>368</v>
      </c>
      <c r="B8" s="83">
        <v>1</v>
      </c>
      <c r="C8" s="54"/>
      <c r="D8" s="54"/>
      <c r="E8" s="54">
        <v>1</v>
      </c>
      <c r="G8" s="140"/>
    </row>
    <row r="9" spans="1:7" x14ac:dyDescent="0.25">
      <c r="A9" s="1" t="str">
        <f>Joints!A18</f>
        <v>Outer Barrel</v>
      </c>
      <c r="B9" s="83">
        <v>1</v>
      </c>
      <c r="C9" s="54">
        <f>'Ref Stack-ups'!B7</f>
        <v>60</v>
      </c>
      <c r="D9" s="54"/>
      <c r="E9" s="54">
        <v>1</v>
      </c>
      <c r="F9" s="85">
        <v>1</v>
      </c>
      <c r="G9" s="137">
        <v>1</v>
      </c>
    </row>
    <row r="10" spans="1:7" x14ac:dyDescent="0.25">
      <c r="A10" s="90" t="s">
        <v>145</v>
      </c>
      <c r="B10" s="91">
        <v>1</v>
      </c>
      <c r="C10" s="90"/>
      <c r="D10" s="91">
        <v>10000</v>
      </c>
      <c r="E10" s="90"/>
      <c r="G10" s="140"/>
    </row>
    <row r="11" spans="1:7" x14ac:dyDescent="0.25">
      <c r="A11" s="1" t="str">
        <f>Joints!A10</f>
        <v>5ft Pup Jt.</v>
      </c>
      <c r="B11" s="83">
        <v>1</v>
      </c>
      <c r="C11" s="54">
        <f>Joints!H10</f>
        <v>5</v>
      </c>
      <c r="D11" s="54"/>
      <c r="E11" s="83">
        <f>'Ref Stack-ups'!H9</f>
        <v>0</v>
      </c>
      <c r="F11" s="85">
        <v>1</v>
      </c>
      <c r="G11" s="140">
        <v>1</v>
      </c>
    </row>
    <row r="12" spans="1:7" x14ac:dyDescent="0.25">
      <c r="A12" s="1" t="str">
        <f>Joints!A11</f>
        <v>10ft Pup Jt.</v>
      </c>
      <c r="B12" s="83">
        <v>1</v>
      </c>
      <c r="C12" s="54">
        <f>Joints!H11</f>
        <v>10</v>
      </c>
      <c r="D12" s="54"/>
      <c r="E12" s="83">
        <f>'Ref Stack-ups'!H10</f>
        <v>1</v>
      </c>
      <c r="F12" s="85">
        <v>1</v>
      </c>
      <c r="G12" s="140">
        <v>1</v>
      </c>
    </row>
    <row r="13" spans="1:7" x14ac:dyDescent="0.25">
      <c r="A13" s="1" t="str">
        <f>Joints!A12</f>
        <v>15ft Pup Jt.</v>
      </c>
      <c r="B13" s="83">
        <v>1</v>
      </c>
      <c r="C13" s="54">
        <f>Joints!H12</f>
        <v>15</v>
      </c>
      <c r="D13" s="54"/>
      <c r="E13" s="83">
        <f>'Ref Stack-ups'!H11</f>
        <v>0</v>
      </c>
      <c r="F13" s="85">
        <v>1</v>
      </c>
      <c r="G13" s="140">
        <v>1</v>
      </c>
    </row>
    <row r="14" spans="1:7" x14ac:dyDescent="0.25">
      <c r="A14" s="1" t="str">
        <f>Joints!A13</f>
        <v>20ft Pup Jt.</v>
      </c>
      <c r="B14" s="83">
        <v>1</v>
      </c>
      <c r="C14" s="54">
        <f>Joints!H13</f>
        <v>20</v>
      </c>
      <c r="D14" s="54"/>
      <c r="E14" s="83">
        <f>'Ref Stack-ups'!H12</f>
        <v>0</v>
      </c>
      <c r="F14" s="85">
        <v>1</v>
      </c>
      <c r="G14" s="140">
        <v>1</v>
      </c>
    </row>
    <row r="15" spans="1:7" x14ac:dyDescent="0.25">
      <c r="A15" s="1" t="str">
        <f>Joints!A14</f>
        <v>25ft Pup Jt.</v>
      </c>
      <c r="B15" s="83">
        <v>1</v>
      </c>
      <c r="C15" s="54">
        <f>Joints!H14</f>
        <v>25</v>
      </c>
      <c r="D15" s="54"/>
      <c r="E15" s="83">
        <f>'Ref Stack-ups'!H13</f>
        <v>0</v>
      </c>
      <c r="F15" s="85">
        <v>1</v>
      </c>
      <c r="G15" s="140">
        <v>1</v>
      </c>
    </row>
    <row r="16" spans="1:7" x14ac:dyDescent="0.25">
      <c r="A16" s="1" t="str">
        <f>Joints!A15</f>
        <v>30ft Pup Jt.</v>
      </c>
      <c r="B16" s="83">
        <v>1</v>
      </c>
      <c r="C16" s="54">
        <f>Joints!H15</f>
        <v>30</v>
      </c>
      <c r="D16" s="54"/>
      <c r="E16" s="83">
        <f>'Ref Stack-ups'!H14</f>
        <v>0</v>
      </c>
      <c r="F16" s="85">
        <v>1</v>
      </c>
      <c r="G16" s="140">
        <v>1</v>
      </c>
    </row>
    <row r="17" spans="1:7" x14ac:dyDescent="0.25">
      <c r="A17" s="1" t="str">
        <f>Joints!A16</f>
        <v>40ft Pup Jt.</v>
      </c>
      <c r="B17" s="83">
        <v>1</v>
      </c>
      <c r="C17" s="54">
        <f>Joints!H16</f>
        <v>40</v>
      </c>
      <c r="D17" s="54"/>
      <c r="E17" s="83">
        <f>'Ref Stack-ups'!H15</f>
        <v>1</v>
      </c>
      <c r="F17" s="85">
        <v>1</v>
      </c>
      <c r="G17" s="140">
        <v>1</v>
      </c>
    </row>
    <row r="18" spans="1:7" x14ac:dyDescent="0.25">
      <c r="A18" s="1" t="str">
        <f>Joints!A5</f>
        <v>75ft Bare jt.  - protected</v>
      </c>
      <c r="B18" s="83">
        <v>1</v>
      </c>
      <c r="C18" s="54">
        <f>'Ref Stack-ups'!B16</f>
        <v>75</v>
      </c>
      <c r="D18" s="54"/>
      <c r="E18" s="83">
        <f>'Ref Stack-ups'!H16</f>
        <v>3</v>
      </c>
      <c r="F18" s="85">
        <v>1</v>
      </c>
      <c r="G18" s="140">
        <v>1</v>
      </c>
    </row>
    <row r="19" spans="1:7" x14ac:dyDescent="0.25">
      <c r="A19" s="1" t="str">
        <f>Joints!A6</f>
        <v>75ft Buoyancy Jt. 2500 ft rating</v>
      </c>
      <c r="B19" s="83">
        <v>1</v>
      </c>
      <c r="C19" s="54">
        <f>'Ref Stack-ups'!B17</f>
        <v>75</v>
      </c>
      <c r="D19" s="54"/>
      <c r="E19" s="83">
        <f>'Ref Stack-ups'!H17</f>
        <v>32</v>
      </c>
      <c r="F19" s="85">
        <v>1</v>
      </c>
      <c r="G19" s="140">
        <v>1</v>
      </c>
    </row>
    <row r="20" spans="1:7" x14ac:dyDescent="0.25">
      <c r="A20" s="1" t="str">
        <f>Joints!A7</f>
        <v>75ft Buoyancy Jt. 5000 ft rating</v>
      </c>
      <c r="B20" s="83">
        <v>1</v>
      </c>
      <c r="C20" s="54">
        <f>'Ref Stack-ups'!B18</f>
        <v>75</v>
      </c>
      <c r="D20" s="54"/>
      <c r="E20" s="83">
        <f>'Ref Stack-ups'!H18</f>
        <v>32</v>
      </c>
      <c r="F20" s="85">
        <v>1</v>
      </c>
      <c r="G20" s="140">
        <v>1</v>
      </c>
    </row>
    <row r="21" spans="1:7" x14ac:dyDescent="0.25">
      <c r="A21" s="1" t="str">
        <f>Joints!A8</f>
        <v>75ft Buoyancy Jt. 7500 ft rating</v>
      </c>
      <c r="B21" s="83">
        <v>1</v>
      </c>
      <c r="C21" s="54">
        <f>'Ref Stack-ups'!B19</f>
        <v>75</v>
      </c>
      <c r="D21" s="54"/>
      <c r="E21" s="83">
        <f>'Ref Stack-ups'!H19</f>
        <v>32</v>
      </c>
      <c r="F21" s="85">
        <v>1</v>
      </c>
      <c r="G21" s="140">
        <v>1</v>
      </c>
    </row>
    <row r="22" spans="1:7" x14ac:dyDescent="0.25">
      <c r="A22" s="1" t="str">
        <f>Joints!A9</f>
        <v>75ft Buoyancy Jt. 10000 ft rating</v>
      </c>
      <c r="B22" s="83">
        <v>1</v>
      </c>
      <c r="C22" s="54">
        <f>'Ref Stack-ups'!B20</f>
        <v>75</v>
      </c>
      <c r="D22" s="54"/>
      <c r="E22" s="83">
        <f>'Ref Stack-ups'!H20</f>
        <v>30</v>
      </c>
      <c r="F22" s="85">
        <v>1</v>
      </c>
      <c r="G22" s="140"/>
    </row>
    <row r="23" spans="1:7" x14ac:dyDescent="0.25">
      <c r="A23" s="1" t="str">
        <f>Joints!A5</f>
        <v>75ft Bare jt.  - protected</v>
      </c>
      <c r="B23" s="83">
        <v>1</v>
      </c>
      <c r="C23" s="54">
        <f>'Ref Stack-ups'!B21</f>
        <v>75</v>
      </c>
      <c r="D23" s="54"/>
      <c r="E23" s="83">
        <f>'Ref Stack-ups'!H21</f>
        <v>3</v>
      </c>
      <c r="F23" s="85">
        <v>1</v>
      </c>
      <c r="G23" s="140"/>
    </row>
    <row r="24" spans="1:7" x14ac:dyDescent="0.25">
      <c r="A24" s="88" t="s">
        <v>148</v>
      </c>
      <c r="B24" s="83">
        <v>1</v>
      </c>
      <c r="C24" s="83"/>
      <c r="D24" s="54"/>
      <c r="E24" s="54">
        <v>1</v>
      </c>
      <c r="G24" s="140"/>
    </row>
    <row r="25" spans="1:7" x14ac:dyDescent="0.25">
      <c r="A25" s="1" t="str">
        <f>Joints!A20</f>
        <v>LMRP</v>
      </c>
      <c r="B25" s="83">
        <v>1</v>
      </c>
      <c r="C25" s="54">
        <f>'Ref Stack-ups'!B23</f>
        <v>20</v>
      </c>
      <c r="D25" s="54"/>
      <c r="E25" s="54">
        <v>1</v>
      </c>
      <c r="F25" s="85">
        <v>0.25</v>
      </c>
      <c r="G25" s="140"/>
    </row>
    <row r="26" spans="1:7" x14ac:dyDescent="0.25">
      <c r="A26" s="1" t="str">
        <f>Joints!A21</f>
        <v>BOP</v>
      </c>
      <c r="B26" s="83">
        <v>1</v>
      </c>
      <c r="C26" s="54">
        <f>'Ref Stack-ups'!B24</f>
        <v>23</v>
      </c>
      <c r="D26" s="54"/>
      <c r="E26" s="54">
        <v>1</v>
      </c>
      <c r="F26" s="85">
        <v>0.25</v>
      </c>
      <c r="G26" s="140"/>
    </row>
    <row r="27" spans="1:7" x14ac:dyDescent="0.25">
      <c r="A27" s="1" t="s">
        <v>149</v>
      </c>
      <c r="B27" s="83">
        <v>1</v>
      </c>
      <c r="C27" s="54">
        <v>2</v>
      </c>
      <c r="D27" s="83">
        <v>5</v>
      </c>
      <c r="E27" s="54">
        <v>0</v>
      </c>
      <c r="G27" s="140"/>
    </row>
    <row r="28" spans="1:7" x14ac:dyDescent="0.25">
      <c r="A28" s="66" t="s">
        <v>155</v>
      </c>
      <c r="B28" s="94">
        <v>1</v>
      </c>
      <c r="C28" s="66"/>
      <c r="D28" s="66"/>
      <c r="E28" s="66"/>
    </row>
    <row r="29" spans="1:7" x14ac:dyDescent="0.25">
      <c r="A29" s="1" t="str">
        <f>Joints!A22</f>
        <v>30ft Casing Program 1</v>
      </c>
      <c r="B29" s="83">
        <v>1</v>
      </c>
      <c r="C29" s="87">
        <v>30</v>
      </c>
      <c r="D29" s="87"/>
      <c r="E29" s="87">
        <v>3</v>
      </c>
      <c r="F29" s="97">
        <v>0.25</v>
      </c>
    </row>
    <row r="30" spans="1:7" x14ac:dyDescent="0.25">
      <c r="A30" s="1" t="str">
        <f>Joints!A23</f>
        <v>30ft Casing Program 2</v>
      </c>
      <c r="B30" s="83">
        <v>1</v>
      </c>
      <c r="C30" s="87">
        <v>30</v>
      </c>
      <c r="D30" s="87"/>
      <c r="E30" s="87">
        <v>5</v>
      </c>
      <c r="F30" s="97">
        <v>0.25</v>
      </c>
    </row>
    <row r="31" spans="1:7" x14ac:dyDescent="0.25">
      <c r="A31" s="64"/>
      <c r="B31" s="6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A1:J29"/>
  <sheetViews>
    <sheetView topLeftCell="A4" zoomScale="85" zoomScaleNormal="85" workbookViewId="0">
      <selection activeCell="J18" sqref="J9:J18"/>
    </sheetView>
  </sheetViews>
  <sheetFormatPr defaultRowHeight="15" x14ac:dyDescent="0.25"/>
  <cols>
    <col min="1" max="2" width="15" customWidth="1"/>
    <col min="3" max="4" width="10" customWidth="1"/>
    <col min="5" max="8" width="7.85546875" customWidth="1"/>
    <col min="9" max="16384" width="9.140625" style="85"/>
  </cols>
  <sheetData>
    <row r="1" spans="1:10" ht="30" customHeight="1" x14ac:dyDescent="0.25">
      <c r="A1" s="51" t="s">
        <v>137</v>
      </c>
      <c r="B1" s="51" t="s">
        <v>96</v>
      </c>
      <c r="C1" s="143" t="s">
        <v>138</v>
      </c>
      <c r="D1" s="143"/>
      <c r="E1" s="142" t="s">
        <v>147</v>
      </c>
      <c r="F1" s="142"/>
      <c r="G1" s="142"/>
      <c r="H1" s="142"/>
    </row>
    <row r="2" spans="1:10" ht="30" x14ac:dyDescent="0.25">
      <c r="A2" s="51"/>
      <c r="B2" s="1" t="s">
        <v>91</v>
      </c>
      <c r="C2" s="59" t="s">
        <v>146</v>
      </c>
      <c r="D2" s="59" t="s">
        <v>150</v>
      </c>
      <c r="E2" s="60">
        <v>2500</v>
      </c>
      <c r="F2" s="60">
        <v>5000</v>
      </c>
      <c r="G2" s="60">
        <v>8000</v>
      </c>
      <c r="H2" s="60">
        <v>10000</v>
      </c>
    </row>
    <row r="3" spans="1:10" x14ac:dyDescent="0.25">
      <c r="A3" s="1" t="s">
        <v>133</v>
      </c>
      <c r="B3" s="54">
        <v>15</v>
      </c>
      <c r="C3" s="61">
        <f>C4+B3</f>
        <v>100.1</v>
      </c>
      <c r="D3" s="61"/>
      <c r="E3" s="1"/>
      <c r="F3" s="1"/>
      <c r="G3" s="1"/>
      <c r="H3" s="1"/>
    </row>
    <row r="4" spans="1:10" x14ac:dyDescent="0.25">
      <c r="A4" s="1" t="s">
        <v>134</v>
      </c>
      <c r="B4" s="54">
        <v>0.1</v>
      </c>
      <c r="C4" s="61">
        <f>C5+B4</f>
        <v>85.1</v>
      </c>
      <c r="D4" s="61"/>
      <c r="E4" s="1"/>
      <c r="F4" s="1"/>
      <c r="G4" s="1"/>
      <c r="H4" s="1"/>
    </row>
    <row r="5" spans="1:10" x14ac:dyDescent="0.25">
      <c r="A5" s="1" t="s">
        <v>144</v>
      </c>
      <c r="B5" s="54">
        <v>15</v>
      </c>
      <c r="C5" s="61">
        <f>C6+B5</f>
        <v>85</v>
      </c>
      <c r="D5" s="61"/>
      <c r="E5" s="1"/>
      <c r="F5" s="1"/>
      <c r="G5" s="1"/>
      <c r="H5" s="1"/>
    </row>
    <row r="6" spans="1:10" x14ac:dyDescent="0.25">
      <c r="A6" s="1" t="s">
        <v>135</v>
      </c>
      <c r="B6" s="54">
        <v>10</v>
      </c>
      <c r="C6" s="61">
        <f>C7+B6</f>
        <v>70</v>
      </c>
      <c r="D6" s="61"/>
      <c r="E6" s="1"/>
      <c r="F6" s="1"/>
      <c r="G6" s="1"/>
      <c r="H6" s="1"/>
    </row>
    <row r="7" spans="1:10" x14ac:dyDescent="0.25">
      <c r="A7" s="1" t="s">
        <v>136</v>
      </c>
      <c r="B7" s="54">
        <v>60</v>
      </c>
      <c r="C7" s="61">
        <v>60</v>
      </c>
      <c r="D7" s="61"/>
      <c r="E7" s="1"/>
      <c r="F7" s="1"/>
      <c r="G7" s="1"/>
      <c r="H7" s="1"/>
    </row>
    <row r="8" spans="1:10" x14ac:dyDescent="0.25">
      <c r="A8" s="62" t="s">
        <v>145</v>
      </c>
      <c r="B8" s="62"/>
      <c r="C8" s="63"/>
      <c r="D8" s="63"/>
      <c r="E8" s="63"/>
      <c r="F8" s="63"/>
      <c r="G8" s="63"/>
      <c r="H8" s="63"/>
    </row>
    <row r="9" spans="1:10" x14ac:dyDescent="0.25">
      <c r="A9" s="1" t="s">
        <v>153</v>
      </c>
      <c r="B9" s="54">
        <v>5</v>
      </c>
      <c r="C9" s="1"/>
      <c r="D9" s="54"/>
      <c r="E9" s="54">
        <v>0</v>
      </c>
      <c r="F9" s="54">
        <v>0</v>
      </c>
      <c r="G9" s="54">
        <v>0</v>
      </c>
      <c r="H9" s="54">
        <v>0</v>
      </c>
      <c r="J9" s="1"/>
    </row>
    <row r="10" spans="1:10" x14ac:dyDescent="0.25">
      <c r="A10" s="1" t="s">
        <v>152</v>
      </c>
      <c r="B10" s="54">
        <v>10</v>
      </c>
      <c r="C10" s="1"/>
      <c r="D10" s="54"/>
      <c r="E10" s="54">
        <v>1</v>
      </c>
      <c r="F10" s="54">
        <v>0</v>
      </c>
      <c r="G10" s="54">
        <v>0</v>
      </c>
      <c r="H10" s="54">
        <v>1</v>
      </c>
      <c r="J10" s="1"/>
    </row>
    <row r="11" spans="1:10" x14ac:dyDescent="0.25">
      <c r="A11" s="1" t="s">
        <v>144</v>
      </c>
      <c r="B11" s="54"/>
      <c r="C11" s="1"/>
      <c r="D11" s="54"/>
      <c r="E11" s="54"/>
      <c r="F11" s="54"/>
      <c r="G11" s="54"/>
      <c r="H11" s="54"/>
      <c r="J11" s="1"/>
    </row>
    <row r="12" spans="1:10" x14ac:dyDescent="0.25">
      <c r="A12" s="1" t="s">
        <v>154</v>
      </c>
      <c r="B12" s="54">
        <v>20</v>
      </c>
      <c r="C12" s="1"/>
      <c r="D12" s="54"/>
      <c r="E12" s="54">
        <v>0</v>
      </c>
      <c r="F12" s="54">
        <v>0</v>
      </c>
      <c r="G12" s="54">
        <v>0</v>
      </c>
      <c r="H12" s="54">
        <v>0</v>
      </c>
    </row>
    <row r="13" spans="1:10" x14ac:dyDescent="0.25">
      <c r="A13" s="1" t="s">
        <v>398</v>
      </c>
      <c r="B13" s="54"/>
      <c r="C13" s="1"/>
      <c r="D13" s="54"/>
      <c r="E13" s="54"/>
      <c r="F13" s="54"/>
      <c r="G13" s="54"/>
      <c r="H13" s="54"/>
      <c r="J13" s="1"/>
    </row>
    <row r="14" spans="1:10" x14ac:dyDescent="0.25">
      <c r="A14" s="1" t="s">
        <v>399</v>
      </c>
      <c r="B14" s="54"/>
      <c r="C14" s="1"/>
      <c r="D14" s="54"/>
      <c r="E14" s="54"/>
      <c r="F14" s="54"/>
      <c r="G14" s="54"/>
      <c r="H14" s="54"/>
      <c r="J14" s="1"/>
    </row>
    <row r="15" spans="1:10" x14ac:dyDescent="0.25">
      <c r="A15" s="1" t="s">
        <v>151</v>
      </c>
      <c r="B15" s="54">
        <v>40</v>
      </c>
      <c r="C15" s="1"/>
      <c r="D15" s="54"/>
      <c r="E15" s="54">
        <v>1</v>
      </c>
      <c r="F15" s="54">
        <v>0</v>
      </c>
      <c r="G15" s="54">
        <v>0</v>
      </c>
      <c r="H15" s="54">
        <v>1</v>
      </c>
      <c r="J15" s="1"/>
    </row>
    <row r="16" spans="1:10" x14ac:dyDescent="0.25">
      <c r="A16" s="1" t="s">
        <v>139</v>
      </c>
      <c r="B16" s="54">
        <v>75</v>
      </c>
      <c r="C16" s="1"/>
      <c r="D16" s="54"/>
      <c r="E16" s="54">
        <v>3</v>
      </c>
      <c r="F16" s="54">
        <v>3</v>
      </c>
      <c r="G16" s="54">
        <v>3</v>
      </c>
      <c r="H16" s="54">
        <v>3</v>
      </c>
    </row>
    <row r="17" spans="1:10" x14ac:dyDescent="0.25">
      <c r="A17" s="1" t="s">
        <v>140</v>
      </c>
      <c r="B17" s="54">
        <v>75</v>
      </c>
      <c r="C17" s="1"/>
      <c r="D17" s="54"/>
      <c r="E17" s="54">
        <v>26</v>
      </c>
      <c r="F17" s="54">
        <v>32</v>
      </c>
      <c r="G17" s="54">
        <v>32</v>
      </c>
      <c r="H17" s="54">
        <v>32</v>
      </c>
    </row>
    <row r="18" spans="1:10" x14ac:dyDescent="0.25">
      <c r="A18" s="1" t="s">
        <v>141</v>
      </c>
      <c r="B18" s="54">
        <v>75</v>
      </c>
      <c r="C18" s="1"/>
      <c r="D18" s="54"/>
      <c r="E18" s="54"/>
      <c r="F18" s="54">
        <v>28</v>
      </c>
      <c r="G18" s="54">
        <v>32</v>
      </c>
      <c r="H18" s="54">
        <v>32</v>
      </c>
      <c r="J18" s="1"/>
    </row>
    <row r="19" spans="1:10" x14ac:dyDescent="0.25">
      <c r="A19" s="1" t="s">
        <v>142</v>
      </c>
      <c r="B19" s="54">
        <v>75</v>
      </c>
      <c r="C19" s="1"/>
      <c r="D19" s="54"/>
      <c r="E19" s="54"/>
      <c r="F19" s="54"/>
      <c r="G19" s="54">
        <v>32</v>
      </c>
      <c r="H19" s="54">
        <v>32</v>
      </c>
    </row>
    <row r="20" spans="1:10" x14ac:dyDescent="0.25">
      <c r="A20" s="1" t="s">
        <v>143</v>
      </c>
      <c r="B20" s="54">
        <v>75</v>
      </c>
      <c r="C20" s="1"/>
      <c r="D20" s="54"/>
      <c r="E20" s="54"/>
      <c r="F20" s="54"/>
      <c r="G20" s="54">
        <v>4</v>
      </c>
      <c r="H20" s="54">
        <v>30</v>
      </c>
    </row>
    <row r="21" spans="1:10" x14ac:dyDescent="0.25">
      <c r="A21" s="1" t="s">
        <v>139</v>
      </c>
      <c r="B21" s="54">
        <v>75</v>
      </c>
      <c r="C21" s="1"/>
      <c r="D21" s="54"/>
      <c r="E21" s="54">
        <v>3</v>
      </c>
      <c r="F21" s="54">
        <v>3</v>
      </c>
      <c r="G21" s="54">
        <v>3</v>
      </c>
      <c r="H21" s="54">
        <v>3</v>
      </c>
    </row>
    <row r="22" spans="1:10" x14ac:dyDescent="0.25">
      <c r="A22" s="1" t="s">
        <v>148</v>
      </c>
      <c r="B22" s="54">
        <v>0.1</v>
      </c>
      <c r="C22" s="1"/>
      <c r="D22" s="61">
        <f>D23+B22</f>
        <v>48.1</v>
      </c>
      <c r="E22" s="1"/>
      <c r="F22" s="1"/>
      <c r="G22" s="1"/>
      <c r="H22" s="1"/>
    </row>
    <row r="23" spans="1:10" x14ac:dyDescent="0.25">
      <c r="A23" s="1" t="s">
        <v>103</v>
      </c>
      <c r="B23" s="54">
        <f>Joints!H20</f>
        <v>20</v>
      </c>
      <c r="C23" s="1"/>
      <c r="D23" s="61">
        <f>D24+B23</f>
        <v>48</v>
      </c>
      <c r="E23" s="1"/>
      <c r="F23" s="1"/>
      <c r="G23" s="1"/>
      <c r="H23" s="1"/>
    </row>
    <row r="24" spans="1:10" x14ac:dyDescent="0.25">
      <c r="A24" s="1" t="s">
        <v>104</v>
      </c>
      <c r="B24" s="54">
        <f>Joints!H21</f>
        <v>23</v>
      </c>
      <c r="C24" s="1"/>
      <c r="D24" s="61">
        <f>D25+B24</f>
        <v>28</v>
      </c>
      <c r="E24" s="1"/>
      <c r="F24" s="1"/>
      <c r="G24" s="1"/>
      <c r="H24" s="1"/>
    </row>
    <row r="25" spans="1:10" x14ac:dyDescent="0.25">
      <c r="A25" s="1" t="s">
        <v>149</v>
      </c>
      <c r="B25" s="1"/>
      <c r="C25" s="1"/>
      <c r="D25" s="61">
        <v>5</v>
      </c>
      <c r="E25" s="1"/>
      <c r="F25" s="1"/>
      <c r="G25" s="1"/>
      <c r="H25" s="1"/>
    </row>
    <row r="26" spans="1:10" x14ac:dyDescent="0.25">
      <c r="A26" s="66" t="s">
        <v>155</v>
      </c>
      <c r="B26" s="66"/>
      <c r="C26" s="66"/>
      <c r="D26" s="66"/>
      <c r="E26" s="66"/>
      <c r="F26" s="66"/>
      <c r="G26" s="66"/>
      <c r="H26" s="66"/>
    </row>
    <row r="27" spans="1:10" x14ac:dyDescent="0.25">
      <c r="A27" s="64"/>
      <c r="B27" s="65"/>
      <c r="C27" s="65"/>
      <c r="D27" s="65"/>
      <c r="E27" s="65"/>
      <c r="F27" s="65"/>
      <c r="G27" s="65"/>
      <c r="H27" s="65"/>
    </row>
    <row r="28" spans="1:10" x14ac:dyDescent="0.25">
      <c r="A28" s="64"/>
      <c r="B28" s="65"/>
      <c r="C28" s="65"/>
      <c r="D28" s="65"/>
      <c r="E28" s="65"/>
      <c r="F28" s="65"/>
      <c r="G28" s="65"/>
      <c r="H28" s="65"/>
    </row>
    <row r="29" spans="1:10" x14ac:dyDescent="0.25">
      <c r="A29" s="64" t="s">
        <v>156</v>
      </c>
      <c r="E29" s="39">
        <f>E2-$D$22-SUMPRODUCT(E9:E21,$B9:$B21)</f>
        <v>1.9000000000000909</v>
      </c>
      <c r="F29" s="39">
        <f>F2-$D$22-SUMPRODUCT(F9:F21,$B9:$B21)</f>
        <v>1.8999999999996362</v>
      </c>
      <c r="G29" s="39">
        <f>G2-$D$22-SUMPRODUCT(G9:G21,$B9:$B21)</f>
        <v>1.8999999999996362</v>
      </c>
      <c r="H29" s="39">
        <f>H2-$D$22-SUMPRODUCT(H9:H21,$B9:$B21)</f>
        <v>1.8999999999996362</v>
      </c>
    </row>
  </sheetData>
  <mergeCells count="2">
    <mergeCell ref="E1:H1"/>
    <mergeCell ref="C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="85" zoomScaleNormal="85" workbookViewId="0">
      <selection activeCell="E34" sqref="E34"/>
    </sheetView>
  </sheetViews>
  <sheetFormatPr defaultRowHeight="15" x14ac:dyDescent="0.25"/>
  <cols>
    <col min="1" max="1" width="33.7109375" customWidth="1"/>
    <col min="2" max="2" width="18.42578125" customWidth="1"/>
    <col min="3" max="5" width="15" customWidth="1"/>
    <col min="6" max="6" width="13.140625" style="85" customWidth="1"/>
    <col min="7" max="16384" width="9.140625" style="85"/>
  </cols>
  <sheetData>
    <row r="1" spans="1:7" ht="30" customHeight="1" x14ac:dyDescent="0.25">
      <c r="A1" s="51" t="s">
        <v>137</v>
      </c>
      <c r="B1" s="51" t="s">
        <v>258</v>
      </c>
      <c r="C1" s="52" t="s">
        <v>241</v>
      </c>
      <c r="D1" s="52" t="s">
        <v>364</v>
      </c>
      <c r="E1" s="52" t="s">
        <v>242</v>
      </c>
      <c r="F1" s="138" t="s">
        <v>268</v>
      </c>
      <c r="G1" s="138" t="s">
        <v>371</v>
      </c>
    </row>
    <row r="2" spans="1:7" x14ac:dyDescent="0.25">
      <c r="A2" s="51"/>
      <c r="B2" s="51"/>
      <c r="C2" s="1" t="s">
        <v>91</v>
      </c>
      <c r="D2" s="1" t="s">
        <v>91</v>
      </c>
      <c r="E2" s="1" t="s">
        <v>90</v>
      </c>
      <c r="F2" s="97" t="s">
        <v>174</v>
      </c>
      <c r="G2" s="136" t="s">
        <v>372</v>
      </c>
    </row>
    <row r="3" spans="1:7" ht="16.5" customHeight="1" x14ac:dyDescent="0.25">
      <c r="A3" s="135" t="s">
        <v>369</v>
      </c>
      <c r="B3" s="83">
        <v>2</v>
      </c>
      <c r="C3" s="54"/>
      <c r="D3" s="54"/>
      <c r="E3" s="54">
        <v>1</v>
      </c>
      <c r="F3" s="139"/>
      <c r="G3" s="140"/>
    </row>
    <row r="4" spans="1:7" x14ac:dyDescent="0.25">
      <c r="A4" s="1" t="str">
        <f>Joints!A29</f>
        <v>Diverter</v>
      </c>
      <c r="B4" s="83">
        <v>2</v>
      </c>
      <c r="C4" s="54">
        <f>Joints!H29</f>
        <v>2</v>
      </c>
      <c r="D4" s="54"/>
      <c r="E4" s="54">
        <v>1</v>
      </c>
      <c r="F4" s="140">
        <v>0.25</v>
      </c>
      <c r="G4" s="140"/>
    </row>
    <row r="5" spans="1:7" x14ac:dyDescent="0.25">
      <c r="A5" s="88" t="s">
        <v>134</v>
      </c>
      <c r="B5" s="83">
        <v>2</v>
      </c>
      <c r="C5" s="83"/>
      <c r="D5" s="54"/>
      <c r="E5" s="54">
        <v>1</v>
      </c>
      <c r="F5" s="140"/>
      <c r="G5" s="140"/>
    </row>
    <row r="6" spans="1:7" x14ac:dyDescent="0.25">
      <c r="A6" s="1" t="str">
        <f>Joints!A12</f>
        <v>15ft Pup Jt.</v>
      </c>
      <c r="B6" s="83">
        <v>2</v>
      </c>
      <c r="C6" s="54">
        <f>Joints!H32</f>
        <v>15</v>
      </c>
      <c r="D6" s="54"/>
      <c r="E6" s="54">
        <v>0</v>
      </c>
      <c r="F6" s="140">
        <v>1</v>
      </c>
      <c r="G6" s="140"/>
    </row>
    <row r="7" spans="1:7" x14ac:dyDescent="0.25">
      <c r="A7" s="1" t="str">
        <f>Joints!A30</f>
        <v>Inner Barrel</v>
      </c>
      <c r="B7" s="83">
        <v>2</v>
      </c>
      <c r="C7" s="54">
        <f>Joints!H30</f>
        <v>40</v>
      </c>
      <c r="D7" s="54"/>
      <c r="E7" s="54">
        <v>1</v>
      </c>
      <c r="F7" s="140">
        <v>1</v>
      </c>
      <c r="G7" s="140"/>
    </row>
    <row r="8" spans="1:7" x14ac:dyDescent="0.25">
      <c r="A8" s="1" t="s">
        <v>368</v>
      </c>
      <c r="B8" s="83">
        <v>2</v>
      </c>
      <c r="C8" s="54"/>
      <c r="D8" s="54"/>
      <c r="E8" s="54">
        <v>1</v>
      </c>
      <c r="F8" s="140"/>
      <c r="G8" s="140"/>
    </row>
    <row r="9" spans="1:7" x14ac:dyDescent="0.25">
      <c r="A9" s="1" t="str">
        <f>Joints!A31</f>
        <v>Outer Barrel &amp; Tension Ring</v>
      </c>
      <c r="B9" s="83">
        <v>2</v>
      </c>
      <c r="C9" s="54">
        <f>Joints!H31</f>
        <v>70</v>
      </c>
      <c r="D9" s="54"/>
      <c r="E9" s="54">
        <v>1</v>
      </c>
      <c r="F9" s="140">
        <v>1</v>
      </c>
      <c r="G9" s="137">
        <v>1</v>
      </c>
    </row>
    <row r="10" spans="1:7" x14ac:dyDescent="0.25">
      <c r="A10" s="90" t="s">
        <v>145</v>
      </c>
      <c r="B10" s="91">
        <v>2</v>
      </c>
      <c r="C10" s="90"/>
      <c r="D10" s="91">
        <v>9500</v>
      </c>
      <c r="E10" s="90"/>
      <c r="F10" s="140"/>
      <c r="G10" s="140"/>
    </row>
    <row r="11" spans="1:7" x14ac:dyDescent="0.25">
      <c r="A11" s="1" t="str">
        <f>Joints!A32</f>
        <v>15ft Pup Jt.</v>
      </c>
      <c r="B11" s="83">
        <v>2</v>
      </c>
      <c r="C11" s="54">
        <f>Joints!H32</f>
        <v>15</v>
      </c>
      <c r="D11" s="54"/>
      <c r="E11" s="83">
        <v>1</v>
      </c>
      <c r="F11" s="140">
        <v>1</v>
      </c>
      <c r="G11" s="140">
        <v>1</v>
      </c>
    </row>
    <row r="12" spans="1:7" x14ac:dyDescent="0.25">
      <c r="A12" s="1" t="str">
        <f>Joints!A33</f>
        <v>SLK</v>
      </c>
      <c r="B12" s="83">
        <v>2</v>
      </c>
      <c r="C12" s="54">
        <f>Joints!H33</f>
        <v>75</v>
      </c>
      <c r="D12" s="54"/>
      <c r="E12" s="83">
        <v>1</v>
      </c>
      <c r="F12" s="140">
        <v>1</v>
      </c>
      <c r="G12" s="140">
        <v>1</v>
      </c>
    </row>
    <row r="13" spans="1:7" x14ac:dyDescent="0.25">
      <c r="A13" s="1" t="str">
        <f>Joints!A35</f>
        <v>RJT_3</v>
      </c>
      <c r="B13" s="83">
        <v>2</v>
      </c>
      <c r="C13" s="54">
        <f>Joints!H35</f>
        <v>75</v>
      </c>
      <c r="D13" s="54"/>
      <c r="E13" s="83">
        <v>12</v>
      </c>
      <c r="F13" s="140">
        <v>1</v>
      </c>
      <c r="G13" s="140">
        <v>1</v>
      </c>
    </row>
    <row r="14" spans="1:7" x14ac:dyDescent="0.25">
      <c r="A14" s="1" t="str">
        <f>Joints!A34</f>
        <v>FUV</v>
      </c>
      <c r="B14" s="83">
        <v>2</v>
      </c>
      <c r="C14" s="54">
        <f>Joints!H34</f>
        <v>15</v>
      </c>
      <c r="D14" s="54"/>
      <c r="E14" s="83">
        <v>1</v>
      </c>
      <c r="F14" s="140">
        <v>1</v>
      </c>
      <c r="G14" s="140">
        <v>1</v>
      </c>
    </row>
    <row r="15" spans="1:7" x14ac:dyDescent="0.25">
      <c r="A15" s="1" t="str">
        <f>Joints!A35</f>
        <v>RJT_3</v>
      </c>
      <c r="B15" s="83">
        <v>2</v>
      </c>
      <c r="C15" s="54">
        <f>Joints!H35</f>
        <v>75</v>
      </c>
      <c r="D15" s="54"/>
      <c r="E15" s="83">
        <v>19</v>
      </c>
      <c r="F15" s="140">
        <v>1</v>
      </c>
      <c r="G15" s="140">
        <v>1</v>
      </c>
    </row>
    <row r="16" spans="1:7" x14ac:dyDescent="0.25">
      <c r="A16" s="1" t="str">
        <f>Joints!A36</f>
        <v>RJT_5</v>
      </c>
      <c r="B16" s="83">
        <v>2</v>
      </c>
      <c r="C16" s="54">
        <f>Joints!H36</f>
        <v>75</v>
      </c>
      <c r="D16" s="54"/>
      <c r="E16" s="83">
        <v>27</v>
      </c>
      <c r="F16" s="140">
        <v>1</v>
      </c>
      <c r="G16" s="140">
        <v>1</v>
      </c>
    </row>
    <row r="17" spans="1:7" x14ac:dyDescent="0.25">
      <c r="A17" s="1" t="str">
        <f>Joints!A37</f>
        <v>RJT_7</v>
      </c>
      <c r="B17" s="83">
        <v>2</v>
      </c>
      <c r="C17" s="54">
        <f>Joints!H37</f>
        <v>75</v>
      </c>
      <c r="D17" s="54"/>
      <c r="E17" s="83">
        <v>26</v>
      </c>
      <c r="F17" s="140">
        <v>1</v>
      </c>
      <c r="G17" s="140">
        <v>1</v>
      </c>
    </row>
    <row r="18" spans="1:7" x14ac:dyDescent="0.25">
      <c r="A18" s="1" t="str">
        <f>Joints!A38</f>
        <v>RJT_9</v>
      </c>
      <c r="B18" s="83">
        <v>2</v>
      </c>
      <c r="C18" s="54">
        <f>Joints!H38</f>
        <v>75</v>
      </c>
      <c r="D18" s="54"/>
      <c r="E18" s="83">
        <v>26</v>
      </c>
      <c r="F18" s="140">
        <v>1</v>
      </c>
      <c r="G18" s="140">
        <v>1</v>
      </c>
    </row>
    <row r="19" spans="1:7" x14ac:dyDescent="0.25">
      <c r="A19" s="1" t="str">
        <f>Joints!A39</f>
        <v>RJT_10</v>
      </c>
      <c r="B19" s="83">
        <v>2</v>
      </c>
      <c r="C19" s="54">
        <f>Joints!H39</f>
        <v>75</v>
      </c>
      <c r="D19" s="54"/>
      <c r="E19" s="83">
        <v>9</v>
      </c>
      <c r="F19" s="140">
        <v>1</v>
      </c>
      <c r="G19" s="140">
        <v>1</v>
      </c>
    </row>
    <row r="20" spans="1:7" x14ac:dyDescent="0.25">
      <c r="A20" s="1" t="str">
        <f>Joints!A33</f>
        <v>SLK</v>
      </c>
      <c r="B20" s="83">
        <v>2</v>
      </c>
      <c r="C20" s="54">
        <f>Joints!H33</f>
        <v>75</v>
      </c>
      <c r="D20" s="54"/>
      <c r="E20" s="83">
        <v>5</v>
      </c>
      <c r="F20" s="140">
        <v>1</v>
      </c>
      <c r="G20" s="140">
        <v>1</v>
      </c>
    </row>
    <row r="21" spans="1:7" x14ac:dyDescent="0.25">
      <c r="A21" s="1" t="str">
        <f>Joints!A40</f>
        <v>Riser Adaptor</v>
      </c>
      <c r="B21" s="83">
        <v>2</v>
      </c>
      <c r="C21" s="54">
        <f>Joints!H40</f>
        <v>5</v>
      </c>
      <c r="D21" s="54"/>
      <c r="E21" s="83">
        <v>1</v>
      </c>
      <c r="F21" s="140">
        <v>0.5</v>
      </c>
      <c r="G21" s="140">
        <v>1</v>
      </c>
    </row>
    <row r="22" spans="1:7" x14ac:dyDescent="0.25">
      <c r="A22" s="88" t="s">
        <v>148</v>
      </c>
      <c r="B22" s="83">
        <v>2</v>
      </c>
      <c r="C22" s="83"/>
      <c r="D22" s="54"/>
      <c r="E22" s="54">
        <v>1</v>
      </c>
      <c r="F22" s="140"/>
      <c r="G22" s="140"/>
    </row>
    <row r="23" spans="1:7" x14ac:dyDescent="0.25">
      <c r="A23" s="1" t="str">
        <f>Joints!A41</f>
        <v>LMRP</v>
      </c>
      <c r="B23" s="83">
        <v>2</v>
      </c>
      <c r="C23" s="54">
        <f>Joints!H41</f>
        <v>23.2</v>
      </c>
      <c r="D23" s="54"/>
      <c r="E23" s="54">
        <v>1</v>
      </c>
      <c r="F23" s="140">
        <v>0.25</v>
      </c>
      <c r="G23" s="140"/>
    </row>
    <row r="24" spans="1:7" x14ac:dyDescent="0.25">
      <c r="A24" s="1" t="str">
        <f>Joints!A42</f>
        <v>BOP</v>
      </c>
      <c r="B24" s="83">
        <v>2</v>
      </c>
      <c r="C24" s="54">
        <f>Joints!H42</f>
        <v>31.2</v>
      </c>
      <c r="D24" s="54"/>
      <c r="E24" s="54">
        <v>1</v>
      </c>
      <c r="F24" s="140">
        <v>0.25</v>
      </c>
      <c r="G24" s="140"/>
    </row>
    <row r="25" spans="1:7" x14ac:dyDescent="0.25">
      <c r="A25" s="1" t="str">
        <f>Joints!A43</f>
        <v>Wellhead</v>
      </c>
      <c r="B25" s="83">
        <v>2</v>
      </c>
      <c r="C25" s="54">
        <f>Joints!H43</f>
        <v>2</v>
      </c>
      <c r="D25" s="83">
        <v>5</v>
      </c>
      <c r="E25" s="54">
        <v>1</v>
      </c>
      <c r="F25" s="140">
        <v>0.25</v>
      </c>
      <c r="G25" s="140"/>
    </row>
    <row r="26" spans="1:7" x14ac:dyDescent="0.25">
      <c r="A26" s="66" t="s">
        <v>155</v>
      </c>
      <c r="B26" s="94">
        <v>2</v>
      </c>
      <c r="C26" s="66"/>
      <c r="D26" s="66"/>
      <c r="E26" s="66"/>
      <c r="F26" s="140"/>
      <c r="G26" s="140"/>
    </row>
    <row r="27" spans="1:7" x14ac:dyDescent="0.25">
      <c r="A27" s="1" t="str">
        <f>Joints!A44</f>
        <v>Conductor Program</v>
      </c>
      <c r="B27" s="83">
        <v>2</v>
      </c>
      <c r="C27" s="87">
        <f>Joints!H44</f>
        <v>200</v>
      </c>
      <c r="D27" s="87"/>
      <c r="E27" s="87">
        <v>1</v>
      </c>
      <c r="F27" s="97">
        <v>0.25</v>
      </c>
      <c r="G27" s="140"/>
    </row>
    <row r="28" spans="1:7" x14ac:dyDescent="0.25">
      <c r="A28" s="64"/>
      <c r="B28" s="6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5"/>
  <sheetViews>
    <sheetView topLeftCell="A35" zoomScale="85" zoomScaleNormal="85" workbookViewId="0">
      <selection activeCell="I57" sqref="I57"/>
    </sheetView>
  </sheetViews>
  <sheetFormatPr defaultRowHeight="14.25" x14ac:dyDescent="0.2"/>
  <cols>
    <col min="1" max="1" width="21" style="41" customWidth="1"/>
    <col min="2" max="3" width="9.140625" style="41"/>
    <col min="4" max="5" width="21.42578125" style="41" customWidth="1"/>
    <col min="6" max="6" width="11.7109375" style="41" customWidth="1"/>
    <col min="7" max="11" width="8" style="41" customWidth="1"/>
    <col min="12" max="12" width="10.85546875" style="41" customWidth="1"/>
    <col min="13" max="14" width="6.5703125" style="41" customWidth="1"/>
    <col min="15" max="23" width="9.140625" style="41"/>
    <col min="24" max="24" width="10.85546875" style="41" customWidth="1"/>
    <col min="25" max="16384" width="9.140625" style="41"/>
  </cols>
  <sheetData>
    <row r="1" spans="1:25" x14ac:dyDescent="0.2">
      <c r="A1" s="41" t="s">
        <v>259</v>
      </c>
      <c r="D1" s="40"/>
      <c r="E1" s="40"/>
      <c r="F1" s="40"/>
      <c r="G1" s="144" t="s">
        <v>123</v>
      </c>
      <c r="H1" s="144"/>
      <c r="I1" s="144"/>
      <c r="J1" s="84"/>
      <c r="K1" s="84"/>
      <c r="L1" s="84"/>
      <c r="M1" s="145" t="s">
        <v>98</v>
      </c>
      <c r="N1" s="146"/>
      <c r="O1" s="144" t="s">
        <v>88</v>
      </c>
      <c r="P1" s="144"/>
      <c r="Q1" s="144"/>
      <c r="R1" s="144"/>
      <c r="S1" s="144"/>
      <c r="T1" s="144"/>
      <c r="U1" s="144"/>
      <c r="V1" s="144"/>
      <c r="W1" s="144"/>
      <c r="X1" s="144"/>
      <c r="Y1" s="86"/>
    </row>
    <row r="2" spans="1:25" ht="86.25" x14ac:dyDescent="0.25">
      <c r="A2" s="51" t="s">
        <v>137</v>
      </c>
      <c r="B2" s="53" t="s">
        <v>270</v>
      </c>
      <c r="C2" s="53" t="s">
        <v>255</v>
      </c>
      <c r="D2" s="49" t="s">
        <v>12</v>
      </c>
      <c r="E2" s="49" t="s">
        <v>251</v>
      </c>
      <c r="F2" s="42" t="s">
        <v>92</v>
      </c>
      <c r="G2" s="43" t="s">
        <v>93</v>
      </c>
      <c r="H2" s="42" t="s">
        <v>96</v>
      </c>
      <c r="I2" s="42" t="s">
        <v>94</v>
      </c>
      <c r="J2" s="42" t="s">
        <v>256</v>
      </c>
      <c r="K2" s="42" t="s">
        <v>257</v>
      </c>
      <c r="L2" s="42" t="s">
        <v>247</v>
      </c>
      <c r="M2" s="42" t="s">
        <v>244</v>
      </c>
      <c r="N2" s="42" t="s">
        <v>245</v>
      </c>
      <c r="O2" s="42" t="s">
        <v>6</v>
      </c>
      <c r="P2" s="42" t="s">
        <v>341</v>
      </c>
      <c r="Q2" s="42" t="s">
        <v>264</v>
      </c>
      <c r="R2" s="42" t="s">
        <v>262</v>
      </c>
      <c r="S2" s="42" t="s">
        <v>266</v>
      </c>
      <c r="T2" s="42" t="s">
        <v>260</v>
      </c>
      <c r="U2" s="42" t="s">
        <v>265</v>
      </c>
      <c r="V2" s="42" t="s">
        <v>263</v>
      </c>
      <c r="W2" s="42" t="s">
        <v>267</v>
      </c>
      <c r="X2" s="42" t="s">
        <v>261</v>
      </c>
      <c r="Y2" s="86" t="s">
        <v>131</v>
      </c>
    </row>
    <row r="3" spans="1:25" ht="15" x14ac:dyDescent="0.25">
      <c r="A3" s="41" t="s">
        <v>259</v>
      </c>
      <c r="B3" s="1"/>
      <c r="C3" s="1"/>
      <c r="D3" s="40"/>
      <c r="E3" s="40"/>
      <c r="F3" s="8" t="s">
        <v>91</v>
      </c>
      <c r="G3" s="43" t="s">
        <v>89</v>
      </c>
      <c r="H3" s="43" t="s">
        <v>91</v>
      </c>
      <c r="I3" s="8" t="s">
        <v>89</v>
      </c>
      <c r="J3" s="8"/>
      <c r="K3" s="8"/>
      <c r="L3" s="8"/>
      <c r="M3" s="8" t="s">
        <v>99</v>
      </c>
      <c r="N3" s="8" t="s">
        <v>99</v>
      </c>
      <c r="O3" s="43" t="s">
        <v>89</v>
      </c>
      <c r="P3" s="43" t="s">
        <v>89</v>
      </c>
      <c r="Q3" s="43" t="s">
        <v>90</v>
      </c>
      <c r="R3" s="43" t="s">
        <v>90</v>
      </c>
      <c r="S3" s="43" t="s">
        <v>90</v>
      </c>
      <c r="T3" s="43" t="s">
        <v>90</v>
      </c>
      <c r="U3" s="43" t="s">
        <v>90</v>
      </c>
      <c r="V3" s="43" t="s">
        <v>90</v>
      </c>
      <c r="W3" s="43" t="s">
        <v>90</v>
      </c>
      <c r="X3" s="43" t="s">
        <v>90</v>
      </c>
    </row>
    <row r="4" spans="1:25" ht="15" x14ac:dyDescent="0.25">
      <c r="A4" s="88" t="s">
        <v>133</v>
      </c>
      <c r="B4" s="83">
        <v>1</v>
      </c>
      <c r="C4" s="54"/>
      <c r="D4" s="40" t="s">
        <v>133</v>
      </c>
      <c r="E4" s="40" t="s">
        <v>254</v>
      </c>
      <c r="F4" s="8" t="s">
        <v>109</v>
      </c>
      <c r="G4" s="8">
        <v>21</v>
      </c>
      <c r="H4" s="44">
        <v>15</v>
      </c>
      <c r="I4" s="8">
        <v>0.875</v>
      </c>
      <c r="J4" s="93">
        <v>1</v>
      </c>
      <c r="K4" s="93">
        <v>1</v>
      </c>
      <c r="L4" s="93" t="s">
        <v>250</v>
      </c>
      <c r="M4" s="44">
        <v>1</v>
      </c>
      <c r="N4" s="44">
        <v>1</v>
      </c>
      <c r="O4" s="8"/>
      <c r="P4" s="8"/>
      <c r="Q4" s="96">
        <v>0.7</v>
      </c>
      <c r="R4" s="96">
        <v>1</v>
      </c>
      <c r="S4" s="96">
        <v>1</v>
      </c>
      <c r="T4" s="44"/>
      <c r="U4" s="95">
        <v>0.08</v>
      </c>
      <c r="V4" s="95">
        <v>0.08</v>
      </c>
      <c r="W4" s="96">
        <v>0.1</v>
      </c>
      <c r="X4" s="44"/>
    </row>
    <row r="5" spans="1:25" ht="15" x14ac:dyDescent="0.25">
      <c r="A5" s="88" t="str">
        <f>H5&amp;"ft "&amp;D5</f>
        <v>75ft Bare jt.  - protected</v>
      </c>
      <c r="B5" s="83">
        <v>1</v>
      </c>
      <c r="C5" s="54"/>
      <c r="D5" s="40" t="s">
        <v>87</v>
      </c>
      <c r="E5" s="40" t="s">
        <v>253</v>
      </c>
      <c r="F5" s="8" t="s">
        <v>109</v>
      </c>
      <c r="G5" s="8">
        <v>21</v>
      </c>
      <c r="H5" s="44">
        <v>75</v>
      </c>
      <c r="I5" s="8">
        <v>0.875</v>
      </c>
      <c r="J5" s="93">
        <v>1</v>
      </c>
      <c r="K5" s="93">
        <v>1</v>
      </c>
      <c r="L5" s="93" t="s">
        <v>246</v>
      </c>
      <c r="M5" s="44">
        <v>42</v>
      </c>
      <c r="N5" s="44">
        <v>27</v>
      </c>
      <c r="O5" s="8">
        <v>51</v>
      </c>
      <c r="P5" s="8"/>
      <c r="Q5" s="96">
        <v>0.7</v>
      </c>
      <c r="R5" s="96">
        <v>1</v>
      </c>
      <c r="S5" s="96">
        <v>1</v>
      </c>
      <c r="T5" s="44"/>
      <c r="U5" s="95">
        <v>0.08</v>
      </c>
      <c r="V5" s="95">
        <v>0.08</v>
      </c>
      <c r="W5" s="96">
        <v>0.1</v>
      </c>
      <c r="X5" s="44"/>
    </row>
    <row r="6" spans="1:25" ht="15" x14ac:dyDescent="0.25">
      <c r="A6" s="88" t="str">
        <f>H6&amp;"ft "&amp;D6&amp;" "&amp;F6&amp;" ft rating"</f>
        <v>75ft Buoyancy Jt. 2500 ft rating</v>
      </c>
      <c r="B6" s="83">
        <v>1</v>
      </c>
      <c r="C6" s="54"/>
      <c r="D6" s="40" t="s">
        <v>95</v>
      </c>
      <c r="E6" s="40" t="s">
        <v>253</v>
      </c>
      <c r="F6" s="92">
        <v>2500</v>
      </c>
      <c r="G6" s="8">
        <v>21</v>
      </c>
      <c r="H6" s="44">
        <v>75</v>
      </c>
      <c r="I6" s="8">
        <v>0.875</v>
      </c>
      <c r="J6" s="93">
        <v>1</v>
      </c>
      <c r="K6" s="93">
        <v>1</v>
      </c>
      <c r="L6" s="93" t="s">
        <v>246</v>
      </c>
      <c r="M6" s="44">
        <v>49</v>
      </c>
      <c r="N6" s="44">
        <v>-2</v>
      </c>
      <c r="O6" s="8">
        <v>54</v>
      </c>
      <c r="P6" s="8"/>
      <c r="Q6" s="96">
        <v>0.7</v>
      </c>
      <c r="R6" s="96">
        <v>1</v>
      </c>
      <c r="S6" s="96">
        <v>1</v>
      </c>
      <c r="T6" s="44"/>
      <c r="U6" s="95">
        <v>0.08</v>
      </c>
      <c r="V6" s="95">
        <v>0.08</v>
      </c>
      <c r="W6" s="96">
        <v>0.1</v>
      </c>
      <c r="X6" s="44"/>
    </row>
    <row r="7" spans="1:25" ht="15" x14ac:dyDescent="0.25">
      <c r="A7" s="88" t="str">
        <f>H7&amp;"ft "&amp;D7&amp;" "&amp;F7&amp;" ft rating"</f>
        <v>75ft Buoyancy Jt. 5000 ft rating</v>
      </c>
      <c r="B7" s="83">
        <v>1</v>
      </c>
      <c r="C7" s="54"/>
      <c r="D7" s="40" t="s">
        <v>95</v>
      </c>
      <c r="E7" s="40" t="s">
        <v>253</v>
      </c>
      <c r="F7" s="92">
        <v>5000</v>
      </c>
      <c r="G7" s="8">
        <v>21</v>
      </c>
      <c r="H7" s="44">
        <v>75</v>
      </c>
      <c r="I7" s="8">
        <v>0.875</v>
      </c>
      <c r="J7" s="93">
        <v>1</v>
      </c>
      <c r="K7" s="93">
        <v>1</v>
      </c>
      <c r="L7" s="93" t="s">
        <v>246</v>
      </c>
      <c r="M7" s="44">
        <v>52</v>
      </c>
      <c r="N7" s="44">
        <v>1</v>
      </c>
      <c r="O7" s="8">
        <v>54</v>
      </c>
      <c r="P7" s="8"/>
      <c r="Q7" s="96">
        <v>0.7</v>
      </c>
      <c r="R7" s="96">
        <v>1</v>
      </c>
      <c r="S7" s="96">
        <v>1</v>
      </c>
      <c r="T7" s="44"/>
      <c r="U7" s="95">
        <v>0.08</v>
      </c>
      <c r="V7" s="95">
        <v>0.08</v>
      </c>
      <c r="W7" s="96">
        <v>0.1</v>
      </c>
      <c r="X7" s="44"/>
    </row>
    <row r="8" spans="1:25" ht="15" x14ac:dyDescent="0.25">
      <c r="A8" s="88" t="str">
        <f>H8&amp;"ft "&amp;D8&amp;" "&amp;F8&amp;" ft rating"</f>
        <v>75ft Buoyancy Jt. 7500 ft rating</v>
      </c>
      <c r="B8" s="83">
        <v>1</v>
      </c>
      <c r="C8" s="54"/>
      <c r="D8" s="40" t="s">
        <v>95</v>
      </c>
      <c r="E8" s="40" t="s">
        <v>253</v>
      </c>
      <c r="F8" s="92">
        <v>7500</v>
      </c>
      <c r="G8" s="8">
        <v>21</v>
      </c>
      <c r="H8" s="44">
        <v>75</v>
      </c>
      <c r="I8" s="8">
        <v>0.875</v>
      </c>
      <c r="J8" s="93">
        <v>1</v>
      </c>
      <c r="K8" s="93">
        <v>1</v>
      </c>
      <c r="L8" s="93" t="s">
        <v>246</v>
      </c>
      <c r="M8" s="44">
        <v>56</v>
      </c>
      <c r="N8" s="44">
        <v>5</v>
      </c>
      <c r="O8" s="8">
        <v>54</v>
      </c>
      <c r="P8" s="8"/>
      <c r="Q8" s="96">
        <v>0.7</v>
      </c>
      <c r="R8" s="96">
        <v>1</v>
      </c>
      <c r="S8" s="96">
        <v>1</v>
      </c>
      <c r="T8" s="44"/>
      <c r="U8" s="95">
        <v>0.08</v>
      </c>
      <c r="V8" s="95">
        <v>0.08</v>
      </c>
      <c r="W8" s="96">
        <v>0.1</v>
      </c>
      <c r="X8" s="44"/>
    </row>
    <row r="9" spans="1:25" ht="15" x14ac:dyDescent="0.25">
      <c r="A9" s="88" t="str">
        <f>H9&amp;"ft "&amp;D9&amp;" "&amp;F9&amp;" ft rating"</f>
        <v>75ft Buoyancy Jt. 10000 ft rating</v>
      </c>
      <c r="B9" s="83">
        <v>1</v>
      </c>
      <c r="C9" s="54"/>
      <c r="D9" s="40" t="s">
        <v>95</v>
      </c>
      <c r="E9" s="40" t="s">
        <v>253</v>
      </c>
      <c r="F9" s="92">
        <v>10000</v>
      </c>
      <c r="G9" s="8">
        <v>21</v>
      </c>
      <c r="H9" s="44">
        <v>75</v>
      </c>
      <c r="I9" s="8">
        <v>0.875</v>
      </c>
      <c r="J9" s="93">
        <v>1</v>
      </c>
      <c r="K9" s="93">
        <v>1</v>
      </c>
      <c r="L9" s="93" t="s">
        <v>246</v>
      </c>
      <c r="M9" s="44">
        <v>59</v>
      </c>
      <c r="N9" s="44">
        <v>8</v>
      </c>
      <c r="O9" s="8">
        <v>54</v>
      </c>
      <c r="P9" s="8"/>
      <c r="Q9" s="96">
        <v>0.7</v>
      </c>
      <c r="R9" s="96">
        <v>1</v>
      </c>
      <c r="S9" s="96">
        <v>1</v>
      </c>
      <c r="T9" s="44"/>
      <c r="U9" s="95">
        <v>0.08</v>
      </c>
      <c r="V9" s="95">
        <v>0.08</v>
      </c>
      <c r="W9" s="96">
        <v>0.1</v>
      </c>
      <c r="X9" s="44"/>
    </row>
    <row r="10" spans="1:25" ht="15" x14ac:dyDescent="0.25">
      <c r="A10" s="88" t="str">
        <f t="shared" ref="A10:A16" si="0">H10&amp;"ft "&amp;D10</f>
        <v>5ft Pup Jt.</v>
      </c>
      <c r="B10" s="83">
        <v>1</v>
      </c>
      <c r="C10" s="54"/>
      <c r="D10" s="40" t="s">
        <v>97</v>
      </c>
      <c r="E10" s="40" t="s">
        <v>253</v>
      </c>
      <c r="F10" s="8" t="s">
        <v>109</v>
      </c>
      <c r="G10" s="8">
        <v>21</v>
      </c>
      <c r="H10" s="44">
        <v>5</v>
      </c>
      <c r="I10" s="8">
        <v>0.875</v>
      </c>
      <c r="J10" s="93">
        <v>1</v>
      </c>
      <c r="K10" s="93">
        <v>1</v>
      </c>
      <c r="L10" s="93" t="s">
        <v>246</v>
      </c>
      <c r="M10" s="44">
        <v>10</v>
      </c>
      <c r="N10" s="44">
        <v>9</v>
      </c>
      <c r="O10" s="8">
        <v>51</v>
      </c>
      <c r="P10" s="8"/>
      <c r="Q10" s="96">
        <v>0.7</v>
      </c>
      <c r="R10" s="96">
        <v>1</v>
      </c>
      <c r="S10" s="96">
        <v>1</v>
      </c>
      <c r="T10" s="44"/>
      <c r="U10" s="95">
        <v>0.08</v>
      </c>
      <c r="V10" s="95">
        <v>0.08</v>
      </c>
      <c r="W10" s="96">
        <v>0.1</v>
      </c>
      <c r="X10" s="44"/>
    </row>
    <row r="11" spans="1:25" ht="15" x14ac:dyDescent="0.25">
      <c r="A11" s="88" t="str">
        <f t="shared" si="0"/>
        <v>10ft Pup Jt.</v>
      </c>
      <c r="B11" s="83">
        <v>1</v>
      </c>
      <c r="C11" s="54"/>
      <c r="D11" s="40" t="s">
        <v>97</v>
      </c>
      <c r="E11" s="40" t="s">
        <v>253</v>
      </c>
      <c r="F11" s="8" t="s">
        <v>109</v>
      </c>
      <c r="G11" s="8">
        <v>21</v>
      </c>
      <c r="H11" s="44">
        <v>10</v>
      </c>
      <c r="I11" s="8">
        <v>0.875</v>
      </c>
      <c r="J11" s="93">
        <v>1</v>
      </c>
      <c r="K11" s="93">
        <v>1</v>
      </c>
      <c r="L11" s="93" t="s">
        <v>246</v>
      </c>
      <c r="M11" s="44">
        <v>11</v>
      </c>
      <c r="N11" s="44">
        <v>9.5</v>
      </c>
      <c r="O11" s="8">
        <v>51</v>
      </c>
      <c r="P11" s="8"/>
      <c r="Q11" s="96">
        <v>0.7</v>
      </c>
      <c r="R11" s="96">
        <v>1</v>
      </c>
      <c r="S11" s="96">
        <v>1</v>
      </c>
      <c r="T11" s="44"/>
      <c r="U11" s="95">
        <v>0.08</v>
      </c>
      <c r="V11" s="95">
        <v>0.08</v>
      </c>
      <c r="W11" s="96">
        <v>0.1</v>
      </c>
      <c r="X11" s="44"/>
    </row>
    <row r="12" spans="1:25" ht="15" x14ac:dyDescent="0.25">
      <c r="A12" s="88" t="str">
        <f t="shared" si="0"/>
        <v>15ft Pup Jt.</v>
      </c>
      <c r="B12" s="83">
        <v>1</v>
      </c>
      <c r="C12" s="54"/>
      <c r="D12" s="40" t="s">
        <v>97</v>
      </c>
      <c r="E12" s="40" t="s">
        <v>253</v>
      </c>
      <c r="F12" s="8" t="s">
        <v>109</v>
      </c>
      <c r="G12" s="8">
        <v>21</v>
      </c>
      <c r="H12" s="44">
        <v>15</v>
      </c>
      <c r="I12" s="8">
        <v>0.875</v>
      </c>
      <c r="J12" s="93">
        <v>1</v>
      </c>
      <c r="K12" s="93">
        <v>1</v>
      </c>
      <c r="L12" s="93" t="s">
        <v>246</v>
      </c>
      <c r="M12" s="44">
        <v>13.5</v>
      </c>
      <c r="N12" s="44">
        <v>10.75</v>
      </c>
      <c r="O12" s="8">
        <v>51</v>
      </c>
      <c r="P12" s="8"/>
      <c r="Q12" s="96">
        <v>0.7</v>
      </c>
      <c r="R12" s="96">
        <v>1</v>
      </c>
      <c r="S12" s="96">
        <v>1</v>
      </c>
      <c r="T12" s="44"/>
      <c r="U12" s="95">
        <v>0.08</v>
      </c>
      <c r="V12" s="95">
        <v>0.08</v>
      </c>
      <c r="W12" s="96">
        <v>0.1</v>
      </c>
      <c r="X12" s="44"/>
    </row>
    <row r="13" spans="1:25" ht="15" x14ac:dyDescent="0.25">
      <c r="A13" s="88" t="str">
        <f t="shared" si="0"/>
        <v>20ft Pup Jt.</v>
      </c>
      <c r="B13" s="83">
        <v>1</v>
      </c>
      <c r="C13" s="54"/>
      <c r="D13" s="40" t="s">
        <v>97</v>
      </c>
      <c r="E13" s="40" t="s">
        <v>253</v>
      </c>
      <c r="F13" s="8" t="s">
        <v>109</v>
      </c>
      <c r="G13" s="8">
        <v>21</v>
      </c>
      <c r="H13" s="44">
        <v>20</v>
      </c>
      <c r="I13" s="8">
        <v>0.875</v>
      </c>
      <c r="J13" s="93">
        <v>1</v>
      </c>
      <c r="K13" s="93">
        <v>1</v>
      </c>
      <c r="L13" s="93" t="s">
        <v>246</v>
      </c>
      <c r="M13" s="44">
        <v>16</v>
      </c>
      <c r="N13" s="44">
        <v>12</v>
      </c>
      <c r="O13" s="8">
        <v>51</v>
      </c>
      <c r="P13" s="8"/>
      <c r="Q13" s="96">
        <v>0.7</v>
      </c>
      <c r="R13" s="96">
        <v>1</v>
      </c>
      <c r="S13" s="96">
        <v>1</v>
      </c>
      <c r="T13" s="44"/>
      <c r="U13" s="95">
        <v>0.08</v>
      </c>
      <c r="V13" s="95">
        <v>0.08</v>
      </c>
      <c r="W13" s="96">
        <v>0.1</v>
      </c>
      <c r="X13" s="44"/>
    </row>
    <row r="14" spans="1:25" ht="15" x14ac:dyDescent="0.25">
      <c r="A14" s="88" t="str">
        <f t="shared" si="0"/>
        <v>25ft Pup Jt.</v>
      </c>
      <c r="B14" s="83">
        <v>1</v>
      </c>
      <c r="C14" s="54"/>
      <c r="D14" s="40" t="s">
        <v>97</v>
      </c>
      <c r="E14" s="40" t="s">
        <v>253</v>
      </c>
      <c r="F14" s="8" t="s">
        <v>109</v>
      </c>
      <c r="G14" s="8">
        <v>21</v>
      </c>
      <c r="H14" s="44">
        <v>25</v>
      </c>
      <c r="I14" s="8">
        <v>0.875</v>
      </c>
      <c r="J14" s="93">
        <v>1</v>
      </c>
      <c r="K14" s="93">
        <v>1</v>
      </c>
      <c r="L14" s="93" t="s">
        <v>246</v>
      </c>
      <c r="M14" s="44">
        <v>16</v>
      </c>
      <c r="N14" s="44">
        <v>12</v>
      </c>
      <c r="O14" s="8">
        <v>51</v>
      </c>
      <c r="P14" s="8"/>
      <c r="Q14" s="96">
        <v>0.7</v>
      </c>
      <c r="R14" s="96">
        <v>1</v>
      </c>
      <c r="S14" s="96">
        <v>1</v>
      </c>
      <c r="T14" s="44"/>
      <c r="U14" s="95">
        <v>0.08</v>
      </c>
      <c r="V14" s="95">
        <v>0.08</v>
      </c>
      <c r="W14" s="96">
        <v>0.1</v>
      </c>
      <c r="X14" s="44"/>
    </row>
    <row r="15" spans="1:25" ht="15" x14ac:dyDescent="0.25">
      <c r="A15" s="88" t="str">
        <f t="shared" si="0"/>
        <v>30ft Pup Jt.</v>
      </c>
      <c r="B15" s="83">
        <v>1</v>
      </c>
      <c r="C15" s="54"/>
      <c r="D15" s="40" t="s">
        <v>97</v>
      </c>
      <c r="E15" s="40" t="s">
        <v>253</v>
      </c>
      <c r="F15" s="8" t="s">
        <v>109</v>
      </c>
      <c r="G15" s="8">
        <v>21</v>
      </c>
      <c r="H15" s="44">
        <v>30</v>
      </c>
      <c r="I15" s="8">
        <v>0.875</v>
      </c>
      <c r="J15" s="93">
        <v>1</v>
      </c>
      <c r="K15" s="93">
        <v>1</v>
      </c>
      <c r="L15" s="93" t="s">
        <v>246</v>
      </c>
      <c r="M15" s="44">
        <v>16</v>
      </c>
      <c r="N15" s="44">
        <v>12</v>
      </c>
      <c r="O15" s="8">
        <v>51</v>
      </c>
      <c r="P15" s="8"/>
      <c r="Q15" s="96">
        <v>0.7</v>
      </c>
      <c r="R15" s="96">
        <v>1</v>
      </c>
      <c r="S15" s="96">
        <v>1</v>
      </c>
      <c r="T15" s="44"/>
      <c r="U15" s="95">
        <v>0.08</v>
      </c>
      <c r="V15" s="95">
        <v>0.08</v>
      </c>
      <c r="W15" s="96">
        <v>0.1</v>
      </c>
      <c r="X15" s="44"/>
    </row>
    <row r="16" spans="1:25" ht="15" x14ac:dyDescent="0.25">
      <c r="A16" s="88" t="str">
        <f t="shared" si="0"/>
        <v>40ft Pup Jt.</v>
      </c>
      <c r="B16" s="83">
        <v>1</v>
      </c>
      <c r="C16" s="54"/>
      <c r="D16" s="40" t="s">
        <v>97</v>
      </c>
      <c r="E16" s="40" t="s">
        <v>253</v>
      </c>
      <c r="F16" s="8" t="s">
        <v>109</v>
      </c>
      <c r="G16" s="8">
        <v>21</v>
      </c>
      <c r="H16" s="44">
        <v>40</v>
      </c>
      <c r="I16" s="8">
        <v>0.875</v>
      </c>
      <c r="J16" s="93">
        <v>1</v>
      </c>
      <c r="K16" s="93">
        <v>1</v>
      </c>
      <c r="L16" s="93" t="s">
        <v>246</v>
      </c>
      <c r="M16" s="44">
        <v>26</v>
      </c>
      <c r="N16" s="44">
        <v>17</v>
      </c>
      <c r="O16" s="8">
        <v>51</v>
      </c>
      <c r="P16" s="8"/>
      <c r="Q16" s="96">
        <v>0.7</v>
      </c>
      <c r="R16" s="96">
        <v>1</v>
      </c>
      <c r="S16" s="96">
        <v>1</v>
      </c>
      <c r="T16" s="44"/>
      <c r="U16" s="95">
        <v>0.08</v>
      </c>
      <c r="V16" s="95">
        <v>0.08</v>
      </c>
      <c r="W16" s="96">
        <v>0.1</v>
      </c>
      <c r="X16" s="44"/>
    </row>
    <row r="17" spans="1:24" ht="29.25" x14ac:dyDescent="0.25">
      <c r="A17" s="89" t="s">
        <v>135</v>
      </c>
      <c r="B17" s="83">
        <v>1</v>
      </c>
      <c r="C17" s="54"/>
      <c r="D17" s="42" t="s">
        <v>100</v>
      </c>
      <c r="E17" s="40" t="s">
        <v>254</v>
      </c>
      <c r="F17" s="8" t="s">
        <v>109</v>
      </c>
      <c r="G17" s="8">
        <v>21</v>
      </c>
      <c r="H17" s="44">
        <v>10</v>
      </c>
      <c r="I17" s="8">
        <v>0.875</v>
      </c>
      <c r="J17" s="93">
        <v>1</v>
      </c>
      <c r="K17" s="93">
        <v>1</v>
      </c>
      <c r="L17" s="93" t="s">
        <v>246</v>
      </c>
      <c r="M17" s="45">
        <v>21</v>
      </c>
      <c r="N17" s="45">
        <v>18</v>
      </c>
      <c r="O17" s="8">
        <v>45</v>
      </c>
      <c r="P17" s="8"/>
      <c r="Q17" s="96">
        <v>0.7</v>
      </c>
      <c r="R17" s="96">
        <v>1</v>
      </c>
      <c r="S17" s="96">
        <v>1</v>
      </c>
      <c r="T17" s="44"/>
      <c r="U17" s="95">
        <v>0.08</v>
      </c>
      <c r="V17" s="95">
        <v>0.08</v>
      </c>
      <c r="W17" s="96">
        <v>0.1</v>
      </c>
      <c r="X17" s="44"/>
    </row>
    <row r="18" spans="1:24" ht="29.25" x14ac:dyDescent="0.25">
      <c r="A18" s="89" t="s">
        <v>136</v>
      </c>
      <c r="B18" s="83">
        <v>1</v>
      </c>
      <c r="C18" s="54"/>
      <c r="D18" s="42" t="s">
        <v>101</v>
      </c>
      <c r="E18" s="40" t="s">
        <v>254</v>
      </c>
      <c r="F18" s="8" t="s">
        <v>109</v>
      </c>
      <c r="G18" s="8">
        <v>26</v>
      </c>
      <c r="H18" s="44">
        <v>60</v>
      </c>
      <c r="I18" s="46">
        <v>1</v>
      </c>
      <c r="J18" s="93">
        <v>1</v>
      </c>
      <c r="K18" s="93">
        <v>1</v>
      </c>
      <c r="L18" s="93" t="s">
        <v>246</v>
      </c>
      <c r="M18" s="45">
        <v>60</v>
      </c>
      <c r="N18" s="45">
        <v>52</v>
      </c>
      <c r="O18" s="8">
        <v>45</v>
      </c>
      <c r="P18" s="8"/>
      <c r="Q18" s="96">
        <v>0.7</v>
      </c>
      <c r="R18" s="96">
        <v>1</v>
      </c>
      <c r="S18" s="96">
        <v>1</v>
      </c>
      <c r="T18" s="44"/>
      <c r="U18" s="95">
        <v>0.08</v>
      </c>
      <c r="V18" s="95">
        <v>0.08</v>
      </c>
      <c r="W18" s="96">
        <v>0.1</v>
      </c>
      <c r="X18" s="44"/>
    </row>
    <row r="19" spans="1:24" ht="15" x14ac:dyDescent="0.25">
      <c r="A19" s="89" t="s">
        <v>110</v>
      </c>
      <c r="B19" s="83">
        <v>1</v>
      </c>
      <c r="C19" s="54"/>
      <c r="D19" s="40" t="s">
        <v>110</v>
      </c>
      <c r="E19" s="40" t="s">
        <v>254</v>
      </c>
      <c r="F19" s="8" t="s">
        <v>109</v>
      </c>
      <c r="G19" s="8">
        <v>23.75</v>
      </c>
      <c r="H19" s="44">
        <v>6</v>
      </c>
      <c r="I19" s="46">
        <v>2.5</v>
      </c>
      <c r="J19" s="93">
        <v>1</v>
      </c>
      <c r="K19" s="93">
        <v>1</v>
      </c>
      <c r="L19" s="93" t="s">
        <v>246</v>
      </c>
      <c r="M19" s="44">
        <v>13</v>
      </c>
      <c r="N19" s="44">
        <v>11</v>
      </c>
      <c r="O19" s="8">
        <v>30</v>
      </c>
      <c r="P19" s="8"/>
      <c r="Q19" s="96">
        <v>0.7</v>
      </c>
      <c r="R19" s="96">
        <v>1</v>
      </c>
      <c r="S19" s="96">
        <v>1</v>
      </c>
      <c r="T19" s="44"/>
      <c r="U19" s="95">
        <v>0.08</v>
      </c>
      <c r="V19" s="95">
        <v>0.08</v>
      </c>
      <c r="W19" s="96">
        <v>0.1</v>
      </c>
      <c r="X19" s="44"/>
    </row>
    <row r="20" spans="1:24" ht="15" x14ac:dyDescent="0.25">
      <c r="A20" s="89" t="s">
        <v>103</v>
      </c>
      <c r="B20" s="83">
        <v>1</v>
      </c>
      <c r="C20" s="54"/>
      <c r="D20" s="40" t="s">
        <v>111</v>
      </c>
      <c r="E20" s="40" t="s">
        <v>254</v>
      </c>
      <c r="F20" s="8" t="s">
        <v>109</v>
      </c>
      <c r="G20" s="8">
        <v>23.75</v>
      </c>
      <c r="H20" s="44">
        <v>20</v>
      </c>
      <c r="I20" s="46">
        <v>2.5</v>
      </c>
      <c r="J20" s="93">
        <v>1</v>
      </c>
      <c r="K20" s="93">
        <v>1</v>
      </c>
      <c r="L20" s="93" t="s">
        <v>246</v>
      </c>
      <c r="M20" s="45">
        <v>300</v>
      </c>
      <c r="N20" s="45">
        <v>250</v>
      </c>
      <c r="O20" s="8">
        <v>220</v>
      </c>
      <c r="P20" s="8"/>
      <c r="Q20" s="96">
        <v>0.5</v>
      </c>
      <c r="R20" s="96">
        <v>0.5</v>
      </c>
      <c r="S20" s="96">
        <v>0.4</v>
      </c>
      <c r="T20" s="44"/>
      <c r="U20" s="95">
        <v>0.08</v>
      </c>
      <c r="V20" s="95">
        <v>0.08</v>
      </c>
      <c r="W20" s="96">
        <v>0.1</v>
      </c>
      <c r="X20" s="44"/>
    </row>
    <row r="21" spans="1:24" ht="15" x14ac:dyDescent="0.25">
      <c r="A21" s="89" t="s">
        <v>104</v>
      </c>
      <c r="B21" s="83">
        <v>1</v>
      </c>
      <c r="C21" s="54"/>
      <c r="D21" s="40" t="s">
        <v>104</v>
      </c>
      <c r="E21" s="40" t="s">
        <v>254</v>
      </c>
      <c r="F21" s="8" t="s">
        <v>109</v>
      </c>
      <c r="G21" s="8">
        <v>23.75</v>
      </c>
      <c r="H21" s="44">
        <v>23</v>
      </c>
      <c r="I21" s="46">
        <v>2.5</v>
      </c>
      <c r="J21" s="93">
        <v>1</v>
      </c>
      <c r="K21" s="93">
        <v>1</v>
      </c>
      <c r="L21" s="93" t="s">
        <v>246</v>
      </c>
      <c r="M21" s="48">
        <v>480</v>
      </c>
      <c r="N21" s="48">
        <v>415</v>
      </c>
      <c r="O21" s="48">
        <v>220</v>
      </c>
      <c r="P21" s="48"/>
      <c r="Q21" s="96">
        <v>0.5</v>
      </c>
      <c r="R21" s="96">
        <v>0.5</v>
      </c>
      <c r="S21" s="96">
        <v>0.4</v>
      </c>
      <c r="T21" s="44"/>
      <c r="U21" s="95">
        <v>0.08</v>
      </c>
      <c r="V21" s="95">
        <v>0.08</v>
      </c>
      <c r="W21" s="96">
        <v>0.1</v>
      </c>
      <c r="X21" s="44"/>
    </row>
    <row r="22" spans="1:24" ht="15" x14ac:dyDescent="0.25">
      <c r="A22" s="88" t="str">
        <f>H22&amp;"ft "&amp;D22</f>
        <v>30ft Casing Program 1</v>
      </c>
      <c r="B22" s="54"/>
      <c r="C22" s="83">
        <v>1</v>
      </c>
      <c r="D22" s="40" t="s">
        <v>248</v>
      </c>
      <c r="E22" s="40" t="s">
        <v>252</v>
      </c>
      <c r="F22" s="8" t="s">
        <v>109</v>
      </c>
      <c r="G22" s="8">
        <v>36</v>
      </c>
      <c r="H22" s="44">
        <v>30</v>
      </c>
      <c r="I22" s="8">
        <v>2</v>
      </c>
      <c r="J22" s="93">
        <v>1</v>
      </c>
      <c r="K22" s="93">
        <v>1</v>
      </c>
      <c r="L22" s="93" t="s">
        <v>250</v>
      </c>
      <c r="M22" s="44"/>
      <c r="N22" s="44"/>
      <c r="O22" s="8"/>
      <c r="P22" s="8"/>
      <c r="Q22" s="96">
        <v>0.7</v>
      </c>
      <c r="R22" s="96">
        <v>1</v>
      </c>
      <c r="S22" s="96">
        <v>1</v>
      </c>
      <c r="T22" s="44"/>
      <c r="U22" s="95">
        <v>0.08</v>
      </c>
      <c r="V22" s="95">
        <v>0.08</v>
      </c>
      <c r="W22" s="96">
        <v>0.1</v>
      </c>
      <c r="X22" s="44"/>
    </row>
    <row r="23" spans="1:24" ht="15" x14ac:dyDescent="0.25">
      <c r="A23" s="88" t="str">
        <f>H23&amp;"ft "&amp;D23</f>
        <v>30ft Casing Program 2</v>
      </c>
      <c r="B23" s="54"/>
      <c r="C23" s="83">
        <v>1</v>
      </c>
      <c r="D23" s="40" t="s">
        <v>249</v>
      </c>
      <c r="E23" s="40" t="s">
        <v>252</v>
      </c>
      <c r="F23" s="8" t="s">
        <v>109</v>
      </c>
      <c r="G23" s="8">
        <v>36</v>
      </c>
      <c r="H23" s="44">
        <v>30</v>
      </c>
      <c r="I23" s="8">
        <v>1.5</v>
      </c>
      <c r="J23" s="93">
        <v>1</v>
      </c>
      <c r="K23" s="93">
        <v>1</v>
      </c>
      <c r="L23" s="93" t="s">
        <v>250</v>
      </c>
      <c r="M23" s="44"/>
      <c r="N23" s="44"/>
      <c r="O23" s="8"/>
      <c r="P23" s="8"/>
      <c r="Q23" s="96">
        <v>0.7</v>
      </c>
      <c r="R23" s="96">
        <v>1</v>
      </c>
      <c r="S23" s="96">
        <v>1</v>
      </c>
      <c r="T23" s="44"/>
      <c r="U23" s="95">
        <v>0.08</v>
      </c>
      <c r="V23" s="95">
        <v>0.08</v>
      </c>
      <c r="W23" s="96">
        <v>0.1</v>
      </c>
      <c r="X23" s="44"/>
    </row>
    <row r="24" spans="1:24" ht="15" x14ac:dyDescent="0.25">
      <c r="A24" s="40" t="s">
        <v>124</v>
      </c>
      <c r="B24" s="54">
        <v>1</v>
      </c>
      <c r="C24" s="83"/>
      <c r="D24" s="40" t="s">
        <v>374</v>
      </c>
      <c r="E24" s="40" t="s">
        <v>378</v>
      </c>
      <c r="F24" s="8" t="s">
        <v>109</v>
      </c>
      <c r="G24" s="8">
        <v>6</v>
      </c>
      <c r="H24" s="8"/>
      <c r="I24" s="46">
        <v>1</v>
      </c>
      <c r="J24" s="93">
        <v>1</v>
      </c>
      <c r="K24" s="93">
        <v>1</v>
      </c>
      <c r="L24" s="93" t="s">
        <v>250</v>
      </c>
      <c r="M24" s="44"/>
      <c r="N24" s="44"/>
      <c r="O24" s="8"/>
      <c r="P24" s="8"/>
      <c r="Q24" s="96"/>
      <c r="R24" s="96"/>
      <c r="S24" s="96"/>
      <c r="T24" s="44"/>
      <c r="U24" s="95"/>
      <c r="V24" s="95"/>
      <c r="W24" s="96"/>
      <c r="X24" s="44"/>
    </row>
    <row r="25" spans="1:24" ht="15" x14ac:dyDescent="0.25">
      <c r="A25" s="40" t="s">
        <v>125</v>
      </c>
      <c r="B25" s="54">
        <v>1</v>
      </c>
      <c r="C25" s="83"/>
      <c r="D25" s="40" t="s">
        <v>373</v>
      </c>
      <c r="E25" s="40" t="s">
        <v>378</v>
      </c>
      <c r="F25" s="8" t="s">
        <v>109</v>
      </c>
      <c r="G25" s="8">
        <v>6</v>
      </c>
      <c r="H25" s="8"/>
      <c r="I25" s="46">
        <v>1</v>
      </c>
      <c r="J25" s="93">
        <v>1</v>
      </c>
      <c r="K25" s="93">
        <v>1</v>
      </c>
      <c r="L25" s="93" t="s">
        <v>250</v>
      </c>
      <c r="M25" s="44"/>
      <c r="N25" s="44"/>
      <c r="O25" s="8"/>
      <c r="P25" s="8"/>
      <c r="Q25" s="96"/>
      <c r="R25" s="96"/>
      <c r="S25" s="96"/>
      <c r="T25" s="44"/>
      <c r="U25" s="95"/>
      <c r="V25" s="95"/>
      <c r="W25" s="96"/>
      <c r="X25" s="44"/>
    </row>
    <row r="26" spans="1:24" ht="15" x14ac:dyDescent="0.25">
      <c r="A26" s="40" t="s">
        <v>126</v>
      </c>
      <c r="B26" s="54">
        <v>1</v>
      </c>
      <c r="C26" s="83"/>
      <c r="D26" s="40" t="s">
        <v>375</v>
      </c>
      <c r="E26" s="40" t="s">
        <v>378</v>
      </c>
      <c r="F26" s="8" t="s">
        <v>109</v>
      </c>
      <c r="G26" s="8">
        <v>5</v>
      </c>
      <c r="H26" s="8"/>
      <c r="I26" s="46">
        <v>0.5</v>
      </c>
      <c r="J26" s="93">
        <v>1</v>
      </c>
      <c r="K26" s="93">
        <v>1</v>
      </c>
      <c r="L26" s="93" t="s">
        <v>250</v>
      </c>
      <c r="M26" s="44"/>
      <c r="N26" s="44"/>
      <c r="O26" s="8"/>
      <c r="P26" s="8"/>
      <c r="Q26" s="96"/>
      <c r="R26" s="96"/>
      <c r="S26" s="96"/>
      <c r="T26" s="44"/>
      <c r="U26" s="95"/>
      <c r="V26" s="95"/>
      <c r="W26" s="96"/>
      <c r="X26" s="44"/>
    </row>
    <row r="27" spans="1:24" ht="15" x14ac:dyDescent="0.25">
      <c r="A27" s="40" t="s">
        <v>127</v>
      </c>
      <c r="B27" s="54">
        <v>1</v>
      </c>
      <c r="C27" s="83"/>
      <c r="D27" s="40" t="s">
        <v>376</v>
      </c>
      <c r="E27" s="40" t="s">
        <v>378</v>
      </c>
      <c r="F27" s="8" t="s">
        <v>109</v>
      </c>
      <c r="G27" s="8">
        <v>3</v>
      </c>
      <c r="H27" s="8"/>
      <c r="I27" s="46">
        <v>0.25</v>
      </c>
      <c r="J27" s="93">
        <v>1</v>
      </c>
      <c r="K27" s="93">
        <v>1</v>
      </c>
      <c r="L27" s="93" t="s">
        <v>250</v>
      </c>
      <c r="M27" s="44"/>
      <c r="N27" s="44"/>
      <c r="O27" s="8"/>
      <c r="P27" s="8"/>
      <c r="Q27" s="96"/>
      <c r="R27" s="96"/>
      <c r="S27" s="96"/>
      <c r="T27" s="44"/>
      <c r="U27" s="95"/>
      <c r="V27" s="95"/>
      <c r="W27" s="96"/>
      <c r="X27" s="44"/>
    </row>
    <row r="28" spans="1:24" ht="15" x14ac:dyDescent="0.25">
      <c r="A28" s="40" t="s">
        <v>128</v>
      </c>
      <c r="B28" s="54">
        <v>1</v>
      </c>
      <c r="C28" s="83"/>
      <c r="D28" s="40" t="s">
        <v>377</v>
      </c>
      <c r="E28" s="40" t="s">
        <v>378</v>
      </c>
      <c r="F28" s="8" t="s">
        <v>109</v>
      </c>
      <c r="G28" s="8">
        <v>3</v>
      </c>
      <c r="H28" s="8"/>
      <c r="I28" s="46">
        <v>0.25</v>
      </c>
      <c r="J28" s="93">
        <v>1</v>
      </c>
      <c r="K28" s="93">
        <v>1</v>
      </c>
      <c r="L28" s="93" t="s">
        <v>250</v>
      </c>
      <c r="M28" s="44"/>
      <c r="N28" s="44"/>
      <c r="O28" s="8"/>
      <c r="P28" s="8"/>
      <c r="Q28" s="96"/>
      <c r="R28" s="96"/>
      <c r="S28" s="96"/>
      <c r="T28" s="44"/>
      <c r="U28" s="95"/>
      <c r="V28" s="95"/>
      <c r="W28" s="96"/>
      <c r="X28" s="44"/>
    </row>
    <row r="29" spans="1:24" x14ac:dyDescent="0.2">
      <c r="A29" s="40" t="s">
        <v>133</v>
      </c>
      <c r="B29" s="93">
        <v>7</v>
      </c>
      <c r="C29" s="40"/>
      <c r="D29" s="40"/>
      <c r="E29" s="40" t="s">
        <v>254</v>
      </c>
      <c r="F29" s="8" t="s">
        <v>109</v>
      </c>
      <c r="G29" s="40">
        <v>21</v>
      </c>
      <c r="H29" s="8">
        <v>2</v>
      </c>
      <c r="I29" s="40">
        <v>0.875</v>
      </c>
      <c r="J29" s="40"/>
      <c r="K29" s="40"/>
      <c r="L29" s="93" t="s">
        <v>246</v>
      </c>
      <c r="M29" s="40">
        <v>1</v>
      </c>
      <c r="N29" s="40">
        <v>0.87</v>
      </c>
      <c r="O29" s="40"/>
      <c r="P29" s="40"/>
      <c r="Q29" s="96">
        <v>0.7</v>
      </c>
      <c r="R29" s="96">
        <v>1</v>
      </c>
      <c r="S29" s="96">
        <v>1</v>
      </c>
      <c r="T29" s="40"/>
      <c r="U29" s="95">
        <v>0.08</v>
      </c>
      <c r="V29" s="95">
        <v>0.08</v>
      </c>
      <c r="W29" s="96">
        <v>0.1</v>
      </c>
      <c r="X29" s="40"/>
    </row>
    <row r="30" spans="1:24" x14ac:dyDescent="0.2">
      <c r="A30" s="40" t="s">
        <v>135</v>
      </c>
      <c r="B30" s="8">
        <f>B29</f>
        <v>7</v>
      </c>
      <c r="C30" s="40"/>
      <c r="D30" s="40"/>
      <c r="E30" s="40" t="s">
        <v>254</v>
      </c>
      <c r="F30" s="8" t="s">
        <v>109</v>
      </c>
      <c r="G30" s="40">
        <v>21</v>
      </c>
      <c r="H30" s="8">
        <v>40</v>
      </c>
      <c r="I30" s="40">
        <v>0.875</v>
      </c>
      <c r="J30" s="40"/>
      <c r="K30" s="40"/>
      <c r="L30" s="93" t="s">
        <v>246</v>
      </c>
      <c r="M30" s="40">
        <v>20</v>
      </c>
      <c r="N30" s="40">
        <v>17.399999999999999</v>
      </c>
      <c r="O30" s="40"/>
      <c r="P30" s="40"/>
      <c r="Q30" s="96">
        <v>0.7</v>
      </c>
      <c r="R30" s="96">
        <v>1</v>
      </c>
      <c r="S30" s="96">
        <v>1</v>
      </c>
      <c r="T30" s="40"/>
      <c r="U30" s="95">
        <v>0.08</v>
      </c>
      <c r="V30" s="95">
        <v>0.08</v>
      </c>
      <c r="W30" s="96">
        <v>0.1</v>
      </c>
      <c r="X30" s="40"/>
    </row>
    <row r="31" spans="1:24" x14ac:dyDescent="0.2">
      <c r="A31" s="40" t="s">
        <v>331</v>
      </c>
      <c r="B31" s="8">
        <f t="shared" ref="B31:B42" si="1">B30</f>
        <v>7</v>
      </c>
      <c r="C31" s="40"/>
      <c r="D31" s="40"/>
      <c r="E31" s="40" t="s">
        <v>254</v>
      </c>
      <c r="F31" s="8" t="s">
        <v>109</v>
      </c>
      <c r="G31" s="40">
        <v>25</v>
      </c>
      <c r="H31" s="8">
        <v>70</v>
      </c>
      <c r="I31" s="40">
        <v>1</v>
      </c>
      <c r="J31" s="40"/>
      <c r="K31" s="40"/>
      <c r="L31" s="93" t="s">
        <v>246</v>
      </c>
      <c r="M31" s="40">
        <v>173.03100000000001</v>
      </c>
      <c r="N31" s="40">
        <v>150.53700000000001</v>
      </c>
      <c r="O31" s="40"/>
      <c r="P31" s="40"/>
      <c r="Q31" s="96">
        <v>0.7</v>
      </c>
      <c r="R31" s="96">
        <v>1</v>
      </c>
      <c r="S31" s="96">
        <v>1</v>
      </c>
      <c r="T31" s="40"/>
      <c r="U31" s="95">
        <v>0.08</v>
      </c>
      <c r="V31" s="95">
        <v>0.08</v>
      </c>
      <c r="W31" s="96">
        <v>0.1</v>
      </c>
      <c r="X31" s="40"/>
    </row>
    <row r="32" spans="1:24" ht="15" x14ac:dyDescent="0.25">
      <c r="A32" s="88" t="str">
        <f t="shared" ref="A32" si="2">H32&amp;"ft "&amp;D32</f>
        <v>15ft Pup Jt.</v>
      </c>
      <c r="B32" s="8">
        <f t="shared" si="1"/>
        <v>7</v>
      </c>
      <c r="C32" s="40"/>
      <c r="D32" s="40" t="s">
        <v>97</v>
      </c>
      <c r="E32" s="40" t="s">
        <v>253</v>
      </c>
      <c r="F32" s="8" t="s">
        <v>109</v>
      </c>
      <c r="G32" s="40">
        <v>21.63</v>
      </c>
      <c r="H32" s="8">
        <v>15</v>
      </c>
      <c r="I32" s="40">
        <v>1.1879999999999999</v>
      </c>
      <c r="J32" s="40"/>
      <c r="K32" s="40"/>
      <c r="L32" s="93" t="s">
        <v>246</v>
      </c>
      <c r="M32" s="40">
        <v>112.134</v>
      </c>
      <c r="N32" s="40">
        <v>98.933999999999997</v>
      </c>
      <c r="O32" s="40"/>
      <c r="P32" s="40"/>
      <c r="Q32" s="96">
        <v>0.7</v>
      </c>
      <c r="R32" s="96">
        <v>1</v>
      </c>
      <c r="S32" s="96">
        <v>1</v>
      </c>
      <c r="T32" s="40"/>
      <c r="U32" s="95">
        <v>0.08</v>
      </c>
      <c r="V32" s="95">
        <v>0.08</v>
      </c>
      <c r="W32" s="96">
        <v>0.1</v>
      </c>
      <c r="X32" s="40"/>
    </row>
    <row r="33" spans="1:24" x14ac:dyDescent="0.2">
      <c r="A33" s="40" t="s">
        <v>342</v>
      </c>
      <c r="B33" s="8">
        <f t="shared" si="1"/>
        <v>7</v>
      </c>
      <c r="C33" s="40"/>
      <c r="D33" s="40" t="s">
        <v>87</v>
      </c>
      <c r="E33" s="40" t="s">
        <v>253</v>
      </c>
      <c r="F33" s="8" t="s">
        <v>109</v>
      </c>
      <c r="G33" s="40">
        <v>21</v>
      </c>
      <c r="H33" s="8">
        <v>75</v>
      </c>
      <c r="I33" s="40">
        <v>0.875</v>
      </c>
      <c r="J33" s="40"/>
      <c r="K33" s="40"/>
      <c r="L33" s="93" t="s">
        <v>246</v>
      </c>
      <c r="M33" s="40">
        <v>32.287999999999997</v>
      </c>
      <c r="N33" s="40">
        <v>28.488</v>
      </c>
      <c r="O33" s="40"/>
      <c r="P33" s="40"/>
      <c r="Q33" s="96">
        <v>0.7</v>
      </c>
      <c r="R33" s="96">
        <v>1</v>
      </c>
      <c r="S33" s="96">
        <v>1</v>
      </c>
      <c r="T33" s="40"/>
      <c r="U33" s="95">
        <v>0.08</v>
      </c>
      <c r="V33" s="95">
        <v>0.08</v>
      </c>
      <c r="W33" s="96">
        <v>0.1</v>
      </c>
      <c r="X33" s="40"/>
    </row>
    <row r="34" spans="1:24" x14ac:dyDescent="0.2">
      <c r="A34" s="40" t="s">
        <v>325</v>
      </c>
      <c r="B34" s="8">
        <f t="shared" si="1"/>
        <v>7</v>
      </c>
      <c r="C34" s="40"/>
      <c r="D34" s="40" t="s">
        <v>333</v>
      </c>
      <c r="E34" s="40" t="s">
        <v>253</v>
      </c>
      <c r="F34" s="8" t="s">
        <v>109</v>
      </c>
      <c r="G34" s="40">
        <v>21.63</v>
      </c>
      <c r="H34" s="8">
        <v>15</v>
      </c>
      <c r="I34" s="40">
        <v>1.1879999999999999</v>
      </c>
      <c r="J34" s="40"/>
      <c r="K34" s="40"/>
      <c r="L34" s="93" t="s">
        <v>246</v>
      </c>
      <c r="M34" s="40">
        <v>14</v>
      </c>
      <c r="N34" s="40">
        <v>12.352</v>
      </c>
      <c r="O34" s="40"/>
      <c r="P34" s="40"/>
      <c r="Q34" s="96">
        <v>0.7</v>
      </c>
      <c r="R34" s="96">
        <v>1</v>
      </c>
      <c r="S34" s="96">
        <v>1</v>
      </c>
      <c r="T34" s="40"/>
      <c r="U34" s="95">
        <v>0.08</v>
      </c>
      <c r="V34" s="95">
        <v>0.08</v>
      </c>
      <c r="W34" s="96">
        <v>0.1</v>
      </c>
      <c r="X34" s="40"/>
    </row>
    <row r="35" spans="1:24" x14ac:dyDescent="0.2">
      <c r="A35" s="40" t="s">
        <v>324</v>
      </c>
      <c r="B35" s="8">
        <f t="shared" si="1"/>
        <v>7</v>
      </c>
      <c r="C35" s="40"/>
      <c r="D35" s="40" t="s">
        <v>95</v>
      </c>
      <c r="E35" s="40" t="s">
        <v>253</v>
      </c>
      <c r="F35" s="8">
        <v>3000</v>
      </c>
      <c r="G35" s="40">
        <v>21</v>
      </c>
      <c r="H35" s="8">
        <v>75</v>
      </c>
      <c r="I35" s="40">
        <v>0.875</v>
      </c>
      <c r="J35" s="40"/>
      <c r="K35" s="40"/>
      <c r="L35" s="93" t="s">
        <v>246</v>
      </c>
      <c r="M35" s="40">
        <v>32.287999999999997</v>
      </c>
      <c r="N35" s="40">
        <v>-1.4047000000000001</v>
      </c>
      <c r="O35" s="40"/>
      <c r="P35" s="40"/>
      <c r="Q35" s="96">
        <v>0.7</v>
      </c>
      <c r="R35" s="96">
        <v>1</v>
      </c>
      <c r="S35" s="96">
        <v>1</v>
      </c>
      <c r="T35" s="40"/>
      <c r="U35" s="95">
        <v>0.08</v>
      </c>
      <c r="V35" s="95">
        <v>0.08</v>
      </c>
      <c r="W35" s="96">
        <v>0.1</v>
      </c>
      <c r="X35" s="40"/>
    </row>
    <row r="36" spans="1:24" x14ac:dyDescent="0.2">
      <c r="A36" s="40" t="s">
        <v>326</v>
      </c>
      <c r="B36" s="8">
        <f t="shared" si="1"/>
        <v>7</v>
      </c>
      <c r="C36" s="40"/>
      <c r="D36" s="40" t="s">
        <v>95</v>
      </c>
      <c r="E36" s="40" t="s">
        <v>253</v>
      </c>
      <c r="F36" s="8">
        <v>5000</v>
      </c>
      <c r="G36" s="40">
        <v>21</v>
      </c>
      <c r="H36" s="8">
        <v>75</v>
      </c>
      <c r="I36" s="40">
        <v>0.875</v>
      </c>
      <c r="J36" s="40"/>
      <c r="K36" s="40"/>
      <c r="L36" s="93" t="s">
        <v>246</v>
      </c>
      <c r="M36" s="40">
        <v>32.287999999999997</v>
      </c>
      <c r="N36" s="40">
        <v>1.0797999999999999</v>
      </c>
      <c r="O36" s="40"/>
      <c r="P36" s="40"/>
      <c r="Q36" s="96">
        <v>0.7</v>
      </c>
      <c r="R36" s="96">
        <v>1</v>
      </c>
      <c r="S36" s="96">
        <v>1</v>
      </c>
      <c r="T36" s="40"/>
      <c r="U36" s="95">
        <v>0.08</v>
      </c>
      <c r="V36" s="95">
        <v>0.08</v>
      </c>
      <c r="W36" s="96">
        <v>0.1</v>
      </c>
      <c r="X36" s="40"/>
    </row>
    <row r="37" spans="1:24" x14ac:dyDescent="0.2">
      <c r="A37" s="40" t="s">
        <v>327</v>
      </c>
      <c r="B37" s="8">
        <f t="shared" si="1"/>
        <v>7</v>
      </c>
      <c r="C37" s="40"/>
      <c r="D37" s="40" t="s">
        <v>95</v>
      </c>
      <c r="E37" s="40" t="s">
        <v>253</v>
      </c>
      <c r="F37" s="8">
        <v>7000</v>
      </c>
      <c r="G37" s="40">
        <v>21</v>
      </c>
      <c r="H37" s="8">
        <v>75</v>
      </c>
      <c r="I37" s="40">
        <v>0.875</v>
      </c>
      <c r="J37" s="40"/>
      <c r="K37" s="40"/>
      <c r="L37" s="93" t="s">
        <v>246</v>
      </c>
      <c r="M37" s="40">
        <v>32.287999999999997</v>
      </c>
      <c r="N37" s="40">
        <v>4.3244999999999996</v>
      </c>
      <c r="O37" s="40"/>
      <c r="P37" s="40"/>
      <c r="Q37" s="96">
        <v>0.7</v>
      </c>
      <c r="R37" s="96">
        <v>1</v>
      </c>
      <c r="S37" s="96">
        <v>1</v>
      </c>
      <c r="T37" s="40"/>
      <c r="U37" s="95">
        <v>0.08</v>
      </c>
      <c r="V37" s="95">
        <v>0.08</v>
      </c>
      <c r="W37" s="96">
        <v>0.1</v>
      </c>
      <c r="X37" s="40"/>
    </row>
    <row r="38" spans="1:24" x14ac:dyDescent="0.2">
      <c r="A38" s="40" t="s">
        <v>328</v>
      </c>
      <c r="B38" s="8">
        <f t="shared" si="1"/>
        <v>7</v>
      </c>
      <c r="C38" s="40"/>
      <c r="D38" s="40" t="s">
        <v>95</v>
      </c>
      <c r="E38" s="40" t="s">
        <v>253</v>
      </c>
      <c r="F38" s="8">
        <v>9000</v>
      </c>
      <c r="G38" s="40">
        <v>21</v>
      </c>
      <c r="H38" s="8">
        <v>75</v>
      </c>
      <c r="I38" s="40">
        <v>0.875</v>
      </c>
      <c r="J38" s="40"/>
      <c r="K38" s="40"/>
      <c r="L38" s="93" t="s">
        <v>246</v>
      </c>
      <c r="M38" s="40">
        <v>32.287999999999997</v>
      </c>
      <c r="N38" s="40">
        <v>8.1492000000000004</v>
      </c>
      <c r="O38" s="40"/>
      <c r="P38" s="40"/>
      <c r="Q38" s="96">
        <v>0.7</v>
      </c>
      <c r="R38" s="96">
        <v>1</v>
      </c>
      <c r="S38" s="96">
        <v>1</v>
      </c>
      <c r="T38" s="40"/>
      <c r="U38" s="95">
        <v>0.08</v>
      </c>
      <c r="V38" s="95">
        <v>0.08</v>
      </c>
      <c r="W38" s="96">
        <v>0.1</v>
      </c>
      <c r="X38" s="40"/>
    </row>
    <row r="39" spans="1:24" x14ac:dyDescent="0.2">
      <c r="A39" s="40" t="s">
        <v>329</v>
      </c>
      <c r="B39" s="8">
        <f t="shared" si="1"/>
        <v>7</v>
      </c>
      <c r="C39" s="40"/>
      <c r="D39" s="40" t="s">
        <v>95</v>
      </c>
      <c r="E39" s="40" t="s">
        <v>253</v>
      </c>
      <c r="F39" s="8">
        <v>10000</v>
      </c>
      <c r="G39" s="40">
        <v>21</v>
      </c>
      <c r="H39" s="8">
        <v>75</v>
      </c>
      <c r="I39" s="40">
        <v>0.875</v>
      </c>
      <c r="J39" s="40"/>
      <c r="K39" s="40"/>
      <c r="L39" s="93" t="s">
        <v>246</v>
      </c>
      <c r="M39" s="40">
        <v>32.287999999999997</v>
      </c>
      <c r="N39" s="40">
        <v>9.09</v>
      </c>
      <c r="O39" s="40"/>
      <c r="P39" s="40"/>
      <c r="Q39" s="96">
        <v>0.7</v>
      </c>
      <c r="R39" s="96">
        <v>1</v>
      </c>
      <c r="S39" s="96">
        <v>1</v>
      </c>
      <c r="T39" s="40"/>
      <c r="U39" s="95">
        <v>0.08</v>
      </c>
      <c r="V39" s="95">
        <v>0.08</v>
      </c>
      <c r="W39" s="96">
        <v>0.1</v>
      </c>
      <c r="X39" s="40"/>
    </row>
    <row r="40" spans="1:24" x14ac:dyDescent="0.2">
      <c r="A40" s="40" t="s">
        <v>330</v>
      </c>
      <c r="B40" s="8">
        <f t="shared" si="1"/>
        <v>7</v>
      </c>
      <c r="C40" s="40"/>
      <c r="D40" s="40" t="s">
        <v>110</v>
      </c>
      <c r="E40" s="40" t="s">
        <v>254</v>
      </c>
      <c r="F40" s="8" t="s">
        <v>109</v>
      </c>
      <c r="G40" s="40">
        <v>22.25</v>
      </c>
      <c r="H40" s="8">
        <v>5</v>
      </c>
      <c r="I40" s="40">
        <v>1.5</v>
      </c>
      <c r="J40" s="40"/>
      <c r="K40" s="40"/>
      <c r="L40" s="93" t="s">
        <v>246</v>
      </c>
      <c r="M40" s="40">
        <v>6</v>
      </c>
      <c r="N40" s="40">
        <v>5.2939999999999996</v>
      </c>
      <c r="O40" s="40"/>
      <c r="P40" s="40"/>
      <c r="Q40" s="96">
        <v>0.7</v>
      </c>
      <c r="R40" s="96">
        <v>1</v>
      </c>
      <c r="S40" s="96">
        <v>1</v>
      </c>
      <c r="T40" s="40"/>
      <c r="U40" s="95">
        <v>0.08</v>
      </c>
      <c r="V40" s="95">
        <v>0.08</v>
      </c>
      <c r="W40" s="96">
        <v>0.1</v>
      </c>
      <c r="X40" s="40"/>
    </row>
    <row r="41" spans="1:24" x14ac:dyDescent="0.2">
      <c r="A41" s="40" t="s">
        <v>103</v>
      </c>
      <c r="B41" s="8">
        <f t="shared" si="1"/>
        <v>7</v>
      </c>
      <c r="C41" s="40"/>
      <c r="D41" s="40" t="s">
        <v>111</v>
      </c>
      <c r="E41" s="40" t="s">
        <v>254</v>
      </c>
      <c r="F41" s="8" t="s">
        <v>109</v>
      </c>
      <c r="G41" s="40">
        <v>30</v>
      </c>
      <c r="H41" s="8">
        <v>23.2</v>
      </c>
      <c r="I41" s="40">
        <v>5</v>
      </c>
      <c r="J41" s="40"/>
      <c r="K41" s="40"/>
      <c r="L41" s="93" t="s">
        <v>246</v>
      </c>
      <c r="M41" s="40">
        <v>291.36399999999998</v>
      </c>
      <c r="N41" s="40">
        <v>253.273</v>
      </c>
      <c r="O41" s="40"/>
      <c r="P41" s="40"/>
      <c r="Q41" s="96">
        <v>0.7</v>
      </c>
      <c r="R41" s="96">
        <v>1</v>
      </c>
      <c r="S41" s="96">
        <v>1</v>
      </c>
      <c r="T41" s="40"/>
      <c r="U41" s="95">
        <v>0.08</v>
      </c>
      <c r="V41" s="95">
        <v>0.08</v>
      </c>
      <c r="W41" s="96">
        <v>0.1</v>
      </c>
      <c r="X41" s="40"/>
    </row>
    <row r="42" spans="1:24" x14ac:dyDescent="0.2">
      <c r="A42" s="40" t="s">
        <v>104</v>
      </c>
      <c r="B42" s="8">
        <f t="shared" si="1"/>
        <v>7</v>
      </c>
      <c r="C42" s="40"/>
      <c r="D42" s="40" t="s">
        <v>104</v>
      </c>
      <c r="E42" s="40" t="s">
        <v>254</v>
      </c>
      <c r="F42" s="8" t="s">
        <v>109</v>
      </c>
      <c r="G42" s="40">
        <v>30</v>
      </c>
      <c r="H42" s="8">
        <v>31.2</v>
      </c>
      <c r="I42" s="40">
        <v>5</v>
      </c>
      <c r="J42" s="40"/>
      <c r="K42" s="40"/>
      <c r="L42" s="93" t="s">
        <v>246</v>
      </c>
      <c r="M42" s="40">
        <v>684.75699999999995</v>
      </c>
      <c r="N42" s="40">
        <v>595.23500000000001</v>
      </c>
      <c r="O42" s="40"/>
      <c r="P42" s="40"/>
      <c r="Q42" s="96">
        <v>0.7</v>
      </c>
      <c r="R42" s="96">
        <v>1</v>
      </c>
      <c r="S42" s="96">
        <v>1</v>
      </c>
      <c r="T42" s="40"/>
      <c r="U42" s="95">
        <v>0.08</v>
      </c>
      <c r="V42" s="95">
        <v>0.08</v>
      </c>
      <c r="W42" s="96">
        <v>0.1</v>
      </c>
      <c r="X42" s="40"/>
    </row>
    <row r="43" spans="1:24" x14ac:dyDescent="0.2">
      <c r="A43" s="40" t="s">
        <v>149</v>
      </c>
      <c r="B43" s="8"/>
      <c r="C43" s="8">
        <v>2</v>
      </c>
      <c r="D43" s="40"/>
      <c r="E43" s="40" t="s">
        <v>252</v>
      </c>
      <c r="F43" s="8" t="s">
        <v>109</v>
      </c>
      <c r="G43" s="40">
        <v>36</v>
      </c>
      <c r="H43" s="8">
        <v>2</v>
      </c>
      <c r="I43" s="40">
        <v>2</v>
      </c>
      <c r="J43" s="40"/>
      <c r="K43" s="40"/>
      <c r="L43" s="93" t="s">
        <v>246</v>
      </c>
      <c r="M43" s="40">
        <v>3.6349999999999998</v>
      </c>
      <c r="N43" s="40">
        <v>3.1624499999999998</v>
      </c>
      <c r="O43" s="40"/>
      <c r="P43" s="40"/>
      <c r="Q43" s="96">
        <v>0.7</v>
      </c>
      <c r="R43" s="96">
        <v>1</v>
      </c>
      <c r="S43" s="96">
        <v>1</v>
      </c>
      <c r="T43" s="40"/>
      <c r="U43" s="95">
        <v>0.08</v>
      </c>
      <c r="V43" s="95">
        <v>0.08</v>
      </c>
      <c r="W43" s="96">
        <v>0.1</v>
      </c>
      <c r="X43" s="40"/>
    </row>
    <row r="44" spans="1:24" x14ac:dyDescent="0.2">
      <c r="A44" s="40" t="s">
        <v>332</v>
      </c>
      <c r="B44" s="8"/>
      <c r="C44" s="8">
        <v>2</v>
      </c>
      <c r="D44" s="40"/>
      <c r="E44" s="40" t="s">
        <v>252</v>
      </c>
      <c r="F44" s="8" t="s">
        <v>109</v>
      </c>
      <c r="G44" s="40">
        <v>36</v>
      </c>
      <c r="H44" s="8">
        <v>200</v>
      </c>
      <c r="I44" s="40">
        <v>2</v>
      </c>
      <c r="J44" s="40"/>
      <c r="K44" s="40"/>
      <c r="L44" s="93" t="s">
        <v>246</v>
      </c>
      <c r="M44" s="40">
        <v>145.4</v>
      </c>
      <c r="N44" s="40">
        <v>126.498</v>
      </c>
      <c r="O44" s="40"/>
      <c r="P44" s="40"/>
      <c r="Q44" s="96">
        <v>0.7</v>
      </c>
      <c r="R44" s="96">
        <v>1</v>
      </c>
      <c r="S44" s="96">
        <v>1</v>
      </c>
      <c r="T44" s="40"/>
      <c r="U44" s="95">
        <v>0.08</v>
      </c>
      <c r="V44" s="95">
        <v>0.08</v>
      </c>
      <c r="W44" s="96">
        <v>0.1</v>
      </c>
      <c r="X44" s="40"/>
    </row>
    <row r="45" spans="1:24" ht="15" x14ac:dyDescent="0.25">
      <c r="A45" s="40" t="s">
        <v>124</v>
      </c>
      <c r="B45" s="54">
        <v>7</v>
      </c>
      <c r="C45" s="83"/>
      <c r="D45" s="40" t="s">
        <v>374</v>
      </c>
      <c r="E45" s="40" t="s">
        <v>378</v>
      </c>
      <c r="F45" s="8" t="s">
        <v>109</v>
      </c>
      <c r="G45" s="8">
        <v>6</v>
      </c>
      <c r="H45" s="8"/>
      <c r="I45" s="46">
        <v>1</v>
      </c>
      <c r="J45" s="93">
        <v>1</v>
      </c>
      <c r="K45" s="93">
        <v>1</v>
      </c>
      <c r="L45" s="93" t="s">
        <v>250</v>
      </c>
      <c r="M45" s="44"/>
      <c r="N45" s="44"/>
      <c r="O45" s="8"/>
      <c r="P45" s="8"/>
      <c r="Q45" s="96"/>
      <c r="R45" s="96"/>
      <c r="S45" s="96"/>
      <c r="T45" s="44"/>
      <c r="U45" s="95"/>
      <c r="V45" s="95"/>
      <c r="W45" s="96"/>
      <c r="X45" s="44"/>
    </row>
    <row r="46" spans="1:24" ht="15" x14ac:dyDescent="0.25">
      <c r="A46" s="40" t="s">
        <v>125</v>
      </c>
      <c r="B46" s="54">
        <v>7</v>
      </c>
      <c r="C46" s="83"/>
      <c r="D46" s="40" t="s">
        <v>373</v>
      </c>
      <c r="E46" s="40" t="s">
        <v>378</v>
      </c>
      <c r="F46" s="8" t="s">
        <v>109</v>
      </c>
      <c r="G46" s="8">
        <v>6</v>
      </c>
      <c r="H46" s="8"/>
      <c r="I46" s="46">
        <v>1</v>
      </c>
      <c r="J46" s="93">
        <v>1</v>
      </c>
      <c r="K46" s="93">
        <v>1</v>
      </c>
      <c r="L46" s="93" t="s">
        <v>250</v>
      </c>
      <c r="M46" s="44"/>
      <c r="N46" s="44"/>
      <c r="O46" s="8"/>
      <c r="P46" s="8"/>
      <c r="Q46" s="96"/>
      <c r="R46" s="96"/>
      <c r="S46" s="96"/>
      <c r="T46" s="44"/>
      <c r="U46" s="95"/>
      <c r="V46" s="95"/>
      <c r="W46" s="96"/>
      <c r="X46" s="44"/>
    </row>
    <row r="47" spans="1:24" ht="15" x14ac:dyDescent="0.25">
      <c r="A47" s="40" t="s">
        <v>126</v>
      </c>
      <c r="B47" s="54">
        <v>7</v>
      </c>
      <c r="C47" s="83"/>
      <c r="D47" s="40" t="s">
        <v>375</v>
      </c>
      <c r="E47" s="40" t="s">
        <v>378</v>
      </c>
      <c r="F47" s="8" t="s">
        <v>109</v>
      </c>
      <c r="G47" s="8">
        <v>5</v>
      </c>
      <c r="H47" s="8"/>
      <c r="I47" s="46">
        <v>0.5</v>
      </c>
      <c r="J47" s="93">
        <v>1</v>
      </c>
      <c r="K47" s="93">
        <v>1</v>
      </c>
      <c r="L47" s="93" t="s">
        <v>250</v>
      </c>
      <c r="M47" s="44"/>
      <c r="N47" s="44"/>
      <c r="O47" s="8"/>
      <c r="P47" s="8"/>
      <c r="Q47" s="96"/>
      <c r="R47" s="96"/>
      <c r="S47" s="96"/>
      <c r="T47" s="44"/>
      <c r="U47" s="95"/>
      <c r="V47" s="95"/>
      <c r="W47" s="96"/>
      <c r="X47" s="44"/>
    </row>
    <row r="48" spans="1:24" ht="15" x14ac:dyDescent="0.25">
      <c r="A48" s="40" t="s">
        <v>127</v>
      </c>
      <c r="B48" s="54">
        <v>7</v>
      </c>
      <c r="C48" s="83"/>
      <c r="D48" s="40" t="s">
        <v>376</v>
      </c>
      <c r="E48" s="40" t="s">
        <v>378</v>
      </c>
      <c r="F48" s="8" t="s">
        <v>109</v>
      </c>
      <c r="G48" s="8">
        <v>3</v>
      </c>
      <c r="H48" s="8"/>
      <c r="I48" s="46">
        <v>0.25</v>
      </c>
      <c r="J48" s="93">
        <v>1</v>
      </c>
      <c r="K48" s="93">
        <v>1</v>
      </c>
      <c r="L48" s="93" t="s">
        <v>250</v>
      </c>
      <c r="M48" s="44"/>
      <c r="N48" s="44"/>
      <c r="O48" s="8"/>
      <c r="P48" s="8"/>
      <c r="Q48" s="96"/>
      <c r="R48" s="96"/>
      <c r="S48" s="96"/>
      <c r="T48" s="44"/>
      <c r="U48" s="95"/>
      <c r="V48" s="95"/>
      <c r="W48" s="96"/>
      <c r="X48" s="44"/>
    </row>
    <row r="49" spans="1:24" ht="15" x14ac:dyDescent="0.25">
      <c r="A49" s="40" t="s">
        <v>128</v>
      </c>
      <c r="B49" s="54">
        <v>7</v>
      </c>
      <c r="C49" s="83"/>
      <c r="D49" s="40" t="s">
        <v>377</v>
      </c>
      <c r="E49" s="40" t="s">
        <v>378</v>
      </c>
      <c r="F49" s="8" t="s">
        <v>109</v>
      </c>
      <c r="G49" s="8">
        <v>3</v>
      </c>
      <c r="H49" s="8"/>
      <c r="I49" s="46">
        <v>0.25</v>
      </c>
      <c r="J49" s="93">
        <v>1</v>
      </c>
      <c r="K49" s="93">
        <v>1</v>
      </c>
      <c r="L49" s="93" t="s">
        <v>250</v>
      </c>
      <c r="M49" s="44"/>
      <c r="N49" s="44"/>
      <c r="O49" s="8"/>
      <c r="P49" s="8"/>
      <c r="Q49" s="96"/>
      <c r="R49" s="96"/>
      <c r="S49" s="96"/>
      <c r="T49" s="44"/>
      <c r="U49" s="95"/>
      <c r="V49" s="95"/>
      <c r="W49" s="96"/>
      <c r="X49" s="44"/>
    </row>
    <row r="50" spans="1:24" ht="15" x14ac:dyDescent="0.25">
      <c r="A50" s="88" t="s">
        <v>133</v>
      </c>
      <c r="B50" s="8">
        <v>9</v>
      </c>
      <c r="C50" s="40"/>
      <c r="D50" s="40" t="s">
        <v>133</v>
      </c>
      <c r="E50" s="40" t="s">
        <v>254</v>
      </c>
      <c r="F50" s="8" t="s">
        <v>109</v>
      </c>
      <c r="G50" s="8">
        <v>21</v>
      </c>
      <c r="H50" s="44">
        <v>15</v>
      </c>
      <c r="I50" s="8">
        <v>0.875</v>
      </c>
      <c r="J50" s="93">
        <v>1</v>
      </c>
      <c r="K50" s="93">
        <v>1</v>
      </c>
      <c r="L50" s="93" t="s">
        <v>250</v>
      </c>
      <c r="M50" s="44">
        <v>1</v>
      </c>
      <c r="N50" s="44">
        <v>1</v>
      </c>
      <c r="O50" s="8"/>
      <c r="P50" s="8"/>
      <c r="Q50" s="96">
        <v>0.7</v>
      </c>
      <c r="R50" s="96">
        <v>1</v>
      </c>
      <c r="S50" s="96">
        <v>1</v>
      </c>
      <c r="T50" s="44"/>
      <c r="U50" s="95">
        <v>0.08</v>
      </c>
      <c r="V50" s="95">
        <v>0.08</v>
      </c>
      <c r="W50" s="96">
        <v>0.1</v>
      </c>
      <c r="X50" s="44"/>
    </row>
    <row r="51" spans="1:24" ht="15" x14ac:dyDescent="0.25">
      <c r="A51" s="88" t="str">
        <f>H51&amp;"ft "&amp;D51</f>
        <v>75ft Bare jt.  - protected</v>
      </c>
      <c r="B51" s="8">
        <v>9</v>
      </c>
      <c r="C51" s="40"/>
      <c r="D51" s="40" t="s">
        <v>87</v>
      </c>
      <c r="E51" s="40" t="s">
        <v>253</v>
      </c>
      <c r="F51" s="8" t="s">
        <v>109</v>
      </c>
      <c r="G51" s="8">
        <v>21</v>
      </c>
      <c r="H51" s="44">
        <v>75</v>
      </c>
      <c r="I51" s="46">
        <v>0.75</v>
      </c>
      <c r="J51" s="93">
        <v>1</v>
      </c>
      <c r="K51" s="93">
        <v>1</v>
      </c>
      <c r="L51" s="93" t="s">
        <v>246</v>
      </c>
      <c r="M51" s="44">
        <f>M5+$H51*'Ref WT'!J$6</f>
        <v>39.087353979002138</v>
      </c>
      <c r="N51" s="44">
        <f>N5+$H51*'Ref WT'!K$6</f>
        <v>24.465997961731862</v>
      </c>
      <c r="O51" s="8">
        <v>51</v>
      </c>
      <c r="P51" s="8"/>
      <c r="Q51" s="96">
        <v>0.7</v>
      </c>
      <c r="R51" s="96">
        <v>1</v>
      </c>
      <c r="S51" s="96">
        <v>1</v>
      </c>
      <c r="T51" s="44"/>
      <c r="U51" s="95">
        <v>0.08</v>
      </c>
      <c r="V51" s="95">
        <v>0.08</v>
      </c>
      <c r="W51" s="96">
        <v>0.1</v>
      </c>
      <c r="X51" s="44"/>
    </row>
    <row r="52" spans="1:24" ht="15" x14ac:dyDescent="0.25">
      <c r="A52" s="88" t="str">
        <f>H52&amp;"ft "&amp;D52&amp;" "&amp;F52&amp;" ft rating"</f>
        <v>75ft Buoyancy Jt. 2500 ft rating</v>
      </c>
      <c r="B52" s="8">
        <v>9</v>
      </c>
      <c r="C52" s="40"/>
      <c r="D52" s="40" t="s">
        <v>95</v>
      </c>
      <c r="E52" s="40" t="s">
        <v>253</v>
      </c>
      <c r="F52" s="92">
        <v>2500</v>
      </c>
      <c r="G52" s="8">
        <v>21</v>
      </c>
      <c r="H52" s="44">
        <v>75</v>
      </c>
      <c r="I52" s="46">
        <v>0.75</v>
      </c>
      <c r="J52" s="93">
        <v>1</v>
      </c>
      <c r="K52" s="93">
        <v>1</v>
      </c>
      <c r="L52" s="93" t="s">
        <v>246</v>
      </c>
      <c r="M52" s="44">
        <f>M6+$H52*'Ref WT'!J$6</f>
        <v>46.087353979002138</v>
      </c>
      <c r="N52" s="44">
        <f>N6+$H52*'Ref WT'!K$6</f>
        <v>-4.5340020382681381</v>
      </c>
      <c r="O52" s="8">
        <v>54</v>
      </c>
      <c r="P52" s="8"/>
      <c r="Q52" s="96">
        <v>0.7</v>
      </c>
      <c r="R52" s="96">
        <v>1</v>
      </c>
      <c r="S52" s="96">
        <v>1</v>
      </c>
      <c r="T52" s="44"/>
      <c r="U52" s="95">
        <v>0.08</v>
      </c>
      <c r="V52" s="95">
        <v>0.08</v>
      </c>
      <c r="W52" s="96">
        <v>0.1</v>
      </c>
      <c r="X52" s="44"/>
    </row>
    <row r="53" spans="1:24" ht="15" x14ac:dyDescent="0.25">
      <c r="A53" s="88" t="str">
        <f>H53&amp;"ft "&amp;D53&amp;" "&amp;F53&amp;" ft rating"</f>
        <v>75ft Buoyancy Jt. 5000 ft rating</v>
      </c>
      <c r="B53" s="8">
        <v>9</v>
      </c>
      <c r="C53" s="40"/>
      <c r="D53" s="40" t="s">
        <v>95</v>
      </c>
      <c r="E53" s="40" t="s">
        <v>253</v>
      </c>
      <c r="F53" s="92">
        <v>5000</v>
      </c>
      <c r="G53" s="8">
        <v>21</v>
      </c>
      <c r="H53" s="44">
        <v>75</v>
      </c>
      <c r="I53" s="46">
        <v>0.75</v>
      </c>
      <c r="J53" s="93">
        <v>1</v>
      </c>
      <c r="K53" s="93">
        <v>1</v>
      </c>
      <c r="L53" s="93" t="s">
        <v>246</v>
      </c>
      <c r="M53" s="44">
        <f>M7+$H53*'Ref WT'!J$6</f>
        <v>49.087353979002138</v>
      </c>
      <c r="N53" s="44">
        <f>N7+$H53*'Ref WT'!K$6</f>
        <v>-1.5340020382681385</v>
      </c>
      <c r="O53" s="8">
        <v>54</v>
      </c>
      <c r="P53" s="8"/>
      <c r="Q53" s="96">
        <v>0.7</v>
      </c>
      <c r="R53" s="96">
        <v>1</v>
      </c>
      <c r="S53" s="96">
        <v>1</v>
      </c>
      <c r="T53" s="44"/>
      <c r="U53" s="95">
        <v>0.08</v>
      </c>
      <c r="V53" s="95">
        <v>0.08</v>
      </c>
      <c r="W53" s="96">
        <v>0.1</v>
      </c>
      <c r="X53" s="44"/>
    </row>
    <row r="54" spans="1:24" ht="15" x14ac:dyDescent="0.25">
      <c r="A54" s="88" t="str">
        <f>H54&amp;"ft "&amp;D54&amp;" "&amp;F54&amp;" ft rating"</f>
        <v>75ft Buoyancy Jt. 7500 ft rating</v>
      </c>
      <c r="B54" s="8">
        <v>9</v>
      </c>
      <c r="C54" s="40"/>
      <c r="D54" s="40" t="s">
        <v>95</v>
      </c>
      <c r="E54" s="40" t="s">
        <v>253</v>
      </c>
      <c r="F54" s="92">
        <v>7500</v>
      </c>
      <c r="G54" s="8">
        <v>21</v>
      </c>
      <c r="H54" s="44">
        <v>75</v>
      </c>
      <c r="I54" s="46">
        <v>0.75</v>
      </c>
      <c r="J54" s="93">
        <v>1</v>
      </c>
      <c r="K54" s="93">
        <v>1</v>
      </c>
      <c r="L54" s="93" t="s">
        <v>246</v>
      </c>
      <c r="M54" s="44">
        <f>M8+$H54*'Ref WT'!J$6</f>
        <v>53.087353979002138</v>
      </c>
      <c r="N54" s="44">
        <f>N8+$H54*'Ref WT'!K$6</f>
        <v>2.4659979617318615</v>
      </c>
      <c r="O54" s="8">
        <v>54</v>
      </c>
      <c r="P54" s="8"/>
      <c r="Q54" s="96">
        <v>0.7</v>
      </c>
      <c r="R54" s="96">
        <v>1</v>
      </c>
      <c r="S54" s="96">
        <v>1</v>
      </c>
      <c r="T54" s="44"/>
      <c r="U54" s="95">
        <v>0.08</v>
      </c>
      <c r="V54" s="95">
        <v>0.08</v>
      </c>
      <c r="W54" s="96">
        <v>0.1</v>
      </c>
      <c r="X54" s="44"/>
    </row>
    <row r="55" spans="1:24" ht="15" x14ac:dyDescent="0.25">
      <c r="A55" s="88" t="str">
        <f>H55&amp;"ft "&amp;D55&amp;" "&amp;F55&amp;" ft rating"</f>
        <v>75ft Buoyancy Jt. 10000 ft rating</v>
      </c>
      <c r="B55" s="8">
        <v>9</v>
      </c>
      <c r="C55" s="40"/>
      <c r="D55" s="40" t="s">
        <v>95</v>
      </c>
      <c r="E55" s="40" t="s">
        <v>253</v>
      </c>
      <c r="F55" s="92">
        <v>10000</v>
      </c>
      <c r="G55" s="8">
        <v>21</v>
      </c>
      <c r="H55" s="44">
        <v>75</v>
      </c>
      <c r="I55" s="46">
        <v>0.75</v>
      </c>
      <c r="J55" s="93">
        <v>1</v>
      </c>
      <c r="K55" s="93">
        <v>1</v>
      </c>
      <c r="L55" s="93" t="s">
        <v>246</v>
      </c>
      <c r="M55" s="44">
        <f>M9+$H55*'Ref WT'!J$6</f>
        <v>56.087353979002138</v>
      </c>
      <c r="N55" s="44">
        <f>N9+$H55*'Ref WT'!K$6</f>
        <v>5.4659979617318619</v>
      </c>
      <c r="O55" s="8">
        <v>54</v>
      </c>
      <c r="P55" s="8"/>
      <c r="Q55" s="96">
        <v>0.7</v>
      </c>
      <c r="R55" s="96">
        <v>1</v>
      </c>
      <c r="S55" s="96">
        <v>1</v>
      </c>
      <c r="T55" s="44"/>
      <c r="U55" s="95">
        <v>0.08</v>
      </c>
      <c r="V55" s="95">
        <v>0.08</v>
      </c>
      <c r="W55" s="96">
        <v>0.1</v>
      </c>
      <c r="X55" s="44"/>
    </row>
    <row r="56" spans="1:24" ht="15" x14ac:dyDescent="0.25">
      <c r="A56" s="88" t="str">
        <f t="shared" ref="A56:A62" si="3">H56&amp;"ft "&amp;D56</f>
        <v>5ft Pup Jt.</v>
      </c>
      <c r="B56" s="8">
        <v>9</v>
      </c>
      <c r="C56" s="40"/>
      <c r="D56" s="40" t="s">
        <v>97</v>
      </c>
      <c r="E56" s="40" t="s">
        <v>253</v>
      </c>
      <c r="F56" s="8" t="s">
        <v>109</v>
      </c>
      <c r="G56" s="8">
        <v>21</v>
      </c>
      <c r="H56" s="44">
        <v>5</v>
      </c>
      <c r="I56" s="46">
        <v>0.75</v>
      </c>
      <c r="J56" s="93">
        <v>1</v>
      </c>
      <c r="K56" s="93">
        <v>1</v>
      </c>
      <c r="L56" s="93" t="s">
        <v>246</v>
      </c>
      <c r="M56" s="44">
        <f>M10+$H56*'Ref WT'!J$6</f>
        <v>9.8058235986001421</v>
      </c>
      <c r="N56" s="44">
        <f>N10+$H56*'Ref WT'!K$6</f>
        <v>8.8310665307821239</v>
      </c>
      <c r="O56" s="8">
        <v>51</v>
      </c>
      <c r="P56" s="8"/>
      <c r="Q56" s="96">
        <v>0.7</v>
      </c>
      <c r="R56" s="96">
        <v>1</v>
      </c>
      <c r="S56" s="96">
        <v>1</v>
      </c>
      <c r="T56" s="44"/>
      <c r="U56" s="95">
        <v>0.08</v>
      </c>
      <c r="V56" s="95">
        <v>0.08</v>
      </c>
      <c r="W56" s="96">
        <v>0.1</v>
      </c>
      <c r="X56" s="44"/>
    </row>
    <row r="57" spans="1:24" ht="15" x14ac:dyDescent="0.25">
      <c r="A57" s="88" t="str">
        <f t="shared" si="3"/>
        <v>10ft Pup Jt.</v>
      </c>
      <c r="B57" s="8">
        <v>9</v>
      </c>
      <c r="C57" s="40"/>
      <c r="D57" s="40" t="s">
        <v>97</v>
      </c>
      <c r="E57" s="40" t="s">
        <v>253</v>
      </c>
      <c r="F57" s="8" t="s">
        <v>109</v>
      </c>
      <c r="G57" s="8">
        <v>21</v>
      </c>
      <c r="H57" s="44">
        <v>10</v>
      </c>
      <c r="I57" s="46">
        <v>0.75</v>
      </c>
      <c r="J57" s="93">
        <v>1</v>
      </c>
      <c r="K57" s="93">
        <v>1</v>
      </c>
      <c r="L57" s="93" t="s">
        <v>246</v>
      </c>
      <c r="M57" s="44">
        <f>M11+$H57*'Ref WT'!J$6</f>
        <v>10.611647197200286</v>
      </c>
      <c r="N57" s="44">
        <f>N11+$H57*'Ref WT'!K$6</f>
        <v>9.1621330615642478</v>
      </c>
      <c r="O57" s="8">
        <v>51</v>
      </c>
      <c r="P57" s="8"/>
      <c r="Q57" s="96">
        <v>0.7</v>
      </c>
      <c r="R57" s="96">
        <v>1</v>
      </c>
      <c r="S57" s="96">
        <v>1</v>
      </c>
      <c r="T57" s="44"/>
      <c r="U57" s="95">
        <v>0.08</v>
      </c>
      <c r="V57" s="95">
        <v>0.08</v>
      </c>
      <c r="W57" s="96">
        <v>0.1</v>
      </c>
      <c r="X57" s="44"/>
    </row>
    <row r="58" spans="1:24" ht="15" x14ac:dyDescent="0.25">
      <c r="A58" s="88" t="str">
        <f t="shared" si="3"/>
        <v>15ft Pup Jt.</v>
      </c>
      <c r="B58" s="8">
        <v>9</v>
      </c>
      <c r="C58" s="40"/>
      <c r="D58" s="40" t="s">
        <v>97</v>
      </c>
      <c r="E58" s="40" t="s">
        <v>253</v>
      </c>
      <c r="F58" s="8" t="s">
        <v>109</v>
      </c>
      <c r="G58" s="8">
        <v>21</v>
      </c>
      <c r="H58" s="44">
        <v>15</v>
      </c>
      <c r="I58" s="46">
        <v>0.75</v>
      </c>
      <c r="J58" s="93">
        <v>1</v>
      </c>
      <c r="K58" s="93">
        <v>1</v>
      </c>
      <c r="L58" s="93" t="s">
        <v>246</v>
      </c>
      <c r="M58" s="44">
        <f>M12+$H58*'Ref WT'!J$6</f>
        <v>12.917470795800428</v>
      </c>
      <c r="N58" s="44">
        <f>N12+$H58*'Ref WT'!K$6</f>
        <v>10.243199592346372</v>
      </c>
      <c r="O58" s="8">
        <v>51</v>
      </c>
      <c r="P58" s="8"/>
      <c r="Q58" s="96">
        <v>0.7</v>
      </c>
      <c r="R58" s="96">
        <v>1</v>
      </c>
      <c r="S58" s="96">
        <v>1</v>
      </c>
      <c r="T58" s="44"/>
      <c r="U58" s="95">
        <v>0.08</v>
      </c>
      <c r="V58" s="95">
        <v>0.08</v>
      </c>
      <c r="W58" s="96">
        <v>0.1</v>
      </c>
      <c r="X58" s="44"/>
    </row>
    <row r="59" spans="1:24" ht="15" x14ac:dyDescent="0.25">
      <c r="A59" s="88" t="str">
        <f t="shared" si="3"/>
        <v>20ft Pup Jt.</v>
      </c>
      <c r="B59" s="8">
        <v>9</v>
      </c>
      <c r="C59" s="40"/>
      <c r="D59" s="40" t="s">
        <v>97</v>
      </c>
      <c r="E59" s="40" t="s">
        <v>253</v>
      </c>
      <c r="F59" s="8" t="s">
        <v>109</v>
      </c>
      <c r="G59" s="8">
        <v>21</v>
      </c>
      <c r="H59" s="44">
        <v>20</v>
      </c>
      <c r="I59" s="46">
        <v>0.75</v>
      </c>
      <c r="J59" s="93">
        <v>1</v>
      </c>
      <c r="K59" s="93">
        <v>1</v>
      </c>
      <c r="L59" s="93" t="s">
        <v>246</v>
      </c>
      <c r="M59" s="44">
        <f>M13+$H59*'Ref WT'!J$6</f>
        <v>15.22329439440057</v>
      </c>
      <c r="N59" s="44">
        <f>N13+$H59*'Ref WT'!K$6</f>
        <v>11.324266123128496</v>
      </c>
      <c r="O59" s="8">
        <v>51</v>
      </c>
      <c r="P59" s="8"/>
      <c r="Q59" s="96">
        <v>0.7</v>
      </c>
      <c r="R59" s="96">
        <v>1</v>
      </c>
      <c r="S59" s="96">
        <v>1</v>
      </c>
      <c r="T59" s="44"/>
      <c r="U59" s="95">
        <v>0.08</v>
      </c>
      <c r="V59" s="95">
        <v>0.08</v>
      </c>
      <c r="W59" s="96">
        <v>0.1</v>
      </c>
      <c r="X59" s="44"/>
    </row>
    <row r="60" spans="1:24" ht="15" x14ac:dyDescent="0.25">
      <c r="A60" s="88" t="str">
        <f t="shared" si="3"/>
        <v>25ft Pup Jt.</v>
      </c>
      <c r="B60" s="8">
        <v>9</v>
      </c>
      <c r="C60" s="40"/>
      <c r="D60" s="40" t="s">
        <v>97</v>
      </c>
      <c r="E60" s="40" t="s">
        <v>253</v>
      </c>
      <c r="F60" s="8" t="s">
        <v>109</v>
      </c>
      <c r="G60" s="8">
        <v>21</v>
      </c>
      <c r="H60" s="44">
        <v>25</v>
      </c>
      <c r="I60" s="46">
        <v>0.75</v>
      </c>
      <c r="J60" s="93">
        <v>1</v>
      </c>
      <c r="K60" s="93">
        <v>1</v>
      </c>
      <c r="L60" s="93" t="s">
        <v>246</v>
      </c>
      <c r="M60" s="44">
        <f>M14+$H60*'Ref WT'!J$6</f>
        <v>15.029117993000714</v>
      </c>
      <c r="N60" s="44">
        <f>N14+$H60*'Ref WT'!K$6</f>
        <v>11.155332653910621</v>
      </c>
      <c r="O60" s="8">
        <v>51</v>
      </c>
      <c r="P60" s="8"/>
      <c r="Q60" s="96">
        <v>0.7</v>
      </c>
      <c r="R60" s="96">
        <v>1</v>
      </c>
      <c r="S60" s="96">
        <v>1</v>
      </c>
      <c r="T60" s="44"/>
      <c r="U60" s="95">
        <v>0.08</v>
      </c>
      <c r="V60" s="95">
        <v>0.08</v>
      </c>
      <c r="W60" s="96">
        <v>0.1</v>
      </c>
      <c r="X60" s="44"/>
    </row>
    <row r="61" spans="1:24" ht="15" x14ac:dyDescent="0.25">
      <c r="A61" s="88" t="str">
        <f t="shared" si="3"/>
        <v>30ft Pup Jt.</v>
      </c>
      <c r="B61" s="8">
        <v>9</v>
      </c>
      <c r="C61" s="40"/>
      <c r="D61" s="40" t="s">
        <v>97</v>
      </c>
      <c r="E61" s="40" t="s">
        <v>253</v>
      </c>
      <c r="F61" s="8" t="s">
        <v>109</v>
      </c>
      <c r="G61" s="8">
        <v>21</v>
      </c>
      <c r="H61" s="44">
        <v>30</v>
      </c>
      <c r="I61" s="46">
        <v>0.75</v>
      </c>
      <c r="J61" s="93">
        <v>1</v>
      </c>
      <c r="K61" s="93">
        <v>1</v>
      </c>
      <c r="L61" s="93" t="s">
        <v>246</v>
      </c>
      <c r="M61" s="44">
        <f>M15+$H61*'Ref WT'!J$6</f>
        <v>14.834941591600856</v>
      </c>
      <c r="N61" s="44">
        <f>N15+$H61*'Ref WT'!K$6</f>
        <v>10.986399184692745</v>
      </c>
      <c r="O61" s="8">
        <v>51</v>
      </c>
      <c r="P61" s="8"/>
      <c r="Q61" s="96">
        <v>0.7</v>
      </c>
      <c r="R61" s="96">
        <v>1</v>
      </c>
      <c r="S61" s="96">
        <v>1</v>
      </c>
      <c r="T61" s="44"/>
      <c r="U61" s="95">
        <v>0.08</v>
      </c>
      <c r="V61" s="95">
        <v>0.08</v>
      </c>
      <c r="W61" s="96">
        <v>0.1</v>
      </c>
      <c r="X61" s="44"/>
    </row>
    <row r="62" spans="1:24" ht="15" x14ac:dyDescent="0.25">
      <c r="A62" s="88" t="str">
        <f t="shared" si="3"/>
        <v>40ft Pup Jt.</v>
      </c>
      <c r="B62" s="8">
        <v>9</v>
      </c>
      <c r="C62" s="40"/>
      <c r="D62" s="40" t="s">
        <v>97</v>
      </c>
      <c r="E62" s="40" t="s">
        <v>253</v>
      </c>
      <c r="F62" s="8" t="s">
        <v>109</v>
      </c>
      <c r="G62" s="8">
        <v>21</v>
      </c>
      <c r="H62" s="44">
        <v>40</v>
      </c>
      <c r="I62" s="46">
        <v>0.75</v>
      </c>
      <c r="J62" s="93">
        <v>1</v>
      </c>
      <c r="K62" s="93">
        <v>1</v>
      </c>
      <c r="L62" s="93" t="s">
        <v>246</v>
      </c>
      <c r="M62" s="44">
        <f>M16+$H62*'Ref WT'!J$6</f>
        <v>24.44658878880114</v>
      </c>
      <c r="N62" s="44">
        <f>N16+$H62*'Ref WT'!K$6</f>
        <v>15.648532246256993</v>
      </c>
      <c r="O62" s="8">
        <v>51</v>
      </c>
      <c r="P62" s="8"/>
      <c r="Q62" s="96">
        <v>0.7</v>
      </c>
      <c r="R62" s="96">
        <v>1</v>
      </c>
      <c r="S62" s="96">
        <v>1</v>
      </c>
      <c r="T62" s="44"/>
      <c r="U62" s="95">
        <v>0.08</v>
      </c>
      <c r="V62" s="95">
        <v>0.08</v>
      </c>
      <c r="W62" s="96">
        <v>0.1</v>
      </c>
      <c r="X62" s="44"/>
    </row>
    <row r="63" spans="1:24" ht="28.5" x14ac:dyDescent="0.2">
      <c r="A63" s="89" t="s">
        <v>135</v>
      </c>
      <c r="B63" s="8">
        <v>9</v>
      </c>
      <c r="C63" s="40"/>
      <c r="D63" s="42" t="s">
        <v>100</v>
      </c>
      <c r="E63" s="40" t="s">
        <v>254</v>
      </c>
      <c r="F63" s="8" t="s">
        <v>109</v>
      </c>
      <c r="G63" s="8">
        <v>21</v>
      </c>
      <c r="H63" s="44">
        <v>10</v>
      </c>
      <c r="I63" s="46">
        <v>0.75</v>
      </c>
      <c r="J63" s="93">
        <v>1</v>
      </c>
      <c r="K63" s="93">
        <v>1</v>
      </c>
      <c r="L63" s="93" t="s">
        <v>246</v>
      </c>
      <c r="M63" s="44">
        <f>M17+$H63*'Ref WT'!J$6</f>
        <v>20.611647197200284</v>
      </c>
      <c r="N63" s="44">
        <f>N17+$H63*'Ref WT'!K$6</f>
        <v>17.662133061564248</v>
      </c>
      <c r="O63" s="8">
        <v>45</v>
      </c>
      <c r="P63" s="8"/>
      <c r="Q63" s="96">
        <v>0.7</v>
      </c>
      <c r="R63" s="96">
        <v>1</v>
      </c>
      <c r="S63" s="96">
        <v>1</v>
      </c>
      <c r="T63" s="44"/>
      <c r="U63" s="95">
        <v>0.08</v>
      </c>
      <c r="V63" s="95">
        <v>0.08</v>
      </c>
      <c r="W63" s="96">
        <v>0.1</v>
      </c>
      <c r="X63" s="44"/>
    </row>
    <row r="64" spans="1:24" ht="28.5" x14ac:dyDescent="0.2">
      <c r="A64" s="89" t="s">
        <v>136</v>
      </c>
      <c r="B64" s="8">
        <v>9</v>
      </c>
      <c r="C64" s="40"/>
      <c r="D64" s="42" t="s">
        <v>101</v>
      </c>
      <c r="E64" s="40" t="s">
        <v>254</v>
      </c>
      <c r="F64" s="8" t="s">
        <v>109</v>
      </c>
      <c r="G64" s="8">
        <v>26</v>
      </c>
      <c r="H64" s="44">
        <v>60</v>
      </c>
      <c r="I64" s="46">
        <v>1</v>
      </c>
      <c r="J64" s="93">
        <v>1</v>
      </c>
      <c r="K64" s="93">
        <v>1</v>
      </c>
      <c r="L64" s="93" t="s">
        <v>246</v>
      </c>
      <c r="M64" s="45">
        <v>60</v>
      </c>
      <c r="N64" s="45">
        <v>52</v>
      </c>
      <c r="O64" s="8">
        <v>45</v>
      </c>
      <c r="P64" s="8"/>
      <c r="Q64" s="96">
        <v>0.7</v>
      </c>
      <c r="R64" s="96">
        <v>1</v>
      </c>
      <c r="S64" s="96">
        <v>1</v>
      </c>
      <c r="T64" s="44"/>
      <c r="U64" s="95">
        <v>0.08</v>
      </c>
      <c r="V64" s="95">
        <v>0.08</v>
      </c>
      <c r="W64" s="96">
        <v>0.1</v>
      </c>
      <c r="X64" s="44"/>
    </row>
    <row r="65" spans="1:24" x14ac:dyDescent="0.2">
      <c r="A65" s="89" t="s">
        <v>110</v>
      </c>
      <c r="B65" s="8">
        <v>9</v>
      </c>
      <c r="C65" s="40"/>
      <c r="D65" s="40" t="s">
        <v>110</v>
      </c>
      <c r="E65" s="40" t="s">
        <v>254</v>
      </c>
      <c r="F65" s="8" t="s">
        <v>109</v>
      </c>
      <c r="G65" s="8">
        <v>23.75</v>
      </c>
      <c r="H65" s="44">
        <v>6</v>
      </c>
      <c r="I65" s="46">
        <v>2.5</v>
      </c>
      <c r="J65" s="93">
        <v>1</v>
      </c>
      <c r="K65" s="93">
        <v>1</v>
      </c>
      <c r="L65" s="93" t="s">
        <v>246</v>
      </c>
      <c r="M65" s="44">
        <v>13</v>
      </c>
      <c r="N65" s="44">
        <v>11</v>
      </c>
      <c r="O65" s="8">
        <v>30</v>
      </c>
      <c r="P65" s="8"/>
      <c r="Q65" s="96">
        <v>0.7</v>
      </c>
      <c r="R65" s="96">
        <v>1</v>
      </c>
      <c r="S65" s="96">
        <v>1</v>
      </c>
      <c r="T65" s="44"/>
      <c r="U65" s="95">
        <v>0.08</v>
      </c>
      <c r="V65" s="95">
        <v>0.08</v>
      </c>
      <c r="W65" s="96">
        <v>0.1</v>
      </c>
      <c r="X65" s="44"/>
    </row>
    <row r="66" spans="1:24" x14ac:dyDescent="0.2">
      <c r="A66" s="89" t="s">
        <v>103</v>
      </c>
      <c r="B66" s="8">
        <v>9</v>
      </c>
      <c r="C66" s="40"/>
      <c r="D66" s="40" t="s">
        <v>111</v>
      </c>
      <c r="E66" s="40" t="s">
        <v>254</v>
      </c>
      <c r="F66" s="8" t="s">
        <v>109</v>
      </c>
      <c r="G66" s="8">
        <v>23.75</v>
      </c>
      <c r="H66" s="44">
        <v>20</v>
      </c>
      <c r="I66" s="46">
        <v>2.5</v>
      </c>
      <c r="J66" s="93">
        <v>1</v>
      </c>
      <c r="K66" s="93">
        <v>1</v>
      </c>
      <c r="L66" s="93" t="s">
        <v>246</v>
      </c>
      <c r="M66" s="45">
        <v>300</v>
      </c>
      <c r="N66" s="45">
        <v>250</v>
      </c>
      <c r="O66" s="8">
        <v>220</v>
      </c>
      <c r="P66" s="8"/>
      <c r="Q66" s="96">
        <v>0.5</v>
      </c>
      <c r="R66" s="96">
        <v>0.5</v>
      </c>
      <c r="S66" s="96">
        <v>0.4</v>
      </c>
      <c r="T66" s="44"/>
      <c r="U66" s="95">
        <v>0.08</v>
      </c>
      <c r="V66" s="95">
        <v>0.08</v>
      </c>
      <c r="W66" s="96">
        <v>0.1</v>
      </c>
      <c r="X66" s="44"/>
    </row>
    <row r="67" spans="1:24" x14ac:dyDescent="0.2">
      <c r="A67" s="89" t="s">
        <v>104</v>
      </c>
      <c r="B67" s="8">
        <v>9</v>
      </c>
      <c r="C67" s="40"/>
      <c r="D67" s="40" t="s">
        <v>104</v>
      </c>
      <c r="E67" s="40" t="s">
        <v>254</v>
      </c>
      <c r="F67" s="8" t="s">
        <v>109</v>
      </c>
      <c r="G67" s="8">
        <v>23.75</v>
      </c>
      <c r="H67" s="44">
        <v>23</v>
      </c>
      <c r="I67" s="46">
        <v>2.5</v>
      </c>
      <c r="J67" s="93">
        <v>1</v>
      </c>
      <c r="K67" s="93">
        <v>1</v>
      </c>
      <c r="L67" s="93" t="s">
        <v>246</v>
      </c>
      <c r="M67" s="48">
        <v>480</v>
      </c>
      <c r="N67" s="48">
        <v>415</v>
      </c>
      <c r="O67" s="48">
        <v>220</v>
      </c>
      <c r="P67" s="48"/>
      <c r="Q67" s="96">
        <v>0.5</v>
      </c>
      <c r="R67" s="96">
        <v>0.5</v>
      </c>
      <c r="S67" s="96">
        <v>0.4</v>
      </c>
      <c r="T67" s="44"/>
      <c r="U67" s="95">
        <v>0.08</v>
      </c>
      <c r="V67" s="95">
        <v>0.08</v>
      </c>
      <c r="W67" s="96">
        <v>0.1</v>
      </c>
      <c r="X67" s="44"/>
    </row>
    <row r="68" spans="1:24" ht="15" x14ac:dyDescent="0.25">
      <c r="A68" s="40" t="s">
        <v>124</v>
      </c>
      <c r="B68" s="8">
        <v>9</v>
      </c>
      <c r="C68" s="83"/>
      <c r="D68" s="40" t="s">
        <v>374</v>
      </c>
      <c r="E68" s="40" t="s">
        <v>378</v>
      </c>
      <c r="F68" s="8" t="s">
        <v>109</v>
      </c>
      <c r="G68" s="8">
        <v>6</v>
      </c>
      <c r="H68" s="8"/>
      <c r="I68" s="46">
        <v>1</v>
      </c>
      <c r="J68" s="93">
        <v>1</v>
      </c>
      <c r="K68" s="93">
        <v>1</v>
      </c>
      <c r="L68" s="93" t="s">
        <v>250</v>
      </c>
      <c r="M68" s="44"/>
      <c r="N68" s="44"/>
      <c r="O68" s="8"/>
      <c r="P68" s="8"/>
      <c r="Q68" s="96"/>
      <c r="R68" s="96"/>
      <c r="S68" s="96"/>
      <c r="T68" s="44"/>
      <c r="U68" s="95"/>
      <c r="V68" s="95"/>
      <c r="W68" s="96"/>
      <c r="X68" s="44"/>
    </row>
    <row r="69" spans="1:24" ht="15" x14ac:dyDescent="0.25">
      <c r="A69" s="40" t="s">
        <v>125</v>
      </c>
      <c r="B69" s="8">
        <v>9</v>
      </c>
      <c r="C69" s="83"/>
      <c r="D69" s="40" t="s">
        <v>373</v>
      </c>
      <c r="E69" s="40" t="s">
        <v>378</v>
      </c>
      <c r="F69" s="8" t="s">
        <v>109</v>
      </c>
      <c r="G69" s="8">
        <v>6</v>
      </c>
      <c r="H69" s="8"/>
      <c r="I69" s="46">
        <v>1</v>
      </c>
      <c r="J69" s="93">
        <v>1</v>
      </c>
      <c r="K69" s="93">
        <v>1</v>
      </c>
      <c r="L69" s="93" t="s">
        <v>250</v>
      </c>
      <c r="M69" s="44"/>
      <c r="N69" s="44"/>
      <c r="O69" s="8"/>
      <c r="P69" s="8"/>
      <c r="Q69" s="96"/>
      <c r="R69" s="96"/>
      <c r="S69" s="96"/>
      <c r="T69" s="44"/>
      <c r="U69" s="95"/>
      <c r="V69" s="95"/>
      <c r="W69" s="96"/>
      <c r="X69" s="44"/>
    </row>
    <row r="70" spans="1:24" ht="15" x14ac:dyDescent="0.25">
      <c r="A70" s="40" t="s">
        <v>126</v>
      </c>
      <c r="B70" s="8">
        <v>9</v>
      </c>
      <c r="C70" s="83"/>
      <c r="D70" s="40" t="s">
        <v>375</v>
      </c>
      <c r="E70" s="40" t="s">
        <v>378</v>
      </c>
      <c r="F70" s="8" t="s">
        <v>109</v>
      </c>
      <c r="G70" s="8">
        <v>5</v>
      </c>
      <c r="H70" s="8"/>
      <c r="I70" s="46">
        <v>0.5</v>
      </c>
      <c r="J70" s="93">
        <v>1</v>
      </c>
      <c r="K70" s="93">
        <v>1</v>
      </c>
      <c r="L70" s="93" t="s">
        <v>250</v>
      </c>
      <c r="M70" s="44"/>
      <c r="N70" s="44"/>
      <c r="O70" s="8"/>
      <c r="P70" s="8"/>
      <c r="Q70" s="96"/>
      <c r="R70" s="96"/>
      <c r="S70" s="96"/>
      <c r="T70" s="44"/>
      <c r="U70" s="95"/>
      <c r="V70" s="95"/>
      <c r="W70" s="96"/>
      <c r="X70" s="44"/>
    </row>
    <row r="71" spans="1:24" ht="15" x14ac:dyDescent="0.25">
      <c r="A71" s="40" t="s">
        <v>127</v>
      </c>
      <c r="B71" s="8">
        <v>9</v>
      </c>
      <c r="C71" s="83"/>
      <c r="D71" s="40" t="s">
        <v>376</v>
      </c>
      <c r="E71" s="40" t="s">
        <v>378</v>
      </c>
      <c r="F71" s="8" t="s">
        <v>109</v>
      </c>
      <c r="G71" s="8">
        <v>3</v>
      </c>
      <c r="H71" s="8"/>
      <c r="I71" s="46">
        <v>0.25</v>
      </c>
      <c r="J71" s="93">
        <v>1</v>
      </c>
      <c r="K71" s="93">
        <v>1</v>
      </c>
      <c r="L71" s="93" t="s">
        <v>250</v>
      </c>
      <c r="M71" s="44"/>
      <c r="N71" s="44"/>
      <c r="O71" s="8"/>
      <c r="P71" s="8"/>
      <c r="Q71" s="96"/>
      <c r="R71" s="96"/>
      <c r="S71" s="96"/>
      <c r="T71" s="44"/>
      <c r="U71" s="95"/>
      <c r="V71" s="95"/>
      <c r="W71" s="96"/>
      <c r="X71" s="44"/>
    </row>
    <row r="72" spans="1:24" ht="15" x14ac:dyDescent="0.25">
      <c r="A72" s="40" t="s">
        <v>128</v>
      </c>
      <c r="B72" s="8">
        <v>9</v>
      </c>
      <c r="C72" s="83"/>
      <c r="D72" s="40" t="s">
        <v>377</v>
      </c>
      <c r="E72" s="40" t="s">
        <v>378</v>
      </c>
      <c r="F72" s="8" t="s">
        <v>109</v>
      </c>
      <c r="G72" s="8">
        <v>3</v>
      </c>
      <c r="H72" s="8"/>
      <c r="I72" s="46">
        <v>0.25</v>
      </c>
      <c r="J72" s="93">
        <v>1</v>
      </c>
      <c r="K72" s="93">
        <v>1</v>
      </c>
      <c r="L72" s="93" t="s">
        <v>250</v>
      </c>
      <c r="M72" s="44"/>
      <c r="N72" s="44"/>
      <c r="O72" s="8"/>
      <c r="P72" s="8"/>
      <c r="Q72" s="96"/>
      <c r="R72" s="96"/>
      <c r="S72" s="96"/>
      <c r="T72" s="44"/>
      <c r="U72" s="95"/>
      <c r="V72" s="95"/>
      <c r="W72" s="96"/>
      <c r="X72" s="44"/>
    </row>
    <row r="73" spans="1:24" ht="15" x14ac:dyDescent="0.25">
      <c r="A73" s="88" t="s">
        <v>133</v>
      </c>
      <c r="B73" s="8">
        <v>10</v>
      </c>
      <c r="C73" s="40"/>
      <c r="D73" s="40" t="s">
        <v>133</v>
      </c>
      <c r="E73" s="40" t="s">
        <v>254</v>
      </c>
      <c r="F73" s="8" t="s">
        <v>109</v>
      </c>
      <c r="G73" s="8">
        <v>21</v>
      </c>
      <c r="H73" s="44">
        <v>15</v>
      </c>
      <c r="I73" s="8">
        <v>0.875</v>
      </c>
      <c r="J73" s="93">
        <v>1</v>
      </c>
      <c r="K73" s="93">
        <v>1</v>
      </c>
      <c r="L73" s="93" t="s">
        <v>250</v>
      </c>
      <c r="M73" s="44">
        <v>1</v>
      </c>
      <c r="N73" s="44">
        <v>1</v>
      </c>
      <c r="O73" s="8"/>
      <c r="P73" s="8"/>
      <c r="Q73" s="96">
        <v>0.7</v>
      </c>
      <c r="R73" s="96">
        <v>1</v>
      </c>
      <c r="S73" s="96">
        <v>1</v>
      </c>
      <c r="T73" s="44"/>
      <c r="U73" s="95">
        <v>0.08</v>
      </c>
      <c r="V73" s="95">
        <v>0.08</v>
      </c>
      <c r="W73" s="96">
        <v>0.1</v>
      </c>
      <c r="X73" s="44"/>
    </row>
    <row r="74" spans="1:24" ht="15" x14ac:dyDescent="0.25">
      <c r="A74" s="88" t="str">
        <f>H74&amp;"ft "&amp;D74</f>
        <v>75ft Bare jt.  - protected</v>
      </c>
      <c r="B74" s="8">
        <v>10</v>
      </c>
      <c r="C74" s="40"/>
      <c r="D74" s="40" t="s">
        <v>87</v>
      </c>
      <c r="E74" s="40" t="s">
        <v>253</v>
      </c>
      <c r="F74" s="8" t="s">
        <v>109</v>
      </c>
      <c r="G74" s="8">
        <v>21</v>
      </c>
      <c r="H74" s="44">
        <v>75</v>
      </c>
      <c r="I74" s="46">
        <v>1</v>
      </c>
      <c r="J74" s="93">
        <v>1</v>
      </c>
      <c r="K74" s="93">
        <v>1</v>
      </c>
      <c r="L74" s="93" t="s">
        <v>246</v>
      </c>
      <c r="M74" s="44">
        <f>M5+$H74*'Ref WT'!J$7</f>
        <v>44.875063491694661</v>
      </c>
      <c r="N74" s="44">
        <f>N5+$H74*'Ref WT'!K$7</f>
        <v>29.501305237774357</v>
      </c>
      <c r="O74" s="8">
        <v>51</v>
      </c>
      <c r="P74" s="8"/>
      <c r="Q74" s="96">
        <v>0.7</v>
      </c>
      <c r="R74" s="96">
        <v>1</v>
      </c>
      <c r="S74" s="96">
        <v>1</v>
      </c>
      <c r="T74" s="44"/>
      <c r="U74" s="95">
        <v>0.08</v>
      </c>
      <c r="V74" s="95">
        <v>0.08</v>
      </c>
      <c r="W74" s="96">
        <v>0.1</v>
      </c>
      <c r="X74" s="44"/>
    </row>
    <row r="75" spans="1:24" ht="15" x14ac:dyDescent="0.25">
      <c r="A75" s="88" t="str">
        <f>H75&amp;"ft "&amp;D75&amp;" "&amp;F75&amp;" ft rating"</f>
        <v>75ft Buoyancy Jt. 2500 ft rating</v>
      </c>
      <c r="B75" s="8">
        <v>10</v>
      </c>
      <c r="C75" s="40"/>
      <c r="D75" s="40" t="s">
        <v>95</v>
      </c>
      <c r="E75" s="40" t="s">
        <v>253</v>
      </c>
      <c r="F75" s="92">
        <v>2500</v>
      </c>
      <c r="G75" s="8">
        <v>21</v>
      </c>
      <c r="H75" s="44">
        <v>75</v>
      </c>
      <c r="I75" s="46">
        <v>1</v>
      </c>
      <c r="J75" s="93">
        <v>1</v>
      </c>
      <c r="K75" s="93">
        <v>1</v>
      </c>
      <c r="L75" s="93" t="s">
        <v>246</v>
      </c>
      <c r="M75" s="44">
        <f>M6+$H75*'Ref WT'!J$7</f>
        <v>51.875063491694661</v>
      </c>
      <c r="N75" s="44">
        <f>N6+$H75*'Ref WT'!K$7</f>
        <v>0.50130523777435743</v>
      </c>
      <c r="O75" s="8">
        <v>54</v>
      </c>
      <c r="P75" s="8"/>
      <c r="Q75" s="96">
        <v>0.7</v>
      </c>
      <c r="R75" s="96">
        <v>1</v>
      </c>
      <c r="S75" s="96">
        <v>1</v>
      </c>
      <c r="T75" s="44"/>
      <c r="U75" s="95">
        <v>0.08</v>
      </c>
      <c r="V75" s="95">
        <v>0.08</v>
      </c>
      <c r="W75" s="96">
        <v>0.1</v>
      </c>
      <c r="X75" s="44"/>
    </row>
    <row r="76" spans="1:24" ht="15" x14ac:dyDescent="0.25">
      <c r="A76" s="88" t="str">
        <f>H76&amp;"ft "&amp;D76&amp;" "&amp;F76&amp;" ft rating"</f>
        <v>75ft Buoyancy Jt. 5000 ft rating</v>
      </c>
      <c r="B76" s="8">
        <v>10</v>
      </c>
      <c r="C76" s="40"/>
      <c r="D76" s="40" t="s">
        <v>95</v>
      </c>
      <c r="E76" s="40" t="s">
        <v>253</v>
      </c>
      <c r="F76" s="92">
        <v>5000</v>
      </c>
      <c r="G76" s="8">
        <v>21</v>
      </c>
      <c r="H76" s="44">
        <v>75</v>
      </c>
      <c r="I76" s="46">
        <v>1</v>
      </c>
      <c r="J76" s="93">
        <v>1</v>
      </c>
      <c r="K76" s="93">
        <v>1</v>
      </c>
      <c r="L76" s="93" t="s">
        <v>246</v>
      </c>
      <c r="M76" s="44">
        <f>M7+$H76*'Ref WT'!J$7</f>
        <v>54.875063491694661</v>
      </c>
      <c r="N76" s="44">
        <f>N7+$H76*'Ref WT'!K$7</f>
        <v>3.5013052377743574</v>
      </c>
      <c r="O76" s="8">
        <v>54</v>
      </c>
      <c r="P76" s="8"/>
      <c r="Q76" s="96">
        <v>0.7</v>
      </c>
      <c r="R76" s="96">
        <v>1</v>
      </c>
      <c r="S76" s="96">
        <v>1</v>
      </c>
      <c r="T76" s="44"/>
      <c r="U76" s="95">
        <v>0.08</v>
      </c>
      <c r="V76" s="95">
        <v>0.08</v>
      </c>
      <c r="W76" s="96">
        <v>0.1</v>
      </c>
      <c r="X76" s="44"/>
    </row>
    <row r="77" spans="1:24" ht="15" x14ac:dyDescent="0.25">
      <c r="A77" s="88" t="str">
        <f>H77&amp;"ft "&amp;D77&amp;" "&amp;F77&amp;" ft rating"</f>
        <v>75ft Buoyancy Jt. 7500 ft rating</v>
      </c>
      <c r="B77" s="8">
        <v>10</v>
      </c>
      <c r="C77" s="40"/>
      <c r="D77" s="40" t="s">
        <v>95</v>
      </c>
      <c r="E77" s="40" t="s">
        <v>253</v>
      </c>
      <c r="F77" s="92">
        <v>7500</v>
      </c>
      <c r="G77" s="8">
        <v>21</v>
      </c>
      <c r="H77" s="44">
        <v>75</v>
      </c>
      <c r="I77" s="46">
        <v>1</v>
      </c>
      <c r="J77" s="93">
        <v>1</v>
      </c>
      <c r="K77" s="93">
        <v>1</v>
      </c>
      <c r="L77" s="93" t="s">
        <v>246</v>
      </c>
      <c r="M77" s="44">
        <f>M8+$H77*'Ref WT'!J$7</f>
        <v>58.875063491694661</v>
      </c>
      <c r="N77" s="44">
        <f>N8+$H77*'Ref WT'!K$7</f>
        <v>7.501305237774357</v>
      </c>
      <c r="O77" s="8">
        <v>54</v>
      </c>
      <c r="P77" s="8"/>
      <c r="Q77" s="96">
        <v>0.7</v>
      </c>
      <c r="R77" s="96">
        <v>1</v>
      </c>
      <c r="S77" s="96">
        <v>1</v>
      </c>
      <c r="T77" s="44"/>
      <c r="U77" s="95">
        <v>0.08</v>
      </c>
      <c r="V77" s="95">
        <v>0.08</v>
      </c>
      <c r="W77" s="96">
        <v>0.1</v>
      </c>
      <c r="X77" s="44"/>
    </row>
    <row r="78" spans="1:24" ht="15" x14ac:dyDescent="0.25">
      <c r="A78" s="88" t="str">
        <f>H78&amp;"ft "&amp;D78&amp;" "&amp;F78&amp;" ft rating"</f>
        <v>75ft Buoyancy Jt. 10000 ft rating</v>
      </c>
      <c r="B78" s="8">
        <v>10</v>
      </c>
      <c r="C78" s="40"/>
      <c r="D78" s="40" t="s">
        <v>95</v>
      </c>
      <c r="E78" s="40" t="s">
        <v>253</v>
      </c>
      <c r="F78" s="92">
        <v>10000</v>
      </c>
      <c r="G78" s="8">
        <v>21</v>
      </c>
      <c r="H78" s="44">
        <v>75</v>
      </c>
      <c r="I78" s="46">
        <v>1</v>
      </c>
      <c r="J78" s="93">
        <v>1</v>
      </c>
      <c r="K78" s="93">
        <v>1</v>
      </c>
      <c r="L78" s="93" t="s">
        <v>246</v>
      </c>
      <c r="M78" s="44">
        <f>M9+$H78*'Ref WT'!J$7</f>
        <v>61.875063491694661</v>
      </c>
      <c r="N78" s="44">
        <f>N9+$H78*'Ref WT'!K$7</f>
        <v>10.501305237774357</v>
      </c>
      <c r="O78" s="8">
        <v>54</v>
      </c>
      <c r="P78" s="8"/>
      <c r="Q78" s="96">
        <v>0.7</v>
      </c>
      <c r="R78" s="96">
        <v>1</v>
      </c>
      <c r="S78" s="96">
        <v>1</v>
      </c>
      <c r="T78" s="44"/>
      <c r="U78" s="95">
        <v>0.08</v>
      </c>
      <c r="V78" s="95">
        <v>0.08</v>
      </c>
      <c r="W78" s="96">
        <v>0.1</v>
      </c>
      <c r="X78" s="44"/>
    </row>
    <row r="79" spans="1:24" ht="15" x14ac:dyDescent="0.25">
      <c r="A79" s="88" t="str">
        <f t="shared" ref="A79:A85" si="4">H79&amp;"ft "&amp;D79</f>
        <v>5ft Pup Jt.</v>
      </c>
      <c r="B79" s="8">
        <v>10</v>
      </c>
      <c r="C79" s="40"/>
      <c r="D79" s="40" t="s">
        <v>97</v>
      </c>
      <c r="E79" s="40" t="s">
        <v>253</v>
      </c>
      <c r="F79" s="8" t="s">
        <v>109</v>
      </c>
      <c r="G79" s="8">
        <v>21</v>
      </c>
      <c r="H79" s="44">
        <v>5</v>
      </c>
      <c r="I79" s="46">
        <v>1</v>
      </c>
      <c r="J79" s="93">
        <v>1</v>
      </c>
      <c r="K79" s="93">
        <v>1</v>
      </c>
      <c r="L79" s="93" t="s">
        <v>246</v>
      </c>
      <c r="M79" s="44">
        <f>M10+$H79*'Ref WT'!J$7</f>
        <v>10.191670899446311</v>
      </c>
      <c r="N79" s="44">
        <f>N10+$H79*'Ref WT'!K$7</f>
        <v>9.1667536825182907</v>
      </c>
      <c r="O79" s="8">
        <v>51</v>
      </c>
      <c r="P79" s="8"/>
      <c r="Q79" s="96">
        <v>0.7</v>
      </c>
      <c r="R79" s="96">
        <v>1</v>
      </c>
      <c r="S79" s="96">
        <v>1</v>
      </c>
      <c r="T79" s="44"/>
      <c r="U79" s="95">
        <v>0.08</v>
      </c>
      <c r="V79" s="95">
        <v>0.08</v>
      </c>
      <c r="W79" s="96">
        <v>0.1</v>
      </c>
      <c r="X79" s="44"/>
    </row>
    <row r="80" spans="1:24" ht="15" x14ac:dyDescent="0.25">
      <c r="A80" s="88" t="str">
        <f t="shared" si="4"/>
        <v>10ft Pup Jt.</v>
      </c>
      <c r="B80" s="8">
        <v>10</v>
      </c>
      <c r="C80" s="40"/>
      <c r="D80" s="40" t="s">
        <v>97</v>
      </c>
      <c r="E80" s="40" t="s">
        <v>253</v>
      </c>
      <c r="F80" s="8" t="s">
        <v>109</v>
      </c>
      <c r="G80" s="8">
        <v>21</v>
      </c>
      <c r="H80" s="44">
        <v>10</v>
      </c>
      <c r="I80" s="46">
        <v>1</v>
      </c>
      <c r="J80" s="93">
        <v>1</v>
      </c>
      <c r="K80" s="93">
        <v>1</v>
      </c>
      <c r="L80" s="93" t="s">
        <v>246</v>
      </c>
      <c r="M80" s="44">
        <f>M11+$H80*'Ref WT'!J$7</f>
        <v>11.383341798892621</v>
      </c>
      <c r="N80" s="44">
        <f>N11+$H80*'Ref WT'!K$7</f>
        <v>9.8335073650365814</v>
      </c>
      <c r="O80" s="8">
        <v>51</v>
      </c>
      <c r="P80" s="8"/>
      <c r="Q80" s="96">
        <v>0.7</v>
      </c>
      <c r="R80" s="96">
        <v>1</v>
      </c>
      <c r="S80" s="96">
        <v>1</v>
      </c>
      <c r="T80" s="44"/>
      <c r="U80" s="95">
        <v>0.08</v>
      </c>
      <c r="V80" s="95">
        <v>0.08</v>
      </c>
      <c r="W80" s="96">
        <v>0.1</v>
      </c>
      <c r="X80" s="44"/>
    </row>
    <row r="81" spans="1:24" ht="15" x14ac:dyDescent="0.25">
      <c r="A81" s="88" t="str">
        <f t="shared" si="4"/>
        <v>15ft Pup Jt.</v>
      </c>
      <c r="B81" s="8">
        <v>10</v>
      </c>
      <c r="C81" s="40"/>
      <c r="D81" s="40" t="s">
        <v>97</v>
      </c>
      <c r="E81" s="40" t="s">
        <v>253</v>
      </c>
      <c r="F81" s="8" t="s">
        <v>109</v>
      </c>
      <c r="G81" s="8">
        <v>21</v>
      </c>
      <c r="H81" s="44">
        <v>15</v>
      </c>
      <c r="I81" s="46">
        <v>1</v>
      </c>
      <c r="J81" s="93">
        <v>1</v>
      </c>
      <c r="K81" s="93">
        <v>1</v>
      </c>
      <c r="L81" s="93" t="s">
        <v>246</v>
      </c>
      <c r="M81" s="44">
        <f>M12+$H81*'Ref WT'!J$7</f>
        <v>14.075012698338933</v>
      </c>
      <c r="N81" s="44">
        <f>N12+$H81*'Ref WT'!K$7</f>
        <v>11.250261047554872</v>
      </c>
      <c r="O81" s="8">
        <v>51</v>
      </c>
      <c r="P81" s="8"/>
      <c r="Q81" s="96">
        <v>0.7</v>
      </c>
      <c r="R81" s="96">
        <v>1</v>
      </c>
      <c r="S81" s="96">
        <v>1</v>
      </c>
      <c r="T81" s="44"/>
      <c r="U81" s="95">
        <v>0.08</v>
      </c>
      <c r="V81" s="95">
        <v>0.08</v>
      </c>
      <c r="W81" s="96">
        <v>0.1</v>
      </c>
      <c r="X81" s="44"/>
    </row>
    <row r="82" spans="1:24" ht="15" x14ac:dyDescent="0.25">
      <c r="A82" s="88" t="str">
        <f t="shared" si="4"/>
        <v>20ft Pup Jt.</v>
      </c>
      <c r="B82" s="8">
        <v>10</v>
      </c>
      <c r="C82" s="40"/>
      <c r="D82" s="40" t="s">
        <v>97</v>
      </c>
      <c r="E82" s="40" t="s">
        <v>253</v>
      </c>
      <c r="F82" s="8" t="s">
        <v>109</v>
      </c>
      <c r="G82" s="8">
        <v>21</v>
      </c>
      <c r="H82" s="44">
        <v>20</v>
      </c>
      <c r="I82" s="46">
        <v>1</v>
      </c>
      <c r="J82" s="93">
        <v>1</v>
      </c>
      <c r="K82" s="93">
        <v>1</v>
      </c>
      <c r="L82" s="93" t="s">
        <v>246</v>
      </c>
      <c r="M82" s="44">
        <f>M13+$H82*'Ref WT'!J$7</f>
        <v>16.766683597785242</v>
      </c>
      <c r="N82" s="44">
        <f>N13+$H82*'Ref WT'!K$7</f>
        <v>12.667014730073163</v>
      </c>
      <c r="O82" s="8">
        <v>51</v>
      </c>
      <c r="P82" s="8"/>
      <c r="Q82" s="96">
        <v>0.7</v>
      </c>
      <c r="R82" s="96">
        <v>1</v>
      </c>
      <c r="S82" s="96">
        <v>1</v>
      </c>
      <c r="T82" s="44"/>
      <c r="U82" s="95">
        <v>0.08</v>
      </c>
      <c r="V82" s="95">
        <v>0.08</v>
      </c>
      <c r="W82" s="96">
        <v>0.1</v>
      </c>
      <c r="X82" s="44"/>
    </row>
    <row r="83" spans="1:24" ht="15" x14ac:dyDescent="0.25">
      <c r="A83" s="88" t="str">
        <f t="shared" si="4"/>
        <v>25ft Pup Jt.</v>
      </c>
      <c r="B83" s="8">
        <v>10</v>
      </c>
      <c r="C83" s="40"/>
      <c r="D83" s="40" t="s">
        <v>97</v>
      </c>
      <c r="E83" s="40" t="s">
        <v>253</v>
      </c>
      <c r="F83" s="8" t="s">
        <v>109</v>
      </c>
      <c r="G83" s="8">
        <v>21</v>
      </c>
      <c r="H83" s="44">
        <v>25</v>
      </c>
      <c r="I83" s="46">
        <v>1</v>
      </c>
      <c r="J83" s="93">
        <v>1</v>
      </c>
      <c r="K83" s="93">
        <v>1</v>
      </c>
      <c r="L83" s="93" t="s">
        <v>246</v>
      </c>
      <c r="M83" s="44">
        <f>M14+$H83*'Ref WT'!J$7</f>
        <v>16.958354497231554</v>
      </c>
      <c r="N83" s="44">
        <f>N14+$H83*'Ref WT'!K$7</f>
        <v>12.833768412591452</v>
      </c>
      <c r="O83" s="8">
        <v>51</v>
      </c>
      <c r="P83" s="8"/>
      <c r="Q83" s="96">
        <v>0.7</v>
      </c>
      <c r="R83" s="96">
        <v>1</v>
      </c>
      <c r="S83" s="96">
        <v>1</v>
      </c>
      <c r="T83" s="44"/>
      <c r="U83" s="95">
        <v>0.08</v>
      </c>
      <c r="V83" s="95">
        <v>0.08</v>
      </c>
      <c r="W83" s="96">
        <v>0.1</v>
      </c>
      <c r="X83" s="44"/>
    </row>
    <row r="84" spans="1:24" ht="15" x14ac:dyDescent="0.25">
      <c r="A84" s="88" t="str">
        <f t="shared" si="4"/>
        <v>30ft Pup Jt.</v>
      </c>
      <c r="B84" s="8">
        <v>10</v>
      </c>
      <c r="C84" s="40"/>
      <c r="D84" s="40" t="s">
        <v>97</v>
      </c>
      <c r="E84" s="40" t="s">
        <v>253</v>
      </c>
      <c r="F84" s="8" t="s">
        <v>109</v>
      </c>
      <c r="G84" s="8">
        <v>21</v>
      </c>
      <c r="H84" s="44">
        <v>30</v>
      </c>
      <c r="I84" s="46">
        <v>1</v>
      </c>
      <c r="J84" s="93">
        <v>1</v>
      </c>
      <c r="K84" s="93">
        <v>1</v>
      </c>
      <c r="L84" s="93" t="s">
        <v>246</v>
      </c>
      <c r="M84" s="44">
        <f>M15+$H84*'Ref WT'!J$7</f>
        <v>17.150025396677865</v>
      </c>
      <c r="N84" s="44">
        <f>N15+$H84*'Ref WT'!K$7</f>
        <v>13.000522095109742</v>
      </c>
      <c r="O84" s="8">
        <v>51</v>
      </c>
      <c r="P84" s="8"/>
      <c r="Q84" s="96">
        <v>0.7</v>
      </c>
      <c r="R84" s="96">
        <v>1</v>
      </c>
      <c r="S84" s="96">
        <v>1</v>
      </c>
      <c r="T84" s="44"/>
      <c r="U84" s="95">
        <v>0.08</v>
      </c>
      <c r="V84" s="95">
        <v>0.08</v>
      </c>
      <c r="W84" s="96">
        <v>0.1</v>
      </c>
      <c r="X84" s="44"/>
    </row>
    <row r="85" spans="1:24" ht="15" x14ac:dyDescent="0.25">
      <c r="A85" s="88" t="str">
        <f t="shared" si="4"/>
        <v>40ft Pup Jt.</v>
      </c>
      <c r="B85" s="8">
        <v>10</v>
      </c>
      <c r="C85" s="40"/>
      <c r="D85" s="40" t="s">
        <v>97</v>
      </c>
      <c r="E85" s="40" t="s">
        <v>253</v>
      </c>
      <c r="F85" s="8" t="s">
        <v>109</v>
      </c>
      <c r="G85" s="8">
        <v>21</v>
      </c>
      <c r="H85" s="44">
        <v>40</v>
      </c>
      <c r="I85" s="46">
        <v>1</v>
      </c>
      <c r="J85" s="93">
        <v>1</v>
      </c>
      <c r="K85" s="93">
        <v>1</v>
      </c>
      <c r="L85" s="93" t="s">
        <v>246</v>
      </c>
      <c r="M85" s="44">
        <f>M16+$H85*'Ref WT'!J$7</f>
        <v>27.533367195570488</v>
      </c>
      <c r="N85" s="44">
        <f>N16+$H85*'Ref WT'!K$7</f>
        <v>18.334029460146326</v>
      </c>
      <c r="O85" s="8">
        <v>51</v>
      </c>
      <c r="P85" s="8"/>
      <c r="Q85" s="96">
        <v>0.7</v>
      </c>
      <c r="R85" s="96">
        <v>1</v>
      </c>
      <c r="S85" s="96">
        <v>1</v>
      </c>
      <c r="T85" s="44"/>
      <c r="U85" s="95">
        <v>0.08</v>
      </c>
      <c r="V85" s="95">
        <v>0.08</v>
      </c>
      <c r="W85" s="96">
        <v>0.1</v>
      </c>
      <c r="X85" s="44"/>
    </row>
    <row r="86" spans="1:24" ht="28.5" x14ac:dyDescent="0.2">
      <c r="A86" s="89" t="s">
        <v>135</v>
      </c>
      <c r="B86" s="8">
        <v>10</v>
      </c>
      <c r="C86" s="40"/>
      <c r="D86" s="42" t="s">
        <v>100</v>
      </c>
      <c r="E86" s="40" t="s">
        <v>254</v>
      </c>
      <c r="F86" s="8" t="s">
        <v>109</v>
      </c>
      <c r="G86" s="8">
        <v>21</v>
      </c>
      <c r="H86" s="44">
        <v>10</v>
      </c>
      <c r="I86" s="46">
        <v>1</v>
      </c>
      <c r="J86" s="93">
        <v>1</v>
      </c>
      <c r="K86" s="93">
        <v>1</v>
      </c>
      <c r="L86" s="93" t="s">
        <v>246</v>
      </c>
      <c r="M86" s="45">
        <v>21</v>
      </c>
      <c r="N86" s="45">
        <v>18</v>
      </c>
      <c r="O86" s="8">
        <v>45</v>
      </c>
      <c r="P86" s="8"/>
      <c r="Q86" s="96">
        <v>0.7</v>
      </c>
      <c r="R86" s="96">
        <v>1</v>
      </c>
      <c r="S86" s="96">
        <v>1</v>
      </c>
      <c r="T86" s="44"/>
      <c r="U86" s="95">
        <v>0.08</v>
      </c>
      <c r="V86" s="95">
        <v>0.08</v>
      </c>
      <c r="W86" s="96">
        <v>0.1</v>
      </c>
      <c r="X86" s="44"/>
    </row>
    <row r="87" spans="1:24" ht="28.5" x14ac:dyDescent="0.2">
      <c r="A87" s="89" t="s">
        <v>136</v>
      </c>
      <c r="B87" s="8">
        <v>10</v>
      </c>
      <c r="C87" s="40"/>
      <c r="D87" s="42" t="s">
        <v>101</v>
      </c>
      <c r="E87" s="40" t="s">
        <v>254</v>
      </c>
      <c r="F87" s="8" t="s">
        <v>109</v>
      </c>
      <c r="G87" s="8">
        <v>26</v>
      </c>
      <c r="H87" s="44">
        <v>60</v>
      </c>
      <c r="I87" s="46">
        <v>1.25</v>
      </c>
      <c r="J87" s="93">
        <v>1</v>
      </c>
      <c r="K87" s="93">
        <v>1</v>
      </c>
      <c r="L87" s="93" t="s">
        <v>246</v>
      </c>
      <c r="M87" s="45">
        <v>60</v>
      </c>
      <c r="N87" s="45">
        <v>52</v>
      </c>
      <c r="O87" s="8">
        <v>45</v>
      </c>
      <c r="P87" s="8"/>
      <c r="Q87" s="96">
        <v>0.7</v>
      </c>
      <c r="R87" s="96">
        <v>1</v>
      </c>
      <c r="S87" s="96">
        <v>1</v>
      </c>
      <c r="T87" s="44"/>
      <c r="U87" s="95">
        <v>0.08</v>
      </c>
      <c r="V87" s="95">
        <v>0.08</v>
      </c>
      <c r="W87" s="96">
        <v>0.1</v>
      </c>
      <c r="X87" s="44"/>
    </row>
    <row r="88" spans="1:24" x14ac:dyDescent="0.2">
      <c r="A88" s="89" t="s">
        <v>110</v>
      </c>
      <c r="B88" s="8">
        <v>10</v>
      </c>
      <c r="C88" s="40"/>
      <c r="D88" s="40" t="s">
        <v>110</v>
      </c>
      <c r="E88" s="40" t="s">
        <v>254</v>
      </c>
      <c r="F88" s="8" t="s">
        <v>109</v>
      </c>
      <c r="G88" s="8">
        <v>23.75</v>
      </c>
      <c r="H88" s="44">
        <v>6</v>
      </c>
      <c r="I88" s="46">
        <v>2.5</v>
      </c>
      <c r="J88" s="93">
        <v>1</v>
      </c>
      <c r="K88" s="93">
        <v>1</v>
      </c>
      <c r="L88" s="93" t="s">
        <v>246</v>
      </c>
      <c r="M88" s="44">
        <v>13</v>
      </c>
      <c r="N88" s="44">
        <v>11</v>
      </c>
      <c r="O88" s="8">
        <v>30</v>
      </c>
      <c r="P88" s="8"/>
      <c r="Q88" s="96">
        <v>0.7</v>
      </c>
      <c r="R88" s="96">
        <v>1</v>
      </c>
      <c r="S88" s="96">
        <v>1</v>
      </c>
      <c r="T88" s="44"/>
      <c r="U88" s="95">
        <v>0.08</v>
      </c>
      <c r="V88" s="95">
        <v>0.08</v>
      </c>
      <c r="W88" s="96">
        <v>0.1</v>
      </c>
      <c r="X88" s="44"/>
    </row>
    <row r="89" spans="1:24" x14ac:dyDescent="0.2">
      <c r="A89" s="89" t="s">
        <v>103</v>
      </c>
      <c r="B89" s="8">
        <v>10</v>
      </c>
      <c r="C89" s="40"/>
      <c r="D89" s="40" t="s">
        <v>111</v>
      </c>
      <c r="E89" s="40" t="s">
        <v>254</v>
      </c>
      <c r="F89" s="8" t="s">
        <v>109</v>
      </c>
      <c r="G89" s="8">
        <v>23.75</v>
      </c>
      <c r="H89" s="44">
        <v>20</v>
      </c>
      <c r="I89" s="46">
        <v>2.5</v>
      </c>
      <c r="J89" s="93">
        <v>1</v>
      </c>
      <c r="K89" s="93">
        <v>1</v>
      </c>
      <c r="L89" s="93" t="s">
        <v>246</v>
      </c>
      <c r="M89" s="45">
        <v>300</v>
      </c>
      <c r="N89" s="45">
        <v>250</v>
      </c>
      <c r="O89" s="8">
        <v>220</v>
      </c>
      <c r="P89" s="8"/>
      <c r="Q89" s="96">
        <v>0.5</v>
      </c>
      <c r="R89" s="96">
        <v>0.5</v>
      </c>
      <c r="S89" s="96">
        <v>0.4</v>
      </c>
      <c r="T89" s="44"/>
      <c r="U89" s="95">
        <v>0.08</v>
      </c>
      <c r="V89" s="95">
        <v>0.08</v>
      </c>
      <c r="W89" s="96">
        <v>0.1</v>
      </c>
      <c r="X89" s="44"/>
    </row>
    <row r="90" spans="1:24" x14ac:dyDescent="0.2">
      <c r="A90" s="89" t="s">
        <v>104</v>
      </c>
      <c r="B90" s="8">
        <v>10</v>
      </c>
      <c r="C90" s="40"/>
      <c r="D90" s="40" t="s">
        <v>104</v>
      </c>
      <c r="E90" s="40" t="s">
        <v>254</v>
      </c>
      <c r="F90" s="8" t="s">
        <v>109</v>
      </c>
      <c r="G90" s="8">
        <v>23.75</v>
      </c>
      <c r="H90" s="44">
        <v>23</v>
      </c>
      <c r="I90" s="46">
        <v>2.5</v>
      </c>
      <c r="J90" s="93">
        <v>1</v>
      </c>
      <c r="K90" s="93">
        <v>1</v>
      </c>
      <c r="L90" s="93" t="s">
        <v>246</v>
      </c>
      <c r="M90" s="48">
        <v>480</v>
      </c>
      <c r="N90" s="48">
        <v>415</v>
      </c>
      <c r="O90" s="48">
        <v>220</v>
      </c>
      <c r="P90" s="48"/>
      <c r="Q90" s="96">
        <v>0.5</v>
      </c>
      <c r="R90" s="96">
        <v>0.5</v>
      </c>
      <c r="S90" s="96">
        <v>0.4</v>
      </c>
      <c r="T90" s="44"/>
      <c r="U90" s="95">
        <v>0.08</v>
      </c>
      <c r="V90" s="95">
        <v>0.08</v>
      </c>
      <c r="W90" s="96">
        <v>0.1</v>
      </c>
      <c r="X90" s="44"/>
    </row>
    <row r="91" spans="1:24" ht="15" x14ac:dyDescent="0.25">
      <c r="A91" s="40" t="s">
        <v>124</v>
      </c>
      <c r="B91" s="8">
        <v>10</v>
      </c>
      <c r="C91" s="83"/>
      <c r="D91" s="40" t="s">
        <v>374</v>
      </c>
      <c r="E91" s="40" t="s">
        <v>378</v>
      </c>
      <c r="F91" s="8" t="s">
        <v>109</v>
      </c>
      <c r="G91" s="8">
        <v>6</v>
      </c>
      <c r="H91" s="8"/>
      <c r="I91" s="46">
        <v>1</v>
      </c>
      <c r="J91" s="93">
        <v>1</v>
      </c>
      <c r="K91" s="93">
        <v>1</v>
      </c>
      <c r="L91" s="93" t="s">
        <v>250</v>
      </c>
      <c r="M91" s="44"/>
      <c r="N91" s="44"/>
      <c r="O91" s="8"/>
      <c r="P91" s="8"/>
      <c r="Q91" s="96"/>
      <c r="R91" s="96"/>
      <c r="S91" s="96"/>
      <c r="T91" s="44"/>
      <c r="U91" s="95"/>
      <c r="V91" s="95"/>
      <c r="W91" s="96"/>
      <c r="X91" s="44"/>
    </row>
    <row r="92" spans="1:24" ht="15" x14ac:dyDescent="0.25">
      <c r="A92" s="40" t="s">
        <v>125</v>
      </c>
      <c r="B92" s="8">
        <v>10</v>
      </c>
      <c r="C92" s="83"/>
      <c r="D92" s="40" t="s">
        <v>373</v>
      </c>
      <c r="E92" s="40" t="s">
        <v>378</v>
      </c>
      <c r="F92" s="8" t="s">
        <v>109</v>
      </c>
      <c r="G92" s="8">
        <v>6</v>
      </c>
      <c r="H92" s="8"/>
      <c r="I92" s="46">
        <v>1</v>
      </c>
      <c r="J92" s="93">
        <v>1</v>
      </c>
      <c r="K92" s="93">
        <v>1</v>
      </c>
      <c r="L92" s="93" t="s">
        <v>250</v>
      </c>
      <c r="M92" s="44"/>
      <c r="N92" s="44"/>
      <c r="O92" s="8"/>
      <c r="P92" s="8"/>
      <c r="Q92" s="96"/>
      <c r="R92" s="96"/>
      <c r="S92" s="96"/>
      <c r="T92" s="44"/>
      <c r="U92" s="95"/>
      <c r="V92" s="95"/>
      <c r="W92" s="96"/>
      <c r="X92" s="44"/>
    </row>
    <row r="93" spans="1:24" ht="15" x14ac:dyDescent="0.25">
      <c r="A93" s="40" t="s">
        <v>126</v>
      </c>
      <c r="B93" s="8">
        <v>10</v>
      </c>
      <c r="C93" s="83"/>
      <c r="D93" s="40" t="s">
        <v>375</v>
      </c>
      <c r="E93" s="40" t="s">
        <v>378</v>
      </c>
      <c r="F93" s="8" t="s">
        <v>109</v>
      </c>
      <c r="G93" s="8">
        <v>5</v>
      </c>
      <c r="H93" s="8"/>
      <c r="I93" s="46">
        <v>0.5</v>
      </c>
      <c r="J93" s="93">
        <v>1</v>
      </c>
      <c r="K93" s="93">
        <v>1</v>
      </c>
      <c r="L93" s="93" t="s">
        <v>250</v>
      </c>
      <c r="M93" s="44"/>
      <c r="N93" s="44"/>
      <c r="O93" s="8"/>
      <c r="P93" s="8"/>
      <c r="Q93" s="96"/>
      <c r="R93" s="96"/>
      <c r="S93" s="96"/>
      <c r="T93" s="44"/>
      <c r="U93" s="95"/>
      <c r="V93" s="95"/>
      <c r="W93" s="96"/>
      <c r="X93" s="44"/>
    </row>
    <row r="94" spans="1:24" ht="15" x14ac:dyDescent="0.25">
      <c r="A94" s="40" t="s">
        <v>127</v>
      </c>
      <c r="B94" s="8">
        <v>10</v>
      </c>
      <c r="C94" s="83"/>
      <c r="D94" s="40" t="s">
        <v>376</v>
      </c>
      <c r="E94" s="40" t="s">
        <v>378</v>
      </c>
      <c r="F94" s="8" t="s">
        <v>109</v>
      </c>
      <c r="G94" s="8">
        <v>3</v>
      </c>
      <c r="H94" s="8"/>
      <c r="I94" s="46">
        <v>0.25</v>
      </c>
      <c r="J94" s="93">
        <v>1</v>
      </c>
      <c r="K94" s="93">
        <v>1</v>
      </c>
      <c r="L94" s="93" t="s">
        <v>250</v>
      </c>
      <c r="M94" s="44"/>
      <c r="N94" s="44"/>
      <c r="O94" s="8"/>
      <c r="P94" s="8"/>
      <c r="Q94" s="96"/>
      <c r="R94" s="96"/>
      <c r="S94" s="96"/>
      <c r="T94" s="44"/>
      <c r="U94" s="95"/>
      <c r="V94" s="95"/>
      <c r="W94" s="96"/>
      <c r="X94" s="44"/>
    </row>
    <row r="95" spans="1:24" ht="15" x14ac:dyDescent="0.25">
      <c r="A95" s="40" t="s">
        <v>128</v>
      </c>
      <c r="B95" s="8">
        <v>10</v>
      </c>
      <c r="C95" s="83"/>
      <c r="D95" s="40" t="s">
        <v>377</v>
      </c>
      <c r="E95" s="40" t="s">
        <v>378</v>
      </c>
      <c r="F95" s="8" t="s">
        <v>109</v>
      </c>
      <c r="G95" s="8">
        <v>3</v>
      </c>
      <c r="H95" s="8"/>
      <c r="I95" s="46">
        <v>0.25</v>
      </c>
      <c r="J95" s="93">
        <v>1</v>
      </c>
      <c r="K95" s="93">
        <v>1</v>
      </c>
      <c r="L95" s="93" t="s">
        <v>250</v>
      </c>
      <c r="M95" s="44"/>
      <c r="N95" s="44"/>
      <c r="O95" s="8"/>
      <c r="P95" s="8"/>
      <c r="Q95" s="96"/>
      <c r="R95" s="96"/>
      <c r="S95" s="96"/>
      <c r="T95" s="44"/>
      <c r="U95" s="95"/>
      <c r="V95" s="95"/>
      <c r="W95" s="96"/>
      <c r="X95" s="44"/>
    </row>
  </sheetData>
  <mergeCells count="3">
    <mergeCell ref="G1:I1"/>
    <mergeCell ref="O1:X1"/>
    <mergeCell ref="M1:N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17"/>
  <sheetViews>
    <sheetView workbookViewId="0">
      <selection activeCell="D18" sqref="D18"/>
    </sheetView>
  </sheetViews>
  <sheetFormatPr defaultRowHeight="15" x14ac:dyDescent="0.25"/>
  <cols>
    <col min="6" max="6" width="12" bestFit="1" customWidth="1"/>
  </cols>
  <sheetData>
    <row r="1" spans="1:11" x14ac:dyDescent="0.25">
      <c r="C1" s="147" t="s">
        <v>387</v>
      </c>
      <c r="D1" s="147"/>
      <c r="E1" s="147"/>
      <c r="F1" s="147"/>
      <c r="G1" s="147"/>
      <c r="H1" s="147"/>
    </row>
    <row r="3" spans="1:11" x14ac:dyDescent="0.25">
      <c r="C3" t="s">
        <v>382</v>
      </c>
      <c r="D3" t="s">
        <v>381</v>
      </c>
      <c r="E3" t="s">
        <v>389</v>
      </c>
      <c r="F3" t="s">
        <v>390</v>
      </c>
      <c r="G3" t="s">
        <v>388</v>
      </c>
      <c r="H3" t="s">
        <v>383</v>
      </c>
      <c r="I3" t="s">
        <v>384</v>
      </c>
      <c r="J3" t="s">
        <v>385</v>
      </c>
      <c r="K3" t="s">
        <v>386</v>
      </c>
    </row>
    <row r="4" spans="1:11" x14ac:dyDescent="0.25">
      <c r="C4" t="s">
        <v>89</v>
      </c>
      <c r="D4" t="s">
        <v>89</v>
      </c>
      <c r="E4" t="s">
        <v>89</v>
      </c>
      <c r="F4" t="s">
        <v>391</v>
      </c>
      <c r="G4" t="s">
        <v>392</v>
      </c>
      <c r="H4" t="s">
        <v>393</v>
      </c>
      <c r="I4" t="s">
        <v>90</v>
      </c>
      <c r="J4" t="s">
        <v>106</v>
      </c>
      <c r="K4" t="s">
        <v>106</v>
      </c>
    </row>
    <row r="5" spans="1:11" x14ac:dyDescent="0.25">
      <c r="C5">
        <v>21</v>
      </c>
      <c r="D5">
        <v>0.875</v>
      </c>
      <c r="E5">
        <f>C5-2*D5</f>
        <v>19.25</v>
      </c>
      <c r="F5">
        <f>PI()/4*(C5^2-E5^2)</f>
        <v>55.321483134307762</v>
      </c>
    </row>
    <row r="6" spans="1:11" x14ac:dyDescent="0.25">
      <c r="C6">
        <v>21</v>
      </c>
      <c r="D6">
        <v>0.75</v>
      </c>
      <c r="E6">
        <f>C6-2*D6</f>
        <v>19.5</v>
      </c>
      <c r="F6">
        <f>PI()/4*(C6^2-E6^2)</f>
        <v>47.712938426394985</v>
      </c>
      <c r="G6">
        <v>490</v>
      </c>
      <c r="H6">
        <f>(F6-$F$5)/12/12*G6</f>
        <v>-25.890186853314312</v>
      </c>
      <c r="I6">
        <v>1.5</v>
      </c>
      <c r="J6">
        <f>H6*I6/1000</f>
        <v>-3.8835280279971469E-2</v>
      </c>
      <c r="K6">
        <f>J6*0.87</f>
        <v>-3.3786693843575182E-2</v>
      </c>
    </row>
    <row r="7" spans="1:11" x14ac:dyDescent="0.25">
      <c r="C7">
        <v>21</v>
      </c>
      <c r="D7">
        <v>1</v>
      </c>
      <c r="E7">
        <f>C7-2*D7</f>
        <v>19</v>
      </c>
      <c r="F7">
        <f>PI()/4*(C7^2-E7^2)</f>
        <v>62.831853071795862</v>
      </c>
      <c r="G7">
        <v>490</v>
      </c>
      <c r="H7">
        <f>(F7-$F$5)/12/12*G7</f>
        <v>25.556119926174787</v>
      </c>
      <c r="I7">
        <v>1.5</v>
      </c>
      <c r="J7">
        <f>H7*I7/1000</f>
        <v>3.8334179889262181E-2</v>
      </c>
      <c r="K7">
        <f>J7*0.87</f>
        <v>3.33507365036581E-2</v>
      </c>
    </row>
    <row r="14" spans="1:11" x14ac:dyDescent="0.25">
      <c r="A14" s="2" t="s">
        <v>397</v>
      </c>
    </row>
    <row r="15" spans="1:11" x14ac:dyDescent="0.25">
      <c r="B15" t="s">
        <v>394</v>
      </c>
      <c r="C15" t="s">
        <v>395</v>
      </c>
      <c r="D15" t="s">
        <v>396</v>
      </c>
    </row>
    <row r="16" spans="1:11" x14ac:dyDescent="0.25">
      <c r="B16">
        <v>8.5500000000000007</v>
      </c>
      <c r="C16">
        <v>1025</v>
      </c>
      <c r="D16">
        <v>64</v>
      </c>
    </row>
    <row r="17" spans="2:4" x14ac:dyDescent="0.25">
      <c r="B17">
        <v>16</v>
      </c>
      <c r="C17">
        <f>B17*C16/B16</f>
        <v>1918.1286549707602</v>
      </c>
      <c r="D17">
        <f>C17*D16/C16</f>
        <v>119.76608187134502</v>
      </c>
    </row>
  </sheetData>
  <mergeCells count="1">
    <mergeCell ref="C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</vt:i4>
      </vt:variant>
    </vt:vector>
  </HeadingPairs>
  <TitlesOfParts>
    <vt:vector size="24" baseType="lpstr">
      <vt:lpstr>hosts</vt:lpstr>
      <vt:lpstr>SU_Configuration 2500ft WD</vt:lpstr>
      <vt:lpstr>SU_5000ft_WD</vt:lpstr>
      <vt:lpstr>SU_8000ft_WD</vt:lpstr>
      <vt:lpstr>SU_10000ft_WD</vt:lpstr>
      <vt:lpstr>Ref Stack-ups</vt:lpstr>
      <vt:lpstr>SU_West Boreas</vt:lpstr>
      <vt:lpstr>Joints</vt:lpstr>
      <vt:lpstr>Ref WT</vt:lpstr>
      <vt:lpstr>Tensioners</vt:lpstr>
      <vt:lpstr>Flexible Jts</vt:lpstr>
      <vt:lpstr>geotechnical</vt:lpstr>
      <vt:lpstr>pipe</vt:lpstr>
      <vt:lpstr>material</vt:lpstr>
      <vt:lpstr>Ref Soil</vt:lpstr>
      <vt:lpstr>Ref Aux Lines</vt:lpstr>
      <vt:lpstr>Wave</vt:lpstr>
      <vt:lpstr>Current</vt:lpstr>
      <vt:lpstr>RAOs</vt:lpstr>
      <vt:lpstr>Ref FJ_Stiffness1</vt:lpstr>
      <vt:lpstr>Ref Sensitivities</vt:lpstr>
      <vt:lpstr>Ref Fatigue_Curve</vt:lpstr>
      <vt:lpstr>'Ref Soil'!P_y_Model</vt:lpstr>
      <vt:lpstr>'Ref Soil'!P_y_Model_Cyclic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2019-07-30T17:56:37Z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e0df10f5-304b-441d-aece-2e8f67ab8f65</vt:lpwstr>
  </property>
</Properties>
</file>