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E76E1499-8BDF-4B2D-AF6D-3114AF7894CD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1" i="98" l="1"/>
  <c r="G40" i="98"/>
  <c r="G39" i="98"/>
  <c r="AF49" i="98"/>
  <c r="AE49" i="98"/>
  <c r="AD49" i="98"/>
  <c r="AC49" i="98"/>
  <c r="AB49" i="98"/>
  <c r="AA49" i="98"/>
  <c r="Z49" i="98"/>
  <c r="Y49" i="98"/>
  <c r="X49" i="98"/>
  <c r="W49" i="98"/>
  <c r="V49" i="98"/>
  <c r="AF48" i="98"/>
  <c r="AE48" i="98"/>
  <c r="AD48" i="98"/>
  <c r="AC48" i="98"/>
  <c r="AB48" i="98"/>
  <c r="AA48" i="98"/>
  <c r="Z48" i="98"/>
  <c r="Y48" i="98"/>
  <c r="X48" i="98"/>
  <c r="W48" i="98"/>
  <c r="V48" i="98"/>
  <c r="AF47" i="98"/>
  <c r="AE47" i="98"/>
  <c r="AD47" i="98"/>
  <c r="AC47" i="98"/>
  <c r="AB47" i="98"/>
  <c r="AA47" i="98"/>
  <c r="Z47" i="98"/>
  <c r="Y47" i="98"/>
  <c r="X47" i="98"/>
  <c r="W47" i="98"/>
  <c r="V47" i="98"/>
  <c r="AF31" i="98"/>
  <c r="AE31" i="98"/>
  <c r="AD31" i="98"/>
  <c r="AC31" i="98"/>
  <c r="AB31" i="98"/>
  <c r="AA31" i="98"/>
  <c r="Z31" i="98"/>
  <c r="Y31" i="98"/>
  <c r="X31" i="98"/>
  <c r="W31" i="98"/>
  <c r="V31" i="98"/>
  <c r="AF29" i="98"/>
  <c r="AE29" i="98"/>
  <c r="AD29" i="98"/>
  <c r="AC29" i="98"/>
  <c r="AB29" i="98"/>
  <c r="AA29" i="98"/>
  <c r="Z29" i="98"/>
  <c r="Y29" i="98"/>
  <c r="X29" i="98"/>
  <c r="W29" i="98"/>
  <c r="V29" i="98"/>
  <c r="AF27" i="98"/>
  <c r="AE27" i="98"/>
  <c r="AD27" i="98"/>
  <c r="AC27" i="98"/>
  <c r="AB27" i="98"/>
  <c r="AA27" i="98"/>
  <c r="Z27" i="98"/>
  <c r="Y27" i="98"/>
  <c r="X27" i="98"/>
  <c r="W27" i="98"/>
  <c r="V27" i="98"/>
  <c r="V30" i="98" l="1"/>
  <c r="W30" i="98"/>
  <c r="X30" i="98"/>
  <c r="Y30" i="98"/>
  <c r="Z30" i="98"/>
  <c r="AA30" i="98"/>
  <c r="AC30" i="98"/>
  <c r="AD30" i="98"/>
  <c r="AF30" i="98"/>
  <c r="V28" i="98"/>
  <c r="W28" i="98"/>
  <c r="X28" i="98"/>
  <c r="Y28" i="98"/>
  <c r="Z28" i="98"/>
  <c r="AA28" i="98"/>
  <c r="AB28" i="98"/>
  <c r="AC28" i="98"/>
  <c r="AD28" i="98"/>
  <c r="AE28" i="98"/>
  <c r="AF28" i="98"/>
  <c r="S157" i="98"/>
  <c r="K157" i="98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J156" i="98"/>
  <c r="J157" i="98" s="1"/>
  <c r="I156" i="98"/>
  <c r="I157" i="98" s="1"/>
  <c r="H156" i="98"/>
  <c r="H157" i="98" s="1"/>
  <c r="G156" i="98"/>
  <c r="G157" i="98" s="1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I65" i="98"/>
  <c r="H65" i="98"/>
  <c r="G65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I56" i="98"/>
  <c r="H56" i="98"/>
  <c r="G56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I55" i="98"/>
  <c r="H55" i="98"/>
  <c r="G55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I54" i="98"/>
  <c r="H54" i="98"/>
  <c r="G54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I53" i="98"/>
  <c r="H53" i="98"/>
  <c r="G53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I35" i="98"/>
  <c r="H35" i="98"/>
  <c r="G35" i="98"/>
  <c r="AF33" i="98"/>
  <c r="AE33" i="98"/>
  <c r="AD33" i="98"/>
  <c r="AC33" i="98"/>
  <c r="AB33" i="98"/>
  <c r="AA33" i="98"/>
  <c r="Z33" i="98"/>
  <c r="Y33" i="98"/>
  <c r="X33" i="98"/>
  <c r="W33" i="98"/>
  <c r="V33" i="98"/>
  <c r="AF32" i="98"/>
  <c r="AE32" i="98"/>
  <c r="AD32" i="98"/>
  <c r="AC32" i="98"/>
  <c r="AB32" i="98"/>
  <c r="AA32" i="98"/>
  <c r="Z32" i="98"/>
  <c r="Y32" i="98"/>
  <c r="X32" i="98"/>
  <c r="W32" i="98"/>
  <c r="V32" i="98"/>
  <c r="AE30" i="98"/>
  <c r="AB30" i="98"/>
  <c r="H25" i="98"/>
  <c r="I25" i="98" s="1"/>
  <c r="J25" i="98" s="1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B42" i="98" l="1"/>
  <c r="AB158" i="98" s="1"/>
  <c r="X42" i="98"/>
  <c r="X158" i="98" s="1"/>
  <c r="AE44" i="98"/>
  <c r="AA44" i="98"/>
  <c r="W44" i="98"/>
  <c r="AD44" i="98"/>
  <c r="Z44" i="98"/>
  <c r="V44" i="98"/>
  <c r="AC44" i="98"/>
  <c r="Y44" i="98"/>
  <c r="AF42" i="98"/>
  <c r="AF158" i="98" s="1"/>
  <c r="AF44" i="98"/>
  <c r="AB44" i="98"/>
  <c r="X44" i="98"/>
  <c r="AF50" i="98"/>
  <c r="AB50" i="98"/>
  <c r="X50" i="98"/>
  <c r="AC39" i="98"/>
  <c r="AC166" i="98" s="1"/>
  <c r="AC174" i="98" s="1"/>
  <c r="Y39" i="98"/>
  <c r="Y166" i="98" s="1"/>
  <c r="Y174" i="98" s="1"/>
  <c r="AD50" i="98"/>
  <c r="AC50" i="98"/>
  <c r="Y50" i="98"/>
  <c r="Z50" i="98"/>
  <c r="V50" i="98"/>
  <c r="AE50" i="98"/>
  <c r="AA50" i="98"/>
  <c r="W50" i="98"/>
  <c r="Y42" i="98"/>
  <c r="Y158" i="98" s="1"/>
  <c r="AC42" i="98"/>
  <c r="AC66" i="98" s="1"/>
  <c r="AC71" i="98" s="1"/>
  <c r="V42" i="98"/>
  <c r="V43" i="98" s="1"/>
  <c r="V39" i="98"/>
  <c r="V61" i="98" s="1"/>
  <c r="Z39" i="98"/>
  <c r="Z166" i="98" s="1"/>
  <c r="Z174" i="98" s="1"/>
  <c r="AD39" i="98"/>
  <c r="AD166" i="98" s="1"/>
  <c r="AD174" i="98" s="1"/>
  <c r="W39" i="98"/>
  <c r="W166" i="98" s="1"/>
  <c r="W174" i="98" s="1"/>
  <c r="AA39" i="98"/>
  <c r="AA166" i="98" s="1"/>
  <c r="AA174" i="98" s="1"/>
  <c r="AE39" i="98"/>
  <c r="X39" i="98"/>
  <c r="AB39" i="98"/>
  <c r="AB166" i="98" s="1"/>
  <c r="AB174" i="98" s="1"/>
  <c r="AF39" i="98"/>
  <c r="AF166" i="98" s="1"/>
  <c r="AF174" i="98" s="1"/>
  <c r="Y62" i="98"/>
  <c r="Y68" i="98" s="1"/>
  <c r="AB107" i="98"/>
  <c r="AB112" i="98" s="1"/>
  <c r="AB66" i="98"/>
  <c r="AB71" i="98" s="1"/>
  <c r="Z42" i="98"/>
  <c r="Z107" i="98" s="1"/>
  <c r="Z112" i="98" s="1"/>
  <c r="AD42" i="98"/>
  <c r="X43" i="98"/>
  <c r="AB43" i="98"/>
  <c r="X107" i="98"/>
  <c r="X112" i="98" s="1"/>
  <c r="X66" i="98"/>
  <c r="W42" i="98"/>
  <c r="AA42" i="98"/>
  <c r="AA107" i="98" s="1"/>
  <c r="AE42" i="98"/>
  <c r="AE107" i="98" s="1"/>
  <c r="AE112" i="98" s="1"/>
  <c r="AE130" i="98" s="1"/>
  <c r="AE136" i="98" s="1"/>
  <c r="AF66" i="98" l="1"/>
  <c r="AF71" i="98" s="1"/>
  <c r="AF89" i="98" s="1"/>
  <c r="AF95" i="98" s="1"/>
  <c r="AF43" i="98"/>
  <c r="AF107" i="98"/>
  <c r="AF112" i="98" s="1"/>
  <c r="AF130" i="98" s="1"/>
  <c r="AF136" i="98" s="1"/>
  <c r="Z41" i="98"/>
  <c r="Z104" i="98"/>
  <c r="Y43" i="98"/>
  <c r="Y150" i="98" s="1"/>
  <c r="V158" i="98"/>
  <c r="Y107" i="98"/>
  <c r="Y112" i="98" s="1"/>
  <c r="Y130" i="98" s="1"/>
  <c r="Y136" i="98" s="1"/>
  <c r="Z62" i="98"/>
  <c r="Z68" i="98" s="1"/>
  <c r="Z73" i="98" s="1"/>
  <c r="Y61" i="98"/>
  <c r="Y67" i="98" s="1"/>
  <c r="Y72" i="98" s="1"/>
  <c r="Y90" i="98" s="1"/>
  <c r="Y96" i="98" s="1"/>
  <c r="V67" i="98"/>
  <c r="V72" i="98" s="1"/>
  <c r="V90" i="98" s="1"/>
  <c r="V96" i="98" s="1"/>
  <c r="Z103" i="98"/>
  <c r="Z108" i="98" s="1"/>
  <c r="Z113" i="98" s="1"/>
  <c r="Z119" i="98" s="1"/>
  <c r="Z125" i="98" s="1"/>
  <c r="W62" i="98"/>
  <c r="AD41" i="98"/>
  <c r="AC107" i="98"/>
  <c r="AC112" i="98" s="1"/>
  <c r="AC130" i="98" s="1"/>
  <c r="AC136" i="98" s="1"/>
  <c r="AC43" i="98"/>
  <c r="AC150" i="98" s="1"/>
  <c r="AB61" i="98"/>
  <c r="AB67" i="98" s="1"/>
  <c r="AB72" i="98" s="1"/>
  <c r="AD104" i="98"/>
  <c r="AD109" i="98" s="1"/>
  <c r="AD114" i="98" s="1"/>
  <c r="AA61" i="98"/>
  <c r="AA67" i="98" s="1"/>
  <c r="AA72" i="98" s="1"/>
  <c r="AA78" i="98" s="1"/>
  <c r="AA84" i="98" s="1"/>
  <c r="AD40" i="98"/>
  <c r="AD103" i="98"/>
  <c r="AD108" i="98" s="1"/>
  <c r="AD113" i="98" s="1"/>
  <c r="AD119" i="98" s="1"/>
  <c r="AD125" i="98" s="1"/>
  <c r="Z61" i="98"/>
  <c r="Z67" i="98" s="1"/>
  <c r="Z72" i="98" s="1"/>
  <c r="Z78" i="98" s="1"/>
  <c r="Z84" i="98" s="1"/>
  <c r="AC158" i="98"/>
  <c r="Y103" i="98"/>
  <c r="Y108" i="98" s="1"/>
  <c r="Y113" i="98" s="1"/>
  <c r="Y131" i="98" s="1"/>
  <c r="Y137" i="98" s="1"/>
  <c r="AD62" i="98"/>
  <c r="AD68" i="98" s="1"/>
  <c r="AD73" i="98" s="1"/>
  <c r="AF104" i="98"/>
  <c r="AF109" i="98" s="1"/>
  <c r="AF114" i="98" s="1"/>
  <c r="AF120" i="98" s="1"/>
  <c r="AF126" i="98" s="1"/>
  <c r="V107" i="98"/>
  <c r="V112" i="98" s="1"/>
  <c r="V130" i="98" s="1"/>
  <c r="V136" i="98" s="1"/>
  <c r="AB62" i="98"/>
  <c r="AB68" i="98" s="1"/>
  <c r="AB73" i="98" s="1"/>
  <c r="AB91" i="98" s="1"/>
  <c r="AB97" i="98" s="1"/>
  <c r="W61" i="98"/>
  <c r="W67" i="98" s="1"/>
  <c r="W72" i="98" s="1"/>
  <c r="AC62" i="98"/>
  <c r="AC68" i="98" s="1"/>
  <c r="AC73" i="98" s="1"/>
  <c r="AC91" i="98" s="1"/>
  <c r="AC97" i="98" s="1"/>
  <c r="AF40" i="98"/>
  <c r="AB104" i="98"/>
  <c r="AB109" i="98" s="1"/>
  <c r="AB114" i="98" s="1"/>
  <c r="AB132" i="98" s="1"/>
  <c r="AB138" i="98" s="1"/>
  <c r="W104" i="98"/>
  <c r="W109" i="98" s="1"/>
  <c r="W114" i="98" s="1"/>
  <c r="AD61" i="98"/>
  <c r="AD67" i="98" s="1"/>
  <c r="AD72" i="98" s="1"/>
  <c r="AC40" i="98"/>
  <c r="AC104" i="98"/>
  <c r="AC109" i="98" s="1"/>
  <c r="AC114" i="98" s="1"/>
  <c r="AC120" i="98" s="1"/>
  <c r="AC126" i="98" s="1"/>
  <c r="AF41" i="98"/>
  <c r="AA41" i="98"/>
  <c r="AA103" i="98"/>
  <c r="AA108" i="98" s="1"/>
  <c r="AA113" i="98" s="1"/>
  <c r="AA131" i="98" s="1"/>
  <c r="AA137" i="98" s="1"/>
  <c r="AC61" i="98"/>
  <c r="AC67" i="98" s="1"/>
  <c r="AC72" i="98" s="1"/>
  <c r="AC90" i="98" s="1"/>
  <c r="AC96" i="98" s="1"/>
  <c r="AC103" i="98"/>
  <c r="AC108" i="98" s="1"/>
  <c r="AC113" i="98" s="1"/>
  <c r="AC131" i="98" s="1"/>
  <c r="AC137" i="98" s="1"/>
  <c r="AF62" i="98"/>
  <c r="AF68" i="98" s="1"/>
  <c r="AF73" i="98" s="1"/>
  <c r="AA62" i="98"/>
  <c r="AA68" i="98" s="1"/>
  <c r="AA73" i="98" s="1"/>
  <c r="AA79" i="98" s="1"/>
  <c r="AA85" i="98" s="1"/>
  <c r="AA104" i="98"/>
  <c r="AA109" i="98" s="1"/>
  <c r="AA114" i="98" s="1"/>
  <c r="AC41" i="98"/>
  <c r="AF61" i="98"/>
  <c r="AF67" i="98" s="1"/>
  <c r="AF72" i="98" s="1"/>
  <c r="AF90" i="98" s="1"/>
  <c r="AF96" i="98" s="1"/>
  <c r="AF103" i="98"/>
  <c r="AF108" i="98" s="1"/>
  <c r="AF113" i="98" s="1"/>
  <c r="AF131" i="98" s="1"/>
  <c r="AF137" i="98" s="1"/>
  <c r="AA40" i="98"/>
  <c r="AE66" i="98"/>
  <c r="AE71" i="98" s="1"/>
  <c r="Y66" i="98"/>
  <c r="Y71" i="98" s="1"/>
  <c r="Y77" i="98" s="1"/>
  <c r="Y83" i="98" s="1"/>
  <c r="Z40" i="98"/>
  <c r="Y40" i="98"/>
  <c r="Y104" i="98"/>
  <c r="Y109" i="98" s="1"/>
  <c r="Y114" i="98" s="1"/>
  <c r="Y132" i="98" s="1"/>
  <c r="Y138" i="98" s="1"/>
  <c r="AB41" i="98"/>
  <c r="W41" i="98"/>
  <c r="W103" i="98"/>
  <c r="W108" i="98" s="1"/>
  <c r="W113" i="98" s="1"/>
  <c r="W131" i="98" s="1"/>
  <c r="W137" i="98" s="1"/>
  <c r="Y41" i="98"/>
  <c r="AB40" i="98"/>
  <c r="AB103" i="98"/>
  <c r="AB108" i="98" s="1"/>
  <c r="AB113" i="98" s="1"/>
  <c r="AB131" i="98" s="1"/>
  <c r="AB137" i="98" s="1"/>
  <c r="W40" i="98"/>
  <c r="AA66" i="98"/>
  <c r="AA71" i="98" s="1"/>
  <c r="AA89" i="98" s="1"/>
  <c r="AA95" i="98" s="1"/>
  <c r="X104" i="98"/>
  <c r="X109" i="98" s="1"/>
  <c r="X114" i="98" s="1"/>
  <c r="X132" i="98" s="1"/>
  <c r="X138" i="98" s="1"/>
  <c r="X41" i="98"/>
  <c r="AD107" i="98"/>
  <c r="AD112" i="98" s="1"/>
  <c r="AE104" i="98"/>
  <c r="AE109" i="98" s="1"/>
  <c r="AE114" i="98" s="1"/>
  <c r="AE166" i="98"/>
  <c r="AE174" i="98" s="1"/>
  <c r="V66" i="98"/>
  <c r="V71" i="98" s="1"/>
  <c r="Z66" i="98"/>
  <c r="Z71" i="98" s="1"/>
  <c r="AE40" i="98"/>
  <c r="X103" i="98"/>
  <c r="X108" i="98" s="1"/>
  <c r="X113" i="98" s="1"/>
  <c r="X131" i="98" s="1"/>
  <c r="X137" i="98" s="1"/>
  <c r="X166" i="98"/>
  <c r="X167" i="98" s="1"/>
  <c r="V103" i="98"/>
  <c r="V108" i="98" s="1"/>
  <c r="V113" i="98" s="1"/>
  <c r="V131" i="98" s="1"/>
  <c r="V137" i="98" s="1"/>
  <c r="V166" i="98"/>
  <c r="V174" i="98" s="1"/>
  <c r="AD66" i="98"/>
  <c r="AD71" i="98" s="1"/>
  <c r="AF77" i="98"/>
  <c r="AF83" i="98" s="1"/>
  <c r="X62" i="98"/>
  <c r="X68" i="98" s="1"/>
  <c r="X73" i="98" s="1"/>
  <c r="X79" i="98" s="1"/>
  <c r="X85" i="98" s="1"/>
  <c r="V62" i="98"/>
  <c r="V68" i="98" s="1"/>
  <c r="V73" i="98" s="1"/>
  <c r="V91" i="98" s="1"/>
  <c r="V97" i="98" s="1"/>
  <c r="Y73" i="98"/>
  <c r="Y91" i="98" s="1"/>
  <c r="Y97" i="98" s="1"/>
  <c r="W66" i="98"/>
  <c r="W71" i="98" s="1"/>
  <c r="X61" i="98"/>
  <c r="X67" i="98" s="1"/>
  <c r="X72" i="98" s="1"/>
  <c r="X78" i="98" s="1"/>
  <c r="X84" i="98" s="1"/>
  <c r="V41" i="98"/>
  <c r="V104" i="98"/>
  <c r="V109" i="98" s="1"/>
  <c r="V114" i="98" s="1"/>
  <c r="V132" i="98" s="1"/>
  <c r="V138" i="98" s="1"/>
  <c r="Z109" i="98"/>
  <c r="Z114" i="98" s="1"/>
  <c r="Z132" i="98" s="1"/>
  <c r="Z138" i="98" s="1"/>
  <c r="X40" i="98"/>
  <c r="V40" i="98"/>
  <c r="AE61" i="98"/>
  <c r="AE67" i="98" s="1"/>
  <c r="AE72" i="98" s="1"/>
  <c r="AE90" i="98" s="1"/>
  <c r="AE96" i="98" s="1"/>
  <c r="AE41" i="98"/>
  <c r="AE103" i="98"/>
  <c r="AE108" i="98" s="1"/>
  <c r="AE113" i="98" s="1"/>
  <c r="AE131" i="98" s="1"/>
  <c r="AE137" i="98" s="1"/>
  <c r="AE62" i="98"/>
  <c r="AE68" i="98" s="1"/>
  <c r="AE73" i="98" s="1"/>
  <c r="AE91" i="98" s="1"/>
  <c r="AE97" i="98" s="1"/>
  <c r="AC89" i="98"/>
  <c r="AC95" i="98" s="1"/>
  <c r="AC77" i="98"/>
  <c r="AC83" i="98" s="1"/>
  <c r="X130" i="98"/>
  <c r="X136" i="98" s="1"/>
  <c r="X118" i="98"/>
  <c r="X124" i="98" s="1"/>
  <c r="AB130" i="98"/>
  <c r="AB136" i="98" s="1"/>
  <c r="AB118" i="98"/>
  <c r="AB124" i="98" s="1"/>
  <c r="Z130" i="98"/>
  <c r="Z136" i="98" s="1"/>
  <c r="Z118" i="98"/>
  <c r="Z124" i="98" s="1"/>
  <c r="AB89" i="98"/>
  <c r="AB95" i="98" s="1"/>
  <c r="AB77" i="98"/>
  <c r="AB83" i="98" s="1"/>
  <c r="AA112" i="98"/>
  <c r="W68" i="98"/>
  <c r="W73" i="98" s="1"/>
  <c r="W107" i="98"/>
  <c r="AE118" i="98"/>
  <c r="AE124" i="98" s="1"/>
  <c r="AB173" i="98"/>
  <c r="AB167" i="98"/>
  <c r="AB159" i="98"/>
  <c r="AB160" i="98" s="1"/>
  <c r="AB150" i="98"/>
  <c r="AB143" i="98"/>
  <c r="Y159" i="98"/>
  <c r="Y160" i="98" s="1"/>
  <c r="Y173" i="98"/>
  <c r="Y119" i="98"/>
  <c r="Y125" i="98" s="1"/>
  <c r="AE158" i="98"/>
  <c r="AE43" i="98"/>
  <c r="X173" i="98"/>
  <c r="X159" i="98"/>
  <c r="X160" i="98" s="1"/>
  <c r="X150" i="98"/>
  <c r="X143" i="98"/>
  <c r="X71" i="98"/>
  <c r="AA158" i="98"/>
  <c r="AA43" i="98"/>
  <c r="AD158" i="98"/>
  <c r="AD43" i="98"/>
  <c r="AC173" i="98"/>
  <c r="W158" i="98"/>
  <c r="W43" i="98"/>
  <c r="AF173" i="98"/>
  <c r="AF167" i="98"/>
  <c r="AF159" i="98"/>
  <c r="AF160" i="98" s="1"/>
  <c r="AF150" i="98"/>
  <c r="AF143" i="98"/>
  <c r="Z158" i="98"/>
  <c r="Z43" i="98"/>
  <c r="V173" i="98"/>
  <c r="V159" i="98"/>
  <c r="V143" i="98"/>
  <c r="V150" i="98"/>
  <c r="AC143" i="98" l="1"/>
  <c r="AF118" i="98"/>
  <c r="AF124" i="98" s="1"/>
  <c r="Y167" i="98"/>
  <c r="Y168" i="98" s="1"/>
  <c r="Y170" i="98" s="1"/>
  <c r="Y187" i="98" s="1"/>
  <c r="V160" i="98"/>
  <c r="Y143" i="98"/>
  <c r="V118" i="98"/>
  <c r="V124" i="98" s="1"/>
  <c r="AC118" i="98"/>
  <c r="AC124" i="98" s="1"/>
  <c r="V78" i="98"/>
  <c r="V84" i="98" s="1"/>
  <c r="AF119" i="98"/>
  <c r="AF125" i="98" s="1"/>
  <c r="AC159" i="98"/>
  <c r="AC160" i="98" s="1"/>
  <c r="Y118" i="98"/>
  <c r="Y124" i="98" s="1"/>
  <c r="AC167" i="98"/>
  <c r="AC168" i="98" s="1"/>
  <c r="AC170" i="98" s="1"/>
  <c r="AC187" i="98" s="1"/>
  <c r="AB79" i="98"/>
  <c r="AB85" i="98" s="1"/>
  <c r="AC132" i="98"/>
  <c r="AC138" i="98" s="1"/>
  <c r="Y115" i="98"/>
  <c r="Y133" i="98" s="1"/>
  <c r="Y139" i="98" s="1"/>
  <c r="Z131" i="98"/>
  <c r="Z137" i="98" s="1"/>
  <c r="Y78" i="98"/>
  <c r="Y84" i="98" s="1"/>
  <c r="AA91" i="98"/>
  <c r="AA97" i="98" s="1"/>
  <c r="AD132" i="98"/>
  <c r="AD138" i="98" s="1"/>
  <c r="AD120" i="98"/>
  <c r="AD126" i="98" s="1"/>
  <c r="AF132" i="98"/>
  <c r="AF138" i="98" s="1"/>
  <c r="X90" i="98"/>
  <c r="X96" i="98" s="1"/>
  <c r="AA90" i="98"/>
  <c r="AA96" i="98" s="1"/>
  <c r="X120" i="98"/>
  <c r="X126" i="98" s="1"/>
  <c r="Z90" i="98"/>
  <c r="Z96" i="98" s="1"/>
  <c r="AF115" i="98"/>
  <c r="AF121" i="98" s="1"/>
  <c r="AF127" i="98" s="1"/>
  <c r="AC79" i="98"/>
  <c r="AC85" i="98" s="1"/>
  <c r="Y89" i="98"/>
  <c r="Y95" i="98" s="1"/>
  <c r="AD79" i="98"/>
  <c r="AD85" i="98" s="1"/>
  <c r="AD91" i="98"/>
  <c r="AD97" i="98" s="1"/>
  <c r="W132" i="98"/>
  <c r="W138" i="98" s="1"/>
  <c r="W120" i="98"/>
  <c r="W126" i="98" s="1"/>
  <c r="Y120" i="98"/>
  <c r="Y126" i="98" s="1"/>
  <c r="AC119" i="98"/>
  <c r="AC125" i="98" s="1"/>
  <c r="Y121" i="98"/>
  <c r="Y127" i="98" s="1"/>
  <c r="AE79" i="98"/>
  <c r="AE85" i="98" s="1"/>
  <c r="X174" i="98"/>
  <c r="AD78" i="98"/>
  <c r="AD84" i="98" s="1"/>
  <c r="AD90" i="98"/>
  <c r="AD96" i="98" s="1"/>
  <c r="W90" i="98"/>
  <c r="W96" i="98" s="1"/>
  <c r="W78" i="98"/>
  <c r="W84" i="98" s="1"/>
  <c r="AA132" i="98"/>
  <c r="AA138" i="98" s="1"/>
  <c r="AA120" i="98"/>
  <c r="AA126" i="98" s="1"/>
  <c r="AB120" i="98"/>
  <c r="AB126" i="98" s="1"/>
  <c r="AC78" i="98"/>
  <c r="AC84" i="98" s="1"/>
  <c r="V119" i="98"/>
  <c r="V125" i="98" s="1"/>
  <c r="AB74" i="98"/>
  <c r="AB80" i="98" s="1"/>
  <c r="AB86" i="98" s="1"/>
  <c r="AB115" i="98"/>
  <c r="AB133" i="98" s="1"/>
  <c r="AB139" i="98" s="1"/>
  <c r="AA115" i="98"/>
  <c r="AA133" i="98" s="1"/>
  <c r="AA139" i="98" s="1"/>
  <c r="Y79" i="98"/>
  <c r="Y85" i="98" s="1"/>
  <c r="V167" i="98"/>
  <c r="V175" i="98" s="1"/>
  <c r="V176" i="98" s="1"/>
  <c r="V178" i="98" s="1"/>
  <c r="V181" i="98" s="1"/>
  <c r="AC74" i="98"/>
  <c r="AC80" i="98" s="1"/>
  <c r="AC86" i="98" s="1"/>
  <c r="AD131" i="98"/>
  <c r="AD137" i="98" s="1"/>
  <c r="AC115" i="98"/>
  <c r="AC121" i="98" s="1"/>
  <c r="AC127" i="98" s="1"/>
  <c r="X115" i="98"/>
  <c r="X133" i="98" s="1"/>
  <c r="X139" i="98" s="1"/>
  <c r="AA77" i="98"/>
  <c r="AA83" i="98" s="1"/>
  <c r="Z120" i="98"/>
  <c r="Z126" i="98" s="1"/>
  <c r="AA74" i="98"/>
  <c r="Y74" i="98"/>
  <c r="Z115" i="98"/>
  <c r="Z121" i="98" s="1"/>
  <c r="Z127" i="98" s="1"/>
  <c r="V79" i="98"/>
  <c r="V85" i="98" s="1"/>
  <c r="X119" i="98"/>
  <c r="X125" i="98" s="1"/>
  <c r="AF74" i="98"/>
  <c r="AF92" i="98" s="1"/>
  <c r="AF98" i="98" s="1"/>
  <c r="AF78" i="98"/>
  <c r="AF84" i="98" s="1"/>
  <c r="V74" i="98"/>
  <c r="V80" i="98" s="1"/>
  <c r="V86" i="98" s="1"/>
  <c r="AE132" i="98"/>
  <c r="AE138" i="98" s="1"/>
  <c r="AE120" i="98"/>
  <c r="AE126" i="98" s="1"/>
  <c r="V115" i="98"/>
  <c r="V121" i="98" s="1"/>
  <c r="V127" i="98" s="1"/>
  <c r="X91" i="98"/>
  <c r="X97" i="98" s="1"/>
  <c r="AD74" i="98"/>
  <c r="AA119" i="98"/>
  <c r="AA125" i="98" s="1"/>
  <c r="AD115" i="98"/>
  <c r="AD133" i="98" s="1"/>
  <c r="AD139" i="98" s="1"/>
  <c r="V120" i="98"/>
  <c r="V126" i="98" s="1"/>
  <c r="W119" i="98"/>
  <c r="W125" i="98" s="1"/>
  <c r="AE119" i="98"/>
  <c r="AE125" i="98" s="1"/>
  <c r="AE78" i="98"/>
  <c r="AE84" i="98" s="1"/>
  <c r="AE115" i="98"/>
  <c r="AE121" i="98" s="1"/>
  <c r="AE127" i="98" s="1"/>
  <c r="X74" i="98"/>
  <c r="AB119" i="98"/>
  <c r="AB125" i="98" s="1"/>
  <c r="AE74" i="98"/>
  <c r="AF91" i="98"/>
  <c r="AF97" i="98" s="1"/>
  <c r="AF79" i="98"/>
  <c r="AF85" i="98" s="1"/>
  <c r="AF80" i="98"/>
  <c r="AF86" i="98" s="1"/>
  <c r="AB90" i="98"/>
  <c r="AB96" i="98" s="1"/>
  <c r="AB78" i="98"/>
  <c r="AB84" i="98" s="1"/>
  <c r="AF145" i="98"/>
  <c r="AF147" i="98" s="1"/>
  <c r="AF144" i="98"/>
  <c r="W89" i="98"/>
  <c r="W95" i="98" s="1"/>
  <c r="W77" i="98"/>
  <c r="W83" i="98" s="1"/>
  <c r="X151" i="98"/>
  <c r="X153" i="98" s="1"/>
  <c r="X155" i="98" s="1"/>
  <c r="X162" i="98" s="1"/>
  <c r="X163" i="98" s="1"/>
  <c r="X154" i="98"/>
  <c r="AB144" i="98"/>
  <c r="AB145" i="98" s="1"/>
  <c r="AB147" i="98" s="1"/>
  <c r="AD130" i="98"/>
  <c r="AD136" i="98" s="1"/>
  <c r="AD118" i="98"/>
  <c r="AD124" i="98" s="1"/>
  <c r="V154" i="98"/>
  <c r="V151" i="98"/>
  <c r="V153" i="98" s="1"/>
  <c r="V155" i="98" s="1"/>
  <c r="Z173" i="98"/>
  <c r="Z159" i="98"/>
  <c r="Z167" i="98"/>
  <c r="Z143" i="98"/>
  <c r="Z150" i="98"/>
  <c r="AF154" i="98"/>
  <c r="AF151" i="98"/>
  <c r="AF153" i="98" s="1"/>
  <c r="AF155" i="98" s="1"/>
  <c r="AF162" i="98" s="1"/>
  <c r="AF163" i="98" s="1"/>
  <c r="W173" i="98"/>
  <c r="W167" i="98"/>
  <c r="W159" i="98"/>
  <c r="W160" i="98" s="1"/>
  <c r="W150" i="98"/>
  <c r="W143" i="98"/>
  <c r="AC175" i="98"/>
  <c r="AC176" i="98" s="1"/>
  <c r="AC178" i="98" s="1"/>
  <c r="AC181" i="98" s="1"/>
  <c r="AD173" i="98"/>
  <c r="AD159" i="98"/>
  <c r="AD167" i="98"/>
  <c r="AD150" i="98"/>
  <c r="AD143" i="98"/>
  <c r="AA173" i="98"/>
  <c r="AA167" i="98"/>
  <c r="AA150" i="98"/>
  <c r="AA143" i="98"/>
  <c r="AA159" i="98"/>
  <c r="AE89" i="98"/>
  <c r="AE95" i="98" s="1"/>
  <c r="AE77" i="98"/>
  <c r="AE83" i="98" s="1"/>
  <c r="V89" i="98"/>
  <c r="V95" i="98" s="1"/>
  <c r="V77" i="98"/>
  <c r="V83" i="98" s="1"/>
  <c r="AB154" i="98"/>
  <c r="AB151" i="98"/>
  <c r="AB153" i="98" s="1"/>
  <c r="AB155" i="98" s="1"/>
  <c r="AB162" i="98" s="1"/>
  <c r="AB163" i="98" s="1"/>
  <c r="W115" i="98"/>
  <c r="W112" i="98"/>
  <c r="Z74" i="98"/>
  <c r="V144" i="98"/>
  <c r="V145" i="98" s="1"/>
  <c r="V147" i="98" s="1"/>
  <c r="Z160" i="98"/>
  <c r="AC145" i="98"/>
  <c r="AC147" i="98" s="1"/>
  <c r="AC144" i="98"/>
  <c r="AD160" i="98"/>
  <c r="AA160" i="98"/>
  <c r="X89" i="98"/>
  <c r="X95" i="98" s="1"/>
  <c r="X77" i="98"/>
  <c r="X83" i="98" s="1"/>
  <c r="X175" i="98"/>
  <c r="X176" i="98" s="1"/>
  <c r="X178" i="98" s="1"/>
  <c r="X181" i="98" s="1"/>
  <c r="X168" i="98"/>
  <c r="X170" i="98" s="1"/>
  <c r="X187" i="98" s="1"/>
  <c r="Z89" i="98"/>
  <c r="Z95" i="98" s="1"/>
  <c r="Z77" i="98"/>
  <c r="Z83" i="98" s="1"/>
  <c r="Y144" i="98"/>
  <c r="Y145" i="98" s="1"/>
  <c r="Y147" i="98" s="1"/>
  <c r="Z91" i="98"/>
  <c r="Z97" i="98" s="1"/>
  <c r="Z79" i="98"/>
  <c r="Z85" i="98" s="1"/>
  <c r="W91" i="98"/>
  <c r="W97" i="98" s="1"/>
  <c r="W79" i="98"/>
  <c r="W85" i="98" s="1"/>
  <c r="AF175" i="98"/>
  <c r="AF176" i="98" s="1"/>
  <c r="AF178" i="98" s="1"/>
  <c r="AF181" i="98" s="1"/>
  <c r="AF168" i="98"/>
  <c r="AF170" i="98" s="1"/>
  <c r="AF187" i="98" s="1"/>
  <c r="AC154" i="98"/>
  <c r="AC151" i="98"/>
  <c r="AC153" i="98" s="1"/>
  <c r="AC155" i="98" s="1"/>
  <c r="X145" i="98"/>
  <c r="X147" i="98" s="1"/>
  <c r="X144" i="98"/>
  <c r="AD89" i="98"/>
  <c r="AD95" i="98" s="1"/>
  <c r="AD77" i="98"/>
  <c r="AD83" i="98" s="1"/>
  <c r="AE173" i="98"/>
  <c r="AE167" i="98"/>
  <c r="AE159" i="98"/>
  <c r="AE160" i="98" s="1"/>
  <c r="AE150" i="98"/>
  <c r="AE143" i="98"/>
  <c r="Y154" i="98"/>
  <c r="Y151" i="98"/>
  <c r="Y153" i="98" s="1"/>
  <c r="Y155" i="98" s="1"/>
  <c r="Y162" i="98" s="1"/>
  <c r="Y163" i="98" s="1"/>
  <c r="AB175" i="98"/>
  <c r="AB176" i="98" s="1"/>
  <c r="AB178" i="98" s="1"/>
  <c r="AB181" i="98" s="1"/>
  <c r="AB168" i="98"/>
  <c r="AB170" i="98" s="1"/>
  <c r="AB187" i="98" s="1"/>
  <c r="AA130" i="98"/>
  <c r="AA136" i="98" s="1"/>
  <c r="AA118" i="98"/>
  <c r="AA124" i="98" s="1"/>
  <c r="W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Y175" i="98" l="1"/>
  <c r="Y176" i="98" s="1"/>
  <c r="Y178" i="98" s="1"/>
  <c r="Y181" i="98" s="1"/>
  <c r="AB92" i="98"/>
  <c r="AB98" i="98" s="1"/>
  <c r="V162" i="98"/>
  <c r="V163" i="98" s="1"/>
  <c r="V180" i="98" s="1"/>
  <c r="AC162" i="98"/>
  <c r="AC163" i="98" s="1"/>
  <c r="AC186" i="98" s="1"/>
  <c r="AF133" i="98"/>
  <c r="AF139" i="98" s="1"/>
  <c r="V133" i="98"/>
  <c r="V139" i="98" s="1"/>
  <c r="Z133" i="98"/>
  <c r="Z139" i="98" s="1"/>
  <c r="AA121" i="98"/>
  <c r="AA127" i="98" s="1"/>
  <c r="AC92" i="98"/>
  <c r="AC98" i="98" s="1"/>
  <c r="AD121" i="98"/>
  <c r="AD127" i="98" s="1"/>
  <c r="AC133" i="98"/>
  <c r="AC139" i="98" s="1"/>
  <c r="V168" i="98"/>
  <c r="V170" i="98" s="1"/>
  <c r="V187" i="98" s="1"/>
  <c r="X121" i="98"/>
  <c r="X127" i="98" s="1"/>
  <c r="AB121" i="98"/>
  <c r="AB127" i="98" s="1"/>
  <c r="AA80" i="98"/>
  <c r="AA86" i="98" s="1"/>
  <c r="AA92" i="98"/>
  <c r="AA98" i="98" s="1"/>
  <c r="Y80" i="98"/>
  <c r="Y86" i="98" s="1"/>
  <c r="Y92" i="98"/>
  <c r="Y98" i="98" s="1"/>
  <c r="V92" i="98"/>
  <c r="V98" i="98" s="1"/>
  <c r="AD92" i="98"/>
  <c r="AD98" i="98" s="1"/>
  <c r="AD80" i="98"/>
  <c r="AD86" i="98" s="1"/>
  <c r="AE133" i="98"/>
  <c r="AE139" i="98" s="1"/>
  <c r="X92" i="98"/>
  <c r="X98" i="98" s="1"/>
  <c r="X80" i="98"/>
  <c r="X86" i="98" s="1"/>
  <c r="AE80" i="98"/>
  <c r="AE86" i="98" s="1"/>
  <c r="AE92" i="98"/>
  <c r="AE98" i="98" s="1"/>
  <c r="Y185" i="98"/>
  <c r="Y179" i="98"/>
  <c r="V185" i="98"/>
  <c r="V179" i="98"/>
  <c r="X186" i="98"/>
  <c r="X180" i="98"/>
  <c r="Y180" i="98"/>
  <c r="Y186" i="98"/>
  <c r="AC180" i="98"/>
  <c r="AB186" i="98"/>
  <c r="AB180" i="98"/>
  <c r="V186" i="98"/>
  <c r="AB185" i="98"/>
  <c r="AB179" i="98"/>
  <c r="AF186" i="98"/>
  <c r="AF180" i="98"/>
  <c r="AE154" i="98"/>
  <c r="AE151" i="98"/>
  <c r="AE153" i="98" s="1"/>
  <c r="AE155" i="98" s="1"/>
  <c r="AE162" i="98" s="1"/>
  <c r="AE163" i="98" s="1"/>
  <c r="Z92" i="98"/>
  <c r="Z98" i="98" s="1"/>
  <c r="Z80" i="98"/>
  <c r="Z86" i="98" s="1"/>
  <c r="AA175" i="98"/>
  <c r="AA176" i="98" s="1"/>
  <c r="AA178" i="98" s="1"/>
  <c r="AA181" i="98" s="1"/>
  <c r="AA168" i="98"/>
  <c r="AA170" i="98" s="1"/>
  <c r="AA187" i="98" s="1"/>
  <c r="AD175" i="98"/>
  <c r="AD176" i="98" s="1"/>
  <c r="AD178" i="98" s="1"/>
  <c r="AD181" i="98" s="1"/>
  <c r="AD168" i="98"/>
  <c r="AD170" i="98" s="1"/>
  <c r="AD187" i="98" s="1"/>
  <c r="W175" i="98"/>
  <c r="W176" i="98" s="1"/>
  <c r="W178" i="98" s="1"/>
  <c r="W181" i="98" s="1"/>
  <c r="W168" i="98"/>
  <c r="W170" i="98" s="1"/>
  <c r="W187" i="98" s="1"/>
  <c r="Z175" i="98"/>
  <c r="Z176" i="98" s="1"/>
  <c r="Z178" i="98" s="1"/>
  <c r="Z181" i="98" s="1"/>
  <c r="Z168" i="98"/>
  <c r="Z170" i="98" s="1"/>
  <c r="Z187" i="98" s="1"/>
  <c r="W130" i="98"/>
  <c r="W136" i="98" s="1"/>
  <c r="W118" i="98"/>
  <c r="W124" i="98" s="1"/>
  <c r="W144" i="98"/>
  <c r="W145" i="98"/>
  <c r="W147" i="98" s="1"/>
  <c r="W92" i="98"/>
  <c r="W98" i="98" s="1"/>
  <c r="W80" i="98"/>
  <c r="W86" i="98" s="1"/>
  <c r="AE175" i="98"/>
  <c r="AE176" i="98" s="1"/>
  <c r="AE178" i="98" s="1"/>
  <c r="AE181" i="98" s="1"/>
  <c r="AE168" i="98"/>
  <c r="AE170" i="98" s="1"/>
  <c r="AE187" i="98" s="1"/>
  <c r="W133" i="98"/>
  <c r="W139" i="98" s="1"/>
  <c r="W121" i="98"/>
  <c r="W127" i="98" s="1"/>
  <c r="AA144" i="98"/>
  <c r="AA145" i="98"/>
  <c r="AA147" i="98" s="1"/>
  <c r="AD144" i="98"/>
  <c r="AD145" i="98"/>
  <c r="AD147" i="98" s="1"/>
  <c r="W154" i="98"/>
  <c r="W151" i="98"/>
  <c r="W153" i="98" s="1"/>
  <c r="W155" i="98" s="1"/>
  <c r="W162" i="98" s="1"/>
  <c r="W163" i="98" s="1"/>
  <c r="Z154" i="98"/>
  <c r="Z151" i="98"/>
  <c r="Z153" i="98" s="1"/>
  <c r="Z155" i="98" s="1"/>
  <c r="Z162" i="98" s="1"/>
  <c r="Z163" i="98" s="1"/>
  <c r="AE144" i="98"/>
  <c r="AE145" i="98"/>
  <c r="AE147" i="98" s="1"/>
  <c r="X185" i="98"/>
  <c r="X179" i="98"/>
  <c r="AC185" i="98"/>
  <c r="AC179" i="98"/>
  <c r="AA154" i="98"/>
  <c r="AA151" i="98"/>
  <c r="AA153" i="98" s="1"/>
  <c r="AA155" i="98" s="1"/>
  <c r="AA162" i="98" s="1"/>
  <c r="AA163" i="98" s="1"/>
  <c r="AD154" i="98"/>
  <c r="AD151" i="98"/>
  <c r="AD153" i="98" s="1"/>
  <c r="AD155" i="98"/>
  <c r="AD162" i="98" s="1"/>
  <c r="AD163" i="98" s="1"/>
  <c r="Z144" i="98"/>
  <c r="Z145" i="98"/>
  <c r="Z147" i="98" s="1"/>
  <c r="AF185" i="98"/>
  <c r="AF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C182" i="98" l="1"/>
  <c r="AC188" i="98" s="1"/>
  <c r="AB182" i="98"/>
  <c r="AB188" i="98" s="1"/>
  <c r="X182" i="98"/>
  <c r="X188" i="98" s="1"/>
  <c r="AF182" i="98"/>
  <c r="AF188" i="98" s="1"/>
  <c r="AA186" i="98"/>
  <c r="AA180" i="98"/>
  <c r="W186" i="98"/>
  <c r="W180" i="98"/>
  <c r="Z186" i="98"/>
  <c r="Z180" i="98"/>
  <c r="AE186" i="98"/>
  <c r="AE180" i="98"/>
  <c r="AD186" i="98"/>
  <c r="AD180" i="98"/>
  <c r="AE179" i="98"/>
  <c r="AE185" i="98"/>
  <c r="AA185" i="98"/>
  <c r="AA179" i="98"/>
  <c r="AA182" i="98" s="1"/>
  <c r="AA188" i="98" s="1"/>
  <c r="V182" i="98"/>
  <c r="V188" i="98" s="1"/>
  <c r="Z185" i="98"/>
  <c r="Z179" i="98"/>
  <c r="W185" i="98"/>
  <c r="W179" i="98"/>
  <c r="Y182" i="98"/>
  <c r="Y188" i="98" s="1"/>
  <c r="AD185" i="98"/>
  <c r="AD179" i="98"/>
  <c r="AD182" i="98" s="1"/>
  <c r="AD188" i="98" s="1"/>
  <c r="I10" i="97"/>
  <c r="P10" i="97"/>
  <c r="D10" i="97"/>
  <c r="W10" i="97"/>
  <c r="C10" i="97"/>
  <c r="B10" i="97"/>
  <c r="A11" i="97"/>
  <c r="D8" i="97"/>
  <c r="E6" i="97"/>
  <c r="D9" i="97"/>
  <c r="W182" i="98" l="1"/>
  <c r="W188" i="98" s="1"/>
  <c r="AE182" i="98"/>
  <c r="AE188" i="98" s="1"/>
  <c r="Z182" i="98"/>
  <c r="Z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U31" i="98" s="1"/>
  <c r="P128" i="94"/>
  <c r="P129" i="94" s="1"/>
  <c r="T31" i="98" s="1"/>
  <c r="O128" i="94"/>
  <c r="O129" i="94" s="1"/>
  <c r="S31" i="98" s="1"/>
  <c r="S32" i="98" l="1"/>
  <c r="S33" i="98"/>
  <c r="T32" i="98"/>
  <c r="T33" i="98"/>
  <c r="U33" i="98"/>
  <c r="U32" i="98"/>
  <c r="N128" i="94"/>
  <c r="N129" i="94" s="1"/>
  <c r="R31" i="98" s="1"/>
  <c r="M128" i="94"/>
  <c r="M129" i="94" s="1"/>
  <c r="Q31" i="98" s="1"/>
  <c r="L128" i="94"/>
  <c r="L129" i="94" s="1"/>
  <c r="P31" i="98" s="1"/>
  <c r="K128" i="94"/>
  <c r="K129" i="94" s="1"/>
  <c r="O31" i="98" s="1"/>
  <c r="J128" i="94"/>
  <c r="J129" i="94" s="1"/>
  <c r="N31" i="98" s="1"/>
  <c r="I128" i="94"/>
  <c r="I129" i="94" s="1"/>
  <c r="M31" i="98" s="1"/>
  <c r="H128" i="94"/>
  <c r="H129" i="94" s="1"/>
  <c r="L31" i="98" s="1"/>
  <c r="G128" i="94"/>
  <c r="G129" i="94" s="1"/>
  <c r="K31" i="98" s="1"/>
  <c r="F128" i="94"/>
  <c r="F129" i="94" s="1"/>
  <c r="J31" i="98" s="1"/>
  <c r="E128" i="94"/>
  <c r="E129" i="94" s="1"/>
  <c r="I31" i="98" s="1"/>
  <c r="D128" i="94"/>
  <c r="D129" i="94" s="1"/>
  <c r="H31" i="98" s="1"/>
  <c r="C128" i="94"/>
  <c r="C129" i="94" s="1"/>
  <c r="G31" i="98" s="1"/>
  <c r="M33" i="98" l="1"/>
  <c r="M32" i="98"/>
  <c r="Q33" i="98"/>
  <c r="Q32" i="98"/>
  <c r="J33" i="98"/>
  <c r="J32" i="98"/>
  <c r="N32" i="98"/>
  <c r="N33" i="98"/>
  <c r="R32" i="98"/>
  <c r="R33" i="98"/>
  <c r="K33" i="98"/>
  <c r="K32" i="98"/>
  <c r="O32" i="98"/>
  <c r="O33" i="98"/>
  <c r="I32" i="98"/>
  <c r="I33" i="98"/>
  <c r="E84" i="98"/>
  <c r="G32" i="98"/>
  <c r="G33" i="98"/>
  <c r="H32" i="98"/>
  <c r="H33" i="98"/>
  <c r="L32" i="98"/>
  <c r="L33" i="98"/>
  <c r="P33" i="98"/>
  <c r="P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7" i="98" s="1"/>
  <c r="G28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C131" i="94" l="1"/>
  <c r="G48" i="98" s="1"/>
  <c r="C130" i="94"/>
  <c r="G47" i="98" s="1"/>
  <c r="D51" i="90"/>
  <c r="B12" i="93"/>
  <c r="I12" i="93"/>
  <c r="P12" i="93"/>
  <c r="W12" i="93"/>
  <c r="C12" i="93"/>
  <c r="E95" i="90"/>
  <c r="E74" i="90"/>
  <c r="G42" i="98"/>
  <c r="E51" i="90"/>
  <c r="D107" i="94"/>
  <c r="H47" i="98"/>
  <c r="D108" i="94"/>
  <c r="H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166" i="98"/>
  <c r="G174" i="98" s="1"/>
  <c r="G103" i="98"/>
  <c r="G108" i="98" s="1"/>
  <c r="G113" i="98" s="1"/>
  <c r="G104" i="98"/>
  <c r="G109" i="98" s="1"/>
  <c r="G114" i="98" s="1"/>
  <c r="G62" i="98"/>
  <c r="G68" i="98" s="1"/>
  <c r="G73" i="98" s="1"/>
  <c r="D95" i="90"/>
  <c r="D74" i="90"/>
  <c r="G44" i="98"/>
  <c r="G66" i="98"/>
  <c r="G71" i="98" s="1"/>
  <c r="G43" i="98"/>
  <c r="G107" i="98"/>
  <c r="G112" i="98" s="1"/>
  <c r="G158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74" i="90" l="1"/>
  <c r="G95" i="90"/>
  <c r="B13" i="93"/>
  <c r="I13" i="93"/>
  <c r="P13" i="93"/>
  <c r="W13" i="93"/>
  <c r="C13" i="93"/>
  <c r="D13" i="93"/>
  <c r="D127" i="94"/>
  <c r="H29" i="98" s="1"/>
  <c r="H30" i="98" s="1"/>
  <c r="D125" i="94"/>
  <c r="H27" i="98" s="1"/>
  <c r="H28" i="98" s="1"/>
  <c r="G49" i="98"/>
  <c r="H49" i="98"/>
  <c r="H50" i="98" s="1"/>
  <c r="G51" i="90"/>
  <c r="E95" i="94"/>
  <c r="E96" i="94"/>
  <c r="D54" i="94"/>
  <c r="D99" i="94" s="1"/>
  <c r="D115" i="94" s="1"/>
  <c r="G167" i="98"/>
  <c r="G159" i="98"/>
  <c r="G160" i="98" s="1"/>
  <c r="G150" i="98"/>
  <c r="G143" i="98"/>
  <c r="G144" i="98" s="1"/>
  <c r="G145" i="98" s="1"/>
  <c r="G147" i="98" s="1"/>
  <c r="G179" i="98" s="1"/>
  <c r="G173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G130" i="98"/>
  <c r="G136" i="98" s="1"/>
  <c r="G118" i="98"/>
  <c r="G124" i="98" s="1"/>
  <c r="F95" i="90"/>
  <c r="F51" i="90"/>
  <c r="F74" i="90"/>
  <c r="G119" i="98"/>
  <c r="G125" i="98" s="1"/>
  <c r="G131" i="98"/>
  <c r="G137" i="98" s="1"/>
  <c r="G90" i="98"/>
  <c r="G78" i="98"/>
  <c r="G84" i="98" s="1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E131" i="94" l="1"/>
  <c r="I48" i="98" s="1"/>
  <c r="G53" i="90" s="1"/>
  <c r="B14" i="93"/>
  <c r="I14" i="93"/>
  <c r="P14" i="93"/>
  <c r="W14" i="93"/>
  <c r="C14" i="93"/>
  <c r="D14" i="93"/>
  <c r="E14" i="93"/>
  <c r="E130" i="94"/>
  <c r="I47" i="98" s="1"/>
  <c r="F76" i="90" s="1"/>
  <c r="D75" i="90"/>
  <c r="H44" i="98"/>
  <c r="D52" i="90"/>
  <c r="D96" i="90"/>
  <c r="E75" i="90"/>
  <c r="H39" i="98"/>
  <c r="E96" i="90"/>
  <c r="H42" i="98"/>
  <c r="H107" i="98" s="1"/>
  <c r="H112" i="98" s="1"/>
  <c r="E52" i="90"/>
  <c r="E127" i="94"/>
  <c r="I29" i="98" s="1"/>
  <c r="I30" i="98" s="1"/>
  <c r="E125" i="94"/>
  <c r="I27" i="98" s="1"/>
  <c r="I28" i="98" s="1"/>
  <c r="I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43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H41" i="98"/>
  <c r="H62" i="98"/>
  <c r="H68" i="98" s="1"/>
  <c r="H73" i="98" s="1"/>
  <c r="H61" i="98"/>
  <c r="H104" i="98"/>
  <c r="H40" i="98"/>
  <c r="H166" i="98"/>
  <c r="H174" i="98" s="1"/>
  <c r="H103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I44" i="98" l="1"/>
  <c r="D53" i="90"/>
  <c r="B15" i="93"/>
  <c r="I15" i="93"/>
  <c r="P15" i="93"/>
  <c r="W15" i="93"/>
  <c r="C15" i="93"/>
  <c r="D15" i="93"/>
  <c r="E15" i="93"/>
  <c r="F15" i="93"/>
  <c r="G15" i="93"/>
  <c r="J48" i="98"/>
  <c r="G54" i="90" s="1"/>
  <c r="F131" i="94"/>
  <c r="F130" i="94"/>
  <c r="J47" i="98" s="1"/>
  <c r="E97" i="90"/>
  <c r="E53" i="90"/>
  <c r="E76" i="90"/>
  <c r="I39" i="98"/>
  <c r="I42" i="98"/>
  <c r="I158" i="98" s="1"/>
  <c r="F125" i="94"/>
  <c r="J27" i="98" s="1"/>
  <c r="J28" i="98" s="1"/>
  <c r="H66" i="98"/>
  <c r="H71" i="98" s="1"/>
  <c r="D97" i="90"/>
  <c r="H109" i="98"/>
  <c r="H114" i="98" s="1"/>
  <c r="H132" i="98" s="1"/>
  <c r="H138" i="98" s="1"/>
  <c r="H158" i="98"/>
  <c r="D76" i="90"/>
  <c r="F127" i="94"/>
  <c r="J29" i="98" s="1"/>
  <c r="J30" i="98" s="1"/>
  <c r="H108" i="98"/>
  <c r="H67" i="98"/>
  <c r="H72" i="98" s="1"/>
  <c r="J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H91" i="98"/>
  <c r="H79" i="98"/>
  <c r="H85" i="98" s="1"/>
  <c r="I166" i="98"/>
  <c r="I174" i="98" s="1"/>
  <c r="I104" i="98"/>
  <c r="I40" i="98"/>
  <c r="I62" i="98"/>
  <c r="I41" i="98"/>
  <c r="I61" i="98"/>
  <c r="I103" i="98"/>
  <c r="I107" i="98"/>
  <c r="I112" i="98" s="1"/>
  <c r="H130" i="98"/>
  <c r="H136" i="98" s="1"/>
  <c r="H118" i="98"/>
  <c r="H124" i="98" s="1"/>
  <c r="H150" i="98"/>
  <c r="H173" i="98"/>
  <c r="H143" i="98"/>
  <c r="H144" i="98" s="1"/>
  <c r="H145" i="98" s="1"/>
  <c r="H147" i="98" s="1"/>
  <c r="H167" i="98"/>
  <c r="H159" i="98"/>
  <c r="H160" i="98" s="1"/>
  <c r="G92" i="98"/>
  <c r="G98" i="98" s="1"/>
  <c r="G80" i="98"/>
  <c r="G86" i="98" s="1"/>
  <c r="H113" i="98"/>
  <c r="H90" i="98"/>
  <c r="H78" i="98"/>
  <c r="H84" i="98" s="1"/>
  <c r="G180" i="98"/>
  <c r="G182" i="98" s="1"/>
  <c r="G188" i="98" s="1"/>
  <c r="O95" i="90" s="1"/>
  <c r="G186" i="98"/>
  <c r="H89" i="98"/>
  <c r="H77" i="98"/>
  <c r="H83" i="98" s="1"/>
  <c r="I50" i="98"/>
  <c r="H74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F98" i="90" l="1"/>
  <c r="F54" i="90"/>
  <c r="F77" i="90"/>
  <c r="E98" i="90"/>
  <c r="E54" i="90"/>
  <c r="E77" i="90"/>
  <c r="G131" i="94"/>
  <c r="K48" i="98" s="1"/>
  <c r="H120" i="98"/>
  <c r="H126" i="98" s="1"/>
  <c r="I108" i="98"/>
  <c r="I113" i="98" s="1"/>
  <c r="G130" i="94"/>
  <c r="K47" i="98" s="1"/>
  <c r="H115" i="98"/>
  <c r="B16" i="93"/>
  <c r="I16" i="93"/>
  <c r="P16" i="93"/>
  <c r="W16" i="93"/>
  <c r="C16" i="93"/>
  <c r="D16" i="93"/>
  <c r="E16" i="93"/>
  <c r="F16" i="93"/>
  <c r="G16" i="93"/>
  <c r="I66" i="98"/>
  <c r="I71" i="98" s="1"/>
  <c r="J44" i="98"/>
  <c r="D54" i="90"/>
  <c r="D77" i="90"/>
  <c r="J39" i="98"/>
  <c r="D98" i="90"/>
  <c r="G127" i="94"/>
  <c r="K29" i="98" s="1"/>
  <c r="K30" i="98" s="1"/>
  <c r="J42" i="98"/>
  <c r="I43" i="98"/>
  <c r="I173" i="98" s="1"/>
  <c r="I67" i="98"/>
  <c r="I72" i="98" s="1"/>
  <c r="I78" i="98" s="1"/>
  <c r="I84" i="98" s="1"/>
  <c r="I109" i="98"/>
  <c r="I114" i="98" s="1"/>
  <c r="I132" i="98" s="1"/>
  <c r="I138" i="98" s="1"/>
  <c r="G125" i="94"/>
  <c r="K27" i="98" s="1"/>
  <c r="K28" i="98" s="1"/>
  <c r="I68" i="98"/>
  <c r="I73" i="98" s="1"/>
  <c r="O74" i="90"/>
  <c r="G98" i="90"/>
  <c r="G77" i="90"/>
  <c r="K49" i="98"/>
  <c r="J50" i="98"/>
  <c r="G107" i="94"/>
  <c r="G108" i="94"/>
  <c r="H95" i="94"/>
  <c r="H96" i="94"/>
  <c r="G133" i="98"/>
  <c r="G139" i="98" s="1"/>
  <c r="I115" i="98"/>
  <c r="H121" i="98"/>
  <c r="H127" i="98" s="1"/>
  <c r="H133" i="98"/>
  <c r="H139" i="98" s="1"/>
  <c r="H175" i="98"/>
  <c r="H176" i="98" s="1"/>
  <c r="H178" i="98" s="1"/>
  <c r="H181" i="98" s="1"/>
  <c r="H168" i="98"/>
  <c r="H170" i="98" s="1"/>
  <c r="H187" i="98" s="1"/>
  <c r="I167" i="98"/>
  <c r="I150" i="98"/>
  <c r="I143" i="98"/>
  <c r="I144" i="98" s="1"/>
  <c r="I145" i="98" s="1"/>
  <c r="I147" i="98" s="1"/>
  <c r="I90" i="98"/>
  <c r="I120" i="98"/>
  <c r="I126" i="98" s="1"/>
  <c r="H179" i="98"/>
  <c r="H185" i="98"/>
  <c r="I130" i="98"/>
  <c r="I136" i="98" s="1"/>
  <c r="I118" i="98"/>
  <c r="I124" i="98" s="1"/>
  <c r="I52" i="90"/>
  <c r="L52" i="90" s="1"/>
  <c r="I96" i="90"/>
  <c r="I75" i="90"/>
  <c r="L75" i="90" s="1"/>
  <c r="H95" i="98"/>
  <c r="J96" i="90"/>
  <c r="J75" i="90"/>
  <c r="M75" i="90" s="1"/>
  <c r="J52" i="90"/>
  <c r="M52" i="90" s="1"/>
  <c r="H96" i="98"/>
  <c r="J158" i="98"/>
  <c r="J66" i="98"/>
  <c r="J71" i="98" s="1"/>
  <c r="J43" i="98"/>
  <c r="J107" i="98"/>
  <c r="J112" i="98" s="1"/>
  <c r="I91" i="98"/>
  <c r="I79" i="98"/>
  <c r="I85" i="98" s="1"/>
  <c r="H54" i="90"/>
  <c r="H77" i="90"/>
  <c r="H98" i="90"/>
  <c r="H92" i="98"/>
  <c r="H98" i="98" s="1"/>
  <c r="H80" i="98"/>
  <c r="H86" i="98" s="1"/>
  <c r="H131" i="98"/>
  <c r="H137" i="98" s="1"/>
  <c r="H119" i="98"/>
  <c r="H125" i="98" s="1"/>
  <c r="H151" i="98"/>
  <c r="H153" i="98" s="1"/>
  <c r="H154" i="98"/>
  <c r="H155" i="98" s="1"/>
  <c r="H162" i="98" s="1"/>
  <c r="H163" i="98" s="1"/>
  <c r="J166" i="98"/>
  <c r="J174" i="98" s="1"/>
  <c r="J103" i="98"/>
  <c r="J108" i="98" s="1"/>
  <c r="J113" i="98" s="1"/>
  <c r="J61" i="98"/>
  <c r="J67" i="98" s="1"/>
  <c r="J72" i="98" s="1"/>
  <c r="J104" i="98"/>
  <c r="J109" i="98" s="1"/>
  <c r="J114" i="98" s="1"/>
  <c r="J40" i="98"/>
  <c r="J62" i="98"/>
  <c r="J68" i="98" s="1"/>
  <c r="J73" i="98" s="1"/>
  <c r="J41" i="98"/>
  <c r="I89" i="98"/>
  <c r="I77" i="98"/>
  <c r="I83" i="98" s="1"/>
  <c r="I131" i="98"/>
  <c r="I137" i="98" s="1"/>
  <c r="I119" i="98"/>
  <c r="I125" i="98" s="1"/>
  <c r="K52" i="90"/>
  <c r="N52" i="90" s="1"/>
  <c r="K75" i="90"/>
  <c r="N75" i="90" s="1"/>
  <c r="K96" i="90"/>
  <c r="N96" i="90" s="1"/>
  <c r="H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G99" i="90" l="1"/>
  <c r="G78" i="90"/>
  <c r="G55" i="90"/>
  <c r="F99" i="90"/>
  <c r="F55" i="90"/>
  <c r="H132" i="94"/>
  <c r="I74" i="98"/>
  <c r="L47" i="98"/>
  <c r="F100" i="90" s="1"/>
  <c r="H130" i="94"/>
  <c r="H131" i="94"/>
  <c r="L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K44" i="98"/>
  <c r="D78" i="90"/>
  <c r="D55" i="90"/>
  <c r="E55" i="90"/>
  <c r="K39" i="98"/>
  <c r="E99" i="90"/>
  <c r="K42" i="98"/>
  <c r="E78" i="90"/>
  <c r="I159" i="98"/>
  <c r="I160" i="98" s="1"/>
  <c r="L30" i="98"/>
  <c r="E100" i="90" s="1"/>
  <c r="H127" i="94"/>
  <c r="L29" i="98" s="1"/>
  <c r="H125" i="94"/>
  <c r="L27" i="98" s="1"/>
  <c r="L28" i="98" s="1"/>
  <c r="L49" i="98"/>
  <c r="F78" i="90"/>
  <c r="H107" i="94"/>
  <c r="H108" i="94"/>
  <c r="I96" i="94"/>
  <c r="I95" i="94"/>
  <c r="J119" i="98"/>
  <c r="J125" i="98" s="1"/>
  <c r="J131" i="98"/>
  <c r="J137" i="98" s="1"/>
  <c r="J91" i="98"/>
  <c r="J79" i="98"/>
  <c r="J85" i="98" s="1"/>
  <c r="J143" i="98"/>
  <c r="J144" i="98" s="1"/>
  <c r="J145" i="98" s="1"/>
  <c r="J147" i="98" s="1"/>
  <c r="J173" i="98"/>
  <c r="J150" i="98"/>
  <c r="J159" i="98"/>
  <c r="J160" i="98" s="1"/>
  <c r="J167" i="98"/>
  <c r="K107" i="98"/>
  <c r="K112" i="98" s="1"/>
  <c r="K66" i="98"/>
  <c r="K71" i="98" s="1"/>
  <c r="K158" i="98"/>
  <c r="K43" i="98"/>
  <c r="I179" i="98"/>
  <c r="I185" i="98"/>
  <c r="I133" i="98"/>
  <c r="I139" i="98" s="1"/>
  <c r="I121" i="98"/>
  <c r="I127" i="98" s="1"/>
  <c r="E56" i="90"/>
  <c r="H55" i="90"/>
  <c r="H99" i="90"/>
  <c r="H78" i="90"/>
  <c r="J89" i="98"/>
  <c r="J77" i="98"/>
  <c r="J83" i="98" s="1"/>
  <c r="K50" i="98"/>
  <c r="I154" i="98"/>
  <c r="I155" i="98" s="1"/>
  <c r="I162" i="98" s="1"/>
  <c r="I163" i="98" s="1"/>
  <c r="I151" i="98"/>
  <c r="I153" i="98" s="1"/>
  <c r="I80" i="98"/>
  <c r="I86" i="98" s="1"/>
  <c r="I92" i="98"/>
  <c r="I98" i="98" s="1"/>
  <c r="I97" i="90"/>
  <c r="I76" i="90"/>
  <c r="I53" i="90"/>
  <c r="I95" i="98"/>
  <c r="J120" i="98"/>
  <c r="J126" i="98" s="1"/>
  <c r="J132" i="98"/>
  <c r="J138" i="98" s="1"/>
  <c r="H180" i="98"/>
  <c r="H182" i="98" s="1"/>
  <c r="H188" i="98" s="1"/>
  <c r="O96" i="90" s="1"/>
  <c r="H186" i="98"/>
  <c r="K53" i="90"/>
  <c r="N53" i="90" s="1"/>
  <c r="K97" i="90"/>
  <c r="N97" i="90" s="1"/>
  <c r="K76" i="90"/>
  <c r="N76" i="90" s="1"/>
  <c r="I97" i="98"/>
  <c r="K166" i="98"/>
  <c r="K174" i="98" s="1"/>
  <c r="K40" i="98"/>
  <c r="K104" i="98"/>
  <c r="K109" i="98" s="1"/>
  <c r="K114" i="98" s="1"/>
  <c r="K62" i="98"/>
  <c r="K68" i="98" s="1"/>
  <c r="K73" i="98" s="1"/>
  <c r="K103" i="98"/>
  <c r="K108" i="98" s="1"/>
  <c r="K113" i="98" s="1"/>
  <c r="K41" i="98"/>
  <c r="K61" i="98"/>
  <c r="K67" i="98" s="1"/>
  <c r="K72" i="98" s="1"/>
  <c r="J53" i="90"/>
  <c r="M53" i="90" s="1"/>
  <c r="J76" i="90"/>
  <c r="M76" i="90" s="1"/>
  <c r="J97" i="90"/>
  <c r="I96" i="98"/>
  <c r="I168" i="98"/>
  <c r="I170" i="98" s="1"/>
  <c r="I187" i="98" s="1"/>
  <c r="I175" i="98"/>
  <c r="I176" i="98" s="1"/>
  <c r="I178" i="98" s="1"/>
  <c r="I181" i="98" s="1"/>
  <c r="J74" i="98"/>
  <c r="J90" i="98"/>
  <c r="J78" i="98"/>
  <c r="J84" i="98" s="1"/>
  <c r="J130" i="98"/>
  <c r="J136" i="98" s="1"/>
  <c r="J118" i="98"/>
  <c r="J124" i="98" s="1"/>
  <c r="J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E79" i="90" l="1"/>
  <c r="I132" i="94"/>
  <c r="L42" i="98"/>
  <c r="M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L39" i="98"/>
  <c r="L41" i="98" s="1"/>
  <c r="L44" i="98"/>
  <c r="D56" i="90"/>
  <c r="I125" i="94"/>
  <c r="M27" i="98" s="1"/>
  <c r="M28" i="98" s="1"/>
  <c r="I127" i="94"/>
  <c r="M29" i="98" s="1"/>
  <c r="M30" i="98" s="1"/>
  <c r="I108" i="94"/>
  <c r="M48" i="98"/>
  <c r="M49" i="98"/>
  <c r="L50" i="98"/>
  <c r="G56" i="90"/>
  <c r="F56" i="90"/>
  <c r="G100" i="90"/>
  <c r="F57" i="90"/>
  <c r="I107" i="94"/>
  <c r="J95" i="94"/>
  <c r="J96" i="94"/>
  <c r="J92" i="98"/>
  <c r="J98" i="98" s="1"/>
  <c r="J80" i="98"/>
  <c r="J86" i="98" s="1"/>
  <c r="L61" i="98"/>
  <c r="L67" i="98" s="1"/>
  <c r="L72" i="98" s="1"/>
  <c r="K131" i="98"/>
  <c r="K137" i="98" s="1"/>
  <c r="K119" i="98"/>
  <c r="K125" i="98" s="1"/>
  <c r="I180" i="98"/>
  <c r="I186" i="98"/>
  <c r="I98" i="90"/>
  <c r="I54" i="90"/>
  <c r="I77" i="90"/>
  <c r="J95" i="98"/>
  <c r="L158" i="98"/>
  <c r="L43" i="98"/>
  <c r="L107" i="98"/>
  <c r="L112" i="98" s="1"/>
  <c r="L66" i="98"/>
  <c r="L71" i="98" s="1"/>
  <c r="K89" i="98"/>
  <c r="K77" i="98"/>
  <c r="K83" i="98" s="1"/>
  <c r="J154" i="98"/>
  <c r="J151" i="98"/>
  <c r="J153" i="98" s="1"/>
  <c r="J155" i="98" s="1"/>
  <c r="J162" i="98" s="1"/>
  <c r="J163" i="98" s="1"/>
  <c r="K98" i="90"/>
  <c r="N98" i="90" s="1"/>
  <c r="K54" i="90"/>
  <c r="N54" i="90" s="1"/>
  <c r="K77" i="90"/>
  <c r="N77" i="90" s="1"/>
  <c r="J97" i="98"/>
  <c r="K91" i="98"/>
  <c r="K79" i="98"/>
  <c r="K85" i="98" s="1"/>
  <c r="I182" i="98"/>
  <c r="I188" i="98" s="1"/>
  <c r="O97" i="90" s="1"/>
  <c r="K130" i="98"/>
  <c r="K136" i="98" s="1"/>
  <c r="K118" i="98"/>
  <c r="K124" i="98" s="1"/>
  <c r="H56" i="90"/>
  <c r="H100" i="90"/>
  <c r="H79" i="90"/>
  <c r="J121" i="98"/>
  <c r="J127" i="98" s="1"/>
  <c r="J133" i="98"/>
  <c r="J139" i="98" s="1"/>
  <c r="J77" i="90"/>
  <c r="M77" i="90" s="1"/>
  <c r="J54" i="90"/>
  <c r="M54" i="90" s="1"/>
  <c r="J98" i="90"/>
  <c r="J96" i="98"/>
  <c r="K90" i="98"/>
  <c r="K78" i="98"/>
  <c r="K84" i="98" s="1"/>
  <c r="K132" i="98"/>
  <c r="K138" i="98" s="1"/>
  <c r="K120" i="98"/>
  <c r="K126" i="98" s="1"/>
  <c r="K74" i="98"/>
  <c r="K115" i="98"/>
  <c r="K173" i="98"/>
  <c r="K143" i="98"/>
  <c r="K144" i="98" s="1"/>
  <c r="K145" i="98" s="1"/>
  <c r="K147" i="98" s="1"/>
  <c r="K167" i="98"/>
  <c r="K159" i="98"/>
  <c r="K160" i="98" s="1"/>
  <c r="K150" i="98"/>
  <c r="J168" i="98"/>
  <c r="J170" i="98" s="1"/>
  <c r="J187" i="98" s="1"/>
  <c r="J175" i="98"/>
  <c r="J176" i="98" s="1"/>
  <c r="J178" i="98" s="1"/>
  <c r="J181" i="98" s="1"/>
  <c r="J179" i="98"/>
  <c r="J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J131" i="94" l="1"/>
  <c r="N48" i="98" s="1"/>
  <c r="G58" i="90" s="1"/>
  <c r="L103" i="98"/>
  <c r="L108" i="98" s="1"/>
  <c r="L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L104" i="98"/>
  <c r="L109" i="98" s="1"/>
  <c r="L114" i="98" s="1"/>
  <c r="L120" i="98" s="1"/>
  <c r="L126" i="98" s="1"/>
  <c r="J130" i="94"/>
  <c r="N47" i="98" s="1"/>
  <c r="E57" i="90"/>
  <c r="M39" i="98"/>
  <c r="M62" i="98" s="1"/>
  <c r="M68" i="98" s="1"/>
  <c r="M73" i="98" s="1"/>
  <c r="M42" i="98"/>
  <c r="M158" i="98" s="1"/>
  <c r="E80" i="90"/>
  <c r="E101" i="90"/>
  <c r="D101" i="90"/>
  <c r="D57" i="90"/>
  <c r="D80" i="90"/>
  <c r="M44" i="98"/>
  <c r="J125" i="94"/>
  <c r="N27" i="98" s="1"/>
  <c r="N28" i="98" s="1"/>
  <c r="L40" i="98"/>
  <c r="L166" i="98"/>
  <c r="L174" i="98" s="1"/>
  <c r="L62" i="98"/>
  <c r="L68" i="98" s="1"/>
  <c r="L73" i="98" s="1"/>
  <c r="N30" i="98"/>
  <c r="E102" i="90" s="1"/>
  <c r="J127" i="94"/>
  <c r="N29" i="98" s="1"/>
  <c r="N49" i="98"/>
  <c r="F101" i="90"/>
  <c r="F80" i="90"/>
  <c r="J108" i="94"/>
  <c r="J107" i="94"/>
  <c r="K96" i="94"/>
  <c r="M50" i="98"/>
  <c r="K95" i="94"/>
  <c r="K179" i="98"/>
  <c r="K185" i="98"/>
  <c r="L159" i="98"/>
  <c r="L160" i="98" s="1"/>
  <c r="L150" i="98"/>
  <c r="L143" i="98"/>
  <c r="L144" i="98" s="1"/>
  <c r="L145" i="98" s="1"/>
  <c r="L147" i="98" s="1"/>
  <c r="L173" i="98"/>
  <c r="G80" i="90"/>
  <c r="G101" i="90"/>
  <c r="G57" i="90"/>
  <c r="M166" i="98"/>
  <c r="M174" i="98" s="1"/>
  <c r="M61" i="98"/>
  <c r="H101" i="90"/>
  <c r="H80" i="90"/>
  <c r="H57" i="90"/>
  <c r="K154" i="98"/>
  <c r="K155" i="98" s="1"/>
  <c r="K162" i="98" s="1"/>
  <c r="K163" i="98" s="1"/>
  <c r="K151" i="98"/>
  <c r="K153" i="98" s="1"/>
  <c r="K55" i="90"/>
  <c r="N55" i="90" s="1"/>
  <c r="K99" i="90"/>
  <c r="N99" i="90" s="1"/>
  <c r="K78" i="90"/>
  <c r="N78" i="90" s="1"/>
  <c r="K97" i="98"/>
  <c r="I99" i="90"/>
  <c r="I78" i="90"/>
  <c r="I55" i="90"/>
  <c r="K95" i="98"/>
  <c r="L131" i="98"/>
  <c r="L137" i="98" s="1"/>
  <c r="L119" i="98"/>
  <c r="L125" i="98" s="1"/>
  <c r="K133" i="98"/>
  <c r="K139" i="98" s="1"/>
  <c r="K121" i="98"/>
  <c r="K127" i="98" s="1"/>
  <c r="J180" i="98"/>
  <c r="J182" i="98" s="1"/>
  <c r="J188" i="98" s="1"/>
  <c r="O98" i="90" s="1"/>
  <c r="J186" i="98"/>
  <c r="L89" i="98"/>
  <c r="L77" i="98"/>
  <c r="L83" i="98" s="1"/>
  <c r="L91" i="98"/>
  <c r="L79" i="98"/>
  <c r="L85" i="98" s="1"/>
  <c r="L74" i="98"/>
  <c r="K175" i="98"/>
  <c r="K176" i="98" s="1"/>
  <c r="K178" i="98" s="1"/>
  <c r="K181" i="98" s="1"/>
  <c r="K168" i="98"/>
  <c r="K170" i="98" s="1"/>
  <c r="K187" i="98" s="1"/>
  <c r="K80" i="98"/>
  <c r="K86" i="98" s="1"/>
  <c r="K92" i="98"/>
  <c r="K98" i="98" s="1"/>
  <c r="J99" i="90"/>
  <c r="J55" i="90"/>
  <c r="J78" i="90"/>
  <c r="M78" i="90" s="1"/>
  <c r="K96" i="98"/>
  <c r="L130" i="98"/>
  <c r="L136" i="98" s="1"/>
  <c r="L118" i="98"/>
  <c r="L124" i="98" s="1"/>
  <c r="L78" i="98"/>
  <c r="L84" i="98" s="1"/>
  <c r="L90" i="98"/>
  <c r="L132" i="98"/>
  <c r="L138" i="98" s="1"/>
  <c r="M66" i="98"/>
  <c r="M71" i="98" s="1"/>
  <c r="M107" i="98"/>
  <c r="M112" i="98" s="1"/>
  <c r="L115" i="98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M55" i="90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F102" i="90" l="1"/>
  <c r="F58" i="90"/>
  <c r="F81" i="90"/>
  <c r="O48" i="98"/>
  <c r="G59" i="90" s="1"/>
  <c r="K131" i="94"/>
  <c r="N42" i="98"/>
  <c r="M103" i="98"/>
  <c r="M108" i="98" s="1"/>
  <c r="M113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O47" i="98" s="1"/>
  <c r="E81" i="90"/>
  <c r="M40" i="98"/>
  <c r="M41" i="98"/>
  <c r="M20" i="93"/>
  <c r="M104" i="98"/>
  <c r="M109" i="98" s="1"/>
  <c r="M114" i="98" s="1"/>
  <c r="D81" i="90"/>
  <c r="D58" i="90"/>
  <c r="D102" i="90"/>
  <c r="N44" i="98"/>
  <c r="M43" i="98"/>
  <c r="M159" i="98" s="1"/>
  <c r="M160" i="98" s="1"/>
  <c r="E58" i="90"/>
  <c r="M67" i="98"/>
  <c r="M72" i="98" s="1"/>
  <c r="M78" i="98" s="1"/>
  <c r="M84" i="98" s="1"/>
  <c r="L167" i="98"/>
  <c r="O30" i="98"/>
  <c r="E82" i="90" s="1"/>
  <c r="K127" i="94"/>
  <c r="O29" i="98" s="1"/>
  <c r="K125" i="94"/>
  <c r="O27" i="98" s="1"/>
  <c r="O28" i="98" s="1"/>
  <c r="N39" i="98"/>
  <c r="N61" i="98" s="1"/>
  <c r="N67" i="98" s="1"/>
  <c r="N72" i="98" s="1"/>
  <c r="O49" i="98"/>
  <c r="G102" i="90"/>
  <c r="G81" i="90"/>
  <c r="K107" i="94"/>
  <c r="K108" i="94"/>
  <c r="L96" i="94"/>
  <c r="L95" i="94"/>
  <c r="J79" i="90"/>
  <c r="M79" i="90" s="1"/>
  <c r="J56" i="90"/>
  <c r="M56" i="90" s="1"/>
  <c r="J100" i="90"/>
  <c r="L96" i="98"/>
  <c r="N104" i="98"/>
  <c r="N109" i="98" s="1"/>
  <c r="N114" i="98" s="1"/>
  <c r="M90" i="98"/>
  <c r="L154" i="98"/>
  <c r="L155" i="98" s="1"/>
  <c r="L162" i="98" s="1"/>
  <c r="L163" i="98" s="1"/>
  <c r="L151" i="98"/>
  <c r="L153" i="98" s="1"/>
  <c r="L133" i="98"/>
  <c r="L139" i="98" s="1"/>
  <c r="L121" i="98"/>
  <c r="L127" i="98" s="1"/>
  <c r="M89" i="98"/>
  <c r="M77" i="98"/>
  <c r="M83" i="98" s="1"/>
  <c r="N107" i="98"/>
  <c r="N112" i="98" s="1"/>
  <c r="N43" i="98"/>
  <c r="N158" i="98"/>
  <c r="N66" i="98"/>
  <c r="N71" i="98" s="1"/>
  <c r="L92" i="98"/>
  <c r="L98" i="98" s="1"/>
  <c r="L80" i="98"/>
  <c r="L86" i="98" s="1"/>
  <c r="I56" i="90"/>
  <c r="I100" i="90"/>
  <c r="I79" i="90"/>
  <c r="L79" i="90" s="1"/>
  <c r="L95" i="98"/>
  <c r="K180" i="98"/>
  <c r="K182" i="98" s="1"/>
  <c r="K188" i="98" s="1"/>
  <c r="O99" i="90" s="1"/>
  <c r="K186" i="98"/>
  <c r="M131" i="98"/>
  <c r="M137" i="98" s="1"/>
  <c r="M119" i="98"/>
  <c r="M125" i="98" s="1"/>
  <c r="G103" i="90"/>
  <c r="L175" i="98"/>
  <c r="L176" i="98" s="1"/>
  <c r="L178" i="98" s="1"/>
  <c r="L181" i="98" s="1"/>
  <c r="L168" i="98"/>
  <c r="L170" i="98" s="1"/>
  <c r="L187" i="98" s="1"/>
  <c r="M74" i="98"/>
  <c r="H58" i="90"/>
  <c r="H81" i="90"/>
  <c r="H102" i="90"/>
  <c r="M118" i="98"/>
  <c r="M124" i="98" s="1"/>
  <c r="M130" i="98"/>
  <c r="M136" i="98" s="1"/>
  <c r="K56" i="90"/>
  <c r="K79" i="90"/>
  <c r="N79" i="90" s="1"/>
  <c r="K100" i="90"/>
  <c r="L97" i="98"/>
  <c r="N50" i="98"/>
  <c r="M132" i="98"/>
  <c r="M138" i="98" s="1"/>
  <c r="M120" i="98"/>
  <c r="M126" i="98" s="1"/>
  <c r="M91" i="98"/>
  <c r="M79" i="98"/>
  <c r="M85" i="98" s="1"/>
  <c r="L179" i="98"/>
  <c r="L185" i="98"/>
  <c r="M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N100" i="90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D59" i="90" l="1"/>
  <c r="D103" i="90"/>
  <c r="O44" i="98"/>
  <c r="O39" i="98"/>
  <c r="O166" i="98" s="1"/>
  <c r="O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P48" i="98"/>
  <c r="L131" i="94"/>
  <c r="L132" i="94"/>
  <c r="M150" i="98"/>
  <c r="M154" i="98" s="1"/>
  <c r="M155" i="98" s="1"/>
  <c r="M162" i="98" s="1"/>
  <c r="M163" i="98" s="1"/>
  <c r="N103" i="98"/>
  <c r="N108" i="98" s="1"/>
  <c r="N113" i="98" s="1"/>
  <c r="E59" i="90"/>
  <c r="L130" i="94"/>
  <c r="P47" i="98" s="1"/>
  <c r="N21" i="93"/>
  <c r="M167" i="98"/>
  <c r="E103" i="90"/>
  <c r="G82" i="90"/>
  <c r="N62" i="98"/>
  <c r="N68" i="98" s="1"/>
  <c r="N73" i="98" s="1"/>
  <c r="L127" i="94"/>
  <c r="P29" i="98" s="1"/>
  <c r="P30" i="98" s="1"/>
  <c r="P28" i="98"/>
  <c r="D60" i="90" s="1"/>
  <c r="L125" i="94"/>
  <c r="P27" i="98" s="1"/>
  <c r="M143" i="98"/>
  <c r="M144" i="98" s="1"/>
  <c r="M145" i="98" s="1"/>
  <c r="M147" i="98" s="1"/>
  <c r="M179" i="98" s="1"/>
  <c r="M173" i="98"/>
  <c r="N166" i="98"/>
  <c r="N174" i="98" s="1"/>
  <c r="N41" i="98"/>
  <c r="D82" i="90"/>
  <c r="O42" i="98"/>
  <c r="N40" i="98"/>
  <c r="F59" i="90"/>
  <c r="P49" i="98"/>
  <c r="G104" i="90"/>
  <c r="L108" i="94"/>
  <c r="L107" i="94"/>
  <c r="M95" i="94"/>
  <c r="M96" i="94"/>
  <c r="O79" i="90"/>
  <c r="H59" i="90"/>
  <c r="H103" i="90"/>
  <c r="H82" i="90"/>
  <c r="M185" i="98"/>
  <c r="I101" i="90"/>
  <c r="I57" i="90"/>
  <c r="I80" i="90"/>
  <c r="M95" i="98"/>
  <c r="N90" i="98"/>
  <c r="N78" i="98"/>
  <c r="N84" i="98" s="1"/>
  <c r="M80" i="98"/>
  <c r="M86" i="98" s="1"/>
  <c r="M92" i="98"/>
  <c r="M98" i="98" s="1"/>
  <c r="N159" i="98"/>
  <c r="N160" i="98" s="1"/>
  <c r="N173" i="98"/>
  <c r="N150" i="98"/>
  <c r="N143" i="98"/>
  <c r="L180" i="98"/>
  <c r="L182" i="98" s="1"/>
  <c r="L188" i="98" s="1"/>
  <c r="O100" i="90" s="1"/>
  <c r="L186" i="98"/>
  <c r="N91" i="98"/>
  <c r="N79" i="98"/>
  <c r="N85" i="98" s="1"/>
  <c r="N131" i="98"/>
  <c r="N137" i="98" s="1"/>
  <c r="N119" i="98"/>
  <c r="N125" i="98" s="1"/>
  <c r="N74" i="98"/>
  <c r="N115" i="98"/>
  <c r="O50" i="98"/>
  <c r="N130" i="98"/>
  <c r="N136" i="98" s="1"/>
  <c r="N118" i="98"/>
  <c r="N124" i="98" s="1"/>
  <c r="O107" i="98"/>
  <c r="O112" i="98" s="1"/>
  <c r="O66" i="98"/>
  <c r="O71" i="98" s="1"/>
  <c r="O43" i="98"/>
  <c r="O158" i="98"/>
  <c r="P44" i="98"/>
  <c r="M133" i="98"/>
  <c r="M139" i="98" s="1"/>
  <c r="M121" i="98"/>
  <c r="M127" i="98" s="1"/>
  <c r="K101" i="90"/>
  <c r="N101" i="90" s="1"/>
  <c r="K80" i="90"/>
  <c r="N80" i="90" s="1"/>
  <c r="K57" i="90"/>
  <c r="M97" i="98"/>
  <c r="M175" i="98"/>
  <c r="M176" i="98" s="1"/>
  <c r="M178" i="98" s="1"/>
  <c r="M181" i="98" s="1"/>
  <c r="M168" i="98"/>
  <c r="M170" i="98" s="1"/>
  <c r="M187" i="98" s="1"/>
  <c r="N89" i="98"/>
  <c r="N77" i="98"/>
  <c r="N83" i="98" s="1"/>
  <c r="J57" i="90"/>
  <c r="J80" i="90"/>
  <c r="M80" i="90" s="1"/>
  <c r="J101" i="90"/>
  <c r="M96" i="98"/>
  <c r="N132" i="98"/>
  <c r="N138" i="98" s="1"/>
  <c r="N120" i="98"/>
  <c r="N126" i="98" s="1"/>
  <c r="O61" i="98"/>
  <c r="O67" i="98" s="1"/>
  <c r="O72" i="98" s="1"/>
  <c r="O104" i="98"/>
  <c r="O109" i="98" s="1"/>
  <c r="O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F104" i="90" l="1"/>
  <c r="F83" i="90"/>
  <c r="F60" i="90"/>
  <c r="P39" i="98"/>
  <c r="P61" i="98" s="1"/>
  <c r="P67" i="98" s="1"/>
  <c r="P72" i="98" s="1"/>
  <c r="E60" i="90"/>
  <c r="P42" i="98"/>
  <c r="E83" i="90"/>
  <c r="E104" i="90"/>
  <c r="M130" i="94"/>
  <c r="Q47" i="98" s="1"/>
  <c r="F84" i="90" s="1"/>
  <c r="O103" i="98"/>
  <c r="O108" i="98" s="1"/>
  <c r="O113" i="98" s="1"/>
  <c r="O131" i="98" s="1"/>
  <c r="O137" i="98" s="1"/>
  <c r="O40" i="98"/>
  <c r="D104" i="90"/>
  <c r="M151" i="98"/>
  <c r="M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O62" i="98"/>
  <c r="O68" i="98" s="1"/>
  <c r="O73" i="98" s="1"/>
  <c r="D83" i="90"/>
  <c r="Q48" i="98"/>
  <c r="G61" i="90" s="1"/>
  <c r="M131" i="94"/>
  <c r="O41" i="98"/>
  <c r="N167" i="98"/>
  <c r="N175" i="98" s="1"/>
  <c r="N176" i="98" s="1"/>
  <c r="N178" i="98" s="1"/>
  <c r="N181" i="98" s="1"/>
  <c r="Q30" i="98"/>
  <c r="E105" i="90" s="1"/>
  <c r="M127" i="94"/>
  <c r="Q29" i="98" s="1"/>
  <c r="M125" i="94"/>
  <c r="Q27" i="98" s="1"/>
  <c r="Q28" i="98" s="1"/>
  <c r="Q49" i="98"/>
  <c r="G60" i="90"/>
  <c r="G83" i="90"/>
  <c r="M107" i="94"/>
  <c r="M108" i="94"/>
  <c r="N96" i="94"/>
  <c r="N95" i="94"/>
  <c r="O80" i="90"/>
  <c r="Q42" i="98"/>
  <c r="O132" i="98"/>
  <c r="O138" i="98" s="1"/>
  <c r="O120" i="98"/>
  <c r="O126" i="98" s="1"/>
  <c r="O90" i="98"/>
  <c r="O78" i="98"/>
  <c r="O84" i="98" s="1"/>
  <c r="O89" i="98"/>
  <c r="O77" i="98"/>
  <c r="O83" i="98" s="1"/>
  <c r="O74" i="98"/>
  <c r="M180" i="98"/>
  <c r="M182" i="98" s="1"/>
  <c r="M188" i="98" s="1"/>
  <c r="O101" i="90" s="1"/>
  <c r="M186" i="98"/>
  <c r="H60" i="90"/>
  <c r="H104" i="90"/>
  <c r="H83" i="90"/>
  <c r="I102" i="90"/>
  <c r="I58" i="90"/>
  <c r="I81" i="90"/>
  <c r="L81" i="90" s="1"/>
  <c r="N95" i="98"/>
  <c r="P50" i="98"/>
  <c r="O130" i="98"/>
  <c r="O136" i="98" s="1"/>
  <c r="O118" i="98"/>
  <c r="O124" i="98" s="1"/>
  <c r="N133" i="98"/>
  <c r="N139" i="98" s="1"/>
  <c r="N121" i="98"/>
  <c r="N127" i="98" s="1"/>
  <c r="P103" i="98"/>
  <c r="P108" i="98" s="1"/>
  <c r="P113" i="98" s="1"/>
  <c r="P104" i="98"/>
  <c r="P109" i="98" s="1"/>
  <c r="P114" i="98" s="1"/>
  <c r="N168" i="98"/>
  <c r="N170" i="98" s="1"/>
  <c r="N187" i="98" s="1"/>
  <c r="J58" i="90"/>
  <c r="J102" i="90"/>
  <c r="J81" i="90"/>
  <c r="M81" i="90" s="1"/>
  <c r="N96" i="98"/>
  <c r="O91" i="98"/>
  <c r="O79" i="98"/>
  <c r="O85" i="98" s="1"/>
  <c r="N92" i="98"/>
  <c r="N98" i="98" s="1"/>
  <c r="N80" i="98"/>
  <c r="N86" i="98" s="1"/>
  <c r="P158" i="98"/>
  <c r="P66" i="98"/>
  <c r="P71" i="98" s="1"/>
  <c r="P43" i="98"/>
  <c r="P107" i="98"/>
  <c r="P112" i="98" s="1"/>
  <c r="N144" i="98"/>
  <c r="N145" i="98" s="1"/>
  <c r="N147" i="98" s="1"/>
  <c r="O150" i="98"/>
  <c r="O143" i="98"/>
  <c r="O144" i="98" s="1"/>
  <c r="O145" i="98" s="1"/>
  <c r="O147" i="98" s="1"/>
  <c r="O173" i="98"/>
  <c r="O159" i="98"/>
  <c r="O160" i="98" s="1"/>
  <c r="O167" i="98"/>
  <c r="K81" i="90"/>
  <c r="N81" i="90" s="1"/>
  <c r="K102" i="90"/>
  <c r="N102" i="90" s="1"/>
  <c r="K58" i="90"/>
  <c r="N97" i="98"/>
  <c r="N154" i="98"/>
  <c r="N155" i="98" s="1"/>
  <c r="N162" i="98" s="1"/>
  <c r="N163" i="98" s="1"/>
  <c r="N151" i="98"/>
  <c r="N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Q44" i="98" l="1"/>
  <c r="D84" i="90"/>
  <c r="D105" i="90"/>
  <c r="P41" i="98"/>
  <c r="P115" i="98" s="1"/>
  <c r="P166" i="98"/>
  <c r="P174" i="98" s="1"/>
  <c r="O115" i="98"/>
  <c r="Q39" i="98"/>
  <c r="P62" i="98"/>
  <c r="P68" i="98" s="1"/>
  <c r="P73" i="98" s="1"/>
  <c r="P91" i="98" s="1"/>
  <c r="E61" i="90"/>
  <c r="O119" i="98"/>
  <c r="O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R47" i="98" s="1"/>
  <c r="F85" i="90" s="1"/>
  <c r="N131" i="94"/>
  <c r="R48" i="98" s="1"/>
  <c r="G106" i="90" s="1"/>
  <c r="Q23" i="93"/>
  <c r="P40" i="98"/>
  <c r="N125" i="94"/>
  <c r="R27" i="98" s="1"/>
  <c r="R28" i="98" s="1"/>
  <c r="N127" i="94"/>
  <c r="R29" i="98" s="1"/>
  <c r="R30" i="98" s="1"/>
  <c r="D61" i="90"/>
  <c r="E84" i="90"/>
  <c r="R49" i="98"/>
  <c r="F61" i="90"/>
  <c r="F105" i="90"/>
  <c r="G84" i="90"/>
  <c r="Q50" i="98"/>
  <c r="G105" i="90"/>
  <c r="N107" i="94"/>
  <c r="N108" i="94"/>
  <c r="O96" i="94"/>
  <c r="O95" i="94"/>
  <c r="O81" i="90"/>
  <c r="N179" i="98"/>
  <c r="N185" i="98"/>
  <c r="K103" i="90"/>
  <c r="N103" i="90" s="1"/>
  <c r="K82" i="90"/>
  <c r="N82" i="90" s="1"/>
  <c r="K59" i="90"/>
  <c r="O97" i="98"/>
  <c r="H84" i="90"/>
  <c r="H105" i="90"/>
  <c r="H61" i="90"/>
  <c r="N180" i="98"/>
  <c r="N186" i="98"/>
  <c r="O179" i="98"/>
  <c r="O185" i="98"/>
  <c r="P130" i="98"/>
  <c r="P136" i="98" s="1"/>
  <c r="P118" i="98"/>
  <c r="P124" i="98" s="1"/>
  <c r="P79" i="98"/>
  <c r="P85" i="98" s="1"/>
  <c r="I82" i="90"/>
  <c r="L82" i="90" s="1"/>
  <c r="I59" i="90"/>
  <c r="I103" i="90"/>
  <c r="O95" i="98"/>
  <c r="Q166" i="98"/>
  <c r="Q174" i="98" s="1"/>
  <c r="Q41" i="98"/>
  <c r="Q103" i="98"/>
  <c r="Q108" i="98" s="1"/>
  <c r="Q113" i="98" s="1"/>
  <c r="Q61" i="98"/>
  <c r="Q67" i="98" s="1"/>
  <c r="Q72" i="98" s="1"/>
  <c r="Q104" i="98"/>
  <c r="Q109" i="98" s="1"/>
  <c r="Q114" i="98" s="1"/>
  <c r="Q40" i="98"/>
  <c r="Q62" i="98"/>
  <c r="Q68" i="98" s="1"/>
  <c r="Q73" i="98" s="1"/>
  <c r="O175" i="98"/>
  <c r="O176" i="98" s="1"/>
  <c r="O178" i="98" s="1"/>
  <c r="O181" i="98" s="1"/>
  <c r="O168" i="98"/>
  <c r="O170" i="98" s="1"/>
  <c r="O187" i="98" s="1"/>
  <c r="O151" i="98"/>
  <c r="O153" i="98" s="1"/>
  <c r="O155" i="98" s="1"/>
  <c r="O162" i="98" s="1"/>
  <c r="O163" i="98" s="1"/>
  <c r="O154" i="98"/>
  <c r="P173" i="98"/>
  <c r="P143" i="98"/>
  <c r="P144" i="98" s="1"/>
  <c r="P145" i="98" s="1"/>
  <c r="P147" i="98" s="1"/>
  <c r="P167" i="98"/>
  <c r="P159" i="98"/>
  <c r="P160" i="98" s="1"/>
  <c r="P150" i="98"/>
  <c r="P78" i="98"/>
  <c r="P84" i="98" s="1"/>
  <c r="P90" i="98"/>
  <c r="O80" i="98"/>
  <c r="O86" i="98" s="1"/>
  <c r="O92" i="98"/>
  <c r="O98" i="98" s="1"/>
  <c r="P89" i="98"/>
  <c r="P77" i="98"/>
  <c r="P83" i="98" s="1"/>
  <c r="P132" i="98"/>
  <c r="P138" i="98" s="1"/>
  <c r="P120" i="98"/>
  <c r="P126" i="98" s="1"/>
  <c r="P131" i="98"/>
  <c r="P137" i="98" s="1"/>
  <c r="P119" i="98"/>
  <c r="P125" i="98" s="1"/>
  <c r="O121" i="98"/>
  <c r="O127" i="98" s="1"/>
  <c r="O133" i="98"/>
  <c r="O139" i="98" s="1"/>
  <c r="J82" i="90"/>
  <c r="M82" i="90" s="1"/>
  <c r="J103" i="90"/>
  <c r="J59" i="90"/>
  <c r="O96" i="98"/>
  <c r="Q107" i="98"/>
  <c r="Q112" i="98" s="1"/>
  <c r="Q43" i="98"/>
  <c r="Q158" i="98"/>
  <c r="Q66" i="98"/>
  <c r="Q71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E106" i="90" l="1"/>
  <c r="E62" i="90"/>
  <c r="R42" i="98"/>
  <c r="R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S47" i="98"/>
  <c r="F63" i="90" s="1"/>
  <c r="O130" i="94"/>
  <c r="R24" i="93"/>
  <c r="P74" i="98"/>
  <c r="S48" i="98"/>
  <c r="G86" i="90" s="1"/>
  <c r="O131" i="94"/>
  <c r="O132" i="94"/>
  <c r="O125" i="94"/>
  <c r="S27" i="98" s="1"/>
  <c r="S28" i="98" s="1"/>
  <c r="D85" i="90"/>
  <c r="E85" i="90"/>
  <c r="O127" i="94"/>
  <c r="S29" i="98" s="1"/>
  <c r="S30" i="98" s="1"/>
  <c r="R39" i="98"/>
  <c r="R103" i="98" s="1"/>
  <c r="R108" i="98" s="1"/>
  <c r="R113" i="98" s="1"/>
  <c r="S49" i="98"/>
  <c r="R50" i="98"/>
  <c r="P96" i="94"/>
  <c r="F106" i="90"/>
  <c r="F62" i="90"/>
  <c r="G85" i="90"/>
  <c r="G62" i="90"/>
  <c r="O108" i="94"/>
  <c r="O107" i="94"/>
  <c r="P95" i="94"/>
  <c r="O82" i="90"/>
  <c r="Q130" i="98"/>
  <c r="Q136" i="98" s="1"/>
  <c r="Q118" i="98"/>
  <c r="Q124" i="98" s="1"/>
  <c r="I60" i="90"/>
  <c r="I104" i="90"/>
  <c r="I83" i="90"/>
  <c r="L83" i="90" s="1"/>
  <c r="P95" i="98"/>
  <c r="P179" i="98"/>
  <c r="P185" i="98"/>
  <c r="R107" i="98"/>
  <c r="R112" i="98" s="1"/>
  <c r="R158" i="98"/>
  <c r="R43" i="98"/>
  <c r="R66" i="98"/>
  <c r="R71" i="98" s="1"/>
  <c r="Q89" i="98"/>
  <c r="Q77" i="98"/>
  <c r="Q83" i="98" s="1"/>
  <c r="P154" i="98"/>
  <c r="P151" i="98"/>
  <c r="P153" i="98" s="1"/>
  <c r="P155" i="98" s="1"/>
  <c r="P162" i="98" s="1"/>
  <c r="P163" i="98" s="1"/>
  <c r="Q120" i="98"/>
  <c r="Q126" i="98" s="1"/>
  <c r="Q132" i="98"/>
  <c r="Q138" i="98" s="1"/>
  <c r="K60" i="90"/>
  <c r="K83" i="90"/>
  <c r="N83" i="90" s="1"/>
  <c r="K104" i="90"/>
  <c r="N104" i="90" s="1"/>
  <c r="P97" i="98"/>
  <c r="N182" i="98"/>
  <c r="N188" i="98" s="1"/>
  <c r="O102" i="90" s="1"/>
  <c r="H62" i="90"/>
  <c r="H85" i="90"/>
  <c r="H106" i="90"/>
  <c r="Q90" i="98"/>
  <c r="Q78" i="98"/>
  <c r="Q84" i="98" s="1"/>
  <c r="P80" i="98"/>
  <c r="P86" i="98" s="1"/>
  <c r="P92" i="98"/>
  <c r="P98" i="98" s="1"/>
  <c r="Q74" i="98"/>
  <c r="Q150" i="98"/>
  <c r="Q143" i="98"/>
  <c r="Q144" i="98" s="1"/>
  <c r="Q145" i="98" s="1"/>
  <c r="Q147" i="98" s="1"/>
  <c r="Q167" i="98"/>
  <c r="Q173" i="98"/>
  <c r="Q159" i="98"/>
  <c r="Q160" i="98" s="1"/>
  <c r="J83" i="90"/>
  <c r="J60" i="90"/>
  <c r="J104" i="90"/>
  <c r="P96" i="98"/>
  <c r="P175" i="98"/>
  <c r="P176" i="98" s="1"/>
  <c r="P178" i="98" s="1"/>
  <c r="P181" i="98" s="1"/>
  <c r="P168" i="98"/>
  <c r="P170" i="98" s="1"/>
  <c r="P187" i="98" s="1"/>
  <c r="O180" i="98"/>
  <c r="O182" i="98" s="1"/>
  <c r="O188" i="98" s="1"/>
  <c r="O103" i="90" s="1"/>
  <c r="O186" i="98"/>
  <c r="Q91" i="98"/>
  <c r="Q79" i="98"/>
  <c r="Q85" i="98" s="1"/>
  <c r="Q131" i="98"/>
  <c r="Q137" i="98" s="1"/>
  <c r="Q119" i="98"/>
  <c r="Q125" i="98" s="1"/>
  <c r="P133" i="98"/>
  <c r="P139" i="98" s="1"/>
  <c r="P121" i="98"/>
  <c r="P127" i="98" s="1"/>
  <c r="R104" i="98"/>
  <c r="R109" i="98" s="1"/>
  <c r="R114" i="98" s="1"/>
  <c r="R40" i="98"/>
  <c r="R41" i="98"/>
  <c r="Q115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D86" i="90" l="1"/>
  <c r="D63" i="90"/>
  <c r="S44" i="98"/>
  <c r="E86" i="90"/>
  <c r="S42" i="98"/>
  <c r="E107" i="90"/>
  <c r="P131" i="94"/>
  <c r="T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T47" i="98" s="1"/>
  <c r="R166" i="98"/>
  <c r="R174" i="98" s="1"/>
  <c r="R61" i="98"/>
  <c r="R67" i="98" s="1"/>
  <c r="R72" i="98" s="1"/>
  <c r="S39" i="98"/>
  <c r="S62" i="98" s="1"/>
  <c r="S68" i="98" s="1"/>
  <c r="S73" i="98" s="1"/>
  <c r="E63" i="90"/>
  <c r="D107" i="90"/>
  <c r="P127" i="94"/>
  <c r="T29" i="98" s="1"/>
  <c r="T30" i="98" s="1"/>
  <c r="P125" i="94"/>
  <c r="T27" i="98" s="1"/>
  <c r="T28" i="98" s="1"/>
  <c r="R62" i="98"/>
  <c r="R68" i="98" s="1"/>
  <c r="R73" i="98" s="1"/>
  <c r="R91" i="98" s="1"/>
  <c r="T49" i="98"/>
  <c r="F107" i="90"/>
  <c r="F86" i="90"/>
  <c r="S50" i="98"/>
  <c r="G63" i="90"/>
  <c r="G107" i="90"/>
  <c r="P108" i="94"/>
  <c r="P107" i="94"/>
  <c r="Q96" i="94"/>
  <c r="Q95" i="94"/>
  <c r="P180" i="98"/>
  <c r="P186" i="98"/>
  <c r="R131" i="98"/>
  <c r="R137" i="98" s="1"/>
  <c r="R119" i="98"/>
  <c r="R125" i="98" s="1"/>
  <c r="K61" i="90"/>
  <c r="K105" i="90"/>
  <c r="N105" i="90" s="1"/>
  <c r="K84" i="90"/>
  <c r="N84" i="90" s="1"/>
  <c r="Q97" i="98"/>
  <c r="Q179" i="98"/>
  <c r="Q185" i="98"/>
  <c r="S66" i="98"/>
  <c r="S71" i="98" s="1"/>
  <c r="S43" i="98"/>
  <c r="S107" i="98"/>
  <c r="S112" i="98" s="1"/>
  <c r="S158" i="98"/>
  <c r="Q92" i="98"/>
  <c r="Q98" i="98" s="1"/>
  <c r="Q80" i="98"/>
  <c r="Q86" i="98" s="1"/>
  <c r="J61" i="90"/>
  <c r="J84" i="90"/>
  <c r="M84" i="90" s="1"/>
  <c r="J105" i="90"/>
  <c r="Q96" i="98"/>
  <c r="R132" i="98"/>
  <c r="R138" i="98" s="1"/>
  <c r="R120" i="98"/>
  <c r="R126" i="98" s="1"/>
  <c r="Q151" i="98"/>
  <c r="Q153" i="98" s="1"/>
  <c r="Q155" i="98" s="1"/>
  <c r="Q162" i="98" s="1"/>
  <c r="Q163" i="98" s="1"/>
  <c r="Q154" i="98"/>
  <c r="I84" i="90"/>
  <c r="L84" i="90" s="1"/>
  <c r="I61" i="90"/>
  <c r="I105" i="90"/>
  <c r="Q95" i="98"/>
  <c r="R130" i="98"/>
  <c r="R136" i="98" s="1"/>
  <c r="R118" i="98"/>
  <c r="R124" i="98" s="1"/>
  <c r="R78" i="98"/>
  <c r="R84" i="98" s="1"/>
  <c r="R90" i="98"/>
  <c r="R89" i="98"/>
  <c r="R77" i="98"/>
  <c r="R83" i="98" s="1"/>
  <c r="R74" i="98"/>
  <c r="H63" i="90"/>
  <c r="H86" i="90"/>
  <c r="H107" i="90"/>
  <c r="Q133" i="98"/>
  <c r="Q139" i="98" s="1"/>
  <c r="Q121" i="98"/>
  <c r="Q127" i="98" s="1"/>
  <c r="Q175" i="98"/>
  <c r="Q176" i="98" s="1"/>
  <c r="Q178" i="98" s="1"/>
  <c r="Q181" i="98" s="1"/>
  <c r="Q168" i="98"/>
  <c r="Q170" i="98" s="1"/>
  <c r="Q187" i="98" s="1"/>
  <c r="S41" i="98"/>
  <c r="S61" i="98"/>
  <c r="S67" i="98" s="1"/>
  <c r="S72" i="98" s="1"/>
  <c r="S40" i="98"/>
  <c r="S104" i="98"/>
  <c r="S109" i="98" s="1"/>
  <c r="S114" i="98" s="1"/>
  <c r="R150" i="98"/>
  <c r="R173" i="98"/>
  <c r="R143" i="98"/>
  <c r="R144" i="98" s="1"/>
  <c r="R145" i="98" s="1"/>
  <c r="R147" i="98" s="1"/>
  <c r="R159" i="98"/>
  <c r="R160" i="98" s="1"/>
  <c r="P182" i="98"/>
  <c r="P188" i="98" s="1"/>
  <c r="O104" i="90" s="1"/>
  <c r="R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R79" i="98" l="1"/>
  <c r="R85" i="98" s="1"/>
  <c r="Q130" i="94"/>
  <c r="U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U48" i="98"/>
  <c r="Q131" i="94"/>
  <c r="Q132" i="94"/>
  <c r="D64" i="90"/>
  <c r="T44" i="98"/>
  <c r="T42" i="98"/>
  <c r="T158" i="98" s="1"/>
  <c r="E64" i="90"/>
  <c r="T39" i="98"/>
  <c r="T41" i="98" s="1"/>
  <c r="Q127" i="94"/>
  <c r="U29" i="98" s="1"/>
  <c r="U30" i="98" s="1"/>
  <c r="S166" i="98"/>
  <c r="S174" i="98" s="1"/>
  <c r="S103" i="98"/>
  <c r="S108" i="98" s="1"/>
  <c r="S113" i="98" s="1"/>
  <c r="S131" i="98" s="1"/>
  <c r="S137" i="98" s="1"/>
  <c r="Q125" i="94"/>
  <c r="U27" i="98" s="1"/>
  <c r="U28" i="98" s="1"/>
  <c r="R167" i="98"/>
  <c r="R168" i="98" s="1"/>
  <c r="R170" i="98" s="1"/>
  <c r="R187" i="98" s="1"/>
  <c r="T50" i="98"/>
  <c r="U49" i="98"/>
  <c r="Q107" i="94"/>
  <c r="G65" i="90"/>
  <c r="Q108" i="94"/>
  <c r="O84" i="90"/>
  <c r="R133" i="98"/>
  <c r="R139" i="98" s="1"/>
  <c r="R121" i="98"/>
  <c r="R127" i="98" s="1"/>
  <c r="T66" i="98"/>
  <c r="T71" i="98" s="1"/>
  <c r="T107" i="98"/>
  <c r="T112" i="98" s="1"/>
  <c r="J62" i="90"/>
  <c r="J106" i="90"/>
  <c r="J85" i="90"/>
  <c r="M85" i="90" s="1"/>
  <c r="R96" i="98"/>
  <c r="Q180" i="98"/>
  <c r="Q182" i="98" s="1"/>
  <c r="Q188" i="98" s="1"/>
  <c r="O105" i="90" s="1"/>
  <c r="Q186" i="98"/>
  <c r="S89" i="98"/>
  <c r="S77" i="98"/>
  <c r="S83" i="98" s="1"/>
  <c r="S74" i="98"/>
  <c r="R154" i="98"/>
  <c r="R151" i="98"/>
  <c r="R153" i="98" s="1"/>
  <c r="R155" i="98" s="1"/>
  <c r="R162" i="98" s="1"/>
  <c r="R163" i="98" s="1"/>
  <c r="R92" i="98"/>
  <c r="R98" i="98" s="1"/>
  <c r="R80" i="98"/>
  <c r="R86" i="98" s="1"/>
  <c r="S115" i="98"/>
  <c r="S91" i="98"/>
  <c r="S79" i="98"/>
  <c r="S85" i="98" s="1"/>
  <c r="T40" i="98"/>
  <c r="T104" i="98"/>
  <c r="T109" i="98" s="1"/>
  <c r="T114" i="98" s="1"/>
  <c r="T103" i="98"/>
  <c r="T108" i="98" s="1"/>
  <c r="T113" i="98" s="1"/>
  <c r="S130" i="98"/>
  <c r="S136" i="98" s="1"/>
  <c r="S118" i="98"/>
  <c r="S124" i="98" s="1"/>
  <c r="K85" i="90"/>
  <c r="N85" i="90" s="1"/>
  <c r="K106" i="90"/>
  <c r="K62" i="90"/>
  <c r="R97" i="98"/>
  <c r="R179" i="98"/>
  <c r="R185" i="98"/>
  <c r="S132" i="98"/>
  <c r="S138" i="98" s="1"/>
  <c r="S120" i="98"/>
  <c r="S126" i="98" s="1"/>
  <c r="S78" i="98"/>
  <c r="S84" i="98" s="1"/>
  <c r="S90" i="98"/>
  <c r="I106" i="90"/>
  <c r="I62" i="90"/>
  <c r="I85" i="90"/>
  <c r="L85" i="90" s="1"/>
  <c r="R95" i="98"/>
  <c r="S150" i="98"/>
  <c r="S173" i="98"/>
  <c r="S143" i="98"/>
  <c r="S144" i="98" s="1"/>
  <c r="S145" i="98" s="1"/>
  <c r="S147" i="98" s="1"/>
  <c r="S167" i="98"/>
  <c r="S159" i="98"/>
  <c r="S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B27" i="93" l="1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R175" i="98"/>
  <c r="R176" i="98" s="1"/>
  <c r="R178" i="98" s="1"/>
  <c r="R181" i="98" s="1"/>
  <c r="U27" i="93"/>
  <c r="S119" i="98"/>
  <c r="S125" i="98" s="1"/>
  <c r="U44" i="98"/>
  <c r="D65" i="90"/>
  <c r="E65" i="90"/>
  <c r="U39" i="98"/>
  <c r="U103" i="98" s="1"/>
  <c r="U108" i="98" s="1"/>
  <c r="U113" i="98" s="1"/>
  <c r="U42" i="98"/>
  <c r="U107" i="98" s="1"/>
  <c r="U112" i="98" s="1"/>
  <c r="T166" i="98"/>
  <c r="T174" i="98" s="1"/>
  <c r="T61" i="98"/>
  <c r="T67" i="98" s="1"/>
  <c r="T72" i="98" s="1"/>
  <c r="T78" i="98" s="1"/>
  <c r="T84" i="98" s="1"/>
  <c r="T43" i="98"/>
  <c r="T150" i="98" s="1"/>
  <c r="T62" i="98"/>
  <c r="T68" i="98" s="1"/>
  <c r="T73" i="98" s="1"/>
  <c r="T91" i="98" s="1"/>
  <c r="U50" i="98"/>
  <c r="O85" i="90"/>
  <c r="S179" i="98"/>
  <c r="S185" i="98"/>
  <c r="T130" i="98"/>
  <c r="T136" i="98" s="1"/>
  <c r="T118" i="98"/>
  <c r="T124" i="98" s="1"/>
  <c r="U166" i="98"/>
  <c r="U174" i="98" s="1"/>
  <c r="U104" i="98"/>
  <c r="U40" i="98"/>
  <c r="T132" i="98"/>
  <c r="T138" i="98" s="1"/>
  <c r="T120" i="98"/>
  <c r="T126" i="98" s="1"/>
  <c r="S133" i="98"/>
  <c r="S139" i="98" s="1"/>
  <c r="S121" i="98"/>
  <c r="S127" i="98" s="1"/>
  <c r="R180" i="98"/>
  <c r="R182" i="98" s="1"/>
  <c r="R188" i="98" s="1"/>
  <c r="O106" i="90" s="1"/>
  <c r="R186" i="98"/>
  <c r="I86" i="90"/>
  <c r="L86" i="90" s="1"/>
  <c r="I63" i="90"/>
  <c r="I107" i="90"/>
  <c r="S95" i="98"/>
  <c r="T143" i="98"/>
  <c r="T167" i="98"/>
  <c r="S154" i="98"/>
  <c r="S155" i="98" s="1"/>
  <c r="S162" i="98" s="1"/>
  <c r="S163" i="98" s="1"/>
  <c r="S151" i="98"/>
  <c r="S153" i="98" s="1"/>
  <c r="T90" i="98"/>
  <c r="K63" i="90"/>
  <c r="K107" i="90"/>
  <c r="N107" i="90" s="1"/>
  <c r="K86" i="90"/>
  <c r="N86" i="90" s="1"/>
  <c r="S97" i="98"/>
  <c r="T89" i="98"/>
  <c r="T95" i="98" s="1"/>
  <c r="T77" i="98"/>
  <c r="T83" i="98" s="1"/>
  <c r="S175" i="98"/>
  <c r="S176" i="98" s="1"/>
  <c r="S178" i="98" s="1"/>
  <c r="S181" i="98" s="1"/>
  <c r="S168" i="98"/>
  <c r="S170" i="98" s="1"/>
  <c r="S187" i="98" s="1"/>
  <c r="J63" i="90"/>
  <c r="J86" i="90"/>
  <c r="M86" i="90" s="1"/>
  <c r="J107" i="90"/>
  <c r="S96" i="98"/>
  <c r="T131" i="98"/>
  <c r="T137" i="98" s="1"/>
  <c r="T119" i="98"/>
  <c r="T125" i="98" s="1"/>
  <c r="S80" i="98"/>
  <c r="S86" i="98" s="1"/>
  <c r="S92" i="98"/>
  <c r="S98" i="98" s="1"/>
  <c r="U66" i="98"/>
  <c r="U71" i="98" s="1"/>
  <c r="T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U109" i="98" l="1"/>
  <c r="U114" i="98" s="1"/>
  <c r="U158" i="98"/>
  <c r="T173" i="98"/>
  <c r="U41" i="98"/>
  <c r="U115" i="98" s="1"/>
  <c r="U61" i="98"/>
  <c r="U43" i="98"/>
  <c r="T74" i="98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T159" i="98"/>
  <c r="T160" i="98" s="1"/>
  <c r="U62" i="98"/>
  <c r="U68" i="98" s="1"/>
  <c r="U73" i="98" s="1"/>
  <c r="T79" i="98"/>
  <c r="T85" i="98" s="1"/>
  <c r="U67" i="98"/>
  <c r="U72" i="98" s="1"/>
  <c r="U90" i="98" s="1"/>
  <c r="O86" i="90"/>
  <c r="U89" i="98"/>
  <c r="U95" i="98" s="1"/>
  <c r="U77" i="98"/>
  <c r="U83" i="98" s="1"/>
  <c r="S180" i="98"/>
  <c r="S182" i="98" s="1"/>
  <c r="S188" i="98" s="1"/>
  <c r="O107" i="90" s="1"/>
  <c r="S186" i="98"/>
  <c r="U150" i="98"/>
  <c r="U143" i="98"/>
  <c r="U144" i="98" s="1"/>
  <c r="U145" i="98" s="1"/>
  <c r="U147" i="98" s="1"/>
  <c r="U167" i="98"/>
  <c r="U173" i="98"/>
  <c r="U159" i="98"/>
  <c r="U160" i="98" s="1"/>
  <c r="J64" i="90"/>
  <c r="O64" i="90" s="1"/>
  <c r="T96" i="98"/>
  <c r="T151" i="98"/>
  <c r="T153" i="98" s="1"/>
  <c r="T154" i="98"/>
  <c r="T155" i="98" s="1"/>
  <c r="T162" i="98" s="1"/>
  <c r="T163" i="98" s="1"/>
  <c r="U91" i="98"/>
  <c r="U79" i="98"/>
  <c r="U85" i="98" s="1"/>
  <c r="U131" i="98"/>
  <c r="U137" i="98" s="1"/>
  <c r="U119" i="98"/>
  <c r="U125" i="98" s="1"/>
  <c r="T121" i="98"/>
  <c r="T127" i="98" s="1"/>
  <c r="T133" i="98"/>
  <c r="T139" i="98" s="1"/>
  <c r="T80" i="98"/>
  <c r="T86" i="98" s="1"/>
  <c r="T92" i="98"/>
  <c r="T98" i="98" s="1"/>
  <c r="T175" i="98"/>
  <c r="T176" i="98" s="1"/>
  <c r="T178" i="98" s="1"/>
  <c r="T181" i="98" s="1"/>
  <c r="T168" i="98"/>
  <c r="T170" i="98" s="1"/>
  <c r="T187" i="98" s="1"/>
  <c r="K64" i="90"/>
  <c r="T97" i="98"/>
  <c r="U118" i="98"/>
  <c r="U124" i="98" s="1"/>
  <c r="U130" i="98"/>
  <c r="U136" i="98" s="1"/>
  <c r="T144" i="98"/>
  <c r="T145" i="98" s="1"/>
  <c r="T147" i="98" s="1"/>
  <c r="U132" i="98"/>
  <c r="U138" i="98" s="1"/>
  <c r="U120" i="98"/>
  <c r="U12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U78" i="98" l="1"/>
  <c r="U84" i="98" s="1"/>
  <c r="U74" i="98"/>
  <c r="U80" i="98" s="1"/>
  <c r="U86" i="98" s="1"/>
  <c r="U133" i="98"/>
  <c r="U139" i="98" s="1"/>
  <c r="U121" i="98"/>
  <c r="U127" i="98" s="1"/>
  <c r="T179" i="98"/>
  <c r="T185" i="98"/>
  <c r="K65" i="90"/>
  <c r="U97" i="98"/>
  <c r="U179" i="98"/>
  <c r="U185" i="98"/>
  <c r="T180" i="98"/>
  <c r="T186" i="98"/>
  <c r="U154" i="98"/>
  <c r="U155" i="98" s="1"/>
  <c r="U162" i="98" s="1"/>
  <c r="U163" i="98" s="1"/>
  <c r="U151" i="98"/>
  <c r="U153" i="98" s="1"/>
  <c r="J65" i="90"/>
  <c r="O65" i="90" s="1"/>
  <c r="U96" i="98"/>
  <c r="U175" i="98"/>
  <c r="U176" i="98" s="1"/>
  <c r="U178" i="98" s="1"/>
  <c r="U181" i="98" s="1"/>
  <c r="U168" i="98"/>
  <c r="U170" i="98" s="1"/>
  <c r="U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U92" i="98" l="1"/>
  <c r="U98" i="98" s="1"/>
  <c r="U180" i="98"/>
  <c r="U182" i="98" s="1"/>
  <c r="U188" i="98" s="1"/>
  <c r="U186" i="98"/>
  <c r="T182" i="98"/>
  <c r="T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<sst xmlns="http://schemas.openxmlformats.org/spreadsheetml/2006/main" count="1166" uniqueCount="444">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</sst>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5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8" fillId="0" borderId="0"/>
    <xf numFmtId="168" fontId="8" fillId="0" borderId="0"/>
    <xf numFmtId="168" fontId="10" fillId="0" borderId="0">
      <alignment vertical="top"/>
    </xf>
    <xf numFmtId="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168" fontId="19" fillId="0" borderId="0"/>
    <xf numFmtId="168" fontId="6" fillId="0" borderId="0"/>
    <xf numFmtId="168" fontId="8" fillId="0" borderId="0"/>
    <xf numFmtId="168" fontId="2" fillId="0" borderId="0"/>
  </cellStyleXfs>
  <cellXfs count="267">
    <xf numFmtId="168" fontId="0" fillId="0" borderId="0" xfId="0"/>
    <xf numFmtId="168" fontId="9" fillId="2" borderId="1" xfId="0" applyFont="1" applyFill="1" applyBorder="1"/>
    <xf numFmtId="168" fontId="9" fillId="0" borderId="0" xfId="0" applyFont="1"/>
    <xf numFmtId="11" fontId="9" fillId="0" borderId="0" xfId="0" applyNumberFormat="1" applyFont="1"/>
    <xf numFmtId="11" fontId="0" fillId="0" borderId="0" xfId="0" applyNumberFormat="1"/>
    <xf numFmtId="168" fontId="11" fillId="0" borderId="0" xfId="0" applyFont="1"/>
    <xf numFmtId="168" fontId="8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4" fillId="0" borderId="0" xfId="0" applyFont="1"/>
    <xf numFmtId="168" fontId="25" fillId="0" borderId="0" xfId="0" applyFont="1"/>
    <xf numFmtId="168" fontId="26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46" fillId="4" borderId="0" xfId="10" applyFont="1" applyFill="1"/>
    <xf numFmtId="168" fontId="47" fillId="4" borderId="0" xfId="10" applyFont="1" applyFill="1"/>
    <xf numFmtId="168" fontId="47" fillId="0" borderId="0" xfId="10" applyFont="1"/>
    <xf numFmtId="168" fontId="2" fillId="0" borderId="0" xfId="11"/>
    <xf numFmtId="168" fontId="46" fillId="0" borderId="0" xfId="10" applyFont="1"/>
    <xf numFmtId="168" fontId="20" fillId="3" borderId="4" xfId="11" applyFont="1" applyFill="1" applyBorder="1" applyAlignment="1">
      <alignment horizontal="left"/>
    </xf>
    <xf numFmtId="168" fontId="20" fillId="3" borderId="4" xfId="11" applyFont="1" applyFill="1" applyBorder="1" applyAlignment="1">
      <alignment horizontal="center"/>
    </xf>
    <xf numFmtId="168" fontId="20" fillId="3" borderId="0" xfId="11" applyFont="1" applyFill="1" applyAlignment="1">
      <alignment horizontal="center"/>
    </xf>
    <xf numFmtId="168" fontId="29" fillId="5" borderId="10" xfId="10" applyFont="1" applyFill="1" applyBorder="1" applyAlignment="1">
      <alignment horizontal="right"/>
    </xf>
    <xf numFmtId="168" fontId="29" fillId="5" borderId="12" xfId="10" applyFont="1" applyFill="1" applyBorder="1"/>
    <xf numFmtId="168" fontId="2" fillId="0" borderId="4" xfId="11" applyBorder="1" applyAlignment="1">
      <alignment horizontal="left"/>
    </xf>
    <xf numFmtId="168" fontId="2" fillId="0" borderId="0" xfId="11" applyAlignment="1">
      <alignment horizontal="center"/>
    </xf>
    <xf numFmtId="168" fontId="29" fillId="5" borderId="19" xfId="10" applyFont="1" applyFill="1" applyBorder="1" applyAlignment="1">
      <alignment horizontal="right"/>
    </xf>
    <xf numFmtId="168" fontId="29" fillId="5" borderId="20" xfId="10" applyFont="1" applyFill="1" applyBorder="1"/>
    <xf numFmtId="168" fontId="2" fillId="0" borderId="7" xfId="11" applyBorder="1" applyAlignment="1">
      <alignment horizontal="right"/>
    </xf>
    <xf numFmtId="168" fontId="2" fillId="0" borderId="8" xfId="11" applyBorder="1" applyAlignment="1">
      <alignment horizontal="left"/>
    </xf>
    <xf numFmtId="14" fontId="2" fillId="0" borderId="8" xfId="11" applyNumberFormat="1" applyBorder="1" applyAlignment="1">
      <alignment horizontal="left"/>
    </xf>
    <xf numFmtId="168" fontId="18" fillId="5" borderId="19" xfId="11" applyFont="1" applyFill="1" applyBorder="1" applyAlignment="1">
      <alignment horizontal="right"/>
    </xf>
    <xf numFmtId="168" fontId="18" fillId="5" borderId="20" xfId="11" applyFont="1" applyFill="1" applyBorder="1"/>
    <xf numFmtId="168" fontId="18" fillId="5" borderId="13" xfId="11" applyFont="1" applyFill="1" applyBorder="1" applyAlignment="1">
      <alignment horizontal="right"/>
    </xf>
    <xf numFmtId="168" fontId="18" fillId="5" borderId="15" xfId="11" applyFont="1" applyFill="1" applyBorder="1"/>
    <xf numFmtId="168" fontId="2" fillId="0" borderId="4" xfId="11" applyBorder="1" applyAlignment="1">
      <alignment horizontal="right"/>
    </xf>
    <xf numFmtId="168" fontId="23" fillId="0" borderId="0" xfId="10" applyFont="1" applyAlignment="1">
      <alignment wrapText="1"/>
    </xf>
    <xf numFmtId="2" fontId="48" fillId="0" borderId="0" xfId="10" applyNumberFormat="1" applyFont="1" applyAlignment="1">
      <alignment horizontal="center"/>
    </xf>
    <xf numFmtId="168" fontId="21" fillId="0" borderId="0" xfId="11" applyFont="1" applyAlignment="1">
      <alignment horizontal="left" vertical="top" wrapText="1"/>
    </xf>
    <xf numFmtId="168" fontId="18" fillId="3" borderId="4" xfId="11" applyFont="1" applyFill="1" applyBorder="1"/>
    <xf numFmtId="168" fontId="18" fillId="0" borderId="4" xfId="11" applyFont="1" applyBorder="1" applyAlignment="1">
      <alignment horizontal="center"/>
    </xf>
    <xf numFmtId="168" fontId="18" fillId="0" borderId="4" xfId="11" applyFont="1" applyBorder="1"/>
    <xf numFmtId="168" fontId="2" fillId="0" borderId="4" xfId="11" applyBorder="1" applyAlignment="1">
      <alignment horizontal="center"/>
    </xf>
    <xf numFmtId="168" fontId="2" fillId="0" borderId="4" xfId="11" applyBorder="1"/>
    <xf numFmtId="2" fontId="2" fillId="0" borderId="0" xfId="11" applyNumberFormat="1" applyAlignment="1">
      <alignment horizontal="center"/>
    </xf>
    <xf numFmtId="168" fontId="18" fillId="0" borderId="0" xfId="11" applyFont="1"/>
    <xf numFmtId="168" fontId="29" fillId="0" borderId="4" xfId="11" applyFont="1" applyBorder="1"/>
    <xf numFmtId="168" fontId="20" fillId="0" borderId="4" xfId="11" applyFont="1" applyBorder="1"/>
    <xf numFmtId="168" fontId="2" fillId="0" borderId="23" xfId="11" applyBorder="1"/>
    <xf numFmtId="169" fontId="33" fillId="4" borderId="4" xfId="11" applyNumberFormat="1" applyFont="1" applyFill="1" applyBorder="1" applyAlignment="1">
      <alignment horizontal="center"/>
    </xf>
    <xf numFmtId="2" fontId="28" fillId="0" borderId="0" xfId="11" applyNumberFormat="1" applyFont="1" applyAlignment="1">
      <alignment horizontal="center"/>
    </xf>
    <xf numFmtId="168" fontId="30" fillId="0" borderId="0" xfId="11" applyFont="1"/>
    <xf numFmtId="170" fontId="29" fillId="0" borderId="4" xfId="11" applyNumberFormat="1" applyFont="1" applyBorder="1" applyAlignment="1">
      <alignment horizontal="center"/>
    </xf>
    <xf numFmtId="170" fontId="31" fillId="0" borderId="0" xfId="11" applyNumberFormat="1" applyFont="1" applyAlignment="1">
      <alignment horizontal="center"/>
    </xf>
    <xf numFmtId="171" fontId="29" fillId="0" borderId="4" xfId="11" applyNumberFormat="1" applyFont="1" applyBorder="1" applyAlignment="1">
      <alignment horizontal="center"/>
    </xf>
    <xf numFmtId="172" fontId="29" fillId="0" borderId="4" xfId="11" applyNumberFormat="1" applyFont="1" applyBorder="1" applyAlignment="1">
      <alignment horizontal="center"/>
    </xf>
    <xf numFmtId="173" fontId="33" fillId="4" borderId="4" xfId="11" applyNumberFormat="1" applyFont="1" applyFill="1" applyBorder="1" applyAlignment="1">
      <alignment horizontal="center"/>
    </xf>
    <xf numFmtId="174" fontId="33" fillId="4" borderId="4" xfId="11" applyNumberFormat="1" applyFont="1" applyFill="1" applyBorder="1" applyAlignment="1">
      <alignment horizontal="center"/>
    </xf>
    <xf numFmtId="2" fontId="33" fillId="4" borderId="4" xfId="11" applyNumberFormat="1" applyFont="1" applyFill="1" applyBorder="1" applyAlignment="1">
      <alignment horizontal="center"/>
    </xf>
    <xf numFmtId="168" fontId="31" fillId="0" borderId="0" xfId="11" applyFont="1"/>
    <xf numFmtId="2" fontId="29" fillId="0" borderId="4" xfId="11" applyNumberFormat="1" applyFont="1" applyBorder="1" applyAlignment="1">
      <alignment horizontal="center"/>
    </xf>
    <xf numFmtId="2" fontId="29" fillId="0" borderId="0" xfId="11" applyNumberFormat="1" applyFont="1" applyAlignment="1">
      <alignment horizontal="center"/>
    </xf>
    <xf numFmtId="2" fontId="31" fillId="0" borderId="4" xfId="11" applyNumberFormat="1" applyFont="1" applyBorder="1" applyAlignment="1">
      <alignment horizontal="left"/>
    </xf>
    <xf numFmtId="168" fontId="33" fillId="0" borderId="0" xfId="11" applyFont="1"/>
    <xf numFmtId="2" fontId="31" fillId="0" borderId="0" xfId="11" applyNumberFormat="1" applyFont="1" applyAlignment="1">
      <alignment horizontal="left"/>
    </xf>
    <xf numFmtId="168" fontId="49" fillId="0" borderId="0" xfId="11" applyFont="1" applyAlignment="1">
      <alignment vertical="center" textRotation="90"/>
    </xf>
    <xf numFmtId="168" fontId="18" fillId="0" borderId="0" xfId="11" applyFont="1" applyAlignment="1">
      <alignment horizontal="center"/>
    </xf>
    <xf numFmtId="168" fontId="29" fillId="0" borderId="0" xfId="11" applyFont="1" applyAlignment="1">
      <alignment horizontal="center" vertical="center"/>
    </xf>
    <xf numFmtId="175" fontId="33" fillId="4" borderId="4" xfId="11" applyNumberFormat="1" applyFont="1" applyFill="1" applyBorder="1" applyAlignment="1">
      <alignment horizontal="center"/>
    </xf>
    <xf numFmtId="176" fontId="2" fillId="0" borderId="4" xfId="11" applyNumberFormat="1" applyBorder="1" applyAlignment="1">
      <alignment horizontal="left"/>
    </xf>
    <xf numFmtId="176" fontId="18" fillId="0" borderId="4" xfId="11" applyNumberFormat="1" applyFont="1" applyBorder="1" applyAlignment="1">
      <alignment horizontal="center"/>
    </xf>
    <xf numFmtId="176" fontId="18" fillId="0" borderId="0" xfId="11" applyNumberFormat="1" applyFont="1" applyAlignment="1">
      <alignment horizontal="center"/>
    </xf>
    <xf numFmtId="168" fontId="27" fillId="0" borderId="0" xfId="11" applyFont="1"/>
    <xf numFmtId="168" fontId="50" fillId="0" borderId="0" xfId="11" applyFont="1" applyAlignment="1">
      <alignment horizontal="center"/>
    </xf>
    <xf numFmtId="168" fontId="51" fillId="0" borderId="0" xfId="11" applyFont="1" applyAlignment="1">
      <alignment horizontal="left"/>
    </xf>
    <xf numFmtId="2" fontId="18" fillId="0" borderId="4" xfId="11" applyNumberFormat="1" applyFont="1" applyBorder="1" applyAlignment="1">
      <alignment horizontal="center"/>
    </xf>
    <xf numFmtId="168" fontId="52" fillId="0" borderId="0" xfId="10" applyFont="1" applyAlignment="1">
      <alignment horizontal="center"/>
    </xf>
    <xf numFmtId="168" fontId="20" fillId="0" borderId="3" xfId="11" applyFont="1" applyBorder="1"/>
    <xf numFmtId="168" fontId="34" fillId="0" borderId="0" xfId="11" applyFont="1" applyAlignment="1">
      <alignment horizontal="center"/>
    </xf>
    <xf numFmtId="168" fontId="34" fillId="0" borderId="4" xfId="11" applyFont="1" applyBorder="1" applyAlignment="1">
      <alignment horizontal="left"/>
    </xf>
    <xf numFmtId="177" fontId="18" fillId="0" borderId="4" xfId="11" applyNumberFormat="1" applyFont="1" applyBorder="1" applyAlignment="1">
      <alignment horizontal="center"/>
    </xf>
    <xf numFmtId="177" fontId="2" fillId="0" borderId="4" xfId="11" applyNumberFormat="1" applyBorder="1" applyAlignment="1">
      <alignment horizontal="left"/>
    </xf>
    <xf numFmtId="178" fontId="18" fillId="0" borderId="4" xfId="11" applyNumberFormat="1" applyFont="1" applyBorder="1" applyAlignment="1">
      <alignment horizontal="center"/>
    </xf>
    <xf numFmtId="177" fontId="2" fillId="0" borderId="0" xfId="11" applyNumberFormat="1" applyAlignment="1">
      <alignment horizontal="left"/>
    </xf>
    <xf numFmtId="177" fontId="2" fillId="0" borderId="0" xfId="11" applyNumberFormat="1" applyAlignment="1">
      <alignment horizontal="center"/>
    </xf>
    <xf numFmtId="177" fontId="18" fillId="0" borderId="0" xfId="11" applyNumberFormat="1" applyFont="1" applyAlignment="1">
      <alignment horizontal="center"/>
    </xf>
    <xf numFmtId="168" fontId="20" fillId="0" borderId="22" xfId="11" applyFont="1" applyBorder="1"/>
    <xf numFmtId="178" fontId="18" fillId="0" borderId="0" xfId="11" applyNumberFormat="1" applyFont="1" applyAlignment="1">
      <alignment horizontal="center"/>
    </xf>
    <xf numFmtId="168" fontId="20" fillId="0" borderId="0" xfId="11" applyFont="1"/>
    <xf numFmtId="168" fontId="34" fillId="0" borderId="0" xfId="11" applyFont="1" applyAlignment="1">
      <alignment horizontal="left"/>
    </xf>
    <xf numFmtId="178" fontId="53" fillId="0" borderId="4" xfId="11" applyNumberFormat="1" applyFont="1" applyBorder="1" applyAlignment="1">
      <alignment horizontal="center"/>
    </xf>
    <xf numFmtId="179" fontId="29" fillId="6" borderId="4" xfId="11" applyNumberFormat="1" applyFont="1" applyFill="1" applyBorder="1" applyAlignment="1">
      <alignment horizontal="center"/>
    </xf>
    <xf numFmtId="168" fontId="35" fillId="0" borderId="0" xfId="11" applyFont="1"/>
    <xf numFmtId="168" fontId="50" fillId="0" borderId="0" xfId="11" applyFont="1"/>
    <xf numFmtId="168" fontId="54" fillId="0" borderId="0" xfId="11" applyFont="1" applyAlignment="1">
      <alignment horizontal="center"/>
    </xf>
    <xf numFmtId="2" fontId="18" fillId="0" borderId="0" xfId="11" applyNumberFormat="1" applyFont="1" applyAlignment="1">
      <alignment horizontal="center"/>
    </xf>
    <xf numFmtId="168" fontId="55" fillId="0" borderId="0" xfId="10" applyFont="1" applyAlignment="1">
      <alignment horizontal="center"/>
    </xf>
    <xf numFmtId="168" fontId="50" fillId="0" borderId="4" xfId="11" applyFont="1" applyBorder="1"/>
    <xf numFmtId="168" fontId="56" fillId="0" borderId="4" xfId="11" applyFont="1" applyBorder="1" applyAlignment="1">
      <alignment vertical="top"/>
    </xf>
    <xf numFmtId="168" fontId="20" fillId="0" borderId="22" xfId="11" applyFont="1" applyBorder="1" applyAlignment="1">
      <alignment horizontal="left"/>
    </xf>
    <xf numFmtId="168" fontId="2" fillId="0" borderId="4" xfId="10" applyFont="1" applyBorder="1"/>
    <xf numFmtId="168" fontId="31" fillId="0" borderId="4" xfId="10" applyFont="1" applyBorder="1"/>
    <xf numFmtId="168" fontId="31" fillId="0" borderId="0" xfId="11" applyFont="1" applyAlignment="1">
      <alignment horizontal="center"/>
    </xf>
    <xf numFmtId="168" fontId="29" fillId="0" borderId="4" xfId="10" applyFont="1" applyBorder="1"/>
    <xf numFmtId="168" fontId="23" fillId="0" borderId="4" xfId="10" applyFont="1" applyBorder="1"/>
    <xf numFmtId="168" fontId="23" fillId="0" borderId="0" xfId="10" applyFont="1"/>
    <xf numFmtId="178" fontId="53" fillId="0" borderId="0" xfId="11" applyNumberFormat="1" applyFont="1" applyAlignment="1">
      <alignment horizontal="center"/>
    </xf>
    <xf numFmtId="168" fontId="8" fillId="0" borderId="0" xfId="10"/>
    <xf numFmtId="2" fontId="31" fillId="0" borderId="0" xfId="10" applyNumberFormat="1" applyFont="1" applyAlignment="1">
      <alignment horizontal="center"/>
    </xf>
    <xf numFmtId="167" fontId="28" fillId="0" borderId="0" xfId="10" applyNumberFormat="1" applyFont="1" applyAlignment="1">
      <alignment horizontal="center"/>
    </xf>
    <xf numFmtId="180" fontId="18" fillId="0" borderId="4" xfId="11" applyNumberFormat="1" applyFont="1" applyBorder="1" applyAlignment="1">
      <alignment horizontal="center"/>
    </xf>
    <xf numFmtId="168" fontId="18" fillId="0" borderId="0" xfId="11" applyFont="1" applyAlignment="1">
      <alignment wrapText="1"/>
    </xf>
    <xf numFmtId="168" fontId="18" fillId="0" borderId="27" xfId="11" applyFont="1" applyBorder="1"/>
    <xf numFmtId="178" fontId="33" fillId="0" borderId="0" xfId="11" applyNumberFormat="1" applyFont="1" applyAlignment="1">
      <alignment horizontal="center"/>
    </xf>
    <xf numFmtId="168" fontId="20" fillId="0" borderId="4" xfId="11" applyFont="1" applyBorder="1" applyAlignment="1">
      <alignment horizontal="left"/>
    </xf>
    <xf numFmtId="2" fontId="29" fillId="0" borderId="4" xfId="10" applyNumberFormat="1" applyFont="1" applyBorder="1" applyAlignment="1">
      <alignment horizontal="center"/>
    </xf>
    <xf numFmtId="168" fontId="29" fillId="0" borderId="0" xfId="10" applyFont="1"/>
    <xf numFmtId="168" fontId="18" fillId="0" borderId="4" xfId="11" applyFont="1" applyBorder="1" applyAlignment="1">
      <alignment wrapText="1"/>
    </xf>
    <xf numFmtId="167" fontId="18" fillId="0" borderId="0" xfId="11" applyNumberFormat="1" applyFont="1" applyAlignment="1">
      <alignment horizontal="center"/>
    </xf>
    <xf numFmtId="168" fontId="29" fillId="0" borderId="4" xfId="10" applyFont="1" applyBorder="1" applyAlignment="1">
      <alignment horizontal="left"/>
    </xf>
    <xf numFmtId="2" fontId="58" fillId="0" borderId="4" xfId="10" applyNumberFormat="1" applyFont="1" applyBorder="1" applyAlignment="1">
      <alignment horizontal="center"/>
    </xf>
    <xf numFmtId="168" fontId="31" fillId="0" borderId="0" xfId="10" applyFont="1" applyAlignment="1">
      <alignment horizontal="center"/>
    </xf>
    <xf numFmtId="166" fontId="18" fillId="6" borderId="4" xfId="11" applyNumberFormat="1" applyFont="1" applyFill="1" applyBorder="1" applyAlignment="1">
      <alignment horizontal="center"/>
    </xf>
    <xf numFmtId="168" fontId="27" fillId="0" borderId="0" xfId="11" applyFont="1" applyAlignment="1">
      <alignment wrapText="1"/>
    </xf>
    <xf numFmtId="168" fontId="2" fillId="0" borderId="21" xfId="11" applyBorder="1"/>
    <xf numFmtId="165" fontId="2" fillId="0" borderId="0" xfId="11" applyNumberFormat="1" applyAlignment="1">
      <alignment horizontal="center"/>
    </xf>
    <xf numFmtId="168" fontId="8" fillId="0" borderId="0" xfId="10" applyAlignment="1">
      <alignment horizontal="left"/>
    </xf>
    <xf numFmtId="0" fontId="19" fillId="0" borderId="0" xfId="8" applyNumberFormat="1"/>
    <xf numFmtId="0" fontId="0" fillId="0" borderId="0" xfId="0" applyNumberFormat="1"/>
    <xf numFmtId="0" fontId="7" fillId="0" borderId="7" xfId="8" applyNumberFormat="1" applyFont="1" applyBorder="1" applyAlignment="1">
      <alignment horizontal="right"/>
    </xf>
    <xf numFmtId="0" fontId="8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7" fillId="0" borderId="8" xfId="8" applyNumberFormat="1" applyFont="1" applyBorder="1" applyAlignment="1">
      <alignment horizontal="left"/>
    </xf>
    <xf numFmtId="0" fontId="7" fillId="0" borderId="9" xfId="8" applyNumberFormat="1" applyFont="1" applyBorder="1" applyAlignment="1">
      <alignment horizontal="right"/>
    </xf>
    <xf numFmtId="0" fontId="18" fillId="3" borderId="4" xfId="8" applyNumberFormat="1" applyFont="1" applyFill="1" applyBorder="1"/>
    <xf numFmtId="0" fontId="4" fillId="3" borderId="4" xfId="8" applyNumberFormat="1" applyFont="1" applyFill="1" applyBorder="1"/>
    <xf numFmtId="0" fontId="18" fillId="0" borderId="4" xfId="8" applyNumberFormat="1" applyFont="1" applyBorder="1" applyAlignment="1">
      <alignment horizontal="center"/>
    </xf>
    <xf numFmtId="0" fontId="18" fillId="0" borderId="4" xfId="8" applyNumberFormat="1" applyFont="1" applyBorder="1"/>
    <xf numFmtId="0" fontId="4" fillId="0" borderId="22" xfId="8" applyNumberFormat="1" applyFont="1" applyBorder="1" applyAlignment="1">
      <alignment horizontal="center"/>
    </xf>
    <xf numFmtId="0" fontId="4" fillId="0" borderId="22" xfId="8" applyNumberFormat="1" applyFont="1" applyBorder="1"/>
    <xf numFmtId="0" fontId="4" fillId="0" borderId="4" xfId="8" applyNumberFormat="1" applyFont="1" applyBorder="1" applyAlignment="1">
      <alignment horizontal="center"/>
    </xf>
    <xf numFmtId="0" fontId="4" fillId="0" borderId="4" xfId="8" applyNumberFormat="1" applyFont="1" applyBorder="1"/>
    <xf numFmtId="0" fontId="19" fillId="0" borderId="4" xfId="8" applyNumberFormat="1" applyBorder="1"/>
    <xf numFmtId="0" fontId="19" fillId="0" borderId="22" xfId="8" applyNumberFormat="1" applyBorder="1"/>
    <xf numFmtId="0" fontId="0" fillId="0" borderId="4" xfId="0" applyNumberFormat="1" applyBorder="1"/>
    <xf numFmtId="0" fontId="3" fillId="0" borderId="4" xfId="8" applyNumberFormat="1" applyFont="1" applyBorder="1"/>
    <xf numFmtId="0" fontId="0" fillId="0" borderId="3" xfId="0" applyNumberFormat="1" applyBorder="1"/>
    <xf numFmtId="0" fontId="7" fillId="0" borderId="0" xfId="8" applyNumberFormat="1" applyFont="1" applyAlignment="1">
      <alignment horizontal="center"/>
    </xf>
    <xf numFmtId="0" fontId="5" fillId="0" borderId="0" xfId="8" applyNumberFormat="1" applyFont="1"/>
    <xf numFmtId="0" fontId="8" fillId="0" borderId="22" xfId="0" applyNumberFormat="1" applyFont="1" applyBorder="1"/>
    <xf numFmtId="0" fontId="0" fillId="0" borderId="22" xfId="0" applyNumberFormat="1" applyBorder="1"/>
    <xf numFmtId="0" fontId="8" fillId="0" borderId="4" xfId="0" applyNumberFormat="1" applyFont="1" applyBorder="1"/>
    <xf numFmtId="0" fontId="8" fillId="0" borderId="23" xfId="0" applyNumberFormat="1" applyFont="1" applyBorder="1"/>
    <xf numFmtId="0" fontId="8" fillId="0" borderId="22" xfId="0" applyNumberFormat="1" applyFont="1" applyBorder="1" applyAlignment="1">
      <alignment wrapText="1"/>
    </xf>
    <xf numFmtId="0" fontId="8" fillId="0" borderId="0" xfId="0" applyNumberFormat="1" applyFont="1"/>
    <xf numFmtId="0" fontId="22" fillId="0" borderId="0" xfId="0" applyNumberFormat="1" applyFont="1" applyAlignment="1">
      <alignment horizontal="center"/>
    </xf>
    <xf numFmtId="0" fontId="23" fillId="0" borderId="24" xfId="0" applyNumberFormat="1" applyFont="1" applyBorder="1" applyAlignment="1">
      <alignment horizontal="center"/>
    </xf>
    <xf numFmtId="0" fontId="39" fillId="0" borderId="4" xfId="0" applyNumberFormat="1" applyFont="1" applyBorder="1" applyAlignment="1">
      <alignment horizontal="center"/>
    </xf>
    <xf numFmtId="0" fontId="23" fillId="0" borderId="4" xfId="0" applyNumberFormat="1" applyFont="1" applyBorder="1" applyAlignment="1">
      <alignment horizontal="center"/>
    </xf>
    <xf numFmtId="0" fontId="8" fillId="0" borderId="4" xfId="0" applyNumberFormat="1" applyFont="1" applyBorder="1" applyAlignment="1">
      <alignment horizontal="center"/>
    </xf>
    <xf numFmtId="0" fontId="39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39" fillId="0" borderId="3" xfId="0" applyNumberFormat="1" applyFont="1" applyBorder="1" applyAlignment="1">
      <alignment horizontal="center"/>
    </xf>
    <xf numFmtId="0" fontId="8" fillId="0" borderId="3" xfId="0" applyNumberFormat="1" applyFont="1" applyBorder="1" applyAlignment="1">
      <alignment horizontal="center"/>
    </xf>
    <xf numFmtId="0" fontId="40" fillId="0" borderId="0" xfId="0" applyNumberFormat="1" applyFont="1"/>
    <xf numFmtId="0" fontId="40" fillId="0" borderId="0" xfId="0" applyNumberFormat="1" applyFont="1" applyAlignment="1">
      <alignment horizontal="center"/>
    </xf>
    <xf numFmtId="0" fontId="38" fillId="0" borderId="0" xfId="0" applyNumberFormat="1" applyFont="1"/>
    <xf numFmtId="0" fontId="23" fillId="0" borderId="0" xfId="0" applyNumberFormat="1" applyFont="1" applyAlignment="1">
      <alignment vertical="center" wrapText="1"/>
    </xf>
    <xf numFmtId="0" fontId="43" fillId="0" borderId="4" xfId="0" applyNumberFormat="1" applyFont="1" applyBorder="1" applyAlignment="1">
      <alignment horizontal="center" wrapText="1"/>
    </xf>
    <xf numFmtId="0" fontId="43" fillId="0" borderId="4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8" fillId="0" borderId="0" xfId="0" applyNumberFormat="1" applyFont="1" applyAlignment="1">
      <alignment horizontal="center"/>
    </xf>
    <xf numFmtId="0" fontId="44" fillId="0" borderId="4" xfId="0" applyNumberFormat="1" applyFont="1" applyBorder="1" applyAlignment="1">
      <alignment horizontal="center"/>
    </xf>
    <xf numFmtId="0" fontId="44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vertical="center" wrapText="1"/>
    </xf>
    <xf numFmtId="0" fontId="43" fillId="0" borderId="23" xfId="0" applyNumberFormat="1" applyFont="1" applyBorder="1" applyAlignment="1">
      <alignment horizontal="center"/>
    </xf>
    <xf numFmtId="0" fontId="44" fillId="0" borderId="4" xfId="0" applyNumberFormat="1" applyFont="1" applyBorder="1"/>
    <xf numFmtId="0" fontId="44" fillId="0" borderId="2" xfId="0" applyNumberFormat="1" applyFont="1" applyBorder="1"/>
    <xf numFmtId="0" fontId="23" fillId="0" borderId="0" xfId="0" applyNumberFormat="1" applyFont="1"/>
    <xf numFmtId="0" fontId="11" fillId="0" borderId="0" xfId="0" applyNumberFormat="1" applyFont="1"/>
    <xf numFmtId="0" fontId="13" fillId="0" borderId="0" xfId="0" applyNumberFormat="1" applyFont="1"/>
    <xf numFmtId="0" fontId="11" fillId="2" borderId="0" xfId="0" applyNumberFormat="1" applyFont="1" applyFill="1"/>
    <xf numFmtId="0" fontId="13" fillId="2" borderId="0" xfId="0" applyNumberFormat="1" applyFont="1" applyFill="1"/>
    <xf numFmtId="0" fontId="11" fillId="2" borderId="2" xfId="0" applyNumberFormat="1" applyFont="1" applyFill="1" applyBorder="1" applyAlignment="1">
      <alignment horizontal="left"/>
    </xf>
    <xf numFmtId="0" fontId="11" fillId="2" borderId="3" xfId="0" applyNumberFormat="1" applyFont="1" applyFill="1" applyBorder="1" applyAlignment="1">
      <alignment horizontal="left"/>
    </xf>
    <xf numFmtId="0" fontId="14" fillId="2" borderId="0" xfId="0" applyNumberFormat="1" applyFont="1" applyFill="1"/>
    <xf numFmtId="0" fontId="15" fillId="2" borderId="0" xfId="0" applyNumberFormat="1" applyFont="1" applyFill="1"/>
    <xf numFmtId="0" fontId="11" fillId="2" borderId="0" xfId="0" applyNumberFormat="1" applyFont="1" applyFill="1" applyAlignment="1">
      <alignment horizontal="left"/>
    </xf>
    <xf numFmtId="0" fontId="11" fillId="2" borderId="4" xfId="0" applyNumberFormat="1" applyFont="1" applyFill="1" applyBorder="1" applyAlignment="1">
      <alignment horizontal="center"/>
    </xf>
    <xf numFmtId="0" fontId="11" fillId="2" borderId="0" xfId="0" quotePrefix="1" applyNumberFormat="1" applyFont="1" applyFill="1" applyAlignment="1">
      <alignment horizontal="center"/>
    </xf>
    <xf numFmtId="0" fontId="11" fillId="0" borderId="0" xfId="0" applyNumberFormat="1" applyFont="1" applyAlignment="1">
      <alignment horizontal="right"/>
    </xf>
    <xf numFmtId="0" fontId="11" fillId="2" borderId="0" xfId="0" applyNumberFormat="1" applyFont="1" applyFill="1" applyAlignment="1">
      <alignment horizontal="center"/>
    </xf>
    <xf numFmtId="0" fontId="16" fillId="2" borderId="0" xfId="0" applyNumberFormat="1" applyFont="1" applyFill="1" applyAlignment="1">
      <alignment horizontal="center"/>
    </xf>
    <xf numFmtId="0" fontId="17" fillId="2" borderId="0" xfId="0" applyNumberFormat="1" applyFont="1" applyFill="1"/>
    <xf numFmtId="0" fontId="9" fillId="0" borderId="0" xfId="0" applyNumberFormat="1" applyFont="1"/>
    <xf numFmtId="0" fontId="22" fillId="0" borderId="0" xfId="0" applyNumberFormat="1" applyFont="1"/>
    <xf numFmtId="0" fontId="23" fillId="0" borderId="0" xfId="0" applyNumberFormat="1" applyFont="1" applyAlignment="1">
      <alignment horizontal="center"/>
    </xf>
    <xf numFmtId="0" fontId="24" fillId="0" borderId="0" xfId="0" applyNumberFormat="1" applyFont="1"/>
    <xf numFmtId="0" fontId="25" fillId="0" borderId="0" xfId="0" applyNumberFormat="1" applyFont="1"/>
    <xf numFmtId="0" fontId="26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1" fillId="0" borderId="19" xfId="0" applyNumberFormat="1" applyFont="1" applyBorder="1"/>
    <xf numFmtId="0" fontId="8" fillId="0" borderId="20" xfId="0" applyNumberFormat="1" applyFont="1" applyBorder="1"/>
    <xf numFmtId="0" fontId="36" fillId="0" borderId="0" xfId="0" applyNumberFormat="1" applyFont="1"/>
    <xf numFmtId="0" fontId="41" fillId="0" borderId="0" xfId="0" applyNumberFormat="1" applyFont="1"/>
    <xf numFmtId="0" fontId="45" fillId="0" borderId="0" xfId="0" applyNumberFormat="1" applyFont="1"/>
    <xf numFmtId="0" fontId="23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3" fillId="4" borderId="4" xfId="11" applyNumberFormat="1" applyFont="1" applyFill="1" applyBorder="1" applyAlignment="1">
      <alignment horizontal="center"/>
    </xf>
    <xf numFmtId="0" fontId="22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4" fillId="0" borderId="4" xfId="0" applyNumberFormat="1" applyFont="1" applyBorder="1" applyAlignment="1">
      <alignment horizontal="center"/>
    </xf>
    <xf numFmtId="2" fontId="44" fillId="0" borderId="2" xfId="0" applyNumberFormat="1" applyFont="1" applyBorder="1" applyAlignment="1">
      <alignment horizontal="center"/>
    </xf>
    <xf numFmtId="165" fontId="44" fillId="0" borderId="4" xfId="0" applyNumberFormat="1" applyFont="1" applyBorder="1" applyAlignment="1">
      <alignment horizontal="center" vertical="center"/>
    </xf>
    <xf numFmtId="165" fontId="43" fillId="0" borderId="4" xfId="0" applyNumberFormat="1" applyFont="1" applyBorder="1" applyAlignment="1">
      <alignment horizontal="center" vertical="center"/>
    </xf>
    <xf numFmtId="0" fontId="18" fillId="0" borderId="4" xfId="11" applyNumberFormat="1" applyFont="1" applyBorder="1" applyAlignment="1">
      <alignment horizontal="center"/>
    </xf>
    <xf numFmtId="0" fontId="2" fillId="0" borderId="4" xfId="11" applyNumberFormat="1" applyBorder="1" applyAlignment="1">
      <alignment horizontal="center"/>
    </xf>
    <xf numFmtId="2" fontId="29" fillId="5" borderId="11" xfId="10" applyNumberFormat="1" applyFont="1" applyFill="1" applyBorder="1"/>
    <xf numFmtId="2" fontId="29" fillId="5" borderId="0" xfId="10" applyNumberFormat="1" applyFont="1" applyFill="1"/>
    <xf numFmtId="2" fontId="18" fillId="5" borderId="0" xfId="11" applyNumberFormat="1" applyFont="1" applyFill="1"/>
    <xf numFmtId="2" fontId="18" fillId="5" borderId="14" xfId="11" applyNumberFormat="1" applyFont="1" applyFill="1" applyBorder="1"/>
    <xf numFmtId="0" fontId="39" fillId="0" borderId="4" xfId="0" applyNumberFormat="1" applyFont="1" applyBorder="1" applyAlignment="1">
      <alignment horizontal="center"/>
    </xf>
    <xf numFmtId="0" fontId="43" fillId="0" borderId="22" xfId="0" applyNumberFormat="1" applyFont="1" applyBorder="1" applyAlignment="1">
      <alignment horizontal="center" vertical="center" wrapText="1"/>
    </xf>
    <xf numFmtId="0" fontId="43" fillId="0" borderId="23" xfId="0" applyNumberFormat="1" applyFont="1" applyBorder="1" applyAlignment="1">
      <alignment horizontal="center" vertical="center" wrapText="1"/>
    </xf>
    <xf numFmtId="0" fontId="44" fillId="0" borderId="2" xfId="0" applyNumberFormat="1" applyFont="1" applyBorder="1" applyAlignment="1">
      <alignment horizontal="center"/>
    </xf>
    <xf numFmtId="0" fontId="44" fillId="0" borderId="21" xfId="0" applyNumberFormat="1" applyFont="1" applyBorder="1" applyAlignment="1">
      <alignment horizontal="center"/>
    </xf>
    <xf numFmtId="0" fontId="44" fillId="0" borderId="3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37" fillId="0" borderId="4" xfId="0" applyNumberFormat="1" applyFont="1" applyBorder="1" applyAlignment="1">
      <alignment horizontal="center"/>
    </xf>
    <xf numFmtId="0" fontId="39" fillId="0" borderId="4" xfId="0" applyNumberFormat="1" applyFont="1" applyBorder="1" applyAlignment="1">
      <alignment horizontal="center" vertical="center" wrapText="1"/>
    </xf>
    <xf numFmtId="0" fontId="37" fillId="0" borderId="2" xfId="0" applyNumberFormat="1" applyFont="1" applyBorder="1" applyAlignment="1">
      <alignment horizontal="center"/>
    </xf>
    <xf numFmtId="0" fontId="37" fillId="0" borderId="21" xfId="0" applyNumberFormat="1" applyFont="1" applyBorder="1" applyAlignment="1">
      <alignment horizontal="center"/>
    </xf>
    <xf numFmtId="0" fontId="37" fillId="0" borderId="3" xfId="0" applyNumberFormat="1" applyFont="1" applyBorder="1" applyAlignment="1">
      <alignment horizontal="center"/>
    </xf>
    <xf numFmtId="0" fontId="39" fillId="0" borderId="3" xfId="0" applyNumberFormat="1" applyFont="1" applyBorder="1" applyAlignment="1">
      <alignment horizontal="center"/>
    </xf>
    <xf numFmtId="0" fontId="42" fillId="0" borderId="4" xfId="0" applyNumberFormat="1" applyFont="1" applyBorder="1" applyAlignment="1">
      <alignment horizontal="left"/>
    </xf>
    <xf numFmtId="0" fontId="20" fillId="3" borderId="5" xfId="8" applyNumberFormat="1" applyFont="1" applyFill="1" applyBorder="1" applyAlignment="1">
      <alignment horizontal="center"/>
    </xf>
    <xf numFmtId="0" fontId="20" fillId="3" borderId="6" xfId="8" applyNumberFormat="1" applyFont="1" applyFill="1" applyBorder="1" applyAlignment="1">
      <alignment horizontal="center"/>
    </xf>
    <xf numFmtId="0" fontId="7" fillId="0" borderId="7" xfId="8" applyNumberFormat="1" applyFont="1" applyBorder="1" applyAlignment="1">
      <alignment horizontal="center"/>
    </xf>
    <xf numFmtId="0" fontId="7" fillId="0" borderId="8" xfId="8" applyNumberFormat="1" applyFont="1" applyBorder="1" applyAlignment="1">
      <alignment horizontal="center"/>
    </xf>
    <xf numFmtId="0" fontId="21" fillId="0" borderId="10" xfId="8" applyNumberFormat="1" applyFont="1" applyBorder="1" applyAlignment="1">
      <alignment horizontal="left" vertical="top" wrapText="1"/>
    </xf>
    <xf numFmtId="0" fontId="21" fillId="0" borderId="11" xfId="8" applyNumberFormat="1" applyFont="1" applyBorder="1" applyAlignment="1">
      <alignment horizontal="left" vertical="top" wrapText="1"/>
    </xf>
    <xf numFmtId="0" fontId="21" fillId="0" borderId="12" xfId="8" applyNumberFormat="1" applyFont="1" applyBorder="1" applyAlignment="1">
      <alignment horizontal="left" vertical="top" wrapText="1"/>
    </xf>
    <xf numFmtId="0" fontId="21" fillId="0" borderId="13" xfId="8" applyNumberFormat="1" applyFont="1" applyBorder="1" applyAlignment="1">
      <alignment horizontal="left" vertical="top" wrapText="1"/>
    </xf>
    <xf numFmtId="0" fontId="21" fillId="0" borderId="14" xfId="8" applyNumberFormat="1" applyFont="1" applyBorder="1" applyAlignment="1">
      <alignment horizontal="left" vertical="top" wrapText="1"/>
    </xf>
    <xf numFmtId="0" fontId="21" fillId="0" borderId="15" xfId="8" applyNumberFormat="1" applyFont="1" applyBorder="1" applyAlignment="1">
      <alignment horizontal="left" vertical="top" wrapText="1"/>
    </xf>
    <xf numFmtId="0" fontId="8" fillId="0" borderId="4" xfId="0" applyNumberFormat="1" applyFont="1" applyBorder="1"/>
    <xf numFmtId="0" fontId="23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0" fontId="11" fillId="2" borderId="2" xfId="0" quotePrefix="1" applyNumberFormat="1" applyFont="1" applyFill="1" applyBorder="1" applyAlignment="1">
      <alignment horizontal="center"/>
    </xf>
    <xf numFmtId="0" fontId="11" fillId="2" borderId="3" xfId="0" quotePrefix="1" applyNumberFormat="1" applyFont="1" applyFill="1" applyBorder="1" applyAlignment="1">
      <alignment horizontal="center"/>
    </xf>
    <xf numFmtId="168" fontId="29" fillId="0" borderId="25" xfId="11" applyFont="1" applyBorder="1" applyAlignment="1">
      <alignment horizontal="center" vertical="center"/>
    </xf>
    <xf numFmtId="168" fontId="29" fillId="0" borderId="0" xfId="11" applyFont="1" applyAlignment="1">
      <alignment horizontal="center" vertical="center"/>
    </xf>
    <xf numFmtId="168" fontId="29" fillId="0" borderId="1" xfId="11" applyFont="1" applyBorder="1" applyAlignment="1">
      <alignment horizontal="center" wrapText="1"/>
    </xf>
    <xf numFmtId="168" fontId="49" fillId="0" borderId="0" xfId="11" applyFont="1" applyAlignment="1">
      <alignment horizontal="center" vertical="center" textRotation="90"/>
    </xf>
    <xf numFmtId="168" fontId="49" fillId="0" borderId="26" xfId="11" applyFont="1" applyBorder="1" applyAlignment="1">
      <alignment horizontal="center" vertical="center" textRotation="90"/>
    </xf>
    <xf numFmtId="168" fontId="49" fillId="0" borderId="22" xfId="11" applyFont="1" applyBorder="1" applyAlignment="1">
      <alignment horizontal="center" vertical="center" textRotation="90"/>
    </xf>
    <xf numFmtId="168" fontId="49" fillId="0" borderId="27" xfId="11" applyFont="1" applyBorder="1" applyAlignment="1">
      <alignment horizontal="center" vertical="center" textRotation="90"/>
    </xf>
    <xf numFmtId="168" fontId="49" fillId="0" borderId="23" xfId="11" applyFont="1" applyBorder="1" applyAlignment="1">
      <alignment horizontal="center" vertical="center" textRotation="90"/>
    </xf>
    <xf numFmtId="168" fontId="1" fillId="0" borderId="4" xfId="11" applyFont="1" applyBorder="1"/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Calculations'!$G$83:$U$83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1.6099719105815292E-2</c:v>
                </c:pt>
                <c:pt idx="2">
                  <c:v>3.245021233923992E-2</c:v>
                </c:pt>
                <c:pt idx="3">
                  <c:v>3.2434645300247415E-2</c:v>
                </c:pt>
                <c:pt idx="4">
                  <c:v>1.5661464313777658E-4</c:v>
                </c:pt>
                <c:pt idx="5">
                  <c:v>2.008072757562945E-2</c:v>
                </c:pt>
                <c:pt idx="6">
                  <c:v>2.3381174904932075E-2</c:v>
                </c:pt>
                <c:pt idx="7">
                  <c:v>0.15381519509323657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4.2590382126138492E-2</c:v>
                </c:pt>
                <c:pt idx="13">
                  <c:v>2.1030745165332072E-3</c:v>
                </c:pt>
                <c:pt idx="14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Calculations'!$G$95:$U$95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1.5441439192238199E-2</c:v>
                </c:pt>
                <c:pt idx="2">
                  <c:v>3.1123398943687111E-2</c:v>
                </c:pt>
                <c:pt idx="3">
                  <c:v>3.2434645300247415E-2</c:v>
                </c:pt>
                <c:pt idx="4">
                  <c:v>1.5651796681247739E-4</c:v>
                </c:pt>
                <c:pt idx="5">
                  <c:v>2.0068331985329261E-2</c:v>
                </c:pt>
                <c:pt idx="6">
                  <c:v>2.3366741988407165E-2</c:v>
                </c:pt>
                <c:pt idx="7">
                  <c:v>0.15372024683336211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2.8579208522573802E-2</c:v>
                </c:pt>
                <c:pt idx="13">
                  <c:v>1.4112154469172176E-3</c:v>
                </c:pt>
                <c:pt idx="14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Calculations'!$G$124:$U$124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2.564627872693467E-2</c:v>
                </c:pt>
                <c:pt idx="13">
                  <c:v>1.2663900284994741E-3</c:v>
                </c:pt>
                <c:pt idx="14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Calculations'!$G$136:$U$136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2.1603850976510849E-2</c:v>
                </c:pt>
                <c:pt idx="13">
                  <c:v>1.0667786053930948E-3</c:v>
                </c:pt>
                <c:pt idx="14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Calculations'!$G$185:$U$185</c:f>
              <c:numCache>
                <c:formatCode>0.000</c:formatCode>
                <c:ptCount val="15"/>
                <c:pt idx="0">
                  <c:v>1.8107633458967997E-2</c:v>
                </c:pt>
                <c:pt idx="1">
                  <c:v>1.5269867219961788E-2</c:v>
                </c:pt>
                <c:pt idx="2">
                  <c:v>3.0777582541845622E-2</c:v>
                </c:pt>
                <c:pt idx="3">
                  <c:v>3.4217303009527654E-2</c:v>
                </c:pt>
                <c:pt idx="4">
                  <c:v>1.6184337069858912E-4</c:v>
                </c:pt>
                <c:pt idx="5">
                  <c:v>2.0751141603412886E-2</c:v>
                </c:pt>
                <c:pt idx="6">
                  <c:v>2.4161777479380038E-2</c:v>
                </c:pt>
                <c:pt idx="7">
                  <c:v>0.15895046044098726</c:v>
                </c:pt>
                <c:pt idx="8">
                  <c:v>2.1546694376534694E-2</c:v>
                </c:pt>
                <c:pt idx="9">
                  <c:v>4.527944336143788E-3</c:v>
                </c:pt>
                <c:pt idx="10">
                  <c:v>1.3201735786127823E-3</c:v>
                </c:pt>
                <c:pt idx="11">
                  <c:v>2.0103570168113517E-3</c:v>
                </c:pt>
                <c:pt idx="12">
                  <c:v>2.5992504537811715E-2</c:v>
                </c:pt>
                <c:pt idx="13">
                  <c:v>1.2834863456366401E-3</c:v>
                </c:pt>
                <c:pt idx="14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Calculations'!$G$84:$U$84</c:f>
              <c:numCache>
                <c:formatCode>0.00\ ""</c:formatCode>
                <c:ptCount val="15"/>
                <c:pt idx="0">
                  <c:v>4.2359753297585949E-2</c:v>
                </c:pt>
                <c:pt idx="1">
                  <c:v>0.30628733962055754</c:v>
                </c:pt>
                <c:pt idx="2">
                  <c:v>0.47593761652898992</c:v>
                </c:pt>
                <c:pt idx="3">
                  <c:v>0.36340130723882308</c:v>
                </c:pt>
                <c:pt idx="4">
                  <c:v>0.57544172139099381</c:v>
                </c:pt>
                <c:pt idx="5">
                  <c:v>0.6803194857493482</c:v>
                </c:pt>
                <c:pt idx="6">
                  <c:v>0.77322828804313393</c:v>
                </c:pt>
                <c:pt idx="7">
                  <c:v>0.42373782610257743</c:v>
                </c:pt>
                <c:pt idx="8">
                  <c:v>0.28993202849780103</c:v>
                </c:pt>
                <c:pt idx="9">
                  <c:v>5.378098586702118E-2</c:v>
                </c:pt>
                <c:pt idx="10">
                  <c:v>1.4625203903605344E-3</c:v>
                </c:pt>
                <c:pt idx="11">
                  <c:v>1.2129934520351111E-2</c:v>
                </c:pt>
                <c:pt idx="12">
                  <c:v>1.2710574769049823</c:v>
                </c:pt>
                <c:pt idx="13">
                  <c:v>2.0517011431038719</c:v>
                </c:pt>
                <c:pt idx="14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Calculations'!$G$96:$U$96</c:f>
              <c:numCache>
                <c:formatCode>0.00\ ""</c:formatCode>
                <c:ptCount val="15"/>
                <c:pt idx="0">
                  <c:v>3.4147190357533802E-2</c:v>
                </c:pt>
                <c:pt idx="1">
                  <c:v>0.18511859639727254</c:v>
                </c:pt>
                <c:pt idx="2">
                  <c:v>0.28639307884665022</c:v>
                </c:pt>
                <c:pt idx="3">
                  <c:v>0.29849329574839084</c:v>
                </c:pt>
                <c:pt idx="4">
                  <c:v>0.43392713976859215</c:v>
                </c:pt>
                <c:pt idx="5">
                  <c:v>0.49541827756976464</c:v>
                </c:pt>
                <c:pt idx="6">
                  <c:v>0.54442968925515201</c:v>
                </c:pt>
                <c:pt idx="7">
                  <c:v>0.30928635411439548</c:v>
                </c:pt>
                <c:pt idx="8">
                  <c:v>0.24507006475831425</c:v>
                </c:pt>
                <c:pt idx="9">
                  <c:v>5.0846932093862388E-2</c:v>
                </c:pt>
                <c:pt idx="10">
                  <c:v>1.2993104740350414E-3</c:v>
                </c:pt>
                <c:pt idx="11">
                  <c:v>1.2129934520351111E-2</c:v>
                </c:pt>
                <c:pt idx="12">
                  <c:v>0.71493971381350219</c:v>
                </c:pt>
                <c:pt idx="13">
                  <c:v>0.81207119123293603</c:v>
                </c:pt>
                <c:pt idx="14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Calculations'!$G$125:$U$125</c:f>
              <c:numCache>
                <c:formatCode>0.00\ ""</c:formatCode>
                <c:ptCount val="15"/>
                <c:pt idx="0">
                  <c:v>4.0728065834562108E-2</c:v>
                </c:pt>
                <c:pt idx="1">
                  <c:v>0.29280306466127204</c:v>
                </c:pt>
                <c:pt idx="2">
                  <c:v>0.45672064435342763</c:v>
                </c:pt>
                <c:pt idx="3">
                  <c:v>0.32103245304206074</c:v>
                </c:pt>
                <c:pt idx="4">
                  <c:v>0.51967713729064269</c:v>
                </c:pt>
                <c:pt idx="5">
                  <c:v>0.63774745716925274</c:v>
                </c:pt>
                <c:pt idx="6">
                  <c:v>0.74784951263153576</c:v>
                </c:pt>
                <c:pt idx="7">
                  <c:v>0.3962946944401684</c:v>
                </c:pt>
                <c:pt idx="8">
                  <c:v>0.2650077236968405</c:v>
                </c:pt>
                <c:pt idx="9">
                  <c:v>5.0971531058485613E-2</c:v>
                </c:pt>
                <c:pt idx="10">
                  <c:v>1.4234853373686063E-3</c:v>
                </c:pt>
                <c:pt idx="11">
                  <c:v>1.1985698801489695E-2</c:v>
                </c:pt>
                <c:pt idx="12">
                  <c:v>0.74811788490674713</c:v>
                </c:pt>
                <c:pt idx="13">
                  <c:v>1.8234851246939641</c:v>
                </c:pt>
                <c:pt idx="14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Calculations'!$G$137:$U$137</c:f>
              <c:numCache>
                <c:formatCode>0.00\ ""</c:formatCode>
                <c:ptCount val="15"/>
                <c:pt idx="0">
                  <c:v>3.3389409031638902E-2</c:v>
                </c:pt>
                <c:pt idx="1">
                  <c:v>0.1808450244163059</c:v>
                </c:pt>
                <c:pt idx="2">
                  <c:v>0.28033975145599488</c:v>
                </c:pt>
                <c:pt idx="3">
                  <c:v>0.27753156499119108</c:v>
                </c:pt>
                <c:pt idx="4">
                  <c:v>0.41007799336323314</c:v>
                </c:pt>
                <c:pt idx="5">
                  <c:v>0.47829867305574503</c:v>
                </c:pt>
                <c:pt idx="6">
                  <c:v>0.53476894370732275</c:v>
                </c:pt>
                <c:pt idx="7">
                  <c:v>0.29820714433416912</c:v>
                </c:pt>
                <c:pt idx="8">
                  <c:v>0.23223385714964531</c:v>
                </c:pt>
                <c:pt idx="9">
                  <c:v>4.8958226701815474E-2</c:v>
                </c:pt>
                <c:pt idx="10">
                  <c:v>1.277572112068182E-3</c:v>
                </c:pt>
                <c:pt idx="11">
                  <c:v>1.1985698801489695E-2</c:v>
                </c:pt>
                <c:pt idx="12">
                  <c:v>0.54154342421501867</c:v>
                </c:pt>
                <c:pt idx="13">
                  <c:v>0.76525932077420211</c:v>
                </c:pt>
                <c:pt idx="14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Calculations'!$G$186:$U$186</c:f>
              <c:numCache>
                <c:formatCode>0.000</c:formatCode>
                <c:ptCount val="15"/>
                <c:pt idx="0">
                  <c:v>4.1231171575683942E-2</c:v>
                </c:pt>
                <c:pt idx="1">
                  <c:v>0.24248714969780724</c:v>
                </c:pt>
                <c:pt idx="2">
                  <c:v>0.37981986508341437</c:v>
                </c:pt>
                <c:pt idx="3">
                  <c:v>0.32715747809703433</c:v>
                </c:pt>
                <c:pt idx="4">
                  <c:v>0.51036557232925595</c:v>
                </c:pt>
                <c:pt idx="5">
                  <c:v>0.61773274103742104</c:v>
                </c:pt>
                <c:pt idx="6">
                  <c:v>0.74166716941137056</c:v>
                </c:pt>
                <c:pt idx="7">
                  <c:v>0.38385141791301186</c:v>
                </c:pt>
                <c:pt idx="8">
                  <c:v>0.27255761706780379</c:v>
                </c:pt>
                <c:pt idx="9">
                  <c:v>5.6207949082137061E-2</c:v>
                </c:pt>
                <c:pt idx="10">
                  <c:v>1.5405666249598423E-3</c:v>
                </c:pt>
                <c:pt idx="11">
                  <c:v>1.0387111774093486E-2</c:v>
                </c:pt>
                <c:pt idx="12">
                  <c:v>0.69537306980703251</c:v>
                </c:pt>
                <c:pt idx="13">
                  <c:v>0.8741223090197433</c:v>
                </c:pt>
                <c:pt idx="14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Calculations'!$G$85:$U$85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9.8710224912566258E-3</c:v>
                </c:pt>
                <c:pt idx="13">
                  <c:v>3.7553731562886494E-2</c:v>
                </c:pt>
                <c:pt idx="14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Calculations'!$G$97:$U$97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9.7735343410316929E-3</c:v>
                </c:pt>
                <c:pt idx="13">
                  <c:v>3.5442225445184231E-2</c:v>
                </c:pt>
                <c:pt idx="14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Calculations'!$G$126:$U$126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Calculations'!$G$138:$U$138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Calculations'!$G$187:$U$187</c:f>
              <c:numCache>
                <c:formatCode>0.000</c:formatCode>
                <c:ptCount val="15"/>
                <c:pt idx="0">
                  <c:v>4.0112413765390945E-2</c:v>
                </c:pt>
                <c:pt idx="1">
                  <c:v>6.1175592286186721E-2</c:v>
                </c:pt>
                <c:pt idx="2">
                  <c:v>0.12912557101335304</c:v>
                </c:pt>
                <c:pt idx="3">
                  <c:v>4.1886576567395466E-2</c:v>
                </c:pt>
                <c:pt idx="4">
                  <c:v>4.6367585193919536E-2</c:v>
                </c:pt>
                <c:pt idx="5">
                  <c:v>3.1180368328331917E-2</c:v>
                </c:pt>
                <c:pt idx="6">
                  <c:v>9.8297668624688361E-3</c:v>
                </c:pt>
                <c:pt idx="7">
                  <c:v>3.7437179232099542E-2</c:v>
                </c:pt>
                <c:pt idx="8">
                  <c:v>7.1249356387145218E-2</c:v>
                </c:pt>
                <c:pt idx="9">
                  <c:v>9.7316812213154753E-3</c:v>
                </c:pt>
                <c:pt idx="10">
                  <c:v>6.9452044704446905E-4</c:v>
                </c:pt>
                <c:pt idx="11">
                  <c:v>2.4502034749103088E-2</c:v>
                </c:pt>
                <c:pt idx="12">
                  <c:v>8.8460664821862801E-3</c:v>
                </c:pt>
                <c:pt idx="13">
                  <c:v>3.1852777847508437E-2</c:v>
                </c:pt>
                <c:pt idx="14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Calculations'!$G$86:$U$86</c:f>
              <c:numCache>
                <c:formatCode>0.00\ ""</c:formatCode>
                <c:ptCount val="15"/>
                <c:pt idx="0">
                  <c:v>5.8076050585418135E-2</c:v>
                </c:pt>
                <c:pt idx="1">
                  <c:v>0.31457599164049338</c:v>
                </c:pt>
                <c:pt idx="2">
                  <c:v>0.4987830307468295</c:v>
                </c:pt>
                <c:pt idx="3">
                  <c:v>0.36537319041884997</c:v>
                </c:pt>
                <c:pt idx="4">
                  <c:v>0.57794806648852071</c:v>
                </c:pt>
                <c:pt idx="5">
                  <c:v>0.68010829175289489</c:v>
                </c:pt>
                <c:pt idx="6">
                  <c:v>0.77192778044938992</c:v>
                </c:pt>
                <c:pt idx="7">
                  <c:v>0.45013020170149126</c:v>
                </c:pt>
                <c:pt idx="8">
                  <c:v>0.29684506958830004</c:v>
                </c:pt>
                <c:pt idx="9">
                  <c:v>5.3776529578169217E-2</c:v>
                </c:pt>
                <c:pt idx="10">
                  <c:v>1.8788786049028017E-3</c:v>
                </c:pt>
                <c:pt idx="11">
                  <c:v>4.2020439331255467E-2</c:v>
                </c:pt>
                <c:pt idx="12">
                  <c:v>1.2904756429542281</c:v>
                </c:pt>
                <c:pt idx="13">
                  <c:v>2.0533564617844657</c:v>
                </c:pt>
                <c:pt idx="14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Calculations'!$G$98:$U$98</c:f>
              <c:numCache>
                <c:formatCode>0.00\ ""</c:formatCode>
                <c:ptCount val="15"/>
                <c:pt idx="0">
                  <c:v>5.7697532796997818E-2</c:v>
                </c:pt>
                <c:pt idx="1">
                  <c:v>0.21424646971261591</c:v>
                </c:pt>
                <c:pt idx="2">
                  <c:v>0.36372105168997226</c:v>
                </c:pt>
                <c:pt idx="3">
                  <c:v>0.29457909300413576</c:v>
                </c:pt>
                <c:pt idx="4">
                  <c:v>0.44021175735123086</c:v>
                </c:pt>
                <c:pt idx="5">
                  <c:v>0.48982986398226219</c:v>
                </c:pt>
                <c:pt idx="6">
                  <c:v>0.53444054535530927</c:v>
                </c:pt>
                <c:pt idx="7">
                  <c:v>0.31869329251003858</c:v>
                </c:pt>
                <c:pt idx="8">
                  <c:v>0.25708744036026621</c:v>
                </c:pt>
                <c:pt idx="9">
                  <c:v>5.0618298921219558E-2</c:v>
                </c:pt>
                <c:pt idx="10">
                  <c:v>1.8375614178362553E-3</c:v>
                </c:pt>
                <c:pt idx="11">
                  <c:v>4.0727902164101083E-2</c:v>
                </c:pt>
                <c:pt idx="12">
                  <c:v>0.71246162687981107</c:v>
                </c:pt>
                <c:pt idx="13">
                  <c:v>0.81476972217586197</c:v>
                </c:pt>
                <c:pt idx="14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Calculations'!$G$127:$U$127</c:f>
              <c:numCache>
                <c:formatCode>0.00\ ""</c:formatCode>
                <c:ptCount val="15"/>
                <c:pt idx="0">
                  <c:v>5.4819919664767659E-2</c:v>
                </c:pt>
                <c:pt idx="1">
                  <c:v>0.29871776381643744</c:v>
                </c:pt>
                <c:pt idx="2">
                  <c:v>0.47359459976604057</c:v>
                </c:pt>
                <c:pt idx="3">
                  <c:v>0.32074180912596434</c:v>
                </c:pt>
                <c:pt idx="4">
                  <c:v>0.52174132366601966</c:v>
                </c:pt>
                <c:pt idx="5">
                  <c:v>0.6368640802267076</c:v>
                </c:pt>
                <c:pt idx="6">
                  <c:v>0.7461453954280467</c:v>
                </c:pt>
                <c:pt idx="7">
                  <c:v>0.4070843014751323</c:v>
                </c:pt>
                <c:pt idx="8">
                  <c:v>0.27064076457051656</c:v>
                </c:pt>
                <c:pt idx="9">
                  <c:v>5.0837193146448016E-2</c:v>
                </c:pt>
                <c:pt idx="10">
                  <c:v>1.7513095137539215E-3</c:v>
                </c:pt>
                <c:pt idx="11">
                  <c:v>2.944628085608764E-2</c:v>
                </c:pt>
                <c:pt idx="12">
                  <c:v>0.75825848375635485</c:v>
                </c:pt>
                <c:pt idx="13">
                  <c:v>1.8243216628515644</c:v>
                </c:pt>
                <c:pt idx="14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Calculations'!$G$139:$U$139</c:f>
              <c:numCache>
                <c:formatCode>0.00\ ""</c:formatCode>
                <c:ptCount val="15"/>
                <c:pt idx="0">
                  <c:v>5.4773744667845924E-2</c:v>
                </c:pt>
                <c:pt idx="1">
                  <c:v>0.20843141277103114</c:v>
                </c:pt>
                <c:pt idx="2">
                  <c:v>0.35361334382340037</c:v>
                </c:pt>
                <c:pt idx="3">
                  <c:v>0.27315582233190622</c:v>
                </c:pt>
                <c:pt idx="4">
                  <c:v>0.41580993711649594</c:v>
                </c:pt>
                <c:pt idx="5">
                  <c:v>0.47269480076591897</c:v>
                </c:pt>
                <c:pt idx="6">
                  <c:v>0.52483668516585358</c:v>
                </c:pt>
                <c:pt idx="7">
                  <c:v>0.30184634597427173</c:v>
                </c:pt>
                <c:pt idx="8">
                  <c:v>0.2428979564561973</c:v>
                </c:pt>
                <c:pt idx="9">
                  <c:v>4.8670128236709458E-2</c:v>
                </c:pt>
                <c:pt idx="10">
                  <c:v>1.736165188789118E-3</c:v>
                </c:pt>
                <c:pt idx="11">
                  <c:v>2.944628085608764E-2</c:v>
                </c:pt>
                <c:pt idx="12">
                  <c:v>0.53970583274989459</c:v>
                </c:pt>
                <c:pt idx="13">
                  <c:v>0.76766446637020125</c:v>
                </c:pt>
                <c:pt idx="14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Calculations'!$G$188:$U$188</c:f>
              <c:numCache>
                <c:formatCode>0.000</c:formatCode>
                <c:ptCount val="15"/>
                <c:pt idx="0">
                  <c:v>5.6580788149225805E-2</c:v>
                </c:pt>
                <c:pt idx="1">
                  <c:v>0.24745267957874473</c:v>
                </c:pt>
                <c:pt idx="2">
                  <c:v>0.39624865350142879</c:v>
                </c:pt>
                <c:pt idx="3">
                  <c:v>0.3221583882721295</c:v>
                </c:pt>
                <c:pt idx="4">
                  <c:v>0.51242614074071102</c:v>
                </c:pt>
                <c:pt idx="5">
                  <c:v>0.6135219620084772</c:v>
                </c:pt>
                <c:pt idx="6">
                  <c:v>0.73589518179283098</c:v>
                </c:pt>
                <c:pt idx="7">
                  <c:v>0.37769645843655109</c:v>
                </c:pt>
                <c:pt idx="8">
                  <c:v>0.27641026506884014</c:v>
                </c:pt>
                <c:pt idx="9">
                  <c:v>5.5721364510058609E-2</c:v>
                </c:pt>
                <c:pt idx="10">
                  <c:v>1.8141415951254858E-3</c:v>
                </c:pt>
                <c:pt idx="11">
                  <c:v>2.6435970947056738E-2</c:v>
                </c:pt>
                <c:pt idx="12">
                  <c:v>0.69556210861656076</c:v>
                </c:pt>
                <c:pt idx="13">
                  <c:v>0.87486464796780428</c:v>
                </c:pt>
                <c:pt idx="14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Calculations'!$G$77:$U$77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18.743819567075501</c:v>
                </c:pt>
                <c:pt idx="2">
                  <c:v>18.743819567075501</c:v>
                </c:pt>
                <c:pt idx="3">
                  <c:v>25.328640945357687</c:v>
                </c:pt>
                <c:pt idx="4">
                  <c:v>23.436982560889486</c:v>
                </c:pt>
                <c:pt idx="5">
                  <c:v>23.436982560889486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7.8682568638973445</c:v>
                </c:pt>
                <c:pt idx="13">
                  <c:v>7.8682568638973445</c:v>
                </c:pt>
                <c:pt idx="14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Calculations'!$G$89:$U$89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19.542882385709742</c:v>
                </c:pt>
                <c:pt idx="2">
                  <c:v>19.542882385709742</c:v>
                </c:pt>
                <c:pt idx="3">
                  <c:v>25.328640945357687</c:v>
                </c:pt>
                <c:pt idx="4">
                  <c:v>23.451458862851691</c:v>
                </c:pt>
                <c:pt idx="5">
                  <c:v>23.451458862851691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11.725729431425846</c:v>
                </c:pt>
                <c:pt idx="13">
                  <c:v>11.725729431425846</c:v>
                </c:pt>
                <c:pt idx="14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Calculations'!$G$118:$U$118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13.06669361539976</c:v>
                </c:pt>
                <c:pt idx="13">
                  <c:v>13.06669361539976</c:v>
                </c:pt>
                <c:pt idx="14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Calculations'!$G$130:$U$130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15.511682008191791</c:v>
                </c:pt>
                <c:pt idx="13">
                  <c:v>15.511682008191791</c:v>
                </c:pt>
                <c:pt idx="14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Calculations'!$G$78:$U$78</c:f>
              <c:numCache>
                <c:formatCode>0.00\ "ksi"</c:formatCode>
                <c:ptCount val="15"/>
                <c:pt idx="0">
                  <c:v>11.776097761844806</c:v>
                </c:pt>
                <c:pt idx="1">
                  <c:v>6.3201428025008495</c:v>
                </c:pt>
                <c:pt idx="2">
                  <c:v>6.2628145506511803</c:v>
                </c:pt>
                <c:pt idx="3">
                  <c:v>12.303286740962909</c:v>
                </c:pt>
                <c:pt idx="4">
                  <c:v>10.126283485171012</c:v>
                </c:pt>
                <c:pt idx="5">
                  <c:v>9.3789275166386226</c:v>
                </c:pt>
                <c:pt idx="6">
                  <c:v>8.7194671538244286</c:v>
                </c:pt>
                <c:pt idx="7">
                  <c:v>9.4263459477725959</c:v>
                </c:pt>
                <c:pt idx="8">
                  <c:v>13.175622661602466</c:v>
                </c:pt>
                <c:pt idx="9">
                  <c:v>17.856701983384298</c:v>
                </c:pt>
                <c:pt idx="10">
                  <c:v>14.935742567401164</c:v>
                </c:pt>
                <c:pt idx="11">
                  <c:v>33.55279381905676</c:v>
                </c:pt>
                <c:pt idx="12">
                  <c:v>5.4488818844482045</c:v>
                </c:pt>
                <c:pt idx="13">
                  <c:v>2.6714908935070509</c:v>
                </c:pt>
                <c:pt idx="14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Calculations'!$G$90:$U$90</c:f>
              <c:numCache>
                <c:formatCode>0.00\ "ksi"</c:formatCode>
                <c:ptCount val="15"/>
                <c:pt idx="0">
                  <c:v>14.608305713501958</c:v>
                </c:pt>
                <c:pt idx="1">
                  <c:v>10.456970626796092</c:v>
                </c:pt>
                <c:pt idx="2">
                  <c:v>10.40775511057663</c:v>
                </c:pt>
                <c:pt idx="3">
                  <c:v>14.97866300075553</c:v>
                </c:pt>
                <c:pt idx="4">
                  <c:v>13.428719860913771</c:v>
                </c:pt>
                <c:pt idx="5">
                  <c:v>12.879353535965326</c:v>
                </c:pt>
                <c:pt idx="6">
                  <c:v>12.383855607184264</c:v>
                </c:pt>
                <c:pt idx="7">
                  <c:v>12.914566992252855</c:v>
                </c:pt>
                <c:pt idx="8">
                  <c:v>15.587521914466711</c:v>
                </c:pt>
                <c:pt idx="9">
                  <c:v>18.887098935039223</c:v>
                </c:pt>
                <c:pt idx="10">
                  <c:v>16.811861742454397</c:v>
                </c:pt>
                <c:pt idx="11">
                  <c:v>33.55279381905676</c:v>
                </c:pt>
                <c:pt idx="12">
                  <c:v>9.6873091901097865</c:v>
                </c:pt>
                <c:pt idx="13">
                  <c:v>6.7495325276571609</c:v>
                </c:pt>
                <c:pt idx="14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Calculations'!$G$119:$U$119</c:f>
              <c:numCache>
                <c:formatCode>0.00\ "ksi"</c:formatCode>
                <c:ptCount val="15"/>
                <c:pt idx="0">
                  <c:v>12.247883266204292</c:v>
                </c:pt>
                <c:pt idx="1">
                  <c:v>6.6112003548849412</c:v>
                </c:pt>
                <c:pt idx="2">
                  <c:v>6.5263286581226119</c:v>
                </c:pt>
                <c:pt idx="3">
                  <c:v>13.927035857693237</c:v>
                </c:pt>
                <c:pt idx="4">
                  <c:v>11.212896588793077</c:v>
                </c:pt>
                <c:pt idx="5">
                  <c:v>10.005006014954011</c:v>
                </c:pt>
                <c:pt idx="6">
                  <c:v>9.0153681270390038</c:v>
                </c:pt>
                <c:pt idx="7">
                  <c:v>10.079113841386663</c:v>
                </c:pt>
                <c:pt idx="8">
                  <c:v>14.414806299645761</c:v>
                </c:pt>
                <c:pt idx="9">
                  <c:v>18.840929771131982</c:v>
                </c:pt>
                <c:pt idx="10">
                  <c:v>15.345312998010614</c:v>
                </c:pt>
                <c:pt idx="11">
                  <c:v>33.956567634539176</c:v>
                </c:pt>
                <c:pt idx="12">
                  <c:v>9.2576881260675989</c:v>
                </c:pt>
                <c:pt idx="13">
                  <c:v>3.0058380218044798</c:v>
                </c:pt>
                <c:pt idx="14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Calculations'!$G$131:$U$131</c:f>
              <c:numCache>
                <c:formatCode>0.00\ "ksi"</c:formatCode>
                <c:ptCount val="15"/>
                <c:pt idx="0">
                  <c:v>14.939845012749993</c:v>
                </c:pt>
                <c:pt idx="1">
                  <c:v>10.704080641687039</c:v>
                </c:pt>
                <c:pt idx="2">
                  <c:v>10.632487952633017</c:v>
                </c:pt>
                <c:pt idx="3">
                  <c:v>16.10998909310338</c:v>
                </c:pt>
                <c:pt idx="4">
                  <c:v>14.209701798941854</c:v>
                </c:pt>
                <c:pt idx="5">
                  <c:v>13.340340470182198</c:v>
                </c:pt>
                <c:pt idx="6">
                  <c:v>12.607573306818562</c:v>
                </c:pt>
                <c:pt idx="7">
                  <c:v>13.394378424160125</c:v>
                </c:pt>
                <c:pt idx="8">
                  <c:v>16.449087363426386</c:v>
                </c:pt>
                <c:pt idx="9">
                  <c:v>19.615723478897738</c:v>
                </c:pt>
                <c:pt idx="10">
                  <c:v>17.097921787474199</c:v>
                </c:pt>
                <c:pt idx="11">
                  <c:v>33.956567634539176</c:v>
                </c:pt>
                <c:pt idx="12">
                  <c:v>12.789079786240945</c:v>
                </c:pt>
                <c:pt idx="13">
                  <c:v>7.1624098801630378</c:v>
                </c:pt>
                <c:pt idx="14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Calculations'!$G$79:$U$79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12.436053915258837</c:v>
                </c:pt>
                <c:pt idx="13">
                  <c:v>10.25111534802722</c:v>
                </c:pt>
                <c:pt idx="14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Calculations'!$G$91:$U$91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12.560099920520853</c:v>
                </c:pt>
                <c:pt idx="13">
                  <c:v>10.861835823357081</c:v>
                </c:pt>
                <c:pt idx="14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Calculations'!$G$120:$U$120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Calculations'!$G$132:$U$132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Calculations'!$G$181:$U$181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Calculations'!$G$80:$U$80</c:f>
              <c:numCache>
                <c:formatCode>0.00\ "ksi"</c:formatCode>
                <c:ptCount val="15"/>
                <c:pt idx="0">
                  <c:v>22.025652637394607</c:v>
                </c:pt>
                <c:pt idx="1">
                  <c:v>8.1204317049074355</c:v>
                </c:pt>
                <c:pt idx="2">
                  <c:v>9.4071084222554671</c:v>
                </c:pt>
                <c:pt idx="3">
                  <c:v>11.780097775475227</c:v>
                </c:pt>
                <c:pt idx="4">
                  <c:v>10.354533359640586</c:v>
                </c:pt>
                <c:pt idx="5">
                  <c:v>9.1565736617967186</c:v>
                </c:pt>
                <c:pt idx="6">
                  <c:v>8.4101661106705041</c:v>
                </c:pt>
                <c:pt idx="7">
                  <c:v>8.8238882844377837</c:v>
                </c:pt>
                <c:pt idx="8">
                  <c:v>13.990535916776663</c:v>
                </c:pt>
                <c:pt idx="9">
                  <c:v>17.606263918810029</c:v>
                </c:pt>
                <c:pt idx="10">
                  <c:v>20.233244594630012</c:v>
                </c:pt>
                <c:pt idx="11">
                  <c:v>19.490782174437278</c:v>
                </c:pt>
                <c:pt idx="12">
                  <c:v>5.2444655845929598</c:v>
                </c:pt>
                <c:pt idx="13">
                  <c:v>2.6850257795242389</c:v>
                </c:pt>
                <c:pt idx="14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Calculations'!$G$92:$U$92</c:f>
              <c:numCache>
                <c:formatCode>0.00\ "ksi"</c:formatCode>
                <c:ptCount val="15"/>
                <c:pt idx="0">
                  <c:v>22.170149306847595</c:v>
                </c:pt>
                <c:pt idx="1">
                  <c:v>11.923150283627463</c:v>
                </c:pt>
                <c:pt idx="2">
                  <c:v>12.900287260293238</c:v>
                </c:pt>
                <c:pt idx="3">
                  <c:v>14.611124855391393</c:v>
                </c:pt>
                <c:pt idx="4">
                  <c:v>13.594326899861549</c:v>
                </c:pt>
                <c:pt idx="5">
                  <c:v>12.713519794006734</c:v>
                </c:pt>
                <c:pt idx="6">
                  <c:v>12.147358420765945</c:v>
                </c:pt>
                <c:pt idx="7">
                  <c:v>12.46307564863573</c:v>
                </c:pt>
                <c:pt idx="8">
                  <c:v>16.154120955786077</c:v>
                </c:pt>
                <c:pt idx="9">
                  <c:v>18.704772633005927</c:v>
                </c:pt>
                <c:pt idx="10">
                  <c:v>20.688184899626126</c:v>
                </c:pt>
                <c:pt idx="11">
                  <c:v>20.109339945369459</c:v>
                </c:pt>
                <c:pt idx="12">
                  <c:v>9.4992555976219997</c:v>
                </c:pt>
                <c:pt idx="13">
                  <c:v>6.7667156552167018</c:v>
                </c:pt>
                <c:pt idx="14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Calculations'!$G$121:$U$121</c:f>
              <c:numCache>
                <c:formatCode>0.00\ "ksi"</c:formatCode>
                <c:ptCount val="15"/>
                <c:pt idx="0">
                  <c:v>23.333907174042899</c:v>
                </c:pt>
                <c:pt idx="1">
                  <c:v>8.5515264424980728</c:v>
                </c:pt>
                <c:pt idx="2">
                  <c:v>9.9074314862005277</c:v>
                </c:pt>
                <c:pt idx="3">
                  <c:v>13.419304204214383</c:v>
                </c:pt>
                <c:pt idx="4">
                  <c:v>11.470018308202713</c:v>
                </c:pt>
                <c:pt idx="5">
                  <c:v>9.7783214107746446</c:v>
                </c:pt>
                <c:pt idx="6">
                  <c:v>8.7007718586753775</c:v>
                </c:pt>
                <c:pt idx="7">
                  <c:v>9.7569437064328515</c:v>
                </c:pt>
                <c:pt idx="8">
                  <c:v>15.345144381274805</c:v>
                </c:pt>
                <c:pt idx="9">
                  <c:v>18.624233829422071</c:v>
                </c:pt>
                <c:pt idx="10">
                  <c:v>21.707076949024806</c:v>
                </c:pt>
                <c:pt idx="11">
                  <c:v>27.813741024966728</c:v>
                </c:pt>
                <c:pt idx="12">
                  <c:v>8.9255250580270236</c:v>
                </c:pt>
                <c:pt idx="13">
                  <c:v>3.0221178351991966</c:v>
                </c:pt>
                <c:pt idx="14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Calculations'!$G$133:$U$133</c:f>
              <c:numCache>
                <c:formatCode>0.00\ "ksi"</c:formatCode>
                <c:ptCount val="15"/>
                <c:pt idx="0">
                  <c:v>23.353577968845542</c:v>
                </c:pt>
                <c:pt idx="1">
                  <c:v>12.255795909834161</c:v>
                </c:pt>
                <c:pt idx="2">
                  <c:v>13.269029948598074</c:v>
                </c:pt>
                <c:pt idx="3">
                  <c:v>15.757057165860136</c:v>
                </c:pt>
                <c:pt idx="4">
                  <c:v>14.392110434144195</c:v>
                </c:pt>
                <c:pt idx="5">
                  <c:v>13.174381569976246</c:v>
                </c:pt>
                <c:pt idx="6">
                  <c:v>12.369640009003966</c:v>
                </c:pt>
                <c:pt idx="7">
                  <c:v>13.158677142323119</c:v>
                </c:pt>
                <c:pt idx="8">
                  <c:v>17.097803820107927</c:v>
                </c:pt>
                <c:pt idx="9">
                  <c:v>19.453488344762857</c:v>
                </c:pt>
                <c:pt idx="10">
                  <c:v>21.896424730834269</c:v>
                </c:pt>
                <c:pt idx="11">
                  <c:v>27.813741024966728</c:v>
                </c:pt>
                <c:pt idx="12">
                  <c:v>12.539896155551125</c:v>
                </c:pt>
                <c:pt idx="13">
                  <c:v>7.1819333523576265</c:v>
                </c:pt>
                <c:pt idx="14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Calculations'!$G$178:$U$178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43" t="s">
        <v>19</v>
      </c>
      <c r="B1" s="244"/>
      <c r="C1" s="128"/>
      <c r="D1" s="128"/>
      <c r="E1" s="128"/>
    </row>
    <row r="2" spans="1:5" ht="21" x14ac:dyDescent="0.4">
      <c r="A2" s="245" t="s">
        <v>20</v>
      </c>
      <c r="B2" s="246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47" t="s">
        <v>30</v>
      </c>
      <c r="B8" s="248"/>
      <c r="C8" s="248"/>
      <c r="D8" s="248"/>
      <c r="E8" s="249"/>
    </row>
    <row r="9" spans="1:5" ht="13.8" thickBot="1" x14ac:dyDescent="0.3">
      <c r="A9" s="250"/>
      <c r="B9" s="251"/>
      <c r="C9" s="251"/>
      <c r="D9" s="251"/>
      <c r="E9" s="252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53" t="s">
        <v>329</v>
      </c>
      <c r="C28" s="253"/>
      <c r="D28" s="253"/>
      <c r="E28" s="128"/>
    </row>
    <row r="29" spans="1:6" ht="21" x14ac:dyDescent="0.4">
      <c r="A29" s="152" t="s">
        <v>330</v>
      </c>
      <c r="B29" s="253" t="s">
        <v>331</v>
      </c>
      <c r="C29" s="253"/>
      <c r="D29" s="253"/>
      <c r="E29" s="128"/>
    </row>
    <row r="30" spans="1:6" ht="21" x14ac:dyDescent="0.4">
      <c r="A30" s="152" t="s">
        <v>332</v>
      </c>
      <c r="B30" s="253" t="s">
        <v>333</v>
      </c>
      <c r="C30" s="253"/>
      <c r="D30" s="253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42" t="s">
        <v>344</v>
      </c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</row>
    <row r="47" spans="1:20" x14ac:dyDescent="0.25">
      <c r="C47" s="229" t="s">
        <v>255</v>
      </c>
      <c r="D47" s="229"/>
      <c r="E47" s="229"/>
      <c r="F47" s="229" t="s">
        <v>250</v>
      </c>
      <c r="G47" s="229"/>
      <c r="H47" s="229"/>
      <c r="I47" s="229" t="s">
        <v>337</v>
      </c>
      <c r="J47" s="229"/>
      <c r="K47" s="229"/>
      <c r="L47" s="238" t="s">
        <v>194</v>
      </c>
      <c r="M47" s="239"/>
      <c r="N47" s="240"/>
      <c r="O47" s="237" t="s">
        <v>253</v>
      </c>
      <c r="P47" s="229" t="s">
        <v>335</v>
      </c>
      <c r="Q47" s="229"/>
      <c r="R47" s="229" t="s">
        <v>336</v>
      </c>
      <c r="S47" s="229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37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Calculations'!$G$27:$AF$30,D$45,$C51)</f>
        <v>8.8162729658792678</v>
      </c>
      <c r="E51" s="14">
        <f>INDEX('Standard Buckling Calculations'!$G$27:$AF$30,E$45,$C51)</f>
        <v>2.296587926509186</v>
      </c>
      <c r="F51" s="14">
        <f>INDEX('Standard Buckling Calculations'!$G$47:$AF$110,F$68,$C51)</f>
        <v>0.45725526699999997</v>
      </c>
      <c r="G51" s="14">
        <f>INDEX('Standard Buckling Calculations'!$G$47:$AF$110,G$45,$C51)</f>
        <v>0.49883259600000002</v>
      </c>
      <c r="H51" s="14">
        <f>INDEX('Standard Buckling Calculations'!$G$47:$AF$110,H$68,$C51)</f>
        <v>0.68469829399999993</v>
      </c>
      <c r="I51" s="14">
        <f>INDEX('Standard Buckling Calculations'!$G$89:$AF$91,I$45,$C51)</f>
        <v>26.91137000670091</v>
      </c>
      <c r="J51" s="14">
        <f>INDEX('Standard Buckling Calculations'!$G$89:$AF$91,J$45,$C51)</f>
        <v>14.608305713501958</v>
      </c>
      <c r="K51" s="14">
        <f>INDEX('Standard Buckling Calculations'!$G$89:$AF$91,K$45,$C51)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Calculations'!$G$27:$AF$30,D$45,$C52)</f>
        <v>8.6706036745406792</v>
      </c>
      <c r="E52" s="14">
        <f>INDEX('Standard Buckling Calculations'!$G$27:$AF$30,E$45,$C52)</f>
        <v>2.296587926509186</v>
      </c>
      <c r="F52" s="14">
        <f>INDEX('Standard Buckling Calculations'!$G$47:$AF$110,F$68,$C52)</f>
        <v>0.30177022999999997</v>
      </c>
      <c r="G52" s="14">
        <f>INDEX('Standard Buckling Calculations'!$G$47:$AF$110,G$45,$C52)</f>
        <v>1.935779725</v>
      </c>
      <c r="H52" s="14">
        <f>INDEX('Standard Buckling Calculations'!$G$47:$AF$110,H$68,$C52)</f>
        <v>1.0442359294999999</v>
      </c>
      <c r="I52" s="14">
        <f>INDEX('Standard Buckling Calculations'!$G$89:$AF$91,I$45,$C52)</f>
        <v>19.542882385709742</v>
      </c>
      <c r="J52" s="14">
        <f>INDEX('Standard Buckling Calculations'!$G$89:$AF$91,J$45,$C52)</f>
        <v>10.456970626796092</v>
      </c>
      <c r="K52" s="14">
        <f>INDEX('Standard Buckling Calculations'!$G$89:$AF$91,K$45,$C52)</f>
        <v>16.669904324429531</v>
      </c>
      <c r="L52" s="14">
        <f t="shared" si="0"/>
        <v>1.5441439192238198</v>
      </c>
      <c r="M52" s="14">
        <f t="shared" si="1"/>
        <v>18.511859639727255</v>
      </c>
      <c r="N52" s="14">
        <f t="shared" si="2"/>
        <v>6.2641986971076102</v>
      </c>
      <c r="O52" s="14">
        <f t="shared" si="3"/>
        <v>18.511859639727255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Calculations'!$G$27:$AF$30,D$45,$C53)</f>
        <v>8.9996719160104934</v>
      </c>
      <c r="E53" s="14">
        <f>INDEX('Standard Buckling Calculations'!$G$27:$AF$30,E$45,$C53)</f>
        <v>2.296587926509186</v>
      </c>
      <c r="F53" s="14">
        <f>INDEX('Standard Buckling Calculations'!$G$47:$AF$110,F$68,$C53)</f>
        <v>0.60824092500000004</v>
      </c>
      <c r="G53" s="14">
        <f>INDEX('Standard Buckling Calculations'!$G$47:$AF$110,G$45,$C53)</f>
        <v>2.9807090299999999</v>
      </c>
      <c r="H53" s="14">
        <f>INDEX('Standard Buckling Calculations'!$G$47:$AF$110,H$68,$C53)</f>
        <v>2.204107155</v>
      </c>
      <c r="I53" s="14">
        <f>INDEX('Standard Buckling Calculations'!$G$89:$AF$91,I$45,$C53)</f>
        <v>19.542882385709742</v>
      </c>
      <c r="J53" s="14">
        <f>INDEX('Standard Buckling Calculations'!$G$89:$AF$91,J$45,$C53)</f>
        <v>10.40775511057663</v>
      </c>
      <c r="K53" s="14">
        <f>INDEX('Standard Buckling Calculations'!$G$89:$AF$91,K$45,$C53)</f>
        <v>16.653178097029407</v>
      </c>
      <c r="L53" s="14">
        <f t="shared" si="0"/>
        <v>3.1123398943687111</v>
      </c>
      <c r="M53" s="14">
        <f t="shared" si="1"/>
        <v>28.639307884665023</v>
      </c>
      <c r="N53" s="14">
        <f t="shared" si="2"/>
        <v>13.235354490042766</v>
      </c>
      <c r="O53" s="14">
        <f t="shared" si="3"/>
        <v>28.639307884665023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Calculations'!$G$27:$AF$30,D$45,$C54)</f>
        <v>5.4258530183727034</v>
      </c>
      <c r="E54" s="14">
        <f>INDEX('Standard Buckling Calculations'!$G$27:$AF$30,E$45,$C54)</f>
        <v>2.296587926509186</v>
      </c>
      <c r="F54" s="14">
        <f>INDEX('Standard Buckling Calculations'!$G$47:$AF$110,F$68,$C54)</f>
        <v>0.821525485</v>
      </c>
      <c r="G54" s="14">
        <f>INDEX('Standard Buckling Calculations'!$G$47:$AF$110,G$45,$C54)</f>
        <v>4.471030485</v>
      </c>
      <c r="H54" s="14">
        <f>INDEX('Standard Buckling Calculations'!$G$47:$AF$110,H$68,$C54)</f>
        <v>0.71498234149999995</v>
      </c>
      <c r="I54" s="14">
        <f>INDEX('Standard Buckling Calculations'!$G$89:$AF$91,I$45,$C54)</f>
        <v>25.328640945357687</v>
      </c>
      <c r="J54" s="14">
        <f>INDEX('Standard Buckling Calculations'!$G$89:$AF$91,J$45,$C54)</f>
        <v>14.97866300075553</v>
      </c>
      <c r="K54" s="14">
        <f>INDEX('Standard Buckling Calculations'!$G$89:$AF$91,K$45,$C54)</f>
        <v>18.576812542382989</v>
      </c>
      <c r="L54" s="14">
        <f t="shared" si="0"/>
        <v>3.2434645300247413</v>
      </c>
      <c r="M54" s="14">
        <f t="shared" si="1"/>
        <v>29.849329574839086</v>
      </c>
      <c r="N54" s="14">
        <f t="shared" si="2"/>
        <v>3.8487891282143702</v>
      </c>
      <c r="O54" s="14">
        <f t="shared" si="3"/>
        <v>29.849329574839086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Calculations'!$G$27:$AF$30,D$45,$C55)</f>
        <v>6.0262467191601026</v>
      </c>
      <c r="E55" s="14">
        <f>INDEX('Standard Buckling Calculations'!$G$27:$AF$30,E$45,$C55)</f>
        <v>2.296587926509186</v>
      </c>
      <c r="F55" s="14">
        <f>INDEX('Standard Buckling Calculations'!$G$47:$AF$110,F$68,$C55)</f>
        <v>3.6705746599999998E-3</v>
      </c>
      <c r="G55" s="14">
        <f>INDEX('Standard Buckling Calculations'!$G$47:$AF$110,G$45,$C55)</f>
        <v>5.8270859999999995</v>
      </c>
      <c r="H55" s="14">
        <f>INDEX('Standard Buckling Calculations'!$G$47:$AF$110,H$68,$C55)</f>
        <v>0.79147085650000004</v>
      </c>
      <c r="I55" s="14">
        <f>INDEX('Standard Buckling Calculations'!$G$89:$AF$91,I$45,$C55)</f>
        <v>23.451458862851691</v>
      </c>
      <c r="J55" s="14">
        <f>INDEX('Standard Buckling Calculations'!$G$89:$AF$91,J$45,$C55)</f>
        <v>13.428719860913771</v>
      </c>
      <c r="K55" s="14">
        <f>INDEX('Standard Buckling Calculations'!$G$89:$AF$91,K$45,$C55)</f>
        <v>18.163135241507121</v>
      </c>
      <c r="L55" s="14">
        <f t="shared" si="0"/>
        <v>1.5651796681247738E-2</v>
      </c>
      <c r="M55" s="14">
        <f t="shared" si="1"/>
        <v>43.392713976859213</v>
      </c>
      <c r="N55" s="14">
        <f t="shared" si="2"/>
        <v>4.3575673801695833</v>
      </c>
      <c r="O55" s="14">
        <f t="shared" si="3"/>
        <v>43.392713976859213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Calculations'!$G$27:$AF$30,D$45,$C56)</f>
        <v>7.3218503937007897</v>
      </c>
      <c r="E56" s="14">
        <f>INDEX('Standard Buckling Calculations'!$G$27:$AF$30,E$45,$C56)</f>
        <v>2.296587926509186</v>
      </c>
      <c r="F56" s="14">
        <f>INDEX('Standard Buckling Calculations'!$G$47:$AF$110,F$68,$C56)</f>
        <v>0.47063166200000001</v>
      </c>
      <c r="G56" s="14">
        <f>INDEX('Standard Buckling Calculations'!$G$47:$AF$110,G$45,$C56)</f>
        <v>6.3806671449999994</v>
      </c>
      <c r="H56" s="14">
        <f>INDEX('Standard Buckling Calculations'!$G$47:$AF$110,H$68,$C56)</f>
        <v>0.53223286749999998</v>
      </c>
      <c r="I56" s="14">
        <f>INDEX('Standard Buckling Calculations'!$G$89:$AF$91,I$45,$C56)</f>
        <v>23.451458862851691</v>
      </c>
      <c r="J56" s="14">
        <f>INDEX('Standard Buckling Calculations'!$G$89:$AF$91,J$45,$C56)</f>
        <v>12.879353535965326</v>
      </c>
      <c r="K56" s="14">
        <f>INDEX('Standard Buckling Calculations'!$G$89:$AF$91,K$45,$C56)</f>
        <v>18.076950679529265</v>
      </c>
      <c r="L56" s="14">
        <f t="shared" si="0"/>
        <v>2.006833198532926</v>
      </c>
      <c r="M56" s="14">
        <f t="shared" si="1"/>
        <v>49.541827756976467</v>
      </c>
      <c r="N56" s="14">
        <f t="shared" si="2"/>
        <v>2.9442624308463272</v>
      </c>
      <c r="O56" s="14">
        <f t="shared" si="3"/>
        <v>49.541827756976467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Calculations'!$G$27:$AF$30,D$45,$C57)</f>
        <v>9.6938976377952741</v>
      </c>
      <c r="E57" s="14">
        <f>INDEX('Standard Buckling Calculations'!$G$27:$AF$30,E$45,$C57)</f>
        <v>2.296587926509186</v>
      </c>
      <c r="F57" s="14">
        <f>INDEX('Standard Buckling Calculations'!$G$47:$AF$110,F$68,$C57)</f>
        <v>0.54798418849999997</v>
      </c>
      <c r="G57" s="14">
        <f>INDEX('Standard Buckling Calculations'!$G$47:$AF$110,G$45,$C57)</f>
        <v>6.7421386600000002</v>
      </c>
      <c r="H57" s="14">
        <f>INDEX('Standard Buckling Calculations'!$G$47:$AF$110,H$68,$C57)</f>
        <v>0.16778906999999998</v>
      </c>
      <c r="I57" s="14">
        <f>INDEX('Standard Buckling Calculations'!$G$89:$AF$91,I$45,$C57)</f>
        <v>23.451458862851691</v>
      </c>
      <c r="J57" s="14">
        <f>INDEX('Standard Buckling Calculations'!$G$89:$AF$91,J$45,$C57)</f>
        <v>12.383855607184264</v>
      </c>
      <c r="K57" s="14">
        <f>INDEX('Standard Buckling Calculations'!$G$89:$AF$91,K$45,$C57)</f>
        <v>17.992828432738133</v>
      </c>
      <c r="L57" s="14">
        <f t="shared" si="0"/>
        <v>2.3366741988407167</v>
      </c>
      <c r="M57" s="14">
        <f t="shared" si="1"/>
        <v>54.442968925515203</v>
      </c>
      <c r="N57" s="14">
        <f t="shared" si="2"/>
        <v>0.93253304019009087</v>
      </c>
      <c r="O57" s="14">
        <f t="shared" si="3"/>
        <v>54.442968925515203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Calculations'!$G$27:$AF$30,D$45,$C58)</f>
        <v>7.21259842519685</v>
      </c>
      <c r="E58" s="14">
        <f>INDEX('Standard Buckling Calculations'!$G$27:$AF$30,E$45,$C58)</f>
        <v>2.296587926509186</v>
      </c>
      <c r="F58" s="14">
        <f>INDEX('Standard Buckling Calculations'!$G$47:$AF$110,F$68,$C58)</f>
        <v>3.6049640449999996</v>
      </c>
      <c r="G58" s="14">
        <f>INDEX('Standard Buckling Calculations'!$G$47:$AF$110,G$45,$C58)</f>
        <v>3.9942993399999995</v>
      </c>
      <c r="H58" s="14">
        <f>INDEX('Standard Buckling Calculations'!$G$47:$AF$110,H$68,$C58)</f>
        <v>0.63903341499999999</v>
      </c>
      <c r="I58" s="14">
        <f>INDEX('Standard Buckling Calculations'!$G$89:$AF$91,I$45,$C58)</f>
        <v>23.451458862851691</v>
      </c>
      <c r="J58" s="14">
        <f>INDEX('Standard Buckling Calculations'!$G$89:$AF$91,J$45,$C58)</f>
        <v>12.914566992252855</v>
      </c>
      <c r="K58" s="14">
        <f>INDEX('Standard Buckling Calculations'!$G$89:$AF$91,K$45,$C58)</f>
        <v>18.08269076925432</v>
      </c>
      <c r="L58" s="14">
        <f t="shared" si="0"/>
        <v>15.37202468333621</v>
      </c>
      <c r="M58" s="14">
        <f t="shared" si="1"/>
        <v>30.928635411439547</v>
      </c>
      <c r="N58" s="14">
        <f t="shared" si="2"/>
        <v>3.533950910041205</v>
      </c>
      <c r="O58" s="14">
        <f t="shared" si="3"/>
        <v>30.928635411439547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Calculations'!$G$27:$AF$30,D$45,$C59)</f>
        <v>6.1502624671915997</v>
      </c>
      <c r="E59" s="14">
        <f>INDEX('Standard Buckling Calculations'!$G$27:$AF$30,E$45,$C59)</f>
        <v>2.296587926509186</v>
      </c>
      <c r="F59" s="14">
        <f>INDEX('Standard Buckling Calculations'!$G$47:$AF$110,F$68,$C59)</f>
        <v>0.54409868149999996</v>
      </c>
      <c r="G59" s="14">
        <f>INDEX('Standard Buckling Calculations'!$G$47:$AF$110,G$45,$C59)</f>
        <v>3.8200350049999994</v>
      </c>
      <c r="H59" s="14">
        <f>INDEX('Standard Buckling Calculations'!$G$47:$AF$110,H$68,$C59)</f>
        <v>1.216189907</v>
      </c>
      <c r="I59" s="14">
        <f>INDEX('Standard Buckling Calculations'!$G$89:$AF$91,I$45,$C59)</f>
        <v>26.91137000670091</v>
      </c>
      <c r="J59" s="14">
        <f>INDEX('Standard Buckling Calculations'!$G$89:$AF$91,J$45,$C59)</f>
        <v>15.587521914466711</v>
      </c>
      <c r="K59" s="14">
        <f>INDEX('Standard Buckling Calculations'!$G$89:$AF$91,K$45,$C59)</f>
        <v>18.78985483916939</v>
      </c>
      <c r="L59" s="14">
        <f t="shared" si="0"/>
        <v>2.0218171031966037</v>
      </c>
      <c r="M59" s="14">
        <f t="shared" si="1"/>
        <v>24.507006475831425</v>
      </c>
      <c r="N59" s="14">
        <f t="shared" si="2"/>
        <v>6.4725880929358048</v>
      </c>
      <c r="O59" s="14">
        <f t="shared" si="3"/>
        <v>24.507006475831425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Calculations'!$G$27:$AF$30,D$45,$C60)</f>
        <v>6.0892388451443571</v>
      </c>
      <c r="E60" s="14">
        <f>INDEX('Standard Buckling Calculations'!$G$27:$AF$30,E$45,$C60)</f>
        <v>1.9685039370078738</v>
      </c>
      <c r="F60" s="14">
        <f>INDEX('Standard Buckling Calculations'!$G$47:$AF$110,F$68,$C60)</f>
        <v>0.13096294875</v>
      </c>
      <c r="G60" s="14">
        <f>INDEX('Standard Buckling Calculations'!$G$47:$AF$110,G$45,$C60)</f>
        <v>0.96035103700000002</v>
      </c>
      <c r="H60" s="14">
        <f>INDEX('Standard Buckling Calculations'!$G$47:$AF$110,H$68,$C60)</f>
        <v>0.16611479849999997</v>
      </c>
      <c r="I60" s="14">
        <f>INDEX('Standard Buckling Calculations'!$G$89:$AF$91,I$45,$C60)</f>
        <v>30.481300318382239</v>
      </c>
      <c r="J60" s="14">
        <f>INDEX('Standard Buckling Calculations'!$G$89:$AF$91,J$45,$C60)</f>
        <v>18.887098935039223</v>
      </c>
      <c r="K60" s="14">
        <f>INDEX('Standard Buckling Calculations'!$G$89:$AF$91,K$45,$C60)</f>
        <v>19.255352141745128</v>
      </c>
      <c r="L60" s="14">
        <f t="shared" si="0"/>
        <v>0.42965013756654169</v>
      </c>
      <c r="M60" s="14">
        <f t="shared" si="1"/>
        <v>5.0846932093862387</v>
      </c>
      <c r="N60" s="14">
        <f t="shared" si="2"/>
        <v>0.86269416044522595</v>
      </c>
      <c r="O60" s="14">
        <f t="shared" si="3"/>
        <v>5.0846932093862387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Calculations'!$G$27:$AF$30,D$45,$C61)</f>
        <v>8.5206692913385815</v>
      </c>
      <c r="E61" s="14">
        <f>INDEX('Standard Buckling Calculations'!$G$27:$AF$30,E$45,$C61)</f>
        <v>1.9685039370078738</v>
      </c>
      <c r="F61" s="14">
        <f>INDEX('Standard Buckling Calculations'!$G$47:$AF$110,F$68,$C61)</f>
        <v>3.6723203149999994E-2</v>
      </c>
      <c r="G61" s="14">
        <f>INDEX('Standard Buckling Calculations'!$G$47:$AF$110,G$45,$C61)</f>
        <v>2.184382805E-2</v>
      </c>
      <c r="H61" s="14">
        <f>INDEX('Standard Buckling Calculations'!$G$47:$AF$110,H$68,$C61)</f>
        <v>1.1855107199999999E-2</v>
      </c>
      <c r="I61" s="14">
        <f>INDEX('Standard Buckling Calculations'!$G$89:$AF$91,I$45,$C61)</f>
        <v>29.572913456113969</v>
      </c>
      <c r="J61" s="14">
        <f>INDEX('Standard Buckling Calculations'!$G$89:$AF$91,J$45,$C61)</f>
        <v>16.811861742454397</v>
      </c>
      <c r="K61" s="14">
        <f>INDEX('Standard Buckling Calculations'!$G$89:$AF$91,K$45,$C61)</f>
        <v>19.105492506996097</v>
      </c>
      <c r="L61" s="14">
        <f t="shared" si="0"/>
        <v>0.12417850951512441</v>
      </c>
      <c r="M61" s="14">
        <f t="shared" si="1"/>
        <v>0.12993104740350414</v>
      </c>
      <c r="N61" s="14">
        <f t="shared" si="2"/>
        <v>6.2050780400761021E-2</v>
      </c>
      <c r="O61" s="14">
        <f t="shared" si="3"/>
        <v>0.12993104740350414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Calculations'!$G$27:$AF$30,D$45,$C62)</f>
        <v>1.1932414698162723</v>
      </c>
      <c r="E62" s="14">
        <f>INDEX('Standard Buckling Calculations'!$G$27:$AF$30,E$45,$C62)</f>
        <v>1.9688320209973749</v>
      </c>
      <c r="F62" s="14">
        <f>INDEX('Standard Buckling Calculations'!$G$47:$AF$110,F$68,$C62)</f>
        <v>5.5916537049999999E-2</v>
      </c>
      <c r="G62" s="14">
        <f>INDEX('Standard Buckling Calculations'!$G$47:$AF$110,G$45,$C62)</f>
        <v>0.406993192</v>
      </c>
      <c r="H62" s="14">
        <f>INDEX('Standard Buckling Calculations'!$G$47:$AF$110,H$68,$C62)</f>
        <v>0.41823714449999999</v>
      </c>
      <c r="I62" s="14">
        <f>INDEX('Standard Buckling Calculations'!$G$89:$AF$91,I$45,$C62)</f>
        <v>29.57051318197448</v>
      </c>
      <c r="J62" s="14">
        <f>INDEX('Standard Buckling Calculations'!$G$89:$AF$91,J$45,$C62)</f>
        <v>33.55279381905676</v>
      </c>
      <c r="K62" s="14">
        <f>INDEX('Standard Buckling Calculations'!$G$89:$AF$91,K$45,$C62)</f>
        <v>19.566224666440515</v>
      </c>
      <c r="L62" s="14">
        <f t="shared" si="0"/>
        <v>0.18909559230810191</v>
      </c>
      <c r="M62" s="14">
        <f t="shared" si="1"/>
        <v>1.2129934520351111</v>
      </c>
      <c r="N62" s="14">
        <f t="shared" si="2"/>
        <v>2.1375464691323387</v>
      </c>
      <c r="O62" s="14">
        <f t="shared" si="3"/>
        <v>2.1375464691323387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Calculations'!$G$27:$AF$30,D$45,$C63)</f>
        <v>2.8435039370078763</v>
      </c>
      <c r="E63" s="14">
        <f>INDEX('Standard Buckling Calculations'!$G$27:$AF$30,E$45,$C63)</f>
        <v>2.296587926509186</v>
      </c>
      <c r="F63" s="14">
        <f>INDEX('Standard Buckling Calculations'!$G$47:$AF$110,F$68,$C63)</f>
        <v>0.33511206649999997</v>
      </c>
      <c r="G63" s="14">
        <f>INDEX('Standard Buckling Calculations'!$G$47:$AF$110,G$45,$C63)</f>
        <v>6.9258420599999999</v>
      </c>
      <c r="H63" s="14">
        <f>INDEX('Standard Buckling Calculations'!$G$47:$AF$110,H$68,$C63)</f>
        <v>0.1227565679</v>
      </c>
      <c r="I63" s="14">
        <f>INDEX('Standard Buckling Calculations'!$G$89:$AF$91,I$45,$C63)</f>
        <v>11.725729431425846</v>
      </c>
      <c r="J63" s="14">
        <f>INDEX('Standard Buckling Calculations'!$G$89:$AF$91,J$45,$C63)</f>
        <v>9.6873091901097865</v>
      </c>
      <c r="K63" s="14">
        <f>INDEX('Standard Buckling Calculations'!$G$89:$AF$91,K$45,$C63)</f>
        <v>12.560099920520853</v>
      </c>
      <c r="L63" s="14">
        <f t="shared" si="0"/>
        <v>2.8579208522573802</v>
      </c>
      <c r="M63" s="14">
        <f t="shared" si="1"/>
        <v>71.493971381350221</v>
      </c>
      <c r="N63" s="14">
        <f t="shared" si="2"/>
        <v>0.97735343410316933</v>
      </c>
      <c r="O63" s="14">
        <f t="shared" si="3"/>
        <v>71.493971381350221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Calculations'!$G$27:$AF$30,D$45,$C64)</f>
        <v>5.9055118110236222</v>
      </c>
      <c r="E64" s="162">
        <f>INDEX('Standard Buckling Calculations'!$G$27:$AF$30,E$45,$C64)</f>
        <v>2.296587926509186</v>
      </c>
      <c r="F64" s="163" t="e">
        <f>INDEX(#REF!,F$45,$C64)</f>
        <v>#REF!</v>
      </c>
      <c r="G64" s="162">
        <f>INDEX('Standard Buckling Calculations'!$G$47:$AF$110,G$45,$C64)</f>
        <v>5.4811009200000003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Calculations'!$G$89:$AF$91,J$45,$C64)</f>
        <v>6.7495325276571609</v>
      </c>
      <c r="K64" s="162">
        <f>INDEX('Standard Buckling Calculations'!$G$89:$AF$91,K$45,$C64)</f>
        <v>10.861835823357081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81.207119123293609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Calculations'!$G$27:$AF$30,D$45,$C65)</f>
        <v>8.2020997375328086</v>
      </c>
      <c r="E65" s="162">
        <f>INDEX('Standard Buckling Calculations'!$G$27:$AF$30,E$45,$C65)</f>
        <v>2.296587926509186</v>
      </c>
      <c r="F65" s="162" t="e">
        <f>INDEX(#REF!,F$45,$C65)</f>
        <v>#REF!</v>
      </c>
      <c r="G65" s="162">
        <f>INDEX('Standard Buckling Calculations'!$G$47:$AF$110,G$45,$C65)</f>
        <v>2.3502446799999994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Calculations'!$G$89:$AF$91,J$45,$C65)</f>
        <v>6.3225133094248154</v>
      </c>
      <c r="K65" s="162">
        <f>INDEX('Standard Buckling Calculations'!$G$89:$AF$91,K$45,$C65)</f>
        <v>10.59234453485367</v>
      </c>
      <c r="L65" s="162" t="e">
        <f t="shared" si="5"/>
        <v>#REF!</v>
      </c>
      <c r="N65" s="129" t="e">
        <f t="shared" si="6"/>
        <v>#REF!</v>
      </c>
      <c r="O65" s="129">
        <f t="shared" si="7"/>
        <v>37.172633175742739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42" t="s">
        <v>343</v>
      </c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</row>
    <row r="70" spans="3:19" x14ac:dyDescent="0.25">
      <c r="C70" s="229" t="s">
        <v>255</v>
      </c>
      <c r="D70" s="229"/>
      <c r="E70" s="229"/>
      <c r="F70" s="229" t="s">
        <v>250</v>
      </c>
      <c r="G70" s="229"/>
      <c r="H70" s="229"/>
      <c r="I70" s="229" t="s">
        <v>338</v>
      </c>
      <c r="J70" s="229"/>
      <c r="K70" s="229"/>
      <c r="L70" s="236" t="s">
        <v>194</v>
      </c>
      <c r="M70" s="236"/>
      <c r="N70" s="236"/>
      <c r="O70" s="237" t="s">
        <v>253</v>
      </c>
      <c r="P70" s="241" t="s">
        <v>335</v>
      </c>
      <c r="Q70" s="229"/>
      <c r="R70" s="229" t="s">
        <v>336</v>
      </c>
      <c r="S70" s="229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37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Calculations'!$G$27:$AF$30,D$45,$C74)</f>
        <v>8.8162729658792678</v>
      </c>
      <c r="E74" s="14">
        <f>INDEX('Standard Buckling Calculations'!$G$27:$AF$30,E$45,$C74)</f>
        <v>2.296587926509186</v>
      </c>
      <c r="F74" s="14">
        <f>INDEX('Standard Buckling Calculations'!$G$47:$AF$110,F$68,$C74)</f>
        <v>0.45725526699999997</v>
      </c>
      <c r="G74" s="14">
        <f>INDEX('Standard Buckling Calculations'!$G$47:$AF$110,G$45,$C74)</f>
        <v>0.49883259600000002</v>
      </c>
      <c r="H74" s="14">
        <f>INDEX('Standard Buckling Calculations'!$G$47:$AF$110,H$68,$C74)</f>
        <v>0.68469829399999993</v>
      </c>
      <c r="I74" s="14">
        <f>INDEX('Standard Buckling Calculations'!$G$89:$AF$91,I$45,$C74)</f>
        <v>26.91137000670091</v>
      </c>
      <c r="J74" s="14">
        <f>INDEX('Standard Buckling Calculations'!$G$89:$AF$91,J$45,$C74)</f>
        <v>14.608305713501958</v>
      </c>
      <c r="K74" s="14">
        <f>INDEX('Standard Buckling Calculations'!$G$89:$AF$91,K$45,$C74)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Calculations'!$G$27:$AF$30,D$45,$C75)</f>
        <v>8.6706036745406792</v>
      </c>
      <c r="E75" s="14">
        <f>INDEX('Standard Buckling Calculations'!$G$27:$AF$30,E$45,$C75)</f>
        <v>2.296587926509186</v>
      </c>
      <c r="F75" s="14">
        <f>INDEX('Standard Buckling Calculations'!$G$47:$AF$110,F$68,$C75)</f>
        <v>0.30177022999999997</v>
      </c>
      <c r="G75" s="14">
        <f>INDEX('Standard Buckling Calculations'!$G$47:$AF$110,G$45,$C75)</f>
        <v>1.935779725</v>
      </c>
      <c r="H75" s="14">
        <f>INDEX('Standard Buckling Calculations'!$G$47:$AF$110,H$68,$C75)</f>
        <v>1.0442359294999999</v>
      </c>
      <c r="I75" s="14">
        <f>INDEX('Standard Buckling Calculations'!$G$89:$AF$91,I$45,$C75)</f>
        <v>19.542882385709742</v>
      </c>
      <c r="J75" s="14">
        <f>INDEX('Standard Buckling Calculations'!$G$89:$AF$91,J$45,$C75)</f>
        <v>10.456970626796092</v>
      </c>
      <c r="K75" s="14">
        <f>INDEX('Standard Buckling Calculations'!$G$89:$AF$91,K$45,$C75)</f>
        <v>16.669904324429531</v>
      </c>
      <c r="L75" s="14">
        <f t="shared" si="9"/>
        <v>1.5441439192238198</v>
      </c>
      <c r="M75" s="14">
        <f t="shared" si="10"/>
        <v>18.511859639727255</v>
      </c>
      <c r="N75" s="14">
        <f t="shared" si="11"/>
        <v>6.2641986971076102</v>
      </c>
      <c r="O75" s="14">
        <f t="shared" si="12"/>
        <v>18.511859639727255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Calculations'!$G$27:$AF$30,D$45,$C76)</f>
        <v>8.9996719160104934</v>
      </c>
      <c r="E76" s="14">
        <f>INDEX('Standard Buckling Calculations'!$G$27:$AF$30,E$45,$C76)</f>
        <v>2.296587926509186</v>
      </c>
      <c r="F76" s="14">
        <f>INDEX('Standard Buckling Calculations'!$G$47:$AF$110,F$68,$C76)</f>
        <v>0.60824092500000004</v>
      </c>
      <c r="G76" s="14">
        <f>INDEX('Standard Buckling Calculations'!$G$47:$AF$110,G$45,$C76)</f>
        <v>2.9807090299999999</v>
      </c>
      <c r="H76" s="14">
        <f>INDEX('Standard Buckling Calculations'!$G$47:$AF$110,H$68,$C76)</f>
        <v>2.204107155</v>
      </c>
      <c r="I76" s="14">
        <f>INDEX('Standard Buckling Calculations'!$G$89:$AF$91,I$45,$C76)</f>
        <v>19.542882385709742</v>
      </c>
      <c r="J76" s="14">
        <f>INDEX('Standard Buckling Calculations'!$G$89:$AF$91,J$45,$C76)</f>
        <v>10.40775511057663</v>
      </c>
      <c r="K76" s="14">
        <f>INDEX('Standard Buckling Calculations'!$G$89:$AF$91,K$45,$C76)</f>
        <v>16.653178097029407</v>
      </c>
      <c r="L76" s="14">
        <f t="shared" si="9"/>
        <v>3.1123398943687111</v>
      </c>
      <c r="M76" s="14">
        <f t="shared" si="10"/>
        <v>28.639307884665023</v>
      </c>
      <c r="N76" s="14">
        <f t="shared" si="11"/>
        <v>13.235354490042766</v>
      </c>
      <c r="O76" s="14">
        <f t="shared" si="12"/>
        <v>28.639307884665023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Calculations'!$G$27:$AF$30,D$45,$C77)</f>
        <v>5.4258530183727034</v>
      </c>
      <c r="E77" s="14">
        <f>INDEX('Standard Buckling Calculations'!$G$27:$AF$30,E$45,$C77)</f>
        <v>2.296587926509186</v>
      </c>
      <c r="F77" s="14">
        <f>INDEX('Standard Buckling Calculations'!$G$47:$AF$110,F$68,$C77)</f>
        <v>0.821525485</v>
      </c>
      <c r="G77" s="14">
        <f>INDEX('Standard Buckling Calculations'!$G$47:$AF$110,G$45,$C77)</f>
        <v>4.471030485</v>
      </c>
      <c r="H77" s="14">
        <f>INDEX('Standard Buckling Calculations'!$G$47:$AF$110,H$68,$C77)</f>
        <v>0.71498234149999995</v>
      </c>
      <c r="I77" s="14">
        <f>INDEX('Standard Buckling Calculations'!$G$89:$AF$91,I$45,$C77)</f>
        <v>25.328640945357687</v>
      </c>
      <c r="J77" s="14">
        <f>INDEX('Standard Buckling Calculations'!$G$89:$AF$91,J$45,$C77)</f>
        <v>14.97866300075553</v>
      </c>
      <c r="K77" s="14">
        <f>INDEX('Standard Buckling Calculations'!$G$89:$AF$91,K$45,$C77)</f>
        <v>18.576812542382989</v>
      </c>
      <c r="L77" s="14">
        <f t="shared" si="9"/>
        <v>3.2434645300247413</v>
      </c>
      <c r="M77" s="14">
        <f t="shared" si="10"/>
        <v>29.849329574839086</v>
      </c>
      <c r="N77" s="14">
        <f t="shared" si="11"/>
        <v>3.8487891282143702</v>
      </c>
      <c r="O77" s="14">
        <f t="shared" si="12"/>
        <v>29.849329574839086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Calculations'!$G$27:$AF$30,D$45,$C78)</f>
        <v>6.0262467191601026</v>
      </c>
      <c r="E78" s="14">
        <f>INDEX('Standard Buckling Calculations'!$G$27:$AF$30,E$45,$C78)</f>
        <v>2.296587926509186</v>
      </c>
      <c r="F78" s="14">
        <f>INDEX('Standard Buckling Calculations'!$G$47:$AF$110,F$68,$C78)</f>
        <v>3.6705746599999998E-3</v>
      </c>
      <c r="G78" s="14">
        <f>INDEX('Standard Buckling Calculations'!$G$47:$AF$110,G$45,$C78)</f>
        <v>5.8270859999999995</v>
      </c>
      <c r="H78" s="14">
        <f>INDEX('Standard Buckling Calculations'!$G$47:$AF$110,H$68,$C78)</f>
        <v>0.79147085650000004</v>
      </c>
      <c r="I78" s="14">
        <f>INDEX('Standard Buckling Calculations'!$G$89:$AF$91,I$45,$C78)</f>
        <v>23.451458862851691</v>
      </c>
      <c r="J78" s="14">
        <f>INDEX('Standard Buckling Calculations'!$G$89:$AF$91,J$45,$C78)</f>
        <v>13.428719860913771</v>
      </c>
      <c r="K78" s="14">
        <f>INDEX('Standard Buckling Calculations'!$G$89:$AF$91,K$45,$C78)</f>
        <v>18.163135241507121</v>
      </c>
      <c r="L78" s="14">
        <f t="shared" si="9"/>
        <v>1.5651796681247738E-2</v>
      </c>
      <c r="M78" s="14">
        <f t="shared" si="10"/>
        <v>43.392713976859213</v>
      </c>
      <c r="N78" s="14">
        <f t="shared" si="11"/>
        <v>4.3575673801695833</v>
      </c>
      <c r="O78" s="14">
        <f t="shared" si="12"/>
        <v>43.392713976859213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Calculations'!$G$27:$AF$30,D$45,$C79)</f>
        <v>7.3218503937007897</v>
      </c>
      <c r="E79" s="14">
        <f>INDEX('Standard Buckling Calculations'!$G$27:$AF$30,E$45,$C79)</f>
        <v>2.296587926509186</v>
      </c>
      <c r="F79" s="14">
        <f>INDEX('Standard Buckling Calculations'!$G$47:$AF$110,F$68,$C79)</f>
        <v>0.47063166200000001</v>
      </c>
      <c r="G79" s="14">
        <f>INDEX('Standard Buckling Calculations'!$G$47:$AF$110,G$45,$C79)</f>
        <v>6.3806671449999994</v>
      </c>
      <c r="H79" s="14">
        <f>INDEX('Standard Buckling Calculations'!$G$47:$AF$110,H$68,$C79)</f>
        <v>0.53223286749999998</v>
      </c>
      <c r="I79" s="14">
        <f>INDEX('Standard Buckling Calculations'!$G$89:$AF$91,I$45,$C79)</f>
        <v>23.451458862851691</v>
      </c>
      <c r="J79" s="14">
        <f>INDEX('Standard Buckling Calculations'!$G$89:$AF$91,J$45,$C79)</f>
        <v>12.879353535965326</v>
      </c>
      <c r="K79" s="14">
        <f>INDEX('Standard Buckling Calculations'!$G$89:$AF$91,K$45,$C79)</f>
        <v>18.076950679529265</v>
      </c>
      <c r="L79" s="14">
        <f t="shared" si="9"/>
        <v>2.006833198532926</v>
      </c>
      <c r="M79" s="14">
        <f t="shared" si="10"/>
        <v>49.541827756976467</v>
      </c>
      <c r="N79" s="14">
        <f t="shared" si="11"/>
        <v>2.9442624308463272</v>
      </c>
      <c r="O79" s="14">
        <f t="shared" si="12"/>
        <v>49.541827756976467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Calculations'!$G$27:$AF$30,D$45,$C80)</f>
        <v>9.6938976377952741</v>
      </c>
      <c r="E80" s="14">
        <f>INDEX('Standard Buckling Calculations'!$G$27:$AF$30,E$45,$C80)</f>
        <v>2.296587926509186</v>
      </c>
      <c r="F80" s="14">
        <f>INDEX('Standard Buckling Calculations'!$G$47:$AF$110,F$68,$C80)</f>
        <v>0.54798418849999997</v>
      </c>
      <c r="G80" s="14">
        <f>INDEX('Standard Buckling Calculations'!$G$47:$AF$110,G$45,$C80)</f>
        <v>6.7421386600000002</v>
      </c>
      <c r="H80" s="14">
        <f>INDEX('Standard Buckling Calculations'!$G$47:$AF$110,H$68,$C80)</f>
        <v>0.16778906999999998</v>
      </c>
      <c r="I80" s="14">
        <f>INDEX('Standard Buckling Calculations'!$G$89:$AF$91,I$45,$C80)</f>
        <v>23.451458862851691</v>
      </c>
      <c r="J80" s="14">
        <f>INDEX('Standard Buckling Calculations'!$G$89:$AF$91,J$45,$C80)</f>
        <v>12.383855607184264</v>
      </c>
      <c r="K80" s="14">
        <f>INDEX('Standard Buckling Calculations'!$G$89:$AF$91,K$45,$C80)</f>
        <v>17.992828432738133</v>
      </c>
      <c r="L80" s="14">
        <f t="shared" si="9"/>
        <v>2.3366741988407167</v>
      </c>
      <c r="M80" s="14">
        <f t="shared" si="10"/>
        <v>54.442968925515203</v>
      </c>
      <c r="N80" s="14">
        <f t="shared" si="11"/>
        <v>0.93253304019009087</v>
      </c>
      <c r="O80" s="14">
        <f t="shared" si="12"/>
        <v>54.442968925515203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Calculations'!$G$27:$AF$30,D$45,$C81)</f>
        <v>7.21259842519685</v>
      </c>
      <c r="E81" s="14">
        <f>INDEX('Standard Buckling Calculations'!$G$27:$AF$30,E$45,$C81)</f>
        <v>2.296587926509186</v>
      </c>
      <c r="F81" s="14">
        <f>INDEX('Standard Buckling Calculations'!$G$47:$AF$110,F$68,$C81)</f>
        <v>3.6049640449999996</v>
      </c>
      <c r="G81" s="14">
        <f>INDEX('Standard Buckling Calculations'!$G$47:$AF$110,G$45,$C81)</f>
        <v>3.9942993399999995</v>
      </c>
      <c r="H81" s="14">
        <f>INDEX('Standard Buckling Calculations'!$G$47:$AF$110,H$68,$C81)</f>
        <v>0.63903341499999999</v>
      </c>
      <c r="I81" s="14">
        <f>INDEX('Standard Buckling Calculations'!$G$89:$AF$91,I$45,$C81)</f>
        <v>23.451458862851691</v>
      </c>
      <c r="J81" s="14">
        <f>INDEX('Standard Buckling Calculations'!$G$89:$AF$91,J$45,$C81)</f>
        <v>12.914566992252855</v>
      </c>
      <c r="K81" s="14">
        <f>INDEX('Standard Buckling Calculations'!$G$89:$AF$91,K$45,$C81)</f>
        <v>18.08269076925432</v>
      </c>
      <c r="L81" s="14">
        <f t="shared" si="9"/>
        <v>15.37202468333621</v>
      </c>
      <c r="M81" s="14">
        <f t="shared" si="10"/>
        <v>30.928635411439547</v>
      </c>
      <c r="N81" s="14">
        <f t="shared" si="11"/>
        <v>3.533950910041205</v>
      </c>
      <c r="O81" s="14">
        <f t="shared" si="12"/>
        <v>30.928635411439547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Calculations'!$G$27:$AF$30,D$45,$C82)</f>
        <v>6.1502624671915997</v>
      </c>
      <c r="E82" s="14">
        <f>INDEX('Standard Buckling Calculations'!$G$27:$AF$30,E$45,$C82)</f>
        <v>2.296587926509186</v>
      </c>
      <c r="F82" s="14">
        <f>INDEX('Standard Buckling Calculations'!$G$47:$AF$110,F$68,$C82)</f>
        <v>0.54409868149999996</v>
      </c>
      <c r="G82" s="14">
        <f>INDEX('Standard Buckling Calculations'!$G$47:$AF$110,G$45,$C82)</f>
        <v>3.8200350049999994</v>
      </c>
      <c r="H82" s="14">
        <f>INDEX('Standard Buckling Calculations'!$G$47:$AF$110,H$68,$C82)</f>
        <v>1.216189907</v>
      </c>
      <c r="I82" s="14">
        <f>INDEX('Standard Buckling Calculations'!$G$89:$AF$91,I$45,$C82)</f>
        <v>26.91137000670091</v>
      </c>
      <c r="J82" s="14">
        <f>INDEX('Standard Buckling Calculations'!$G$89:$AF$91,J$45,$C82)</f>
        <v>15.587521914466711</v>
      </c>
      <c r="K82" s="14">
        <f>INDEX('Standard Buckling Calculations'!$G$89:$AF$91,K$45,$C82)</f>
        <v>18.78985483916939</v>
      </c>
      <c r="L82" s="14">
        <f t="shared" si="9"/>
        <v>2.0218171031966037</v>
      </c>
      <c r="M82" s="14">
        <f t="shared" si="10"/>
        <v>24.507006475831425</v>
      </c>
      <c r="N82" s="14">
        <f t="shared" si="11"/>
        <v>6.4725880929358048</v>
      </c>
      <c r="O82" s="14">
        <f t="shared" si="12"/>
        <v>24.507006475831425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Calculations'!$G$27:$AF$30,D$45,$C83)</f>
        <v>6.0892388451443571</v>
      </c>
      <c r="E83" s="14">
        <f>INDEX('Standard Buckling Calculations'!$G$27:$AF$30,E$45,$C83)</f>
        <v>1.9685039370078738</v>
      </c>
      <c r="F83" s="14">
        <f>INDEX('Standard Buckling Calculations'!$G$47:$AF$110,F$68,$C83)</f>
        <v>0.13096294875</v>
      </c>
      <c r="G83" s="14">
        <f>INDEX('Standard Buckling Calculations'!$G$47:$AF$110,G$45,$C83)</f>
        <v>0.96035103700000002</v>
      </c>
      <c r="H83" s="14">
        <f>INDEX('Standard Buckling Calculations'!$G$47:$AF$110,H$68,$C83)</f>
        <v>0.16611479849999997</v>
      </c>
      <c r="I83" s="14">
        <f>INDEX('Standard Buckling Calculations'!$G$89:$AF$91,I$45,$C83)</f>
        <v>30.481300318382239</v>
      </c>
      <c r="J83" s="14">
        <f>INDEX('Standard Buckling Calculations'!$G$89:$AF$91,J$45,$C83)</f>
        <v>18.887098935039223</v>
      </c>
      <c r="K83" s="14">
        <f>INDEX('Standard Buckling Calculations'!$G$89:$AF$91,K$45,$C83)</f>
        <v>19.255352141745128</v>
      </c>
      <c r="L83" s="14">
        <f t="shared" si="9"/>
        <v>0.42965013756654169</v>
      </c>
      <c r="M83" s="14">
        <f t="shared" si="10"/>
        <v>5.0846932093862387</v>
      </c>
      <c r="N83" s="14">
        <f t="shared" si="11"/>
        <v>0.86269416044522595</v>
      </c>
      <c r="O83" s="14">
        <f t="shared" si="12"/>
        <v>5.0846932093862387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Calculations'!$G$27:$AF$30,D$45,$C84)</f>
        <v>8.5206692913385815</v>
      </c>
      <c r="E84" s="14">
        <f>INDEX('Standard Buckling Calculations'!$G$27:$AF$30,E$45,$C84)</f>
        <v>1.9685039370078738</v>
      </c>
      <c r="F84" s="14">
        <f>INDEX('Standard Buckling Calculations'!$G$47:$AF$110,F$68,$C84)</f>
        <v>3.6723203149999994E-2</v>
      </c>
      <c r="G84" s="14">
        <f>INDEX('Standard Buckling Calculations'!$G$47:$AF$110,G$45,$C84)</f>
        <v>2.184382805E-2</v>
      </c>
      <c r="H84" s="14">
        <f>INDEX('Standard Buckling Calculations'!$G$47:$AF$110,H$68,$C84)</f>
        <v>1.1855107199999999E-2</v>
      </c>
      <c r="I84" s="14">
        <f>INDEX('Standard Buckling Calculations'!$G$89:$AF$91,I$45,$C84)</f>
        <v>29.572913456113969</v>
      </c>
      <c r="J84" s="14">
        <f>INDEX('Standard Buckling Calculations'!$G$89:$AF$91,J$45,$C84)</f>
        <v>16.811861742454397</v>
      </c>
      <c r="K84" s="14">
        <f>INDEX('Standard Buckling Calculations'!$G$89:$AF$91,K$45,$C84)</f>
        <v>19.105492506996097</v>
      </c>
      <c r="L84" s="14">
        <f t="shared" si="9"/>
        <v>0.12417850951512441</v>
      </c>
      <c r="M84" s="14">
        <f t="shared" si="10"/>
        <v>0.12993104740350414</v>
      </c>
      <c r="N84" s="14">
        <f t="shared" si="11"/>
        <v>6.2050780400761021E-2</v>
      </c>
      <c r="O84" s="14">
        <f t="shared" si="12"/>
        <v>0.12993104740350414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Calculations'!$G$27:$AF$30,D$45,$C85)</f>
        <v>1.1932414698162723</v>
      </c>
      <c r="E85" s="14">
        <f>INDEX('Standard Buckling Calculations'!$G$27:$AF$30,E$45,$C85)</f>
        <v>1.9688320209973749</v>
      </c>
      <c r="F85" s="14">
        <f>INDEX('Standard Buckling Calculations'!$G$47:$AF$110,F$68,$C85)</f>
        <v>5.5916537049999999E-2</v>
      </c>
      <c r="G85" s="14">
        <f>INDEX('Standard Buckling Calculations'!$G$47:$AF$110,G$45,$C85)</f>
        <v>0.406993192</v>
      </c>
      <c r="H85" s="14">
        <f>INDEX('Standard Buckling Calculations'!$G$47:$AF$110,H$68,$C85)</f>
        <v>0.41823714449999999</v>
      </c>
      <c r="I85" s="14">
        <f>INDEX('Standard Buckling Calculations'!$G$89:$AF$91,I$45,$C85)</f>
        <v>29.57051318197448</v>
      </c>
      <c r="J85" s="14">
        <f>INDEX('Standard Buckling Calculations'!$G$89:$AF$91,J$45,$C85)</f>
        <v>33.55279381905676</v>
      </c>
      <c r="K85" s="14">
        <f>INDEX('Standard Buckling Calculations'!$G$89:$AF$91,K$45,$C85)</f>
        <v>19.566224666440515</v>
      </c>
      <c r="L85" s="14">
        <f t="shared" si="9"/>
        <v>0.18909559230810191</v>
      </c>
      <c r="M85" s="14">
        <f t="shared" si="10"/>
        <v>1.2129934520351111</v>
      </c>
      <c r="N85" s="14">
        <f t="shared" si="11"/>
        <v>2.1375464691323387</v>
      </c>
      <c r="O85" s="14">
        <f t="shared" si="12"/>
        <v>2.1375464691323387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Calculations'!$G$27:$AF$30,D$45,$C86)</f>
        <v>2.8435039370078763</v>
      </c>
      <c r="E86" s="14">
        <f>INDEX('Standard Buckling Calculations'!$G$27:$AF$30,E$45,$C86)</f>
        <v>2.296587926509186</v>
      </c>
      <c r="F86" s="14">
        <f>INDEX('Standard Buckling Calculations'!$G$47:$AF$110,F$68,$C86)</f>
        <v>0.33511206649999997</v>
      </c>
      <c r="G86" s="14">
        <f>INDEX('Standard Buckling Calculations'!$G$47:$AF$110,G$45,$C86)</f>
        <v>6.9258420599999999</v>
      </c>
      <c r="H86" s="14">
        <f>INDEX('Standard Buckling Calculations'!$G$47:$AF$110,H$68,$C86)</f>
        <v>0.1227565679</v>
      </c>
      <c r="I86" s="14">
        <f>INDEX('Standard Buckling Calculations'!$G$89:$AF$91,I$45,$C86)</f>
        <v>11.725729431425846</v>
      </c>
      <c r="J86" s="14">
        <f>INDEX('Standard Buckling Calculations'!$G$89:$AF$91,J$45,$C86)</f>
        <v>9.6873091901097865</v>
      </c>
      <c r="K86" s="14">
        <f>INDEX('Standard Buckling Calculations'!$G$89:$AF$91,K$45,$C86)</f>
        <v>12.560099920520853</v>
      </c>
      <c r="L86" s="14">
        <f t="shared" si="9"/>
        <v>2.8579208522573802</v>
      </c>
      <c r="M86" s="14">
        <f t="shared" si="10"/>
        <v>71.493971381350221</v>
      </c>
      <c r="N86" s="14">
        <f t="shared" si="11"/>
        <v>0.97735343410316933</v>
      </c>
      <c r="O86" s="14">
        <f t="shared" si="12"/>
        <v>71.493971381350221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42" t="s">
        <v>341</v>
      </c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  <c r="P90" s="242"/>
      <c r="Q90" s="169"/>
    </row>
    <row r="91" spans="1:19" ht="13.8" x14ac:dyDescent="0.3">
      <c r="C91" s="235" t="s">
        <v>255</v>
      </c>
      <c r="D91" s="235"/>
      <c r="E91" s="235"/>
      <c r="F91" s="235" t="s">
        <v>250</v>
      </c>
      <c r="G91" s="235"/>
      <c r="H91" s="235"/>
      <c r="I91" s="235" t="s">
        <v>249</v>
      </c>
      <c r="J91" s="235"/>
      <c r="K91" s="235"/>
      <c r="L91" s="232" t="s">
        <v>194</v>
      </c>
      <c r="M91" s="233"/>
      <c r="N91" s="233"/>
      <c r="O91" s="234"/>
      <c r="P91" s="230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31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Calculations'!$G$27:$AF$30,D$45,$C95)</f>
        <v>8.8162729658792678</v>
      </c>
      <c r="E95" s="14">
        <f>INDEX('Standard Buckling Calculations'!$G$27:$AF$30,E$45,$C95)</f>
        <v>2.296587926509186</v>
      </c>
      <c r="F95" s="14">
        <f>INDEX('Standard Buckling Calculations'!$G$47:$AF$110,F$68,$C95)</f>
        <v>0.45725526699999997</v>
      </c>
      <c r="G95" s="14">
        <f>INDEX('Standard Buckling Calculations'!$G$47:$AF$110,G$45,$C95)</f>
        <v>0.49883259600000002</v>
      </c>
      <c r="H95" s="14">
        <f>INDEX('Standard Buckling Calculations'!$G$47:$AF$110,H$68,$C95)</f>
        <v>0.68469829399999993</v>
      </c>
      <c r="I95" s="14">
        <f>INDEX('Standard Buckling Calculations'!$G$89:$AF$91,I$45,$C95)</f>
        <v>26.91137000670091</v>
      </c>
      <c r="J95" s="14">
        <f>INDEX('Standard Buckling Calculations'!$G$89:$AF$91,J$45,$C95)</f>
        <v>14.608305713501958</v>
      </c>
      <c r="K95" s="14">
        <f>INDEX('Standard Buckling Calculations'!$G$89:$AF$91,K$45,$C95)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Calculations'!$G$188:$AF$188,$O$89,C95)*100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Calculations'!$G$27:$AF$30,D$45,$C96)</f>
        <v>8.6706036745406792</v>
      </c>
      <c r="E96" s="14">
        <f>INDEX('Standard Buckling Calculations'!$G$27:$AF$30,E$45,$C96)</f>
        <v>2.296587926509186</v>
      </c>
      <c r="F96" s="14">
        <f>INDEX('Standard Buckling Calculations'!$G$47:$AF$110,F$68,$C96)</f>
        <v>0.30177022999999997</v>
      </c>
      <c r="G96" s="14">
        <f>INDEX('Standard Buckling Calculations'!$G$47:$AF$110,G$45,$C96)</f>
        <v>1.935779725</v>
      </c>
      <c r="H96" s="14">
        <f>INDEX('Standard Buckling Calculations'!$G$47:$AF$110,H$68,$C96)</f>
        <v>1.0442359294999999</v>
      </c>
      <c r="I96" s="14">
        <f>INDEX('Standard Buckling Calculations'!$G$89:$AF$91,I$45,$C96)</f>
        <v>19.542882385709742</v>
      </c>
      <c r="J96" s="14">
        <f>INDEX('Standard Buckling Calculations'!$G$89:$AF$91,J$45,$C96)</f>
        <v>10.456970626796092</v>
      </c>
      <c r="K96" s="14">
        <f>INDEX('Standard Buckling Calculations'!$G$89:$AF$91,K$45,$C96)</f>
        <v>16.669904324429531</v>
      </c>
      <c r="L96" s="219">
        <f t="shared" si="14"/>
        <v>1.5441439192238198</v>
      </c>
      <c r="M96" s="219">
        <f t="shared" si="15"/>
        <v>18.511859639727255</v>
      </c>
      <c r="N96" s="219">
        <f t="shared" si="16"/>
        <v>6.2641986971076102</v>
      </c>
      <c r="O96" s="220">
        <f>INDEX('Standard Buckling Calculations'!$G$188:$AF$188,$O$89,C96)*100</f>
        <v>24.745267957874471</v>
      </c>
      <c r="P96" s="221">
        <f t="shared" si="17"/>
        <v>24.745267957874471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Calculations'!$G$27:$AF$30,D$45,$C97)</f>
        <v>8.9996719160104934</v>
      </c>
      <c r="E97" s="14">
        <f>INDEX('Standard Buckling Calculations'!$G$27:$AF$30,E$45,$C97)</f>
        <v>2.296587926509186</v>
      </c>
      <c r="F97" s="14">
        <f>INDEX('Standard Buckling Calculations'!$G$47:$AF$110,F$68,$C97)</f>
        <v>0.60824092500000004</v>
      </c>
      <c r="G97" s="14">
        <f>INDEX('Standard Buckling Calculations'!$G$47:$AF$110,G$45,$C97)</f>
        <v>2.9807090299999999</v>
      </c>
      <c r="H97" s="14">
        <f>INDEX('Standard Buckling Calculations'!$G$47:$AF$110,H$68,$C97)</f>
        <v>2.204107155</v>
      </c>
      <c r="I97" s="14">
        <f>INDEX('Standard Buckling Calculations'!$G$89:$AF$91,I$45,$C97)</f>
        <v>19.542882385709742</v>
      </c>
      <c r="J97" s="14">
        <f>INDEX('Standard Buckling Calculations'!$G$89:$AF$91,J$45,$C97)</f>
        <v>10.40775511057663</v>
      </c>
      <c r="K97" s="14">
        <f>INDEX('Standard Buckling Calculations'!$G$89:$AF$91,K$45,$C97)</f>
        <v>16.653178097029407</v>
      </c>
      <c r="L97" s="219">
        <f t="shared" si="14"/>
        <v>3.1123398943687111</v>
      </c>
      <c r="M97" s="219">
        <f t="shared" si="15"/>
        <v>28.639307884665023</v>
      </c>
      <c r="N97" s="219">
        <f t="shared" si="16"/>
        <v>13.235354490042766</v>
      </c>
      <c r="O97" s="220">
        <f>INDEX('Standard Buckling Calculations'!$G$188:$AF$188,$O$89,C97)*100</f>
        <v>39.624865350142876</v>
      </c>
      <c r="P97" s="221">
        <f t="shared" si="17"/>
        <v>39.624865350142876</v>
      </c>
    </row>
    <row r="98" spans="1:17" ht="13.8" x14ac:dyDescent="0.3">
      <c r="C98" s="175">
        <f t="shared" si="18"/>
        <v>4</v>
      </c>
      <c r="D98" s="14">
        <f>INDEX('Standard Buckling Calculations'!$G$27:$AF$30,D$45,$C98)</f>
        <v>5.4258530183727034</v>
      </c>
      <c r="E98" s="14">
        <f>INDEX('Standard Buckling Calculations'!$G$27:$AF$30,E$45,$C98)</f>
        <v>2.296587926509186</v>
      </c>
      <c r="F98" s="14">
        <f>INDEX('Standard Buckling Calculations'!$G$47:$AF$110,F$68,$C98)</f>
        <v>0.821525485</v>
      </c>
      <c r="G98" s="14">
        <f>INDEX('Standard Buckling Calculations'!$G$47:$AF$110,G$45,$C98)</f>
        <v>4.471030485</v>
      </c>
      <c r="H98" s="14">
        <f>INDEX('Standard Buckling Calculations'!$G$47:$AF$110,H$68,$C98)</f>
        <v>0.71498234149999995</v>
      </c>
      <c r="I98" s="14">
        <f>INDEX('Standard Buckling Calculations'!$G$89:$AF$91,I$45,$C98)</f>
        <v>25.328640945357687</v>
      </c>
      <c r="J98" s="14">
        <f>INDEX('Standard Buckling Calculations'!$G$89:$AF$91,J$45,$C98)</f>
        <v>14.97866300075553</v>
      </c>
      <c r="K98" s="14">
        <f>INDEX('Standard Buckling Calculations'!$G$89:$AF$91,K$45,$C98)</f>
        <v>18.576812542382989</v>
      </c>
      <c r="L98" s="219">
        <f t="shared" si="14"/>
        <v>3.2434645300247413</v>
      </c>
      <c r="M98" s="219">
        <f t="shared" si="15"/>
        <v>29.849329574839086</v>
      </c>
      <c r="N98" s="219">
        <f t="shared" si="16"/>
        <v>3.8487891282143702</v>
      </c>
      <c r="O98" s="220">
        <f>INDEX('Standard Buckling Calculations'!$G$188:$AF$188,$O$89,C98)*100</f>
        <v>32.215838827212949</v>
      </c>
      <c r="P98" s="221">
        <f t="shared" si="17"/>
        <v>32.215838827212949</v>
      </c>
    </row>
    <row r="99" spans="1:17" ht="13.8" x14ac:dyDescent="0.3">
      <c r="C99" s="175">
        <f t="shared" si="18"/>
        <v>5</v>
      </c>
      <c r="D99" s="14">
        <f>INDEX('Standard Buckling Calculations'!$G$27:$AF$30,D$45,$C99)</f>
        <v>6.0262467191601026</v>
      </c>
      <c r="E99" s="14">
        <f>INDEX('Standard Buckling Calculations'!$G$27:$AF$30,E$45,$C99)</f>
        <v>2.296587926509186</v>
      </c>
      <c r="F99" s="14">
        <f>INDEX('Standard Buckling Calculations'!$G$47:$AF$110,F$68,$C99)</f>
        <v>3.6705746599999998E-3</v>
      </c>
      <c r="G99" s="14">
        <f>INDEX('Standard Buckling Calculations'!$G$47:$AF$110,G$45,$C99)</f>
        <v>5.8270859999999995</v>
      </c>
      <c r="H99" s="14">
        <f>INDEX('Standard Buckling Calculations'!$G$47:$AF$110,H$68,$C99)</f>
        <v>0.79147085650000004</v>
      </c>
      <c r="I99" s="14">
        <f>INDEX('Standard Buckling Calculations'!$G$89:$AF$91,I$45,$C99)</f>
        <v>23.451458862851691</v>
      </c>
      <c r="J99" s="14">
        <f>INDEX('Standard Buckling Calculations'!$G$89:$AF$91,J$45,$C99)</f>
        <v>13.428719860913771</v>
      </c>
      <c r="K99" s="14">
        <f>INDEX('Standard Buckling Calculations'!$G$89:$AF$91,K$45,$C99)</f>
        <v>18.163135241507121</v>
      </c>
      <c r="L99" s="219">
        <f t="shared" si="14"/>
        <v>1.5651796681247738E-2</v>
      </c>
      <c r="M99" s="219">
        <f t="shared" si="15"/>
        <v>43.392713976859213</v>
      </c>
      <c r="N99" s="219">
        <f t="shared" si="16"/>
        <v>4.3575673801695833</v>
      </c>
      <c r="O99" s="220">
        <f>INDEX('Standard Buckling Calculations'!$G$188:$AF$188,$O$89,C99)*100</f>
        <v>51.242614074071099</v>
      </c>
      <c r="P99" s="221">
        <f t="shared" si="17"/>
        <v>51.242614074071099</v>
      </c>
    </row>
    <row r="100" spans="1:17" ht="13.8" x14ac:dyDescent="0.3">
      <c r="C100" s="175">
        <f t="shared" si="18"/>
        <v>6</v>
      </c>
      <c r="D100" s="14">
        <f>INDEX('Standard Buckling Calculations'!$G$27:$AF$30,D$45,$C100)</f>
        <v>7.3218503937007897</v>
      </c>
      <c r="E100" s="14">
        <f>INDEX('Standard Buckling Calculations'!$G$27:$AF$30,E$45,$C100)</f>
        <v>2.296587926509186</v>
      </c>
      <c r="F100" s="14">
        <f>INDEX('Standard Buckling Calculations'!$G$47:$AF$110,F$68,$C100)</f>
        <v>0.47063166200000001</v>
      </c>
      <c r="G100" s="14">
        <f>INDEX('Standard Buckling Calculations'!$G$47:$AF$110,G$45,$C100)</f>
        <v>6.3806671449999994</v>
      </c>
      <c r="H100" s="14">
        <f>INDEX('Standard Buckling Calculations'!$G$47:$AF$110,H$68,$C100)</f>
        <v>0.53223286749999998</v>
      </c>
      <c r="I100" s="14">
        <f>INDEX('Standard Buckling Calculations'!$G$89:$AF$91,I$45,$C100)</f>
        <v>23.451458862851691</v>
      </c>
      <c r="J100" s="14">
        <f>INDEX('Standard Buckling Calculations'!$G$89:$AF$91,J$45,$C100)</f>
        <v>12.879353535965326</v>
      </c>
      <c r="K100" s="14">
        <f>INDEX('Standard Buckling Calculations'!$G$89:$AF$91,K$45,$C100)</f>
        <v>18.076950679529265</v>
      </c>
      <c r="L100" s="219">
        <f t="shared" si="14"/>
        <v>2.006833198532926</v>
      </c>
      <c r="M100" s="219">
        <f t="shared" si="15"/>
        <v>49.541827756976467</v>
      </c>
      <c r="N100" s="219">
        <f t="shared" si="16"/>
        <v>2.9442624308463272</v>
      </c>
      <c r="O100" s="220">
        <f>INDEX('Standard Buckling Calculations'!$G$188:$AF$188,$O$89,C100)*100</f>
        <v>61.352196200847722</v>
      </c>
      <c r="P100" s="221">
        <f t="shared" si="17"/>
        <v>61.352196200847722</v>
      </c>
    </row>
    <row r="101" spans="1:17" ht="13.8" x14ac:dyDescent="0.3">
      <c r="C101" s="175">
        <f t="shared" si="18"/>
        <v>7</v>
      </c>
      <c r="D101" s="14">
        <f>INDEX('Standard Buckling Calculations'!$G$27:$AF$30,D$45,$C101)</f>
        <v>9.6938976377952741</v>
      </c>
      <c r="E101" s="14">
        <f>INDEX('Standard Buckling Calculations'!$G$27:$AF$30,E$45,$C101)</f>
        <v>2.296587926509186</v>
      </c>
      <c r="F101" s="14">
        <f>INDEX('Standard Buckling Calculations'!$G$47:$AF$110,F$68,$C101)</f>
        <v>0.54798418849999997</v>
      </c>
      <c r="G101" s="14">
        <f>INDEX('Standard Buckling Calculations'!$G$47:$AF$110,G$45,$C101)</f>
        <v>6.7421386600000002</v>
      </c>
      <c r="H101" s="14">
        <f>INDEX('Standard Buckling Calculations'!$G$47:$AF$110,H$68,$C101)</f>
        <v>0.16778906999999998</v>
      </c>
      <c r="I101" s="14">
        <f>INDEX('Standard Buckling Calculations'!$G$89:$AF$91,I$45,$C101)</f>
        <v>23.451458862851691</v>
      </c>
      <c r="J101" s="14">
        <f>INDEX('Standard Buckling Calculations'!$G$89:$AF$91,J$45,$C101)</f>
        <v>12.383855607184264</v>
      </c>
      <c r="K101" s="14">
        <f>INDEX('Standard Buckling Calculations'!$G$89:$AF$91,K$45,$C101)</f>
        <v>17.992828432738133</v>
      </c>
      <c r="L101" s="219">
        <f t="shared" si="14"/>
        <v>2.3366741988407167</v>
      </c>
      <c r="M101" s="219">
        <f t="shared" si="15"/>
        <v>54.442968925515203</v>
      </c>
      <c r="N101" s="219">
        <f t="shared" si="16"/>
        <v>0.93253304019009087</v>
      </c>
      <c r="O101" s="220">
        <f>INDEX('Standard Buckling Calculations'!$G$188:$AF$188,$O$89,C101)*100</f>
        <v>73.589518179283104</v>
      </c>
      <c r="P101" s="222">
        <f t="shared" si="17"/>
        <v>73.589518179283104</v>
      </c>
    </row>
    <row r="102" spans="1:17" ht="13.8" x14ac:dyDescent="0.3">
      <c r="C102" s="175">
        <f t="shared" si="18"/>
        <v>8</v>
      </c>
      <c r="D102" s="14">
        <f>INDEX('Standard Buckling Calculations'!$G$27:$AF$30,D$45,$C102)</f>
        <v>7.21259842519685</v>
      </c>
      <c r="E102" s="14">
        <f>INDEX('Standard Buckling Calculations'!$G$27:$AF$30,E$45,$C102)</f>
        <v>2.296587926509186</v>
      </c>
      <c r="F102" s="14">
        <f>INDEX('Standard Buckling Calculations'!$G$47:$AF$110,F$68,$C102)</f>
        <v>3.6049640449999996</v>
      </c>
      <c r="G102" s="14">
        <f>INDEX('Standard Buckling Calculations'!$G$47:$AF$110,G$45,$C102)</f>
        <v>3.9942993399999995</v>
      </c>
      <c r="H102" s="14">
        <f>INDEX('Standard Buckling Calculations'!$G$47:$AF$110,H$68,$C102)</f>
        <v>0.63903341499999999</v>
      </c>
      <c r="I102" s="14">
        <f>INDEX('Standard Buckling Calculations'!$G$89:$AF$91,I$45,$C102)</f>
        <v>23.451458862851691</v>
      </c>
      <c r="J102" s="14">
        <f>INDEX('Standard Buckling Calculations'!$G$89:$AF$91,J$45,$C102)</f>
        <v>12.914566992252855</v>
      </c>
      <c r="K102" s="14">
        <f>INDEX('Standard Buckling Calculations'!$G$89:$AF$91,K$45,$C102)</f>
        <v>18.08269076925432</v>
      </c>
      <c r="L102" s="219">
        <f t="shared" si="14"/>
        <v>15.37202468333621</v>
      </c>
      <c r="M102" s="219">
        <f t="shared" si="15"/>
        <v>30.928635411439547</v>
      </c>
      <c r="N102" s="219">
        <f t="shared" si="16"/>
        <v>3.533950910041205</v>
      </c>
      <c r="O102" s="220">
        <f>INDEX('Standard Buckling Calculations'!$G$188:$AF$188,$O$89,C102)*100</f>
        <v>37.769645843655105</v>
      </c>
      <c r="P102" s="221">
        <f t="shared" si="17"/>
        <v>37.769645843655105</v>
      </c>
    </row>
    <row r="103" spans="1:17" ht="13.8" x14ac:dyDescent="0.3">
      <c r="C103" s="175">
        <f t="shared" si="18"/>
        <v>9</v>
      </c>
      <c r="D103" s="14">
        <f>INDEX('Standard Buckling Calculations'!$G$27:$AF$30,D$45,$C103)</f>
        <v>6.1502624671915997</v>
      </c>
      <c r="E103" s="14">
        <f>INDEX('Standard Buckling Calculations'!$G$27:$AF$30,E$45,$C103)</f>
        <v>2.296587926509186</v>
      </c>
      <c r="F103" s="14">
        <f>INDEX('Standard Buckling Calculations'!$G$47:$AF$110,F$68,$C103)</f>
        <v>0.54409868149999996</v>
      </c>
      <c r="G103" s="14">
        <f>INDEX('Standard Buckling Calculations'!$G$47:$AF$110,G$45,$C103)</f>
        <v>3.8200350049999994</v>
      </c>
      <c r="H103" s="14">
        <f>INDEX('Standard Buckling Calculations'!$G$47:$AF$110,H$68,$C103)</f>
        <v>1.216189907</v>
      </c>
      <c r="I103" s="14">
        <f>INDEX('Standard Buckling Calculations'!$G$89:$AF$91,I$45,$C103)</f>
        <v>26.91137000670091</v>
      </c>
      <c r="J103" s="14">
        <f>INDEX('Standard Buckling Calculations'!$G$89:$AF$91,J$45,$C103)</f>
        <v>15.587521914466711</v>
      </c>
      <c r="K103" s="14">
        <f>INDEX('Standard Buckling Calculations'!$G$89:$AF$91,K$45,$C103)</f>
        <v>18.78985483916939</v>
      </c>
      <c r="L103" s="219">
        <f t="shared" si="14"/>
        <v>2.0218171031966037</v>
      </c>
      <c r="M103" s="219">
        <f t="shared" si="15"/>
        <v>24.507006475831425</v>
      </c>
      <c r="N103" s="219">
        <f t="shared" si="16"/>
        <v>6.4725880929358048</v>
      </c>
      <c r="O103" s="220">
        <f>INDEX('Standard Buckling Calculations'!$G$188:$AF$188,$O$89,C103)*100</f>
        <v>27.641026506884014</v>
      </c>
      <c r="P103" s="221">
        <f t="shared" si="17"/>
        <v>27.641026506884014</v>
      </c>
    </row>
    <row r="104" spans="1:17" ht="13.8" x14ac:dyDescent="0.3">
      <c r="C104" s="175">
        <f t="shared" si="18"/>
        <v>10</v>
      </c>
      <c r="D104" s="14">
        <f>INDEX('Standard Buckling Calculations'!$G$27:$AF$30,D$45,$C104)</f>
        <v>6.0892388451443571</v>
      </c>
      <c r="E104" s="14">
        <f>INDEX('Standard Buckling Calculations'!$G$27:$AF$30,E$45,$C104)</f>
        <v>1.9685039370078738</v>
      </c>
      <c r="F104" s="14">
        <f>INDEX('Standard Buckling Calculations'!$G$47:$AF$110,F$68,$C104)</f>
        <v>0.13096294875</v>
      </c>
      <c r="G104" s="14">
        <f>INDEX('Standard Buckling Calculations'!$G$47:$AF$110,G$45,$C104)</f>
        <v>0.96035103700000002</v>
      </c>
      <c r="H104" s="14">
        <f>INDEX('Standard Buckling Calculations'!$G$47:$AF$110,H$68,$C104)</f>
        <v>0.16611479849999997</v>
      </c>
      <c r="I104" s="14">
        <f>INDEX('Standard Buckling Calculations'!$G$89:$AF$91,I$45,$C104)</f>
        <v>30.481300318382239</v>
      </c>
      <c r="J104" s="14">
        <f>INDEX('Standard Buckling Calculations'!$G$89:$AF$91,J$45,$C104)</f>
        <v>18.887098935039223</v>
      </c>
      <c r="K104" s="14">
        <f>INDEX('Standard Buckling Calculations'!$G$89:$AF$91,K$45,$C104)</f>
        <v>19.255352141745128</v>
      </c>
      <c r="L104" s="219">
        <f t="shared" si="14"/>
        <v>0.42965013756654169</v>
      </c>
      <c r="M104" s="219">
        <f t="shared" si="15"/>
        <v>5.0846932093862387</v>
      </c>
      <c r="N104" s="219">
        <f t="shared" si="16"/>
        <v>0.86269416044522595</v>
      </c>
      <c r="O104" s="220">
        <f>INDEX('Standard Buckling Calculations'!$G$188:$AF$188,$O$89,C104)*100</f>
        <v>5.5721364510058606</v>
      </c>
      <c r="P104" s="221">
        <f t="shared" si="17"/>
        <v>5.5721364510058606</v>
      </c>
    </row>
    <row r="105" spans="1:17" ht="13.8" x14ac:dyDescent="0.3">
      <c r="C105" s="175">
        <f t="shared" si="18"/>
        <v>11</v>
      </c>
      <c r="D105" s="14">
        <f>INDEX('Standard Buckling Calculations'!$G$27:$AF$30,D$45,$C105)</f>
        <v>8.5206692913385815</v>
      </c>
      <c r="E105" s="14">
        <f>INDEX('Standard Buckling Calculations'!$G$27:$AF$30,E$45,$C105)</f>
        <v>1.9685039370078738</v>
      </c>
      <c r="F105" s="14">
        <f>INDEX('Standard Buckling Calculations'!$G$47:$AF$110,F$68,$C105)</f>
        <v>3.6723203149999994E-2</v>
      </c>
      <c r="G105" s="14">
        <f>INDEX('Standard Buckling Calculations'!$G$47:$AF$110,G$45,$C105)</f>
        <v>2.184382805E-2</v>
      </c>
      <c r="H105" s="14">
        <f>INDEX('Standard Buckling Calculations'!$G$47:$AF$110,H$68,$C105)</f>
        <v>1.1855107199999999E-2</v>
      </c>
      <c r="I105" s="14">
        <f>INDEX('Standard Buckling Calculations'!$G$89:$AF$91,I$45,$C105)</f>
        <v>29.572913456113969</v>
      </c>
      <c r="J105" s="14">
        <f>INDEX('Standard Buckling Calculations'!$G$89:$AF$91,J$45,$C105)</f>
        <v>16.811861742454397</v>
      </c>
      <c r="K105" s="14">
        <f>INDEX('Standard Buckling Calculations'!$G$89:$AF$91,K$45,$C105)</f>
        <v>19.105492506996097</v>
      </c>
      <c r="L105" s="219">
        <f t="shared" si="14"/>
        <v>0.12417850951512441</v>
      </c>
      <c r="M105" s="219">
        <f t="shared" si="15"/>
        <v>0.12993104740350414</v>
      </c>
      <c r="N105" s="219">
        <f t="shared" si="16"/>
        <v>6.2050780400761021E-2</v>
      </c>
      <c r="O105" s="220">
        <f>INDEX('Standard Buckling Calculations'!$G$188:$AF$188,$O$89,C105)*100</f>
        <v>0.18141415951254858</v>
      </c>
      <c r="P105" s="221">
        <f t="shared" si="17"/>
        <v>0.18141415951254858</v>
      </c>
    </row>
    <row r="106" spans="1:17" ht="13.8" x14ac:dyDescent="0.3">
      <c r="C106" s="175">
        <f t="shared" si="18"/>
        <v>12</v>
      </c>
      <c r="D106" s="14">
        <f>INDEX('Standard Buckling Calculations'!$G$27:$AF$30,D$45,$C106)</f>
        <v>1.1932414698162723</v>
      </c>
      <c r="E106" s="14">
        <f>INDEX('Standard Buckling Calculations'!$G$27:$AF$30,E$45,$C106)</f>
        <v>1.9688320209973749</v>
      </c>
      <c r="F106" s="14">
        <f>INDEX('Standard Buckling Calculations'!$G$47:$AF$110,F$68,$C106)</f>
        <v>5.5916537049999999E-2</v>
      </c>
      <c r="G106" s="14">
        <f>INDEX('Standard Buckling Calculations'!$G$47:$AF$110,G$45,$C106)</f>
        <v>0.406993192</v>
      </c>
      <c r="H106" s="14">
        <f>INDEX('Standard Buckling Calculations'!$G$47:$AF$110,H$68,$C106)</f>
        <v>0.41823714449999999</v>
      </c>
      <c r="I106" s="14">
        <f>INDEX('Standard Buckling Calculations'!$G$89:$AF$91,I$45,$C106)</f>
        <v>29.57051318197448</v>
      </c>
      <c r="J106" s="14">
        <f>INDEX('Standard Buckling Calculations'!$G$89:$AF$91,J$45,$C106)</f>
        <v>33.55279381905676</v>
      </c>
      <c r="K106" s="14">
        <f>INDEX('Standard Buckling Calculations'!$G$89:$AF$91,K$45,$C106)</f>
        <v>19.566224666440515</v>
      </c>
      <c r="L106" s="219">
        <f t="shared" si="14"/>
        <v>0.18909559230810191</v>
      </c>
      <c r="M106" s="219">
        <f t="shared" si="15"/>
        <v>1.2129934520351111</v>
      </c>
      <c r="N106" s="219">
        <f t="shared" si="16"/>
        <v>2.1375464691323387</v>
      </c>
      <c r="O106" s="220">
        <f>INDEX('Standard Buckling Calculations'!$G$188:$AF$188,$O$89,C106)*100</f>
        <v>2.6435970947056737</v>
      </c>
      <c r="P106" s="221">
        <f t="shared" si="17"/>
        <v>2.6435970947056737</v>
      </c>
    </row>
    <row r="107" spans="1:17" ht="13.8" x14ac:dyDescent="0.3">
      <c r="C107" s="175">
        <f t="shared" si="18"/>
        <v>13</v>
      </c>
      <c r="D107" s="14">
        <f>INDEX('Standard Buckling Calculations'!$G$27:$AF$30,D$45,$C107)</f>
        <v>2.8435039370078763</v>
      </c>
      <c r="E107" s="14">
        <f>INDEX('Standard Buckling Calculations'!$G$27:$AF$30,E$45,$C107)</f>
        <v>2.296587926509186</v>
      </c>
      <c r="F107" s="14">
        <f>INDEX('Standard Buckling Calculations'!$G$47:$AF$110,F$68,$C107)</f>
        <v>0.33511206649999997</v>
      </c>
      <c r="G107" s="14">
        <f>INDEX('Standard Buckling Calculations'!$G$47:$AF$110,G$45,$C107)</f>
        <v>6.9258420599999999</v>
      </c>
      <c r="H107" s="14">
        <f>INDEX('Standard Buckling Calculations'!$G$47:$AF$110,H$68,$C107)</f>
        <v>0.1227565679</v>
      </c>
      <c r="I107" s="14">
        <f>INDEX('Standard Buckling Calculations'!$G$89:$AF$91,I$45,$C107)</f>
        <v>11.725729431425846</v>
      </c>
      <c r="J107" s="14">
        <f>INDEX('Standard Buckling Calculations'!$G$89:$AF$91,J$45,$C107)</f>
        <v>9.6873091901097865</v>
      </c>
      <c r="K107" s="14">
        <f>INDEX('Standard Buckling Calculations'!$G$89:$AF$91,K$45,$C107)</f>
        <v>12.560099920520853</v>
      </c>
      <c r="L107" s="219">
        <f t="shared" si="14"/>
        <v>2.8579208522573802</v>
      </c>
      <c r="M107" s="219">
        <f t="shared" si="15"/>
        <v>71.493971381350221</v>
      </c>
      <c r="N107" s="219">
        <f t="shared" si="16"/>
        <v>0.97735343410316933</v>
      </c>
      <c r="O107" s="220">
        <f>INDEX('Standard Buckling Calculations'!$G$188:$AF$188,$O$89,C107)*100</f>
        <v>69.556210861656069</v>
      </c>
      <c r="P107" s="221">
        <f t="shared" si="17"/>
        <v>69.556210861656069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</mergeCells>
  <conditionalFormatting sqref="L64:L68 P95:P107 L87:L89">
    <cfRule type="cellIs" dxfId="74" priority="6" operator="greaterThan">
      <formula>100</formula>
    </cfRule>
  </conditionalFormatting>
  <conditionalFormatting sqref="L64:L68 L108 P95:P107 L87:L89">
    <cfRule type="cellIs" dxfId="73" priority="5" operator="between">
      <formula>90</formula>
      <formula>100</formula>
    </cfRule>
  </conditionalFormatting>
  <conditionalFormatting sqref="R51:S63">
    <cfRule type="cellIs" dxfId="72" priority="3" operator="lessThan">
      <formula>-10</formula>
    </cfRule>
    <cfRule type="cellIs" dxfId="71" priority="4" operator="greaterThan">
      <formula>10</formula>
    </cfRule>
  </conditionalFormatting>
  <conditionalFormatting sqref="R74:S86">
    <cfRule type="cellIs" dxfId="70" priority="1" operator="lessThan">
      <formula>-10</formula>
    </cfRule>
    <cfRule type="cellIs" dxfId="69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54" t="s">
        <v>436</v>
      </c>
      <c r="D1" s="254"/>
      <c r="E1" s="254"/>
      <c r="F1" s="254"/>
      <c r="G1" s="254" t="s">
        <v>437</v>
      </c>
      <c r="H1" s="254"/>
      <c r="I1" s="254"/>
      <c r="J1" s="254"/>
      <c r="K1" s="254" t="s">
        <v>438</v>
      </c>
      <c r="L1" s="254"/>
      <c r="M1" s="254"/>
      <c r="N1" s="254"/>
      <c r="O1" s="254" t="s">
        <v>439</v>
      </c>
      <c r="P1" s="254"/>
      <c r="Q1" s="254"/>
      <c r="R1" s="254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8" priority="3" operator="lessThan">
      <formula>0</formula>
    </cfRule>
  </conditionalFormatting>
  <conditionalFormatting sqref="C68:Q79">
    <cfRule type="cellIs" dxfId="67" priority="2" operator="lessThan">
      <formula>0</formula>
    </cfRule>
  </conditionalFormatting>
  <conditionalFormatting sqref="C107:Q108">
    <cfRule type="containsText" dxfId="66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55" t="s">
        <v>34</v>
      </c>
      <c r="D5" s="255"/>
      <c r="E5" s="255"/>
      <c r="F5" s="255"/>
      <c r="G5" s="255"/>
      <c r="H5" s="255"/>
      <c r="I5" s="155" t="s">
        <v>33</v>
      </c>
      <c r="J5" s="255" t="s">
        <v>34</v>
      </c>
      <c r="K5" s="255"/>
      <c r="L5" s="255"/>
      <c r="M5" s="255"/>
      <c r="N5" s="255"/>
      <c r="O5" s="255"/>
      <c r="P5" s="155" t="s">
        <v>33</v>
      </c>
      <c r="Q5" s="255" t="s">
        <v>34</v>
      </c>
      <c r="R5" s="255"/>
      <c r="S5" s="255"/>
      <c r="T5" s="255"/>
      <c r="U5" s="255"/>
      <c r="V5" s="255"/>
      <c r="W5" s="155" t="s">
        <v>33</v>
      </c>
      <c r="X5" s="255" t="s">
        <v>34</v>
      </c>
      <c r="Y5" s="255"/>
      <c r="Z5" s="255"/>
      <c r="AA5" s="255"/>
      <c r="AB5" s="255"/>
      <c r="AC5" s="255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55" t="s">
        <v>34</v>
      </c>
      <c r="D5" s="255"/>
      <c r="E5" s="255"/>
      <c r="F5" s="255"/>
      <c r="G5" s="255"/>
      <c r="H5" s="255"/>
      <c r="I5" s="155" t="s">
        <v>33</v>
      </c>
      <c r="J5" s="255" t="s">
        <v>34</v>
      </c>
      <c r="K5" s="255"/>
      <c r="L5" s="255"/>
      <c r="M5" s="255"/>
      <c r="N5" s="255"/>
      <c r="O5" s="255"/>
      <c r="P5" s="155" t="s">
        <v>33</v>
      </c>
      <c r="Q5" s="255" t="s">
        <v>34</v>
      </c>
      <c r="R5" s="255"/>
      <c r="S5" s="255"/>
      <c r="T5" s="255"/>
      <c r="U5" s="255"/>
      <c r="V5" s="255"/>
      <c r="W5" s="155" t="s">
        <v>33</v>
      </c>
      <c r="X5" s="255" t="s">
        <v>34</v>
      </c>
      <c r="Y5" s="255"/>
      <c r="Z5" s="255"/>
      <c r="AA5" s="255"/>
      <c r="AB5" s="255"/>
      <c r="AC5" s="255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56">
        <v>21</v>
      </c>
      <c r="H6" s="257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56">
        <v>21</v>
      </c>
      <c r="H6" s="257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L202"/>
  <sheetViews>
    <sheetView tabSelected="1" topLeftCell="E51" zoomScale="130" zoomScaleNormal="130" workbookViewId="0">
      <selection activeCell="H58" sqref="H58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7" width="13.44140625" style="18" customWidth="1"/>
    <col min="8" max="8" width="18.88671875" style="18" bestFit="1" customWidth="1"/>
    <col min="9" max="9" width="23.5546875" style="18" customWidth="1"/>
    <col min="10" max="10" width="22.5546875" style="18" customWidth="1"/>
    <col min="11" max="11" width="18.88671875" style="18" bestFit="1" customWidth="1"/>
    <col min="12" max="12" width="15" style="18" customWidth="1"/>
    <col min="13" max="15" width="18.88671875" style="18" bestFit="1" customWidth="1"/>
    <col min="16" max="16" width="24" style="18" customWidth="1"/>
    <col min="17" max="17" width="19.109375" style="18" bestFit="1" customWidth="1"/>
    <col min="18" max="18" width="19.5546875" style="18" bestFit="1" customWidth="1"/>
    <col min="19" max="21" width="18.88671875" style="18" bestFit="1" customWidth="1"/>
    <col min="22" max="22" width="18.88671875" style="18" customWidth="1"/>
    <col min="23" max="23" width="17" style="18" customWidth="1"/>
    <col min="24" max="24" width="15.44140625" style="18" customWidth="1"/>
    <col min="25" max="25" width="16.44140625" style="18" customWidth="1"/>
    <col min="26" max="26" width="15.5546875" style="18" bestFit="1" customWidth="1"/>
    <col min="27" max="27" width="16.44140625" style="18" customWidth="1"/>
    <col min="28" max="28" width="15.44140625" style="18" customWidth="1"/>
    <col min="29" max="29" width="15" style="18" customWidth="1"/>
    <col min="30" max="30" width="14.6640625" style="18" customWidth="1"/>
    <col min="31" max="32" width="15.5546875" style="18" bestFit="1" customWidth="1"/>
    <col min="33" max="16384" width="9.109375" style="18"/>
  </cols>
  <sheetData>
    <row r="1" spans="1:20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</row>
    <row r="2" spans="1:20" ht="13.5" customHeight="1" thickBot="1" x14ac:dyDescent="0.45">
      <c r="A2" s="19"/>
      <c r="B2" s="19"/>
      <c r="C2" s="17"/>
      <c r="D2" s="17"/>
      <c r="E2" s="17"/>
      <c r="F2" s="17"/>
      <c r="G2" s="17"/>
      <c r="H2" s="17"/>
    </row>
    <row r="3" spans="1:20" ht="15.75" customHeight="1" x14ac:dyDescent="0.4">
      <c r="A3" s="20" t="s">
        <v>19</v>
      </c>
      <c r="B3" s="21"/>
      <c r="C3" s="22"/>
      <c r="G3" s="23" t="s">
        <v>346</v>
      </c>
      <c r="H3" s="225">
        <v>0.14503769999999999</v>
      </c>
      <c r="I3" s="24" t="s">
        <v>69</v>
      </c>
    </row>
    <row r="4" spans="1:20" ht="15.75" customHeight="1" x14ac:dyDescent="0.3">
      <c r="A4" s="25" t="s">
        <v>20</v>
      </c>
      <c r="B4" s="25"/>
      <c r="C4" s="26"/>
      <c r="G4" s="27" t="s">
        <v>347</v>
      </c>
      <c r="H4" s="226">
        <v>101325</v>
      </c>
      <c r="I4" s="28" t="s">
        <v>293</v>
      </c>
    </row>
    <row r="5" spans="1:20" x14ac:dyDescent="0.3">
      <c r="A5" s="29" t="s">
        <v>21</v>
      </c>
      <c r="B5" s="30" t="s">
        <v>348</v>
      </c>
      <c r="G5" s="27" t="s">
        <v>294</v>
      </c>
      <c r="H5" s="226">
        <v>1025</v>
      </c>
      <c r="I5" s="28" t="s">
        <v>295</v>
      </c>
    </row>
    <row r="6" spans="1:20" x14ac:dyDescent="0.3">
      <c r="A6" s="29" t="s">
        <v>22</v>
      </c>
      <c r="B6" s="30" t="s">
        <v>349</v>
      </c>
      <c r="G6" s="27" t="s">
        <v>350</v>
      </c>
      <c r="H6" s="226">
        <v>9.81</v>
      </c>
      <c r="I6" s="28" t="s">
        <v>351</v>
      </c>
    </row>
    <row r="7" spans="1:20" x14ac:dyDescent="0.3">
      <c r="A7" s="29" t="s">
        <v>24</v>
      </c>
      <c r="B7" s="31">
        <v>42373</v>
      </c>
      <c r="G7" s="32" t="s">
        <v>301</v>
      </c>
      <c r="H7" s="227">
        <v>1.45038E-4</v>
      </c>
      <c r="I7" s="33" t="s">
        <v>302</v>
      </c>
    </row>
    <row r="8" spans="1:20" ht="15" thickBot="1" x14ac:dyDescent="0.35">
      <c r="A8" s="29" t="s">
        <v>25</v>
      </c>
      <c r="B8" s="30" t="s">
        <v>107</v>
      </c>
      <c r="G8" s="34" t="s">
        <v>303</v>
      </c>
      <c r="H8" s="228">
        <v>1E-3</v>
      </c>
      <c r="I8" s="35" t="s">
        <v>69</v>
      </c>
    </row>
    <row r="9" spans="1:20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</row>
    <row r="10" spans="1:20" ht="19.5" customHeight="1" x14ac:dyDescent="0.3">
      <c r="A10" s="39"/>
      <c r="B10" s="39"/>
      <c r="C10" s="39"/>
      <c r="E10" s="37"/>
    </row>
    <row r="12" spans="1:20" x14ac:dyDescent="0.3">
      <c r="A12" s="40" t="s">
        <v>27</v>
      </c>
      <c r="B12" s="40"/>
    </row>
    <row r="13" spans="1:20" x14ac:dyDescent="0.3">
      <c r="A13" s="41" t="s">
        <v>28</v>
      </c>
      <c r="B13" s="42" t="s">
        <v>18</v>
      </c>
    </row>
    <row r="14" spans="1:20" x14ac:dyDescent="0.3">
      <c r="A14" s="43">
        <v>1</v>
      </c>
      <c r="B14" s="44" t="s">
        <v>108</v>
      </c>
    </row>
    <row r="15" spans="1:20" x14ac:dyDescent="0.3">
      <c r="A15" s="43"/>
      <c r="B15" s="44"/>
      <c r="M15" s="45"/>
      <c r="N15" s="45"/>
      <c r="O15" s="45"/>
      <c r="P15" s="45"/>
    </row>
    <row r="18" spans="1:38" x14ac:dyDescent="0.3">
      <c r="A18" s="40" t="s">
        <v>352</v>
      </c>
      <c r="B18" s="40"/>
    </row>
    <row r="19" spans="1:38" x14ac:dyDescent="0.3">
      <c r="A19" s="18" t="s">
        <v>353</v>
      </c>
      <c r="B19" s="18" t="s">
        <v>354</v>
      </c>
    </row>
    <row r="20" spans="1:38" x14ac:dyDescent="0.3">
      <c r="A20" s="18" t="s">
        <v>355</v>
      </c>
      <c r="B20" s="18" t="s">
        <v>356</v>
      </c>
    </row>
    <row r="21" spans="1:38" x14ac:dyDescent="0.3">
      <c r="A21" s="18" t="s">
        <v>357</v>
      </c>
      <c r="B21" s="18" t="s">
        <v>358</v>
      </c>
    </row>
    <row r="25" spans="1:38" x14ac:dyDescent="0.3">
      <c r="F25" s="46" t="s">
        <v>359</v>
      </c>
      <c r="G25" s="224">
        <v>1</v>
      </c>
      <c r="H25" s="224">
        <f>G25+1</f>
        <v>2</v>
      </c>
      <c r="I25" s="224">
        <f t="shared" ref="I25:AF25" si="0">H25+1</f>
        <v>3</v>
      </c>
      <c r="J25" s="224">
        <f t="shared" si="0"/>
        <v>4</v>
      </c>
      <c r="K25" s="224">
        <f t="shared" si="0"/>
        <v>5</v>
      </c>
      <c r="L25" s="224">
        <f t="shared" si="0"/>
        <v>6</v>
      </c>
      <c r="M25" s="224">
        <f t="shared" si="0"/>
        <v>7</v>
      </c>
      <c r="N25" s="224">
        <f t="shared" si="0"/>
        <v>8</v>
      </c>
      <c r="O25" s="224">
        <f t="shared" si="0"/>
        <v>9</v>
      </c>
      <c r="P25" s="224">
        <f t="shared" si="0"/>
        <v>10</v>
      </c>
      <c r="Q25" s="224">
        <f t="shared" si="0"/>
        <v>11</v>
      </c>
      <c r="R25" s="224">
        <f t="shared" si="0"/>
        <v>12</v>
      </c>
      <c r="S25" s="224">
        <f t="shared" si="0"/>
        <v>13</v>
      </c>
      <c r="T25" s="224">
        <f t="shared" si="0"/>
        <v>14</v>
      </c>
      <c r="U25" s="224">
        <f t="shared" si="0"/>
        <v>15</v>
      </c>
      <c r="V25" s="224">
        <f t="shared" si="0"/>
        <v>16</v>
      </c>
      <c r="W25" s="224">
        <f t="shared" si="0"/>
        <v>17</v>
      </c>
      <c r="X25" s="224">
        <f t="shared" si="0"/>
        <v>18</v>
      </c>
      <c r="Y25" s="224">
        <f t="shared" si="0"/>
        <v>19</v>
      </c>
      <c r="Z25" s="224">
        <f t="shared" si="0"/>
        <v>20</v>
      </c>
      <c r="AA25" s="224">
        <f t="shared" si="0"/>
        <v>21</v>
      </c>
      <c r="AB25" s="224">
        <f t="shared" si="0"/>
        <v>22</v>
      </c>
      <c r="AC25" s="224">
        <f t="shared" si="0"/>
        <v>23</v>
      </c>
      <c r="AD25" s="224">
        <f t="shared" si="0"/>
        <v>24</v>
      </c>
      <c r="AE25" s="224">
        <f t="shared" si="0"/>
        <v>25</v>
      </c>
      <c r="AF25" s="224">
        <f t="shared" si="0"/>
        <v>26</v>
      </c>
    </row>
    <row r="26" spans="1:38" ht="21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41" t="s">
        <v>365</v>
      </c>
      <c r="I26" s="41" t="s">
        <v>366</v>
      </c>
      <c r="J26" s="41" t="s">
        <v>367</v>
      </c>
      <c r="K26" s="41" t="s">
        <v>368</v>
      </c>
      <c r="L26" s="41" t="s">
        <v>369</v>
      </c>
      <c r="M26" s="41" t="s">
        <v>370</v>
      </c>
      <c r="N26" s="41" t="s">
        <v>371</v>
      </c>
      <c r="O26" s="41" t="s">
        <v>372</v>
      </c>
      <c r="P26" s="41" t="s">
        <v>373</v>
      </c>
      <c r="Q26" s="41" t="s">
        <v>374</v>
      </c>
      <c r="R26" s="41" t="s">
        <v>375</v>
      </c>
      <c r="S26" s="41" t="s">
        <v>376</v>
      </c>
      <c r="T26" s="41" t="s">
        <v>377</v>
      </c>
      <c r="U26" s="41" t="s">
        <v>378</v>
      </c>
      <c r="V26" s="41" t="s">
        <v>379</v>
      </c>
      <c r="W26" s="41" t="s">
        <v>380</v>
      </c>
      <c r="X26" s="41" t="s">
        <v>381</v>
      </c>
      <c r="Y26" s="41" t="s">
        <v>382</v>
      </c>
      <c r="Z26" s="41" t="s">
        <v>383</v>
      </c>
      <c r="AA26" s="41" t="s">
        <v>384</v>
      </c>
      <c r="AB26" s="41" t="s">
        <v>385</v>
      </c>
      <c r="AC26" s="41" t="s">
        <v>386</v>
      </c>
      <c r="AD26" s="41" t="s">
        <v>387</v>
      </c>
      <c r="AE26" s="41" t="s">
        <v>388</v>
      </c>
      <c r="AF26" s="41" t="s">
        <v>389</v>
      </c>
    </row>
    <row r="27" spans="1:38" x14ac:dyDescent="0.3">
      <c r="A27" s="46"/>
      <c r="B27" s="46"/>
      <c r="C27" s="258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f>Summary!D125</f>
        <v>2.6427999999999994</v>
      </c>
      <c r="I27" s="50">
        <f>Summary!E125</f>
        <v>2.7430999999999988</v>
      </c>
      <c r="J27" s="50">
        <f>Summary!F125</f>
        <v>1.6538000000000002</v>
      </c>
      <c r="K27" s="50">
        <f>Summary!G125</f>
        <v>1.8367999999999993</v>
      </c>
      <c r="L27" s="50">
        <f>Summary!H125</f>
        <v>2.2317000000000009</v>
      </c>
      <c r="M27" s="50">
        <f>Summary!I125</f>
        <v>2.9546999999999999</v>
      </c>
      <c r="N27" s="50">
        <f>Summary!J125</f>
        <v>2.1983999999999999</v>
      </c>
      <c r="O27" s="50">
        <f>Summary!K125</f>
        <v>1.8745999999999998</v>
      </c>
      <c r="P27" s="50">
        <f>Summary!L125</f>
        <v>1.8560000000000001</v>
      </c>
      <c r="Q27" s="50">
        <f>Summary!M125</f>
        <v>2.5970999999999997</v>
      </c>
      <c r="R27" s="50">
        <f>Summary!N125</f>
        <v>0.3636999999999998</v>
      </c>
      <c r="S27" s="50">
        <f>Summary!O125</f>
        <v>0.86670000000000069</v>
      </c>
      <c r="T27" s="50">
        <f>Summary!P125</f>
        <v>1.8</v>
      </c>
      <c r="U27" s="50">
        <f>Summary!Q125</f>
        <v>2.5</v>
      </c>
      <c r="V27" s="50">
        <f>Summary!R125</f>
        <v>0</v>
      </c>
      <c r="W27" s="50">
        <f>Summary!S125</f>
        <v>0</v>
      </c>
      <c r="X27" s="50">
        <f>Summary!T125</f>
        <v>0</v>
      </c>
      <c r="Y27" s="50">
        <f>Summary!U125</f>
        <v>0</v>
      </c>
      <c r="Z27" s="50">
        <f>Summary!V125</f>
        <v>0</v>
      </c>
      <c r="AA27" s="50">
        <f>Summary!W125</f>
        <v>0</v>
      </c>
      <c r="AB27" s="50">
        <f>Summary!X125</f>
        <v>0</v>
      </c>
      <c r="AC27" s="50">
        <f>Summary!Y125</f>
        <v>0</v>
      </c>
      <c r="AD27" s="50">
        <f>Summary!Z125</f>
        <v>0</v>
      </c>
      <c r="AE27" s="50">
        <f>Summary!AA125</f>
        <v>0</v>
      </c>
      <c r="AF27" s="50">
        <f>Summary!AB125</f>
        <v>0</v>
      </c>
      <c r="AI27" s="51"/>
      <c r="AJ27" s="51"/>
      <c r="AK27" s="51"/>
      <c r="AL27" s="51"/>
    </row>
    <row r="28" spans="1:38" x14ac:dyDescent="0.3">
      <c r="A28" s="52" t="s">
        <v>113</v>
      </c>
      <c r="B28" s="52"/>
      <c r="C28" s="259"/>
      <c r="D28" s="52"/>
      <c r="E28" s="44" t="s">
        <v>111</v>
      </c>
      <c r="F28" s="44" t="s">
        <v>114</v>
      </c>
      <c r="G28" s="53">
        <f t="shared" ref="G28:AF28" si="1">G27/0.3048</f>
        <v>8.8162729658792678</v>
      </c>
      <c r="H28" s="53">
        <f t="shared" si="1"/>
        <v>8.6706036745406792</v>
      </c>
      <c r="I28" s="53">
        <f t="shared" si="1"/>
        <v>8.9996719160104934</v>
      </c>
      <c r="J28" s="53">
        <f t="shared" si="1"/>
        <v>5.4258530183727034</v>
      </c>
      <c r="K28" s="53">
        <f t="shared" si="1"/>
        <v>6.0262467191601026</v>
      </c>
      <c r="L28" s="53">
        <f t="shared" si="1"/>
        <v>7.3218503937007897</v>
      </c>
      <c r="M28" s="53">
        <f t="shared" si="1"/>
        <v>9.6938976377952741</v>
      </c>
      <c r="N28" s="53">
        <f t="shared" si="1"/>
        <v>7.21259842519685</v>
      </c>
      <c r="O28" s="53">
        <f t="shared" si="1"/>
        <v>6.1502624671915997</v>
      </c>
      <c r="P28" s="53">
        <f t="shared" si="1"/>
        <v>6.0892388451443571</v>
      </c>
      <c r="Q28" s="53">
        <f t="shared" si="1"/>
        <v>8.5206692913385815</v>
      </c>
      <c r="R28" s="53">
        <f t="shared" si="1"/>
        <v>1.1932414698162723</v>
      </c>
      <c r="S28" s="53">
        <f t="shared" si="1"/>
        <v>2.8435039370078763</v>
      </c>
      <c r="T28" s="53">
        <f t="shared" si="1"/>
        <v>5.9055118110236222</v>
      </c>
      <c r="U28" s="53">
        <f t="shared" si="1"/>
        <v>8.2020997375328086</v>
      </c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4"/>
    </row>
    <row r="29" spans="1:38" x14ac:dyDescent="0.3">
      <c r="A29" s="52"/>
      <c r="B29" s="52"/>
      <c r="C29" s="259"/>
      <c r="D29" s="52"/>
      <c r="E29" s="44" t="s">
        <v>115</v>
      </c>
      <c r="F29" s="44" t="s">
        <v>112</v>
      </c>
      <c r="G29" s="50">
        <f>Summary!C127</f>
        <v>0.7</v>
      </c>
      <c r="H29" s="50">
        <f>Summary!D127</f>
        <v>0.7</v>
      </c>
      <c r="I29" s="50">
        <f>Summary!E127</f>
        <v>0.7</v>
      </c>
      <c r="J29" s="50">
        <f>Summary!F127</f>
        <v>0.7</v>
      </c>
      <c r="K29" s="50">
        <f>Summary!G127</f>
        <v>0.7</v>
      </c>
      <c r="L29" s="50">
        <f>Summary!H127</f>
        <v>0.7</v>
      </c>
      <c r="M29" s="50">
        <f>Summary!I127</f>
        <v>0.7</v>
      </c>
      <c r="N29" s="50">
        <f>Summary!J127</f>
        <v>0.7</v>
      </c>
      <c r="O29" s="50">
        <f>Summary!K127</f>
        <v>0.7</v>
      </c>
      <c r="P29" s="50">
        <f>Summary!L127</f>
        <v>0.6</v>
      </c>
      <c r="Q29" s="50">
        <f>Summary!M127</f>
        <v>0.6</v>
      </c>
      <c r="R29" s="50">
        <f>Summary!N127</f>
        <v>0.60009999999999986</v>
      </c>
      <c r="S29" s="50">
        <f>Summary!O127</f>
        <v>0.7</v>
      </c>
      <c r="T29" s="50">
        <f>Summary!P127</f>
        <v>0.7</v>
      </c>
      <c r="U29" s="50">
        <f>Summary!Q127</f>
        <v>0.7</v>
      </c>
      <c r="V29" s="50">
        <f>Summary!R127</f>
        <v>0</v>
      </c>
      <c r="W29" s="50">
        <f>Summary!S127</f>
        <v>0</v>
      </c>
      <c r="X29" s="50">
        <f>Summary!T127</f>
        <v>0</v>
      </c>
      <c r="Y29" s="50">
        <f>Summary!U127</f>
        <v>0</v>
      </c>
      <c r="Z29" s="50">
        <f>Summary!V127</f>
        <v>0</v>
      </c>
      <c r="AA29" s="50">
        <f>Summary!W127</f>
        <v>0</v>
      </c>
      <c r="AB29" s="50">
        <f>Summary!X127</f>
        <v>0</v>
      </c>
      <c r="AC29" s="50">
        <f>Summary!Y127</f>
        <v>0</v>
      </c>
      <c r="AD29" s="50">
        <f>Summary!Z127</f>
        <v>0</v>
      </c>
      <c r="AE29" s="50">
        <f>Summary!AA127</f>
        <v>0</v>
      </c>
      <c r="AF29" s="50">
        <f>Summary!AB127</f>
        <v>0</v>
      </c>
    </row>
    <row r="30" spans="1:38" x14ac:dyDescent="0.3">
      <c r="A30" s="52" t="s">
        <v>113</v>
      </c>
      <c r="B30" s="52"/>
      <c r="C30" s="259"/>
      <c r="D30" s="52"/>
      <c r="E30" s="44" t="s">
        <v>115</v>
      </c>
      <c r="F30" s="44" t="s">
        <v>114</v>
      </c>
      <c r="G30" s="53">
        <f t="shared" ref="G30:AF30" si="2">G29/0.3048</f>
        <v>2.296587926509186</v>
      </c>
      <c r="H30" s="53">
        <f t="shared" si="2"/>
        <v>2.296587926509186</v>
      </c>
      <c r="I30" s="53">
        <f t="shared" si="2"/>
        <v>2.296587926509186</v>
      </c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1.9685039370078738</v>
      </c>
      <c r="Q30" s="53">
        <f t="shared" si="2"/>
        <v>1.9685039370078738</v>
      </c>
      <c r="R30" s="53">
        <f t="shared" si="2"/>
        <v>1.9688320209973749</v>
      </c>
      <c r="S30" s="53">
        <f t="shared" si="2"/>
        <v>2.296587926509186</v>
      </c>
      <c r="T30" s="53">
        <f t="shared" si="2"/>
        <v>2.296587926509186</v>
      </c>
      <c r="U30" s="53">
        <f t="shared" si="2"/>
        <v>2.296587926509186</v>
      </c>
      <c r="V30" s="53">
        <f t="shared" si="2"/>
        <v>0</v>
      </c>
      <c r="W30" s="53">
        <f t="shared" si="2"/>
        <v>0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</row>
    <row r="31" spans="1:38" x14ac:dyDescent="0.3">
      <c r="A31" s="52"/>
      <c r="B31" s="52"/>
      <c r="C31" s="259"/>
      <c r="D31" s="52"/>
      <c r="E31" s="44" t="s">
        <v>116</v>
      </c>
      <c r="F31" s="44" t="s">
        <v>112</v>
      </c>
      <c r="G31" s="216">
        <f>Summary!C129</f>
        <v>1.4E-2</v>
      </c>
      <c r="H31" s="216">
        <f>Summary!D129</f>
        <v>0.01</v>
      </c>
      <c r="I31" s="216">
        <f>Summary!E129</f>
        <v>0.01</v>
      </c>
      <c r="J31" s="216">
        <f>Summary!F129</f>
        <v>1.2999999999999999E-2</v>
      </c>
      <c r="K31" s="216">
        <f>Summary!G129</f>
        <v>1.2E-2</v>
      </c>
      <c r="L31" s="216">
        <f>Summary!H129</f>
        <v>1.2E-2</v>
      </c>
      <c r="M31" s="216">
        <f>Summary!I129</f>
        <v>1.2E-2</v>
      </c>
      <c r="N31" s="216">
        <f>Summary!J129</f>
        <v>1.2E-2</v>
      </c>
      <c r="O31" s="216">
        <f>Summary!K129</f>
        <v>1.4E-2</v>
      </c>
      <c r="P31" s="216">
        <f>Summary!L129</f>
        <v>1.4999999999999999E-2</v>
      </c>
      <c r="Q31" s="216">
        <f>Summary!M129</f>
        <v>1.4E-2</v>
      </c>
      <c r="R31" s="216">
        <f>Summary!N129</f>
        <v>1.4E-2</v>
      </c>
      <c r="S31" s="216">
        <f>Summary!O129</f>
        <v>6.0000000000000001E-3</v>
      </c>
      <c r="T31" s="216">
        <f>Summary!P129</f>
        <v>6.0000000000000001E-3</v>
      </c>
      <c r="U31" s="216">
        <f>Summary!Q129</f>
        <v>6.0000000000000001E-3</v>
      </c>
      <c r="V31" s="216">
        <f>Summary!R129</f>
        <v>0</v>
      </c>
      <c r="W31" s="216">
        <f>Summary!S129</f>
        <v>0</v>
      </c>
      <c r="X31" s="216">
        <f>Summary!T129</f>
        <v>0</v>
      </c>
      <c r="Y31" s="216">
        <f>Summary!U129</f>
        <v>0</v>
      </c>
      <c r="Z31" s="216">
        <f>Summary!V129</f>
        <v>0</v>
      </c>
      <c r="AA31" s="216">
        <f>Summary!W129</f>
        <v>0</v>
      </c>
      <c r="AB31" s="216">
        <f>Summary!X129</f>
        <v>0</v>
      </c>
      <c r="AC31" s="216">
        <f>Summary!Y129</f>
        <v>0</v>
      </c>
      <c r="AD31" s="216">
        <f>Summary!Z129</f>
        <v>0</v>
      </c>
      <c r="AE31" s="216">
        <f>Summary!AA129</f>
        <v>0</v>
      </c>
      <c r="AF31" s="216">
        <f>Summary!AB129</f>
        <v>0</v>
      </c>
    </row>
    <row r="32" spans="1:38" x14ac:dyDescent="0.3">
      <c r="A32" s="52" t="s">
        <v>113</v>
      </c>
      <c r="B32" s="52"/>
      <c r="C32" s="259"/>
      <c r="D32" s="52"/>
      <c r="E32" s="44" t="s">
        <v>116</v>
      </c>
      <c r="F32" s="44" t="s">
        <v>117</v>
      </c>
      <c r="G32" s="55">
        <f t="shared" ref="G32:AF32" si="3">G31*39.3701</f>
        <v>0.55118140000000004</v>
      </c>
      <c r="H32" s="55">
        <f t="shared" si="3"/>
        <v>0.39370100000000002</v>
      </c>
      <c r="I32" s="55">
        <f t="shared" si="3"/>
        <v>0.39370100000000002</v>
      </c>
      <c r="J32" s="55">
        <f t="shared" si="3"/>
        <v>0.51181129999999997</v>
      </c>
      <c r="K32" s="55">
        <f t="shared" si="3"/>
        <v>0.47244120000000001</v>
      </c>
      <c r="L32" s="55">
        <f t="shared" si="3"/>
        <v>0.47244120000000001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0.55118140000000004</v>
      </c>
      <c r="P32" s="55">
        <f t="shared" si="3"/>
        <v>0.59055150000000001</v>
      </c>
      <c r="Q32" s="55">
        <f t="shared" si="3"/>
        <v>0.55118140000000004</v>
      </c>
      <c r="R32" s="55">
        <f t="shared" si="3"/>
        <v>0.55118140000000004</v>
      </c>
      <c r="S32" s="55">
        <f t="shared" si="3"/>
        <v>0.2362206</v>
      </c>
      <c r="T32" s="55">
        <f t="shared" si="3"/>
        <v>0.2362206</v>
      </c>
      <c r="U32" s="55">
        <f t="shared" si="3"/>
        <v>0.2362206</v>
      </c>
      <c r="V32" s="55">
        <f t="shared" si="3"/>
        <v>0</v>
      </c>
      <c r="W32" s="55">
        <f t="shared" si="3"/>
        <v>0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</row>
    <row r="33" spans="1:36" x14ac:dyDescent="0.3">
      <c r="A33" s="52" t="s">
        <v>113</v>
      </c>
      <c r="B33" s="52"/>
      <c r="C33" s="259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f t="shared" ref="H33:AF33" si="4">H31/0.3048</f>
        <v>3.2808398950131233E-2</v>
      </c>
      <c r="I33" s="56">
        <f t="shared" si="4"/>
        <v>3.2808398950131233E-2</v>
      </c>
      <c r="J33" s="56">
        <f t="shared" si="4"/>
        <v>4.26509186351706E-2</v>
      </c>
      <c r="K33" s="56">
        <f t="shared" si="4"/>
        <v>3.937007874015748E-2</v>
      </c>
      <c r="L33" s="56">
        <f t="shared" si="4"/>
        <v>3.937007874015748E-2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4.5931758530183726E-2</v>
      </c>
      <c r="P33" s="56">
        <f t="shared" si="4"/>
        <v>4.9212598425196846E-2</v>
      </c>
      <c r="Q33" s="56">
        <f t="shared" si="4"/>
        <v>4.5931758530183726E-2</v>
      </c>
      <c r="R33" s="56">
        <f t="shared" si="4"/>
        <v>4.5931758530183726E-2</v>
      </c>
      <c r="S33" s="56">
        <f t="shared" si="4"/>
        <v>1.968503937007874E-2</v>
      </c>
      <c r="T33" s="56">
        <f t="shared" si="4"/>
        <v>1.968503937007874E-2</v>
      </c>
      <c r="U33" s="56">
        <f t="shared" si="4"/>
        <v>1.968503937007874E-2</v>
      </c>
      <c r="V33" s="56">
        <f t="shared" si="4"/>
        <v>0</v>
      </c>
      <c r="W33" s="56">
        <f t="shared" si="4"/>
        <v>0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</row>
    <row r="34" spans="1:36" x14ac:dyDescent="0.3">
      <c r="A34" s="52"/>
      <c r="B34" s="52"/>
      <c r="C34" s="259"/>
      <c r="D34" s="52"/>
      <c r="E34" s="44" t="s">
        <v>391</v>
      </c>
      <c r="F34" s="44" t="s">
        <v>112</v>
      </c>
      <c r="G34" s="57">
        <v>40</v>
      </c>
      <c r="H34" s="57">
        <v>40</v>
      </c>
      <c r="I34" s="57">
        <v>40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</row>
    <row r="35" spans="1:36" x14ac:dyDescent="0.3">
      <c r="A35" s="52"/>
      <c r="B35" s="52"/>
      <c r="C35" s="259"/>
      <c r="D35" s="260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>
        <f t="shared" ref="H35:AF35" si="5">H34/0.3048</f>
        <v>131.23359580052494</v>
      </c>
      <c r="I35" s="53">
        <f t="shared" si="5"/>
        <v>131.23359580052494</v>
      </c>
      <c r="J35" s="53">
        <f t="shared" si="5"/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</row>
    <row r="36" spans="1:36" x14ac:dyDescent="0.3">
      <c r="A36" s="52" t="s">
        <v>113</v>
      </c>
      <c r="B36" s="52"/>
      <c r="C36" s="259"/>
      <c r="D36" s="260"/>
      <c r="E36" s="266" t="s">
        <v>443</v>
      </c>
      <c r="F36" s="44" t="s">
        <v>69</v>
      </c>
      <c r="G36" s="58">
        <v>34</v>
      </c>
      <c r="H36" s="58">
        <v>34</v>
      </c>
      <c r="I36" s="58">
        <v>34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</row>
    <row r="37" spans="1:36" x14ac:dyDescent="0.3">
      <c r="A37" s="52" t="s">
        <v>113</v>
      </c>
      <c r="B37" s="52"/>
      <c r="C37" s="259"/>
      <c r="D37" s="52"/>
      <c r="E37" s="44" t="s">
        <v>118</v>
      </c>
      <c r="F37" s="44"/>
      <c r="G37" s="59">
        <v>0.3</v>
      </c>
      <c r="H37" s="59">
        <v>0.3</v>
      </c>
      <c r="I37" s="59">
        <v>0.3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</row>
    <row r="38" spans="1:36" x14ac:dyDescent="0.3">
      <c r="A38" s="52" t="s">
        <v>113</v>
      </c>
      <c r="B38" s="52"/>
      <c r="C38" s="259"/>
      <c r="D38" s="52"/>
      <c r="E38" s="44" t="s">
        <v>119</v>
      </c>
      <c r="F38" s="44" t="s">
        <v>69</v>
      </c>
      <c r="G38" s="58">
        <v>30450</v>
      </c>
      <c r="H38" s="58">
        <v>30450</v>
      </c>
      <c r="I38" s="58">
        <v>30450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</row>
    <row r="39" spans="1:36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>
        <f t="shared" ref="H39:AF39" si="6">H30/H28</f>
        <v>0.26487059179657946</v>
      </c>
      <c r="I39" s="61">
        <f t="shared" si="6"/>
        <v>0.25518573876271383</v>
      </c>
      <c r="J39" s="61">
        <f t="shared" si="6"/>
        <v>0.42326762607328572</v>
      </c>
      <c r="K39" s="61">
        <f t="shared" si="6"/>
        <v>0.38109756097560987</v>
      </c>
      <c r="L39" s="61">
        <f t="shared" si="6"/>
        <v>0.31366223058654824</v>
      </c>
      <c r="M39" s="61">
        <f t="shared" si="6"/>
        <v>0.2369106846718787</v>
      </c>
      <c r="N39" s="61">
        <f t="shared" si="6"/>
        <v>0.31841339155749632</v>
      </c>
      <c r="O39" s="61">
        <f t="shared" si="6"/>
        <v>0.37341299477221807</v>
      </c>
      <c r="P39" s="61">
        <f t="shared" si="6"/>
        <v>0.32327586206896547</v>
      </c>
      <c r="Q39" s="61">
        <f t="shared" si="6"/>
        <v>0.23102691463555505</v>
      </c>
      <c r="R39" s="61">
        <f t="shared" si="6"/>
        <v>1.6499862524058295</v>
      </c>
      <c r="S39" s="61">
        <f t="shared" si="6"/>
        <v>0.80766124379831472</v>
      </c>
      <c r="T39" s="61">
        <f t="shared" si="6"/>
        <v>0.38888888888888884</v>
      </c>
      <c r="U39" s="61">
        <f t="shared" si="6"/>
        <v>0.27999999999999997</v>
      </c>
      <c r="V39" s="61" t="e">
        <f t="shared" si="6"/>
        <v>#DIV/0!</v>
      </c>
      <c r="W39" s="61" t="e">
        <f t="shared" si="6"/>
        <v>#DIV/0!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2"/>
      <c r="AH39" s="62"/>
      <c r="AI39" s="62"/>
      <c r="AJ39" s="62"/>
    </row>
    <row r="40" spans="1:36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>
        <f t="shared" ref="H40:AF40" si="7">1/H39</f>
        <v>3.7754285714285705</v>
      </c>
      <c r="I40" s="61">
        <f t="shared" si="7"/>
        <v>3.9187142857142838</v>
      </c>
      <c r="J40" s="61">
        <f t="shared" si="7"/>
        <v>2.362571428571429</v>
      </c>
      <c r="K40" s="61">
        <f t="shared" si="7"/>
        <v>2.6239999999999992</v>
      </c>
      <c r="L40" s="61">
        <f t="shared" si="7"/>
        <v>3.1881428571428585</v>
      </c>
      <c r="M40" s="61">
        <f t="shared" si="7"/>
        <v>4.2210000000000001</v>
      </c>
      <c r="N40" s="61">
        <f t="shared" si="7"/>
        <v>3.140571428571429</v>
      </c>
      <c r="O40" s="61">
        <f t="shared" si="7"/>
        <v>2.6779999999999999</v>
      </c>
      <c r="P40" s="61">
        <f t="shared" si="7"/>
        <v>3.0933333333333337</v>
      </c>
      <c r="Q40" s="61">
        <f t="shared" si="7"/>
        <v>4.3285</v>
      </c>
      <c r="R40" s="61">
        <f t="shared" si="7"/>
        <v>0.6060656557240458</v>
      </c>
      <c r="S40" s="61">
        <f t="shared" si="7"/>
        <v>1.2381428571428583</v>
      </c>
      <c r="T40" s="61">
        <f t="shared" si="7"/>
        <v>2.5714285714285716</v>
      </c>
      <c r="U40" s="61">
        <f t="shared" si="7"/>
        <v>3.5714285714285716</v>
      </c>
      <c r="V40" s="61" t="e">
        <f t="shared" si="7"/>
        <v>#DIV/0!</v>
      </c>
      <c r="W40" s="61" t="e">
        <f t="shared" si="7"/>
        <v>#DIV/0!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</row>
    <row r="41" spans="1:36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>
        <f t="shared" ref="H41:AF41" si="8">2-H39</f>
        <v>1.7351294082034205</v>
      </c>
      <c r="I41" s="61">
        <f t="shared" si="8"/>
        <v>1.7448142612372861</v>
      </c>
      <c r="J41" s="61">
        <f t="shared" si="8"/>
        <v>1.5767323739267143</v>
      </c>
      <c r="K41" s="61">
        <f t="shared" si="8"/>
        <v>1.61890243902439</v>
      </c>
      <c r="L41" s="61">
        <f t="shared" si="8"/>
        <v>1.6863377694134518</v>
      </c>
      <c r="M41" s="61">
        <f t="shared" si="8"/>
        <v>1.7630893153281213</v>
      </c>
      <c r="N41" s="61">
        <f t="shared" si="8"/>
        <v>1.6815866084425037</v>
      </c>
      <c r="O41" s="61">
        <f t="shared" si="8"/>
        <v>1.626587005227782</v>
      </c>
      <c r="P41" s="61">
        <f t="shared" si="8"/>
        <v>1.6767241379310345</v>
      </c>
      <c r="Q41" s="61">
        <f t="shared" si="8"/>
        <v>1.768973085364445</v>
      </c>
      <c r="R41" s="61">
        <f t="shared" si="8"/>
        <v>0.35001374759417048</v>
      </c>
      <c r="S41" s="61">
        <f t="shared" si="8"/>
        <v>1.1923387562016852</v>
      </c>
      <c r="T41" s="61">
        <f t="shared" si="8"/>
        <v>1.6111111111111112</v>
      </c>
      <c r="U41" s="61">
        <f t="shared" si="8"/>
        <v>1.72</v>
      </c>
      <c r="V41" s="61" t="e">
        <f t="shared" si="8"/>
        <v>#DIV/0!</v>
      </c>
      <c r="W41" s="61" t="e">
        <f t="shared" si="8"/>
        <v>#DIV/0!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</row>
    <row r="42" spans="1:36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>
        <f t="shared" ref="H42:AF42" si="9">H33/H30</f>
        <v>1.4285714285714289E-2</v>
      </c>
      <c r="I42" s="61">
        <f t="shared" si="9"/>
        <v>1.4285714285714289E-2</v>
      </c>
      <c r="J42" s="61">
        <f t="shared" si="9"/>
        <v>1.8571428571428572E-2</v>
      </c>
      <c r="K42" s="61">
        <f t="shared" si="9"/>
        <v>1.7142857142857147E-2</v>
      </c>
      <c r="L42" s="61">
        <f t="shared" si="9"/>
        <v>1.7142857142857147E-2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2.0000000000000004E-2</v>
      </c>
      <c r="P42" s="61">
        <f t="shared" si="9"/>
        <v>2.5000000000000001E-2</v>
      </c>
      <c r="Q42" s="61">
        <f t="shared" si="9"/>
        <v>2.3333333333333334E-2</v>
      </c>
      <c r="R42" s="61">
        <f t="shared" si="9"/>
        <v>2.332944509248459E-2</v>
      </c>
      <c r="S42" s="61">
        <f t="shared" si="9"/>
        <v>8.5714285714285736E-3</v>
      </c>
      <c r="T42" s="61">
        <f t="shared" si="9"/>
        <v>8.5714285714285736E-3</v>
      </c>
      <c r="U42" s="61">
        <f t="shared" si="9"/>
        <v>8.5714285714285736E-3</v>
      </c>
      <c r="V42" s="61" t="e">
        <f t="shared" si="9"/>
        <v>#DIV/0!</v>
      </c>
      <c r="W42" s="61" t="e">
        <f t="shared" si="9"/>
        <v>#DIV/0!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</row>
    <row r="43" spans="1:36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>
        <f t="shared" ref="H43:AF43" si="10">1/H42</f>
        <v>69.999999999999986</v>
      </c>
      <c r="I43" s="61">
        <f t="shared" si="10"/>
        <v>69.999999999999986</v>
      </c>
      <c r="J43" s="61">
        <f t="shared" si="10"/>
        <v>53.846153846153847</v>
      </c>
      <c r="K43" s="61">
        <f t="shared" si="10"/>
        <v>58.333333333333321</v>
      </c>
      <c r="L43" s="61">
        <f t="shared" si="10"/>
        <v>58.333333333333321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49.999999999999993</v>
      </c>
      <c r="P43" s="61">
        <f t="shared" si="10"/>
        <v>40</v>
      </c>
      <c r="Q43" s="61">
        <f t="shared" si="10"/>
        <v>42.857142857142854</v>
      </c>
      <c r="R43" s="61">
        <f t="shared" si="10"/>
        <v>42.864285714285707</v>
      </c>
      <c r="S43" s="61">
        <f t="shared" si="10"/>
        <v>116.66666666666664</v>
      </c>
      <c r="T43" s="61">
        <f t="shared" si="10"/>
        <v>116.66666666666664</v>
      </c>
      <c r="U43" s="61">
        <f t="shared" si="10"/>
        <v>116.66666666666664</v>
      </c>
      <c r="V43" s="61" t="e">
        <f t="shared" si="10"/>
        <v>#DIV/0!</v>
      </c>
      <c r="W43" s="61" t="e">
        <f t="shared" si="10"/>
        <v>#DIV/0!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</row>
    <row r="44" spans="1:36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>
        <f t="shared" ref="H44:AF44" si="11">H28/H33</f>
        <v>264.27999999999992</v>
      </c>
      <c r="I44" s="61">
        <f t="shared" si="11"/>
        <v>274.30999999999983</v>
      </c>
      <c r="J44" s="61">
        <f t="shared" si="11"/>
        <v>127.21538461538462</v>
      </c>
      <c r="K44" s="61">
        <f t="shared" si="11"/>
        <v>153.06666666666661</v>
      </c>
      <c r="L44" s="61">
        <f t="shared" si="11"/>
        <v>185.97500000000005</v>
      </c>
      <c r="M44" s="61">
        <f t="shared" si="11"/>
        <v>246.22499999999997</v>
      </c>
      <c r="N44" s="61">
        <f t="shared" si="11"/>
        <v>183.2</v>
      </c>
      <c r="O44" s="61">
        <f t="shared" si="11"/>
        <v>133.89999999999998</v>
      </c>
      <c r="P44" s="61">
        <f t="shared" si="11"/>
        <v>123.73333333333335</v>
      </c>
      <c r="Q44" s="61">
        <f t="shared" si="11"/>
        <v>185.50714285714284</v>
      </c>
      <c r="R44" s="61">
        <f t="shared" si="11"/>
        <v>25.978571428571414</v>
      </c>
      <c r="S44" s="61">
        <f t="shared" si="11"/>
        <v>144.45000000000013</v>
      </c>
      <c r="T44" s="61">
        <f t="shared" si="11"/>
        <v>300</v>
      </c>
      <c r="U44" s="61">
        <f t="shared" si="11"/>
        <v>416.66666666666669</v>
      </c>
      <c r="V44" s="61" t="e">
        <f t="shared" si="11"/>
        <v>#DIV/0!</v>
      </c>
      <c r="W44" s="61" t="e">
        <f t="shared" si="11"/>
        <v>#DIV/0!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</row>
    <row r="45" spans="1:36" x14ac:dyDescent="0.3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</row>
    <row r="46" spans="1:36" ht="21" x14ac:dyDescent="0.4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</row>
    <row r="47" spans="1:36" x14ac:dyDescent="0.3">
      <c r="A47" s="52" t="s">
        <v>113</v>
      </c>
      <c r="B47" s="66"/>
      <c r="C47" s="60" t="s">
        <v>394</v>
      </c>
      <c r="D47" s="68"/>
      <c r="E47" s="266" t="s">
        <v>125</v>
      </c>
      <c r="F47" s="44" t="s">
        <v>69</v>
      </c>
      <c r="G47" s="69">
        <f>Summary!C130</f>
        <v>0.45725526699999997</v>
      </c>
      <c r="H47" s="69">
        <f>Summary!D130</f>
        <v>0.30177022999999997</v>
      </c>
      <c r="I47" s="69">
        <f>Summary!E130</f>
        <v>0.60824092500000004</v>
      </c>
      <c r="J47" s="69">
        <f>Summary!F130</f>
        <v>0.821525485</v>
      </c>
      <c r="K47" s="69">
        <f>Summary!G130</f>
        <v>3.6705746599999998E-3</v>
      </c>
      <c r="L47" s="69">
        <f>Summary!H130</f>
        <v>0.47063166200000001</v>
      </c>
      <c r="M47" s="69">
        <f>Summary!I130</f>
        <v>0.54798418849999997</v>
      </c>
      <c r="N47" s="69">
        <f>Summary!J130</f>
        <v>3.6049640449999996</v>
      </c>
      <c r="O47" s="69">
        <f>Summary!K130</f>
        <v>0.54409868149999996</v>
      </c>
      <c r="P47" s="69">
        <f>Summary!L130</f>
        <v>0.13096294875</v>
      </c>
      <c r="Q47" s="69">
        <f>Summary!M130</f>
        <v>3.6723203149999994E-2</v>
      </c>
      <c r="R47" s="69">
        <f>Summary!N130</f>
        <v>5.5916537049999999E-2</v>
      </c>
      <c r="S47" s="69">
        <f>Summary!O130</f>
        <v>0.33511206649999997</v>
      </c>
      <c r="T47" s="69">
        <f>Summary!P130</f>
        <v>1.6547530499999998E-2</v>
      </c>
      <c r="U47" s="69">
        <f>Summary!Q130</f>
        <v>0.14727259950000002</v>
      </c>
      <c r="V47" s="69">
        <f>Summary!R130</f>
        <v>0</v>
      </c>
      <c r="W47" s="69">
        <f>Summary!S130</f>
        <v>0</v>
      </c>
      <c r="X47" s="69">
        <f>Summary!T130</f>
        <v>0</v>
      </c>
      <c r="Y47" s="69">
        <f>Summary!U130</f>
        <v>0</v>
      </c>
      <c r="Z47" s="69">
        <f>Summary!V130</f>
        <v>0</v>
      </c>
      <c r="AA47" s="69">
        <f>Summary!W130</f>
        <v>0</v>
      </c>
      <c r="AB47" s="69">
        <f>Summary!X130</f>
        <v>0</v>
      </c>
      <c r="AC47" s="69">
        <f>Summary!Y130</f>
        <v>0</v>
      </c>
      <c r="AD47" s="69">
        <f>Summary!Z130</f>
        <v>0</v>
      </c>
      <c r="AE47" s="69">
        <f>Summary!AA130</f>
        <v>0</v>
      </c>
      <c r="AF47" s="69">
        <f>Summary!AB130</f>
        <v>0</v>
      </c>
    </row>
    <row r="48" spans="1:36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>
        <f>Summary!D131</f>
        <v>1.935779725</v>
      </c>
      <c r="I48" s="69">
        <f>Summary!E131</f>
        <v>2.9807090299999999</v>
      </c>
      <c r="J48" s="69">
        <f>Summary!F131</f>
        <v>4.471030485</v>
      </c>
      <c r="K48" s="69">
        <f>Summary!G131</f>
        <v>5.8270859999999995</v>
      </c>
      <c r="L48" s="69">
        <f>Summary!H131</f>
        <v>6.3806671449999994</v>
      </c>
      <c r="M48" s="69">
        <f>Summary!I131</f>
        <v>6.7421386600000002</v>
      </c>
      <c r="N48" s="69">
        <f>Summary!J131</f>
        <v>3.9942993399999995</v>
      </c>
      <c r="O48" s="69">
        <f>Summary!K131</f>
        <v>3.8200350049999994</v>
      </c>
      <c r="P48" s="69">
        <f>Summary!L131</f>
        <v>0.96035103700000002</v>
      </c>
      <c r="Q48" s="69">
        <f>Summary!M131</f>
        <v>2.184382805E-2</v>
      </c>
      <c r="R48" s="69">
        <f>Summary!N131</f>
        <v>0.406993192</v>
      </c>
      <c r="S48" s="69">
        <f>Summary!O131</f>
        <v>6.9258420599999999</v>
      </c>
      <c r="T48" s="69">
        <f>Summary!P131</f>
        <v>5.4811009200000003</v>
      </c>
      <c r="U48" s="69">
        <f>Summary!Q131</f>
        <v>2.3502446799999994</v>
      </c>
      <c r="V48" s="69">
        <f>Summary!R131</f>
        <v>0</v>
      </c>
      <c r="W48" s="69">
        <f>Summary!S131</f>
        <v>0</v>
      </c>
      <c r="X48" s="69">
        <f>Summary!T131</f>
        <v>0</v>
      </c>
      <c r="Y48" s="69">
        <f>Summary!U131</f>
        <v>0</v>
      </c>
      <c r="Z48" s="69">
        <f>Summary!V131</f>
        <v>0</v>
      </c>
      <c r="AA48" s="69">
        <f>Summary!W131</f>
        <v>0</v>
      </c>
      <c r="AB48" s="69">
        <f>Summary!X131</f>
        <v>0</v>
      </c>
      <c r="AC48" s="69">
        <f>Summary!Y131</f>
        <v>0</v>
      </c>
      <c r="AD48" s="69">
        <f>Summary!Z131</f>
        <v>0</v>
      </c>
      <c r="AE48" s="69">
        <f>Summary!AA131</f>
        <v>0</v>
      </c>
      <c r="AF48" s="69">
        <f>Summary!AB131</f>
        <v>0</v>
      </c>
    </row>
    <row r="49" spans="1:35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>
        <f>Summary!D132</f>
        <v>1.0442359294999999</v>
      </c>
      <c r="I49" s="69">
        <f>Summary!E132</f>
        <v>2.204107155</v>
      </c>
      <c r="J49" s="69">
        <f>Summary!F132</f>
        <v>0.71498234149999995</v>
      </c>
      <c r="K49" s="69">
        <f>Summary!G132</f>
        <v>0.79147085650000004</v>
      </c>
      <c r="L49" s="69">
        <f>Summary!H132</f>
        <v>0.53223286749999998</v>
      </c>
      <c r="M49" s="69">
        <f>Summary!I132</f>
        <v>0.16778906999999998</v>
      </c>
      <c r="N49" s="69">
        <f>Summary!J132</f>
        <v>0.63903341499999999</v>
      </c>
      <c r="O49" s="69">
        <f>Summary!K132</f>
        <v>1.216189907</v>
      </c>
      <c r="P49" s="69">
        <f>Summary!L132</f>
        <v>0.16611479849999997</v>
      </c>
      <c r="Q49" s="69">
        <f>Summary!M132</f>
        <v>1.1855107199999999E-2</v>
      </c>
      <c r="R49" s="69">
        <f>Summary!N132</f>
        <v>0.41823714449999999</v>
      </c>
      <c r="S49" s="69">
        <f>Summary!O132</f>
        <v>0.1227565679</v>
      </c>
      <c r="T49" s="69">
        <f>Summary!P132</f>
        <v>0.38496763399999995</v>
      </c>
      <c r="U49" s="69">
        <f>Summary!Q132</f>
        <v>0.33845727449999996</v>
      </c>
      <c r="V49" s="69">
        <f>Summary!R132</f>
        <v>0</v>
      </c>
      <c r="W49" s="69">
        <f>Summary!S132</f>
        <v>0</v>
      </c>
      <c r="X49" s="69">
        <f>Summary!T132</f>
        <v>0</v>
      </c>
      <c r="Y49" s="69">
        <f>Summary!U132</f>
        <v>0</v>
      </c>
      <c r="Z49" s="69">
        <f>Summary!V132</f>
        <v>0</v>
      </c>
      <c r="AA49" s="69">
        <f>Summary!W132</f>
        <v>0</v>
      </c>
      <c r="AB49" s="69">
        <f>Summary!X132</f>
        <v>0</v>
      </c>
      <c r="AC49" s="69">
        <f>Summary!Y132</f>
        <v>0</v>
      </c>
      <c r="AD49" s="69">
        <f>Summary!Z132</f>
        <v>0</v>
      </c>
      <c r="AE49" s="69">
        <f>Summary!AA132</f>
        <v>0</v>
      </c>
      <c r="AF49" s="69">
        <f>Summary!AB132</f>
        <v>0</v>
      </c>
    </row>
    <row r="50" spans="1:35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>
        <f t="shared" ref="H50:AF50" si="12">SQRT(H47^2+H48^2-(H47*H48)+(3*H49^2))</f>
        <v>2.554492856120159</v>
      </c>
      <c r="I50" s="71">
        <f t="shared" si="12"/>
        <v>4.6921060494166076</v>
      </c>
      <c r="J50" s="71">
        <f t="shared" si="12"/>
        <v>4.3041319076713807</v>
      </c>
      <c r="K50" s="71">
        <f t="shared" si="12"/>
        <v>5.9843825345951629</v>
      </c>
      <c r="L50" s="71">
        <f t="shared" si="12"/>
        <v>6.2274616714341162</v>
      </c>
      <c r="M50" s="71">
        <f t="shared" si="12"/>
        <v>6.4920408590205607</v>
      </c>
      <c r="N50" s="71">
        <f t="shared" si="12"/>
        <v>3.9718986132654055</v>
      </c>
      <c r="O50" s="71">
        <f t="shared" si="12"/>
        <v>4.1530216077931792</v>
      </c>
      <c r="P50" s="71">
        <f t="shared" si="12"/>
        <v>0.94680377239094105</v>
      </c>
      <c r="Q50" s="71">
        <f t="shared" si="12"/>
        <v>3.801581037661559E-2</v>
      </c>
      <c r="R50" s="71">
        <f t="shared" si="12"/>
        <v>0.81901122987965713</v>
      </c>
      <c r="S50" s="71">
        <f t="shared" si="12"/>
        <v>6.7678550972289218</v>
      </c>
      <c r="T50" s="71">
        <f t="shared" si="12"/>
        <v>5.5133150344439681</v>
      </c>
      <c r="U50" s="71">
        <f t="shared" si="12"/>
        <v>2.3543306078231758</v>
      </c>
      <c r="V50" s="71">
        <f t="shared" si="12"/>
        <v>0</v>
      </c>
      <c r="W50" s="71">
        <f t="shared" si="12"/>
        <v>0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</row>
    <row r="51" spans="1:35" x14ac:dyDescent="0.3">
      <c r="B51" s="66"/>
      <c r="C51" s="60"/>
    </row>
    <row r="52" spans="1:35" ht="21" customHeight="1" x14ac:dyDescent="0.4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</row>
    <row r="53" spans="1:35" x14ac:dyDescent="0.3">
      <c r="A53" s="52" t="s">
        <v>113</v>
      </c>
      <c r="B53" s="261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>
        <f t="shared" ref="H53:AF53" si="13">H36</f>
        <v>34</v>
      </c>
      <c r="I53" s="71">
        <f t="shared" si="13"/>
        <v>34</v>
      </c>
      <c r="J53" s="71">
        <f t="shared" si="13"/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</row>
    <row r="54" spans="1:35" x14ac:dyDescent="0.3">
      <c r="A54" s="52" t="s">
        <v>113</v>
      </c>
      <c r="B54" s="261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>
        <f t="shared" ref="H54:AF54" si="14">H36</f>
        <v>34</v>
      </c>
      <c r="I54" s="71">
        <f t="shared" si="14"/>
        <v>34</v>
      </c>
      <c r="J54" s="71">
        <f t="shared" si="14"/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</row>
    <row r="55" spans="1:35" x14ac:dyDescent="0.3">
      <c r="A55" s="52" t="s">
        <v>113</v>
      </c>
      <c r="B55" s="261"/>
      <c r="C55" s="60" t="s">
        <v>128</v>
      </c>
      <c r="D55" s="52"/>
      <c r="E55" s="266" t="s">
        <v>132</v>
      </c>
      <c r="F55" s="44" t="s">
        <v>69</v>
      </c>
      <c r="G55" s="71">
        <f>G36/SQRT(3)</f>
        <v>19.629909152447276</v>
      </c>
      <c r="H55" s="71">
        <f t="shared" ref="H55:AF55" si="15">H36/SQRT(3)</f>
        <v>19.629909152447276</v>
      </c>
      <c r="I55" s="71">
        <f t="shared" si="15"/>
        <v>19.629909152447276</v>
      </c>
      <c r="J55" s="71">
        <f t="shared" si="15"/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2"/>
      <c r="AH55" s="72"/>
      <c r="AI55" s="72"/>
    </row>
    <row r="56" spans="1:35" x14ac:dyDescent="0.3">
      <c r="A56" s="52"/>
      <c r="B56" s="261"/>
      <c r="C56" s="60"/>
      <c r="D56" s="52"/>
      <c r="E56" s="44" t="s">
        <v>129</v>
      </c>
      <c r="F56" s="44" t="s">
        <v>69</v>
      </c>
      <c r="G56" s="71">
        <f>G36</f>
        <v>34</v>
      </c>
      <c r="H56" s="71">
        <f t="shared" ref="H56:AF56" si="16">H36</f>
        <v>34</v>
      </c>
      <c r="I56" s="71">
        <f t="shared" si="16"/>
        <v>34</v>
      </c>
      <c r="J56" s="71">
        <f t="shared" si="16"/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</row>
    <row r="57" spans="1:35" x14ac:dyDescent="0.3">
      <c r="A57" s="73"/>
      <c r="B57" s="261"/>
      <c r="C57" s="60"/>
      <c r="D57" s="73"/>
      <c r="G57" s="26"/>
      <c r="H57" s="72"/>
      <c r="I57" s="26"/>
      <c r="J57" s="26"/>
      <c r="K57" s="26"/>
      <c r="L57" s="26"/>
    </row>
    <row r="58" spans="1:35" ht="23.4" x14ac:dyDescent="0.45">
      <c r="B58" s="261"/>
      <c r="C58" s="60"/>
      <c r="E58" s="74" t="s">
        <v>397</v>
      </c>
      <c r="F58" s="74"/>
      <c r="G58" s="74"/>
      <c r="H58" s="74"/>
      <c r="I58" s="74"/>
      <c r="J58" s="74"/>
      <c r="K58" s="74"/>
      <c r="L58" s="74"/>
    </row>
    <row r="59" spans="1:35" ht="21" x14ac:dyDescent="0.4">
      <c r="B59" s="261"/>
      <c r="C59" s="60"/>
      <c r="E59" s="48" t="s">
        <v>133</v>
      </c>
      <c r="F59" s="75"/>
      <c r="G59" s="75"/>
      <c r="H59" s="75"/>
      <c r="I59" s="75"/>
      <c r="J59" s="75"/>
      <c r="K59" s="75"/>
      <c r="L59" s="75"/>
    </row>
    <row r="60" spans="1:35" x14ac:dyDescent="0.3">
      <c r="A60" s="52" t="s">
        <v>113</v>
      </c>
      <c r="B60" s="261"/>
      <c r="C60" s="60" t="s">
        <v>134</v>
      </c>
      <c r="D60" s="52"/>
      <c r="E60" s="44" t="s">
        <v>135</v>
      </c>
      <c r="F60" s="44"/>
      <c r="G60" s="59">
        <v>4</v>
      </c>
      <c r="H60" s="59">
        <v>4</v>
      </c>
      <c r="I60" s="59">
        <v>4</v>
      </c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</row>
    <row r="61" spans="1:35" x14ac:dyDescent="0.3">
      <c r="A61" s="52" t="s">
        <v>113</v>
      </c>
      <c r="B61" s="261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>
        <f t="shared" ref="H61:AF61" si="17">(1+H39^2)^2</f>
        <v>1.1452347855236238</v>
      </c>
      <c r="I61" s="76">
        <f t="shared" si="17"/>
        <v>1.1344801058433287</v>
      </c>
      <c r="J61" s="76">
        <f t="shared" si="17"/>
        <v>1.3904076537533345</v>
      </c>
      <c r="K61" s="76">
        <f t="shared" si="17"/>
        <v>1.311564009137854</v>
      </c>
      <c r="L61" s="76">
        <f t="shared" si="17"/>
        <v>1.2064474002448584</v>
      </c>
      <c r="M61" s="76">
        <f t="shared" si="17"/>
        <v>1.1154035483906319</v>
      </c>
      <c r="N61" s="76">
        <f t="shared" si="17"/>
        <v>1.2130535174438311</v>
      </c>
      <c r="O61" s="76">
        <f t="shared" si="17"/>
        <v>1.2983172801067024</v>
      </c>
      <c r="P61" s="76">
        <f t="shared" si="17"/>
        <v>1.2199363381921622</v>
      </c>
      <c r="Q61" s="76">
        <f t="shared" si="17"/>
        <v>1.1095955941662794</v>
      </c>
      <c r="R61" s="76">
        <f t="shared" si="17"/>
        <v>13.856668495697853</v>
      </c>
      <c r="S61" s="76">
        <f t="shared" si="17"/>
        <v>2.7301504266498302</v>
      </c>
      <c r="T61" s="76">
        <f t="shared" si="17"/>
        <v>1.3253410303307422</v>
      </c>
      <c r="U61" s="76">
        <f t="shared" si="17"/>
        <v>1.16294656</v>
      </c>
      <c r="V61" s="76" t="e">
        <f t="shared" si="17"/>
        <v>#DIV/0!</v>
      </c>
      <c r="W61" s="76" t="e">
        <f t="shared" si="17"/>
        <v>#DIV/0!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</row>
    <row r="62" spans="1:35" ht="15" customHeight="1" x14ac:dyDescent="0.3">
      <c r="A62" s="52" t="s">
        <v>113</v>
      </c>
      <c r="B62" s="261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>
        <f t="shared" ref="H62:AF62" si="18">5.34+4*H39^2</f>
        <v>5.6206257215946804</v>
      </c>
      <c r="I62" s="76">
        <f t="shared" si="18"/>
        <v>5.6004790450714879</v>
      </c>
      <c r="J62" s="76">
        <f t="shared" si="18"/>
        <v>6.0566219331268591</v>
      </c>
      <c r="K62" s="76">
        <f t="shared" si="18"/>
        <v>5.9209414039262347</v>
      </c>
      <c r="L62" s="76">
        <f t="shared" si="18"/>
        <v>5.733535979586116</v>
      </c>
      <c r="M62" s="76">
        <f t="shared" si="18"/>
        <v>5.5645066900467928</v>
      </c>
      <c r="N62" s="76">
        <f t="shared" si="18"/>
        <v>5.74554835169259</v>
      </c>
      <c r="O62" s="76">
        <f t="shared" si="18"/>
        <v>5.8977490586590262</v>
      </c>
      <c r="P62" s="76">
        <f t="shared" si="18"/>
        <v>5.7580291319857313</v>
      </c>
      <c r="Q62" s="76">
        <f t="shared" si="18"/>
        <v>5.5534937411440959</v>
      </c>
      <c r="R62" s="76">
        <f t="shared" si="18"/>
        <v>16.229818532512937</v>
      </c>
      <c r="S62" s="76">
        <f t="shared" si="18"/>
        <v>7.9492667389353624</v>
      </c>
      <c r="T62" s="76">
        <f t="shared" si="18"/>
        <v>5.9449382716049382</v>
      </c>
      <c r="U62" s="76">
        <f t="shared" si="18"/>
        <v>5.6536</v>
      </c>
      <c r="V62" s="76" t="e">
        <f t="shared" si="18"/>
        <v>#DIV/0!</v>
      </c>
      <c r="W62" s="76" t="e">
        <f t="shared" si="18"/>
        <v>#DIV/0!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</row>
    <row r="63" spans="1:35" ht="11.25" customHeight="1" x14ac:dyDescent="0.3">
      <c r="B63" s="261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</row>
    <row r="64" spans="1:35" ht="17.25" customHeight="1" x14ac:dyDescent="0.4">
      <c r="B64" s="261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</row>
    <row r="65" spans="1:32" ht="15" customHeight="1" x14ac:dyDescent="0.3">
      <c r="A65" s="52" t="s">
        <v>113</v>
      </c>
      <c r="B65" s="261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>
        <f t="shared" ref="H65:AF65" si="19">PI()^2*H38/12/(1-H37^2)</f>
        <v>27521.012272268403</v>
      </c>
      <c r="I65" s="81">
        <f t="shared" si="19"/>
        <v>27521.012272268403</v>
      </c>
      <c r="J65" s="81">
        <f t="shared" si="19"/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</row>
    <row r="66" spans="1:32" ht="15" customHeight="1" x14ac:dyDescent="0.3">
      <c r="A66" s="52" t="s">
        <v>113</v>
      </c>
      <c r="B66" s="261"/>
      <c r="C66" s="60" t="s">
        <v>142</v>
      </c>
      <c r="D66" s="52"/>
      <c r="E66" s="44" t="s">
        <v>398</v>
      </c>
      <c r="F66" s="44" t="s">
        <v>69</v>
      </c>
      <c r="G66" s="71">
        <f>G65*G60*G42^2</f>
        <v>44.033619635629464</v>
      </c>
      <c r="H66" s="71">
        <f t="shared" ref="H66:AF66" si="20">H65*H60*H42^2</f>
        <v>22.466132467157891</v>
      </c>
      <c r="I66" s="71">
        <f t="shared" si="20"/>
        <v>22.466132467157891</v>
      </c>
      <c r="J66" s="71">
        <f t="shared" si="20"/>
        <v>37.967763869496821</v>
      </c>
      <c r="K66" s="71">
        <f t="shared" si="20"/>
        <v>32.351230752707359</v>
      </c>
      <c r="L66" s="71">
        <f t="shared" si="20"/>
        <v>32.351230752707359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44.033619635629464</v>
      </c>
      <c r="P66" s="71">
        <f t="shared" si="20"/>
        <v>68.802530680671026</v>
      </c>
      <c r="Q66" s="71">
        <f t="shared" si="20"/>
        <v>59.934648948495642</v>
      </c>
      <c r="R66" s="71">
        <f t="shared" si="20"/>
        <v>59.914675725623901</v>
      </c>
      <c r="S66" s="71">
        <f t="shared" si="20"/>
        <v>8.0878076881768397</v>
      </c>
      <c r="T66" s="71">
        <f t="shared" si="20"/>
        <v>8.0878076881768397</v>
      </c>
      <c r="U66" s="71">
        <f t="shared" si="20"/>
        <v>8.0878076881768397</v>
      </c>
      <c r="V66" s="71" t="e">
        <f t="shared" si="20"/>
        <v>#DIV/0!</v>
      </c>
      <c r="W66" s="71" t="e">
        <f t="shared" si="20"/>
        <v>#DIV/0!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</row>
    <row r="67" spans="1:32" ht="15" customHeight="1" x14ac:dyDescent="0.3">
      <c r="A67" s="52" t="s">
        <v>113</v>
      </c>
      <c r="B67" s="261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>
        <f t="shared" ref="H67:AF67" si="21">H65*H61*H42^2</f>
        <v>6.4322490993927213</v>
      </c>
      <c r="I67" s="71">
        <f t="shared" si="21"/>
        <v>6.3718450848078811</v>
      </c>
      <c r="J67" s="71">
        <f t="shared" si="21"/>
        <v>13.197667370011924</v>
      </c>
      <c r="K67" s="71">
        <f t="shared" si="21"/>
        <v>10.607677476641175</v>
      </c>
      <c r="L67" s="71">
        <f t="shared" si="21"/>
        <v>9.7575145590813275</v>
      </c>
      <c r="M67" s="71">
        <f t="shared" si="21"/>
        <v>9.0211693940934801</v>
      </c>
      <c r="N67" s="71">
        <f t="shared" si="21"/>
        <v>9.8109435645521756</v>
      </c>
      <c r="O67" s="71">
        <f t="shared" si="21"/>
        <v>14.292402319645882</v>
      </c>
      <c r="P67" s="71">
        <f t="shared" si="21"/>
        <v>20.983676834232924</v>
      </c>
      <c r="Q67" s="71">
        <f t="shared" si="21"/>
        <v>16.625805602788347</v>
      </c>
      <c r="R67" s="71">
        <f t="shared" si="21"/>
        <v>207.5544498893014</v>
      </c>
      <c r="S67" s="71">
        <f t="shared" si="21"/>
        <v>5.5202329026344445</v>
      </c>
      <c r="T67" s="71">
        <f t="shared" si="21"/>
        <v>2.6797758436412979</v>
      </c>
      <c r="U67" s="71">
        <f t="shared" si="21"/>
        <v>2.3514220322267021</v>
      </c>
      <c r="V67" s="71" t="e">
        <f t="shared" si="21"/>
        <v>#DIV/0!</v>
      </c>
      <c r="W67" s="71" t="e">
        <f t="shared" si="21"/>
        <v>#DIV/0!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</row>
    <row r="68" spans="1:32" ht="15" customHeight="1" x14ac:dyDescent="0.3">
      <c r="A68" s="52" t="s">
        <v>113</v>
      </c>
      <c r="B68" s="261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>
        <f t="shared" ref="H68:AF68" si="22">H65*H62*H42^2</f>
        <v>31.568430502415247</v>
      </c>
      <c r="I68" s="83">
        <f t="shared" si="22"/>
        <v>31.455276026529493</v>
      </c>
      <c r="J68" s="83">
        <f t="shared" si="22"/>
        <v>57.489097850943992</v>
      </c>
      <c r="K68" s="83">
        <f t="shared" si="22"/>
        <v>47.88743540791917</v>
      </c>
      <c r="L68" s="83">
        <f t="shared" si="22"/>
        <v>46.371736376135118</v>
      </c>
      <c r="M68" s="83">
        <f t="shared" si="22"/>
        <v>45.004659988671911</v>
      </c>
      <c r="N68" s="83">
        <f t="shared" si="22"/>
        <v>46.468890131611104</v>
      </c>
      <c r="O68" s="83">
        <f t="shared" si="22"/>
        <v>64.924809688845812</v>
      </c>
      <c r="P68" s="83">
        <f t="shared" si="22"/>
        <v>99.041744003411438</v>
      </c>
      <c r="Q68" s="83">
        <f t="shared" si="22"/>
        <v>83.211674453284772</v>
      </c>
      <c r="R68" s="83">
        <f t="shared" si="22"/>
        <v>243.10107861530844</v>
      </c>
      <c r="S68" s="83">
        <f t="shared" si="22"/>
        <v>16.073035161632465</v>
      </c>
      <c r="T68" s="83">
        <f t="shared" si="22"/>
        <v>12.020379364705787</v>
      </c>
      <c r="U68" s="83">
        <f t="shared" si="22"/>
        <v>11.431307386469147</v>
      </c>
      <c r="V68" s="83" t="e">
        <f t="shared" si="22"/>
        <v>#DIV/0!</v>
      </c>
      <c r="W68" s="83" t="e">
        <f t="shared" si="22"/>
        <v>#DIV/0!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</row>
    <row r="69" spans="1:32" x14ac:dyDescent="0.3">
      <c r="A69" s="52"/>
      <c r="B69" s="261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</row>
    <row r="70" spans="1:32" ht="21" customHeight="1" x14ac:dyDescent="0.4">
      <c r="B70" s="261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</row>
    <row r="71" spans="1:32" ht="15" customHeight="1" x14ac:dyDescent="0.3">
      <c r="A71" s="52" t="s">
        <v>113</v>
      </c>
      <c r="B71" s="261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>
        <f t="shared" ref="H71:AF73" si="23">SQRT(H53/H66)</f>
        <v>1.2301988051630743</v>
      </c>
      <c r="I71" s="76">
        <f t="shared" si="23"/>
        <v>1.2301988051630743</v>
      </c>
      <c r="J71" s="76">
        <f t="shared" si="23"/>
        <v>0.946306773202365</v>
      </c>
      <c r="K71" s="76">
        <f t="shared" si="23"/>
        <v>1.0251656709692285</v>
      </c>
      <c r="L71" s="76">
        <f t="shared" si="23"/>
        <v>1.0251656709692285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0.87871343225933873</v>
      </c>
      <c r="P71" s="76">
        <f t="shared" si="23"/>
        <v>0.7029707458074711</v>
      </c>
      <c r="Q71" s="76">
        <f t="shared" si="23"/>
        <v>0.7531829419365762</v>
      </c>
      <c r="R71" s="76">
        <f t="shared" si="23"/>
        <v>0.75330847242689891</v>
      </c>
      <c r="S71" s="76">
        <f t="shared" si="23"/>
        <v>2.050331341938457</v>
      </c>
      <c r="T71" s="76">
        <f t="shared" si="23"/>
        <v>2.050331341938457</v>
      </c>
      <c r="U71" s="76">
        <f t="shared" si="23"/>
        <v>2.050331341938457</v>
      </c>
      <c r="V71" s="76" t="e">
        <f t="shared" si="23"/>
        <v>#DIV/0!</v>
      </c>
      <c r="W71" s="76" t="e">
        <f t="shared" si="23"/>
        <v>#DIV/0!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</row>
    <row r="72" spans="1:32" ht="15" customHeight="1" x14ac:dyDescent="0.3">
      <c r="A72" s="52" t="s">
        <v>113</v>
      </c>
      <c r="B72" s="261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>
        <f t="shared" si="23"/>
        <v>2.2991008981832364</v>
      </c>
      <c r="I72" s="76">
        <f t="shared" si="23"/>
        <v>2.3099727371477914</v>
      </c>
      <c r="J72" s="76">
        <f t="shared" si="23"/>
        <v>1.6050585128412291</v>
      </c>
      <c r="K72" s="76">
        <f t="shared" si="23"/>
        <v>1.7903144014731629</v>
      </c>
      <c r="L72" s="76">
        <f t="shared" si="23"/>
        <v>1.8666799147338307</v>
      </c>
      <c r="M72" s="76">
        <f t="shared" si="23"/>
        <v>1.9413687726135396</v>
      </c>
      <c r="N72" s="76">
        <f t="shared" si="23"/>
        <v>1.8615901388536389</v>
      </c>
      <c r="O72" s="76">
        <f t="shared" si="23"/>
        <v>1.542363865934949</v>
      </c>
      <c r="P72" s="76">
        <f t="shared" si="23"/>
        <v>1.2729128302357087</v>
      </c>
      <c r="Q72" s="76">
        <f t="shared" si="23"/>
        <v>1.4300397498292017</v>
      </c>
      <c r="R72" s="76">
        <f t="shared" si="23"/>
        <v>0.40473749000069997</v>
      </c>
      <c r="S72" s="76">
        <f t="shared" si="23"/>
        <v>2.4817655851108587</v>
      </c>
      <c r="T72" s="76">
        <f t="shared" si="23"/>
        <v>3.5619697307670783</v>
      </c>
      <c r="U72" s="76">
        <f t="shared" si="23"/>
        <v>3.8025432899452101</v>
      </c>
      <c r="V72" s="76" t="e">
        <f t="shared" si="23"/>
        <v>#DIV/0!</v>
      </c>
      <c r="W72" s="76" t="e">
        <f t="shared" si="23"/>
        <v>#DIV/0!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</row>
    <row r="73" spans="1:32" ht="15" customHeight="1" x14ac:dyDescent="0.3">
      <c r="A73" s="52" t="s">
        <v>113</v>
      </c>
      <c r="B73" s="261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>
        <f t="shared" si="23"/>
        <v>0.78855619798315701</v>
      </c>
      <c r="I73" s="76">
        <f t="shared" si="23"/>
        <v>0.78997326648011934</v>
      </c>
      <c r="J73" s="76">
        <f t="shared" si="23"/>
        <v>0.5843410519911334</v>
      </c>
      <c r="K73" s="76">
        <f t="shared" si="23"/>
        <v>0.64024818389853277</v>
      </c>
      <c r="L73" s="76">
        <f t="shared" si="23"/>
        <v>0.65062757507973024</v>
      </c>
      <c r="M73" s="76">
        <f t="shared" si="23"/>
        <v>0.66043548901420612</v>
      </c>
      <c r="N73" s="76">
        <f t="shared" si="23"/>
        <v>0.64994707694509768</v>
      </c>
      <c r="O73" s="76">
        <f t="shared" si="23"/>
        <v>0.5498621200466195</v>
      </c>
      <c r="P73" s="76">
        <f t="shared" si="23"/>
        <v>0.44519472031125013</v>
      </c>
      <c r="Q73" s="76">
        <f t="shared" si="23"/>
        <v>0.48569878177153869</v>
      </c>
      <c r="R73" s="76">
        <f t="shared" si="23"/>
        <v>0.28416180447945699</v>
      </c>
      <c r="S73" s="76">
        <f t="shared" si="23"/>
        <v>1.1051219308449367</v>
      </c>
      <c r="T73" s="76">
        <f t="shared" si="23"/>
        <v>1.277909379363211</v>
      </c>
      <c r="U73" s="76">
        <f t="shared" si="23"/>
        <v>1.31042205340832</v>
      </c>
      <c r="V73" s="76" t="e">
        <f t="shared" si="23"/>
        <v>#DIV/0!</v>
      </c>
      <c r="W73" s="76" t="e">
        <f t="shared" si="23"/>
        <v>#DIV/0!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</row>
    <row r="74" spans="1:32" ht="15" customHeight="1" x14ac:dyDescent="0.3">
      <c r="A74" s="52" t="s">
        <v>113</v>
      </c>
      <c r="B74" s="261"/>
      <c r="C74" s="60" t="s">
        <v>128</v>
      </c>
      <c r="D74" s="52"/>
      <c r="E74" s="44" t="s">
        <v>147</v>
      </c>
      <c r="F74" s="44"/>
      <c r="G74" s="76">
        <f>SQRT(G36/G50*((G47/G66)^G41+(G48/G67)^G41+(G49/G68)^G41)^(1/G41))</f>
        <v>1.0844144632312867</v>
      </c>
      <c r="H74" s="76">
        <f t="shared" ref="H74:AF74" si="24">SQRT(H36/H50*((H47/H66)^H41+(H48/H67)^H41+(H49/H68)^H41)^(1/H41))</f>
        <v>2.0163824147512348</v>
      </c>
      <c r="I74" s="76">
        <f t="shared" si="24"/>
        <v>1.8636507912767302</v>
      </c>
      <c r="J74" s="76">
        <f t="shared" si="24"/>
        <v>1.6454332433872425</v>
      </c>
      <c r="K74" s="76">
        <f t="shared" si="24"/>
        <v>1.7685046665008082</v>
      </c>
      <c r="L74" s="76">
        <f t="shared" si="24"/>
        <v>1.8910286804820213</v>
      </c>
      <c r="M74" s="76">
        <f t="shared" si="24"/>
        <v>1.9791653236512208</v>
      </c>
      <c r="N74" s="76">
        <f t="shared" si="24"/>
        <v>1.9290286954949463</v>
      </c>
      <c r="O74" s="76">
        <f t="shared" si="24"/>
        <v>1.4882660979291105</v>
      </c>
      <c r="P74" s="76">
        <f t="shared" si="24"/>
        <v>1.2853206522232414</v>
      </c>
      <c r="Q74" s="76">
        <f t="shared" si="24"/>
        <v>1.162094725902082</v>
      </c>
      <c r="R74" s="76">
        <f t="shared" si="24"/>
        <v>1.1955454841211055</v>
      </c>
      <c r="S74" s="76">
        <f t="shared" si="24"/>
        <v>2.5308962700573177</v>
      </c>
      <c r="T74" s="76">
        <f t="shared" si="24"/>
        <v>3.5529246070518816</v>
      </c>
      <c r="U74" s="76">
        <f t="shared" si="24"/>
        <v>3.8029591070272395</v>
      </c>
      <c r="V74" s="76" t="e">
        <f t="shared" si="24"/>
        <v>#DIV/0!</v>
      </c>
      <c r="W74" s="76" t="e">
        <f t="shared" si="24"/>
        <v>#DIV/0!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</row>
    <row r="75" spans="1:32" ht="15" customHeight="1" x14ac:dyDescent="0.3">
      <c r="A75" s="52"/>
      <c r="B75" s="261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</row>
    <row r="76" spans="1:32" ht="23.25" customHeight="1" x14ac:dyDescent="0.4">
      <c r="B76" s="261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</row>
    <row r="77" spans="1:32" ht="15" customHeight="1" x14ac:dyDescent="0.3">
      <c r="A77" s="52" t="s">
        <v>113</v>
      </c>
      <c r="B77" s="261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>
        <f t="shared" ref="H77:AF79" si="25">H53/SQRT(1+H71^4)</f>
        <v>18.743819567075501</v>
      </c>
      <c r="I77" s="91">
        <f t="shared" si="25"/>
        <v>18.743819567075501</v>
      </c>
      <c r="J77" s="91">
        <f t="shared" si="25"/>
        <v>25.328640945357687</v>
      </c>
      <c r="K77" s="91">
        <f t="shared" si="25"/>
        <v>23.436982560889486</v>
      </c>
      <c r="L77" s="91">
        <f t="shared" si="25"/>
        <v>23.436982560889486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26.91137000670091</v>
      </c>
      <c r="P77" s="91">
        <f t="shared" si="25"/>
        <v>30.481300318382239</v>
      </c>
      <c r="Q77" s="91">
        <f t="shared" si="25"/>
        <v>29.572913456113969</v>
      </c>
      <c r="R77" s="91">
        <f t="shared" si="25"/>
        <v>29.57051318197448</v>
      </c>
      <c r="S77" s="91">
        <f t="shared" si="25"/>
        <v>7.8682568638973445</v>
      </c>
      <c r="T77" s="91">
        <f t="shared" si="25"/>
        <v>7.8682568638973445</v>
      </c>
      <c r="U77" s="91">
        <f t="shared" si="25"/>
        <v>7.8682568638973445</v>
      </c>
      <c r="V77" s="91" t="e">
        <f t="shared" si="25"/>
        <v>#DIV/0!</v>
      </c>
      <c r="W77" s="91" t="e">
        <f t="shared" si="25"/>
        <v>#DIV/0!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</row>
    <row r="78" spans="1:32" ht="15" customHeight="1" x14ac:dyDescent="0.3">
      <c r="A78" s="52" t="s">
        <v>113</v>
      </c>
      <c r="B78" s="261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>
        <f t="shared" si="25"/>
        <v>6.3201428025008495</v>
      </c>
      <c r="I78" s="91">
        <f t="shared" si="25"/>
        <v>6.2628145506511803</v>
      </c>
      <c r="J78" s="91">
        <f t="shared" si="25"/>
        <v>12.303286740962909</v>
      </c>
      <c r="K78" s="91">
        <f t="shared" si="25"/>
        <v>10.126283485171012</v>
      </c>
      <c r="L78" s="91">
        <f t="shared" si="25"/>
        <v>9.3789275166386226</v>
      </c>
      <c r="M78" s="91">
        <f t="shared" si="25"/>
        <v>8.7194671538244286</v>
      </c>
      <c r="N78" s="91">
        <f t="shared" si="25"/>
        <v>9.4263459477725959</v>
      </c>
      <c r="O78" s="91">
        <f t="shared" si="25"/>
        <v>13.175622661602466</v>
      </c>
      <c r="P78" s="91">
        <f t="shared" si="25"/>
        <v>17.856701983384298</v>
      </c>
      <c r="Q78" s="91">
        <f t="shared" si="25"/>
        <v>14.935742567401164</v>
      </c>
      <c r="R78" s="91">
        <f t="shared" si="25"/>
        <v>33.55279381905676</v>
      </c>
      <c r="S78" s="91">
        <f t="shared" si="25"/>
        <v>5.4488818844482045</v>
      </c>
      <c r="T78" s="91">
        <f t="shared" si="25"/>
        <v>2.6714908935070509</v>
      </c>
      <c r="U78" s="91">
        <f t="shared" si="25"/>
        <v>2.3458186610593295</v>
      </c>
      <c r="V78" s="91" t="e">
        <f t="shared" si="25"/>
        <v>#DIV/0!</v>
      </c>
      <c r="W78" s="91" t="e">
        <f t="shared" si="25"/>
        <v>#DIV/0!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</row>
    <row r="79" spans="1:32" ht="18" customHeight="1" x14ac:dyDescent="0.3">
      <c r="A79" s="52" t="s">
        <v>113</v>
      </c>
      <c r="B79" s="261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>
        <f t="shared" si="25"/>
        <v>16.669904324429531</v>
      </c>
      <c r="I79" s="91">
        <f t="shared" si="25"/>
        <v>16.653178097029407</v>
      </c>
      <c r="J79" s="91">
        <f t="shared" si="25"/>
        <v>18.576812542382989</v>
      </c>
      <c r="K79" s="91">
        <f t="shared" si="25"/>
        <v>18.163135241507121</v>
      </c>
      <c r="L79" s="91">
        <f t="shared" si="25"/>
        <v>18.076950679529265</v>
      </c>
      <c r="M79" s="91">
        <f t="shared" si="25"/>
        <v>17.992828432738133</v>
      </c>
      <c r="N79" s="91">
        <f t="shared" si="25"/>
        <v>18.08269076925432</v>
      </c>
      <c r="O79" s="91">
        <f t="shared" si="25"/>
        <v>18.78985483916939</v>
      </c>
      <c r="P79" s="91">
        <f t="shared" si="25"/>
        <v>19.255352141745128</v>
      </c>
      <c r="Q79" s="91">
        <f t="shared" si="25"/>
        <v>19.105492506996097</v>
      </c>
      <c r="R79" s="91">
        <f t="shared" si="25"/>
        <v>19.566224666440515</v>
      </c>
      <c r="S79" s="91">
        <f t="shared" si="25"/>
        <v>12.436053915258837</v>
      </c>
      <c r="T79" s="91">
        <f t="shared" si="25"/>
        <v>10.25111534802722</v>
      </c>
      <c r="U79" s="91">
        <f t="shared" si="25"/>
        <v>9.8783844465302284</v>
      </c>
      <c r="V79" s="91" t="e">
        <f t="shared" si="25"/>
        <v>#DIV/0!</v>
      </c>
      <c r="W79" s="91" t="e">
        <f t="shared" si="25"/>
        <v>#DIV/0!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</row>
    <row r="80" spans="1:32" ht="15" customHeight="1" x14ac:dyDescent="0.3">
      <c r="A80" s="52" t="s">
        <v>113</v>
      </c>
      <c r="B80" s="261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>
        <f t="shared" ref="H80:AF80" si="26">H36/SQRT(1+H74^4)</f>
        <v>8.1204317049074355</v>
      </c>
      <c r="I80" s="91">
        <f t="shared" si="26"/>
        <v>9.4071084222554671</v>
      </c>
      <c r="J80" s="91">
        <f t="shared" si="26"/>
        <v>11.780097775475227</v>
      </c>
      <c r="K80" s="91">
        <f t="shared" si="26"/>
        <v>10.354533359640586</v>
      </c>
      <c r="L80" s="91">
        <f t="shared" si="26"/>
        <v>9.1565736617967186</v>
      </c>
      <c r="M80" s="91">
        <f t="shared" si="26"/>
        <v>8.4101661106705041</v>
      </c>
      <c r="N80" s="91">
        <f t="shared" si="26"/>
        <v>8.8238882844377837</v>
      </c>
      <c r="O80" s="91">
        <f t="shared" si="26"/>
        <v>13.990535916776663</v>
      </c>
      <c r="P80" s="91">
        <f t="shared" si="26"/>
        <v>17.606263918810029</v>
      </c>
      <c r="Q80" s="91">
        <f t="shared" si="26"/>
        <v>20.233244594630012</v>
      </c>
      <c r="R80" s="91">
        <f t="shared" si="26"/>
        <v>19.490782174437278</v>
      </c>
      <c r="S80" s="91">
        <f t="shared" si="26"/>
        <v>5.2444655845929598</v>
      </c>
      <c r="T80" s="91">
        <f t="shared" si="26"/>
        <v>2.6850257795242389</v>
      </c>
      <c r="U80" s="91">
        <f t="shared" si="26"/>
        <v>2.3453081446039223</v>
      </c>
      <c r="V80" s="91" t="e">
        <f t="shared" si="26"/>
        <v>#DIV/0!</v>
      </c>
      <c r="W80" s="91" t="e">
        <f t="shared" si="26"/>
        <v>#DIV/0!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</row>
    <row r="81" spans="1:32" ht="15" customHeight="1" x14ac:dyDescent="0.3">
      <c r="B81" s="261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</row>
    <row r="82" spans="1:32" ht="24.75" customHeight="1" x14ac:dyDescent="0.4">
      <c r="B82" s="261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</row>
    <row r="83" spans="1:32" ht="15" customHeight="1" x14ac:dyDescent="0.3">
      <c r="A83" s="52" t="s">
        <v>113</v>
      </c>
      <c r="B83" s="261"/>
      <c r="C83" s="60" t="s">
        <v>402</v>
      </c>
      <c r="D83" s="52"/>
      <c r="E83" s="44" t="s">
        <v>153</v>
      </c>
      <c r="F83" s="44"/>
      <c r="G83" s="92">
        <f>G47/G77</f>
        <v>1.699115529555514E-2</v>
      </c>
      <c r="H83" s="92">
        <f t="shared" ref="H83:AF86" si="27">H47/H77</f>
        <v>1.6099719105815292E-2</v>
      </c>
      <c r="I83" s="92">
        <f t="shared" si="27"/>
        <v>3.245021233923992E-2</v>
      </c>
      <c r="J83" s="92">
        <f t="shared" si="27"/>
        <v>3.2434645300247415E-2</v>
      </c>
      <c r="K83" s="92">
        <f t="shared" si="27"/>
        <v>1.5661464313777658E-4</v>
      </c>
      <c r="L83" s="92">
        <f t="shared" si="27"/>
        <v>2.008072757562945E-2</v>
      </c>
      <c r="M83" s="92">
        <f t="shared" si="27"/>
        <v>2.3381174904932075E-2</v>
      </c>
      <c r="N83" s="92">
        <f t="shared" si="27"/>
        <v>0.15381519509323657</v>
      </c>
      <c r="O83" s="92">
        <f t="shared" si="27"/>
        <v>2.0218171031966038E-2</v>
      </c>
      <c r="P83" s="92">
        <f t="shared" si="27"/>
        <v>4.2965013756654166E-3</v>
      </c>
      <c r="Q83" s="92">
        <f t="shared" si="27"/>
        <v>1.2417850951512441E-3</v>
      </c>
      <c r="R83" s="92">
        <f t="shared" si="27"/>
        <v>1.8909559230810191E-3</v>
      </c>
      <c r="S83" s="92">
        <f t="shared" si="27"/>
        <v>4.2590382126138492E-2</v>
      </c>
      <c r="T83" s="92">
        <f t="shared" si="27"/>
        <v>2.1030745165332072E-3</v>
      </c>
      <c r="U83" s="92">
        <f t="shared" si="27"/>
        <v>1.871730957027402E-2</v>
      </c>
      <c r="V83" s="92" t="e">
        <f t="shared" si="27"/>
        <v>#DIV/0!</v>
      </c>
      <c r="W83" s="92" t="e">
        <f t="shared" si="27"/>
        <v>#DIV/0!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</row>
    <row r="84" spans="1:32" ht="15" customHeight="1" x14ac:dyDescent="0.3">
      <c r="A84" s="52" t="s">
        <v>113</v>
      </c>
      <c r="B84" s="261"/>
      <c r="C84" s="60" t="s">
        <v>402</v>
      </c>
      <c r="D84" s="52"/>
      <c r="E84" s="44" t="b">
        <f>'Standard Buckling Calculations'!I31='WT of Plates'!F10</f>
        <v>0</v>
      </c>
      <c r="F84" s="44"/>
      <c r="G84" s="92">
        <f>G48/G78</f>
        <v>4.2359753297585949E-2</v>
      </c>
      <c r="H84" s="92">
        <f t="shared" si="27"/>
        <v>0.30628733962055754</v>
      </c>
      <c r="I84" s="92">
        <f t="shared" si="27"/>
        <v>0.47593761652898992</v>
      </c>
      <c r="J84" s="92">
        <f t="shared" si="27"/>
        <v>0.36340130723882308</v>
      </c>
      <c r="K84" s="92">
        <f t="shared" si="27"/>
        <v>0.57544172139099381</v>
      </c>
      <c r="L84" s="92">
        <f t="shared" si="27"/>
        <v>0.6803194857493482</v>
      </c>
      <c r="M84" s="92">
        <f t="shared" si="27"/>
        <v>0.77322828804313393</v>
      </c>
      <c r="N84" s="92">
        <f t="shared" si="27"/>
        <v>0.42373782610257743</v>
      </c>
      <c r="O84" s="92">
        <f t="shared" si="27"/>
        <v>0.28993202849780103</v>
      </c>
      <c r="P84" s="92">
        <f t="shared" si="27"/>
        <v>5.378098586702118E-2</v>
      </c>
      <c r="Q84" s="92">
        <f t="shared" si="27"/>
        <v>1.4625203903605344E-3</v>
      </c>
      <c r="R84" s="92">
        <f t="shared" si="27"/>
        <v>1.2129934520351111E-2</v>
      </c>
      <c r="S84" s="92">
        <f t="shared" si="27"/>
        <v>1.2710574769049823</v>
      </c>
      <c r="T84" s="92">
        <f t="shared" si="27"/>
        <v>2.0517011431038719</v>
      </c>
      <c r="U84" s="92">
        <f t="shared" si="27"/>
        <v>1.0018867694311338</v>
      </c>
      <c r="V84" s="92" t="e">
        <f t="shared" si="27"/>
        <v>#DIV/0!</v>
      </c>
      <c r="W84" s="92" t="e">
        <f t="shared" si="27"/>
        <v>#DIV/0!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</row>
    <row r="85" spans="1:32" ht="15" customHeight="1" x14ac:dyDescent="0.3">
      <c r="A85" s="52" t="s">
        <v>113</v>
      </c>
      <c r="B85" s="261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>
        <f t="shared" si="27"/>
        <v>6.2641986971076105E-2</v>
      </c>
      <c r="I85" s="92">
        <f t="shared" si="27"/>
        <v>0.13235354490042767</v>
      </c>
      <c r="J85" s="92">
        <f t="shared" si="27"/>
        <v>3.8487891282143701E-2</v>
      </c>
      <c r="K85" s="92">
        <f t="shared" si="27"/>
        <v>4.357567380169583E-2</v>
      </c>
      <c r="L85" s="92">
        <f t="shared" si="27"/>
        <v>2.9442624308463273E-2</v>
      </c>
      <c r="M85" s="92">
        <f t="shared" si="27"/>
        <v>9.3253304019009081E-3</v>
      </c>
      <c r="N85" s="92">
        <f t="shared" si="27"/>
        <v>3.5339509100412052E-2</v>
      </c>
      <c r="O85" s="92">
        <f t="shared" si="27"/>
        <v>6.4725880929358048E-2</v>
      </c>
      <c r="P85" s="92">
        <f t="shared" si="27"/>
        <v>8.6269416044522599E-3</v>
      </c>
      <c r="Q85" s="92">
        <f t="shared" si="27"/>
        <v>6.2050780400761023E-4</v>
      </c>
      <c r="R85" s="92">
        <f t="shared" si="27"/>
        <v>2.1375464691323388E-2</v>
      </c>
      <c r="S85" s="92">
        <f t="shared" si="27"/>
        <v>9.8710224912566258E-3</v>
      </c>
      <c r="T85" s="92">
        <f t="shared" si="27"/>
        <v>3.7553731562886494E-2</v>
      </c>
      <c r="U85" s="92">
        <f t="shared" si="27"/>
        <v>3.4262411665794475E-2</v>
      </c>
      <c r="V85" s="92" t="e">
        <f t="shared" si="27"/>
        <v>#DIV/0!</v>
      </c>
      <c r="W85" s="92" t="e">
        <f t="shared" si="27"/>
        <v>#DIV/0!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</row>
    <row r="86" spans="1:32" ht="15" customHeight="1" x14ac:dyDescent="0.3">
      <c r="A86" s="52" t="s">
        <v>113</v>
      </c>
      <c r="B86" s="261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>
        <f t="shared" si="27"/>
        <v>0.31457599164049338</v>
      </c>
      <c r="I86" s="92">
        <f t="shared" si="27"/>
        <v>0.4987830307468295</v>
      </c>
      <c r="J86" s="92">
        <f t="shared" si="27"/>
        <v>0.36537319041884997</v>
      </c>
      <c r="K86" s="92">
        <f t="shared" si="27"/>
        <v>0.57794806648852071</v>
      </c>
      <c r="L86" s="92">
        <f t="shared" si="27"/>
        <v>0.68010829175289489</v>
      </c>
      <c r="M86" s="92">
        <f t="shared" si="27"/>
        <v>0.77192778044938992</v>
      </c>
      <c r="N86" s="92">
        <f t="shared" si="27"/>
        <v>0.45013020170149126</v>
      </c>
      <c r="O86" s="92">
        <f t="shared" si="27"/>
        <v>0.29684506958830004</v>
      </c>
      <c r="P86" s="92">
        <f t="shared" si="27"/>
        <v>5.3776529578169217E-2</v>
      </c>
      <c r="Q86" s="92">
        <f t="shared" si="27"/>
        <v>1.8788786049028017E-3</v>
      </c>
      <c r="R86" s="92">
        <f t="shared" si="27"/>
        <v>4.2020439331255467E-2</v>
      </c>
      <c r="S86" s="92">
        <f t="shared" si="27"/>
        <v>1.2904756429542281</v>
      </c>
      <c r="T86" s="92">
        <f t="shared" si="27"/>
        <v>2.0533564617844657</v>
      </c>
      <c r="U86" s="92">
        <f t="shared" si="27"/>
        <v>1.003847026771306</v>
      </c>
      <c r="V86" s="92" t="e">
        <f t="shared" si="27"/>
        <v>#DIV/0!</v>
      </c>
      <c r="W86" s="92" t="e">
        <f t="shared" si="27"/>
        <v>#DIV/0!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</row>
    <row r="87" spans="1:32" ht="15" customHeight="1" x14ac:dyDescent="0.3">
      <c r="A87" s="52"/>
      <c r="B87" s="261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</row>
    <row r="88" spans="1:32" ht="18" customHeight="1" x14ac:dyDescent="0.4">
      <c r="A88" s="52"/>
      <c r="B88" s="261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</row>
    <row r="89" spans="1:32" ht="15" customHeight="1" x14ac:dyDescent="0.3">
      <c r="A89" s="52" t="s">
        <v>113</v>
      </c>
      <c r="B89" s="261"/>
      <c r="C89" s="60" t="s">
        <v>403</v>
      </c>
      <c r="D89" s="93"/>
      <c r="E89" s="44" t="s">
        <v>158</v>
      </c>
      <c r="F89" s="44" t="s">
        <v>69</v>
      </c>
      <c r="G89" s="91">
        <f>IF(G71&lt;1,G53/(SQRT(1+G71^4)),G53/SQRT(2)/G71)</f>
        <v>26.91137000670091</v>
      </c>
      <c r="H89" s="91">
        <f t="shared" ref="H89:AF92" si="28">IF(H71&lt;1,H53/(SQRT(1+H71^4)),H53/SQRT(2)/H71)</f>
        <v>19.542882385709742</v>
      </c>
      <c r="I89" s="91">
        <f t="shared" si="28"/>
        <v>19.542882385709742</v>
      </c>
      <c r="J89" s="91">
        <f t="shared" si="28"/>
        <v>25.328640945357687</v>
      </c>
      <c r="K89" s="91">
        <f t="shared" si="28"/>
        <v>23.451458862851691</v>
      </c>
      <c r="L89" s="91">
        <f t="shared" si="28"/>
        <v>23.451458862851691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26.91137000670091</v>
      </c>
      <c r="P89" s="91">
        <f t="shared" si="28"/>
        <v>30.481300318382239</v>
      </c>
      <c r="Q89" s="91">
        <f t="shared" si="28"/>
        <v>29.572913456113969</v>
      </c>
      <c r="R89" s="91">
        <f t="shared" si="28"/>
        <v>29.57051318197448</v>
      </c>
      <c r="S89" s="91">
        <f t="shared" si="28"/>
        <v>11.725729431425846</v>
      </c>
      <c r="T89" s="91">
        <f t="shared" si="28"/>
        <v>11.725729431425846</v>
      </c>
      <c r="U89" s="91">
        <f t="shared" si="28"/>
        <v>11.725729431425846</v>
      </c>
      <c r="V89" s="91" t="e">
        <f t="shared" si="28"/>
        <v>#DIV/0!</v>
      </c>
      <c r="W89" s="91" t="e">
        <f t="shared" si="28"/>
        <v>#DIV/0!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</row>
    <row r="90" spans="1:32" ht="15" customHeight="1" x14ac:dyDescent="0.3">
      <c r="A90" s="52" t="s">
        <v>113</v>
      </c>
      <c r="B90" s="261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>
        <f t="shared" si="28"/>
        <v>10.456970626796092</v>
      </c>
      <c r="I90" s="91">
        <f t="shared" si="28"/>
        <v>10.40775511057663</v>
      </c>
      <c r="J90" s="91">
        <f t="shared" si="28"/>
        <v>14.97866300075553</v>
      </c>
      <c r="K90" s="91">
        <f t="shared" si="28"/>
        <v>13.428719860913771</v>
      </c>
      <c r="L90" s="91">
        <f t="shared" si="28"/>
        <v>12.879353535965326</v>
      </c>
      <c r="M90" s="91">
        <f t="shared" si="28"/>
        <v>12.383855607184264</v>
      </c>
      <c r="N90" s="91">
        <f t="shared" si="28"/>
        <v>12.914566992252855</v>
      </c>
      <c r="O90" s="91">
        <f t="shared" si="28"/>
        <v>15.587521914466711</v>
      </c>
      <c r="P90" s="91">
        <f t="shared" si="28"/>
        <v>18.887098935039223</v>
      </c>
      <c r="Q90" s="91">
        <f t="shared" si="28"/>
        <v>16.811861742454397</v>
      </c>
      <c r="R90" s="91">
        <f t="shared" si="28"/>
        <v>33.55279381905676</v>
      </c>
      <c r="S90" s="91">
        <f t="shared" si="28"/>
        <v>9.6873091901097865</v>
      </c>
      <c r="T90" s="91">
        <f t="shared" si="28"/>
        <v>6.7495325276571609</v>
      </c>
      <c r="U90" s="91">
        <f t="shared" si="28"/>
        <v>6.3225133094248154</v>
      </c>
      <c r="V90" s="91" t="e">
        <f t="shared" si="28"/>
        <v>#DIV/0!</v>
      </c>
      <c r="W90" s="91" t="e">
        <f t="shared" si="28"/>
        <v>#DIV/0!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</row>
    <row r="91" spans="1:32" ht="15" customHeight="1" x14ac:dyDescent="0.3">
      <c r="A91" s="52" t="s">
        <v>113</v>
      </c>
      <c r="B91" s="261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>
        <f t="shared" si="28"/>
        <v>16.669904324429531</v>
      </c>
      <c r="I91" s="91">
        <f t="shared" si="28"/>
        <v>16.653178097029407</v>
      </c>
      <c r="J91" s="91">
        <f t="shared" si="28"/>
        <v>18.576812542382989</v>
      </c>
      <c r="K91" s="91">
        <f t="shared" si="28"/>
        <v>18.163135241507121</v>
      </c>
      <c r="L91" s="91">
        <f t="shared" si="28"/>
        <v>18.076950679529265</v>
      </c>
      <c r="M91" s="91">
        <f t="shared" si="28"/>
        <v>17.992828432738133</v>
      </c>
      <c r="N91" s="91">
        <f t="shared" si="28"/>
        <v>18.08269076925432</v>
      </c>
      <c r="O91" s="91">
        <f t="shared" si="28"/>
        <v>18.78985483916939</v>
      </c>
      <c r="P91" s="91">
        <f t="shared" si="28"/>
        <v>19.255352141745128</v>
      </c>
      <c r="Q91" s="91">
        <f t="shared" si="28"/>
        <v>19.105492506996097</v>
      </c>
      <c r="R91" s="91">
        <f t="shared" si="28"/>
        <v>19.566224666440515</v>
      </c>
      <c r="S91" s="91">
        <f t="shared" si="28"/>
        <v>12.560099920520853</v>
      </c>
      <c r="T91" s="91">
        <f t="shared" si="28"/>
        <v>10.861835823357081</v>
      </c>
      <c r="U91" s="91">
        <f t="shared" si="28"/>
        <v>10.59234453485367</v>
      </c>
      <c r="V91" s="91" t="e">
        <f t="shared" si="28"/>
        <v>#DIV/0!</v>
      </c>
      <c r="W91" s="91" t="e">
        <f t="shared" si="28"/>
        <v>#DIV/0!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</row>
    <row r="92" spans="1:32" ht="15" customHeight="1" x14ac:dyDescent="0.3">
      <c r="A92" s="52" t="s">
        <v>113</v>
      </c>
      <c r="B92" s="261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>
        <f t="shared" si="28"/>
        <v>11.923150283627463</v>
      </c>
      <c r="I92" s="91">
        <f t="shared" si="28"/>
        <v>12.900287260293238</v>
      </c>
      <c r="J92" s="91">
        <f t="shared" si="28"/>
        <v>14.611124855391393</v>
      </c>
      <c r="K92" s="91">
        <f t="shared" si="28"/>
        <v>13.594326899861549</v>
      </c>
      <c r="L92" s="91">
        <f t="shared" si="28"/>
        <v>12.713519794006734</v>
      </c>
      <c r="M92" s="91">
        <f t="shared" si="28"/>
        <v>12.147358420765945</v>
      </c>
      <c r="N92" s="91">
        <f t="shared" si="28"/>
        <v>12.46307564863573</v>
      </c>
      <c r="O92" s="91">
        <f t="shared" si="28"/>
        <v>16.154120955786077</v>
      </c>
      <c r="P92" s="91">
        <f t="shared" si="28"/>
        <v>18.704772633005927</v>
      </c>
      <c r="Q92" s="91">
        <f t="shared" si="28"/>
        <v>20.688184899626126</v>
      </c>
      <c r="R92" s="91">
        <f t="shared" si="28"/>
        <v>20.109339945369459</v>
      </c>
      <c r="S92" s="91">
        <f t="shared" si="28"/>
        <v>9.4992555976219997</v>
      </c>
      <c r="T92" s="91">
        <f t="shared" si="28"/>
        <v>6.7667156552167018</v>
      </c>
      <c r="U92" s="91">
        <f t="shared" si="28"/>
        <v>6.3218220032704684</v>
      </c>
      <c r="V92" s="91" t="e">
        <f t="shared" si="28"/>
        <v>#DIV/0!</v>
      </c>
      <c r="W92" s="91" t="e">
        <f t="shared" si="28"/>
        <v>#DIV/0!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</row>
    <row r="93" spans="1:32" ht="15" customHeight="1" x14ac:dyDescent="0.3">
      <c r="A93" s="52"/>
      <c r="B93" s="261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</row>
    <row r="94" spans="1:32" ht="15" customHeight="1" x14ac:dyDescent="0.45">
      <c r="A94" s="52"/>
      <c r="B94" s="261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</row>
    <row r="95" spans="1:32" ht="15" customHeight="1" x14ac:dyDescent="0.3">
      <c r="A95" s="52" t="s">
        <v>113</v>
      </c>
      <c r="B95" s="261"/>
      <c r="C95" s="60" t="s">
        <v>403</v>
      </c>
      <c r="D95" s="52"/>
      <c r="E95" s="44" t="s">
        <v>163</v>
      </c>
      <c r="F95" s="42"/>
      <c r="G95" s="92">
        <f>G47/G89</f>
        <v>1.699115529555514E-2</v>
      </c>
      <c r="H95" s="92">
        <f t="shared" ref="H95:AF98" si="29">H47/H89</f>
        <v>1.5441439192238199E-2</v>
      </c>
      <c r="I95" s="92">
        <f t="shared" si="29"/>
        <v>3.1123398943687111E-2</v>
      </c>
      <c r="J95" s="92">
        <f t="shared" si="29"/>
        <v>3.2434645300247415E-2</v>
      </c>
      <c r="K95" s="92">
        <f t="shared" si="29"/>
        <v>1.5651796681247739E-4</v>
      </c>
      <c r="L95" s="92">
        <f t="shared" si="29"/>
        <v>2.0068331985329261E-2</v>
      </c>
      <c r="M95" s="92">
        <f t="shared" si="29"/>
        <v>2.3366741988407165E-2</v>
      </c>
      <c r="N95" s="92">
        <f t="shared" si="29"/>
        <v>0.15372024683336211</v>
      </c>
      <c r="O95" s="92">
        <f t="shared" si="29"/>
        <v>2.0218171031966038E-2</v>
      </c>
      <c r="P95" s="92">
        <f t="shared" si="29"/>
        <v>4.2965013756654166E-3</v>
      </c>
      <c r="Q95" s="92">
        <f t="shared" si="29"/>
        <v>1.2417850951512441E-3</v>
      </c>
      <c r="R95" s="92">
        <f t="shared" si="29"/>
        <v>1.8909559230810191E-3</v>
      </c>
      <c r="S95" s="92">
        <f t="shared" si="29"/>
        <v>2.8579208522573802E-2</v>
      </c>
      <c r="T95" s="92">
        <f t="shared" si="29"/>
        <v>1.4112154469172176E-3</v>
      </c>
      <c r="U95" s="92">
        <f t="shared" si="29"/>
        <v>1.2559781492595101E-2</v>
      </c>
      <c r="V95" s="92" t="e">
        <f t="shared" si="29"/>
        <v>#DIV/0!</v>
      </c>
      <c r="W95" s="92" t="e">
        <f t="shared" si="29"/>
        <v>#DIV/0!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</row>
    <row r="96" spans="1:32" ht="15" customHeight="1" x14ac:dyDescent="0.3">
      <c r="A96" s="52" t="s">
        <v>113</v>
      </c>
      <c r="B96" s="261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>
        <f t="shared" si="29"/>
        <v>0.18511859639727254</v>
      </c>
      <c r="I96" s="92">
        <f t="shared" si="29"/>
        <v>0.28639307884665022</v>
      </c>
      <c r="J96" s="92">
        <f t="shared" si="29"/>
        <v>0.29849329574839084</v>
      </c>
      <c r="K96" s="92">
        <f t="shared" si="29"/>
        <v>0.43392713976859215</v>
      </c>
      <c r="L96" s="92">
        <f t="shared" si="29"/>
        <v>0.49541827756976464</v>
      </c>
      <c r="M96" s="92">
        <f t="shared" si="29"/>
        <v>0.54442968925515201</v>
      </c>
      <c r="N96" s="92">
        <f t="shared" si="29"/>
        <v>0.30928635411439548</v>
      </c>
      <c r="O96" s="92">
        <f t="shared" si="29"/>
        <v>0.24507006475831425</v>
      </c>
      <c r="P96" s="92">
        <f t="shared" si="29"/>
        <v>5.0846932093862388E-2</v>
      </c>
      <c r="Q96" s="92">
        <f t="shared" si="29"/>
        <v>1.2993104740350414E-3</v>
      </c>
      <c r="R96" s="92">
        <f t="shared" si="29"/>
        <v>1.2129934520351111E-2</v>
      </c>
      <c r="S96" s="92">
        <f t="shared" si="29"/>
        <v>0.71493971381350219</v>
      </c>
      <c r="T96" s="92">
        <f t="shared" si="29"/>
        <v>0.81207119123293603</v>
      </c>
      <c r="U96" s="92">
        <f t="shared" si="29"/>
        <v>0.37172633175742742</v>
      </c>
      <c r="V96" s="92" t="e">
        <f t="shared" si="29"/>
        <v>#DIV/0!</v>
      </c>
      <c r="W96" s="92" t="e">
        <f t="shared" si="29"/>
        <v>#DIV/0!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</row>
    <row r="97" spans="1:33" ht="15" customHeight="1" x14ac:dyDescent="0.3">
      <c r="A97" s="52" t="s">
        <v>113</v>
      </c>
      <c r="B97" s="261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>
        <f t="shared" si="29"/>
        <v>6.2641986971076105E-2</v>
      </c>
      <c r="I97" s="92">
        <f t="shared" si="29"/>
        <v>0.13235354490042767</v>
      </c>
      <c r="J97" s="92">
        <f t="shared" si="29"/>
        <v>3.8487891282143701E-2</v>
      </c>
      <c r="K97" s="92">
        <f t="shared" si="29"/>
        <v>4.357567380169583E-2</v>
      </c>
      <c r="L97" s="92">
        <f t="shared" si="29"/>
        <v>2.9442624308463273E-2</v>
      </c>
      <c r="M97" s="92">
        <f t="shared" si="29"/>
        <v>9.3253304019009081E-3</v>
      </c>
      <c r="N97" s="92">
        <f t="shared" si="29"/>
        <v>3.5339509100412052E-2</v>
      </c>
      <c r="O97" s="92">
        <f t="shared" si="29"/>
        <v>6.4725880929358048E-2</v>
      </c>
      <c r="P97" s="92">
        <f t="shared" si="29"/>
        <v>8.6269416044522599E-3</v>
      </c>
      <c r="Q97" s="92">
        <f t="shared" si="29"/>
        <v>6.2050780400761023E-4</v>
      </c>
      <c r="R97" s="92">
        <f t="shared" si="29"/>
        <v>2.1375464691323388E-2</v>
      </c>
      <c r="S97" s="92">
        <f t="shared" si="29"/>
        <v>9.7735343410316929E-3</v>
      </c>
      <c r="T97" s="92">
        <f t="shared" si="29"/>
        <v>3.5442225445184231E-2</v>
      </c>
      <c r="U97" s="92">
        <f t="shared" si="29"/>
        <v>3.1953008456845448E-2</v>
      </c>
      <c r="V97" s="92" t="e">
        <f t="shared" si="29"/>
        <v>#DIV/0!</v>
      </c>
      <c r="W97" s="92" t="e">
        <f t="shared" si="29"/>
        <v>#DIV/0!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</row>
    <row r="98" spans="1:33" ht="15" customHeight="1" x14ac:dyDescent="0.3">
      <c r="A98" s="52" t="s">
        <v>113</v>
      </c>
      <c r="B98" s="261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>
        <f t="shared" si="29"/>
        <v>0.21424646971261591</v>
      </c>
      <c r="I98" s="92">
        <f t="shared" si="29"/>
        <v>0.36372105168997226</v>
      </c>
      <c r="J98" s="92">
        <f t="shared" si="29"/>
        <v>0.29457909300413576</v>
      </c>
      <c r="K98" s="92">
        <f t="shared" si="29"/>
        <v>0.44021175735123086</v>
      </c>
      <c r="L98" s="92">
        <f t="shared" si="29"/>
        <v>0.48982986398226219</v>
      </c>
      <c r="M98" s="92">
        <f t="shared" si="29"/>
        <v>0.53444054535530927</v>
      </c>
      <c r="N98" s="92">
        <f t="shared" si="29"/>
        <v>0.31869329251003858</v>
      </c>
      <c r="O98" s="92">
        <f t="shared" si="29"/>
        <v>0.25708744036026621</v>
      </c>
      <c r="P98" s="92">
        <f t="shared" si="29"/>
        <v>5.0618298921219558E-2</v>
      </c>
      <c r="Q98" s="92">
        <f t="shared" si="29"/>
        <v>1.8375614178362553E-3</v>
      </c>
      <c r="R98" s="92">
        <f t="shared" si="29"/>
        <v>4.0727902164101083E-2</v>
      </c>
      <c r="S98" s="92">
        <f t="shared" si="29"/>
        <v>0.71246162687981107</v>
      </c>
      <c r="T98" s="92">
        <f t="shared" si="29"/>
        <v>0.81476972217586197</v>
      </c>
      <c r="U98" s="92">
        <f t="shared" si="29"/>
        <v>0.3724133021469459</v>
      </c>
      <c r="V98" s="92" t="e">
        <f t="shared" si="29"/>
        <v>#DIV/0!</v>
      </c>
      <c r="W98" s="92" t="e">
        <f t="shared" si="29"/>
        <v>#DIV/0!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</row>
    <row r="99" spans="1:33" ht="15" customHeight="1" x14ac:dyDescent="0.3">
      <c r="A99" s="52"/>
      <c r="B99" s="261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3" ht="23.25" customHeight="1" x14ac:dyDescent="0.4">
      <c r="B100" s="261"/>
      <c r="C100" s="60"/>
      <c r="E100" s="95" t="s">
        <v>405</v>
      </c>
      <c r="F100" s="46"/>
    </row>
    <row r="101" spans="1:33" ht="23.4" x14ac:dyDescent="0.45">
      <c r="B101" s="261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</row>
    <row r="102" spans="1:33" x14ac:dyDescent="0.3">
      <c r="A102" s="52" t="s">
        <v>113</v>
      </c>
      <c r="B102" s="261"/>
      <c r="C102" s="60" t="s">
        <v>167</v>
      </c>
      <c r="D102" s="52"/>
      <c r="E102" s="44" t="s">
        <v>135</v>
      </c>
      <c r="F102" s="44"/>
      <c r="G102" s="59">
        <v>7</v>
      </c>
      <c r="H102" s="59">
        <v>7</v>
      </c>
      <c r="I102" s="59">
        <v>7</v>
      </c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96"/>
    </row>
    <row r="103" spans="1:33" x14ac:dyDescent="0.3">
      <c r="A103" s="52" t="s">
        <v>113</v>
      </c>
      <c r="B103" s="261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>
        <f t="shared" ref="H103:AF103" si="30">(1+2.5*H39^2+5*H39^4)</f>
        <v>1.2000006996280927</v>
      </c>
      <c r="I103" s="76">
        <f t="shared" si="30"/>
        <v>1.1840023197076033</v>
      </c>
      <c r="J103" s="76">
        <f t="shared" si="30"/>
        <v>1.608372144153811</v>
      </c>
      <c r="K103" s="76">
        <f t="shared" si="30"/>
        <v>1.4685549133275793</v>
      </c>
      <c r="L103" s="76">
        <f t="shared" si="30"/>
        <v>1.2943570395003237</v>
      </c>
      <c r="M103" s="76">
        <f t="shared" si="30"/>
        <v>1.156067698115423</v>
      </c>
      <c r="N103" s="76">
        <f t="shared" si="30"/>
        <v>1.3048644277955488</v>
      </c>
      <c r="O103" s="76">
        <f t="shared" si="30"/>
        <v>1.4458069155478381</v>
      </c>
      <c r="P103" s="76">
        <f t="shared" si="30"/>
        <v>1.3158770684875645</v>
      </c>
      <c r="Q103" s="76">
        <f t="shared" si="30"/>
        <v>1.147677206186217</v>
      </c>
      <c r="R103" s="76">
        <f t="shared" si="30"/>
        <v>44.864932730027512</v>
      </c>
      <c r="S103" s="76">
        <f t="shared" si="30"/>
        <v>4.7583769977453469</v>
      </c>
      <c r="T103" s="76">
        <f t="shared" si="30"/>
        <v>1.4924458923944517</v>
      </c>
      <c r="U103" s="76">
        <f t="shared" si="30"/>
        <v>1.2267328</v>
      </c>
      <c r="V103" s="76" t="e">
        <f t="shared" si="30"/>
        <v>#DIV/0!</v>
      </c>
      <c r="W103" s="76" t="e">
        <f t="shared" si="30"/>
        <v>#DIV/0!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</row>
    <row r="104" spans="1:33" x14ac:dyDescent="0.3">
      <c r="A104" s="52" t="s">
        <v>113</v>
      </c>
      <c r="B104" s="261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>
        <f t="shared" ref="H104:AF104" si="31">9+5.6*H39^2</f>
        <v>9.3928760102325537</v>
      </c>
      <c r="I104" s="76">
        <f t="shared" si="31"/>
        <v>9.3646706631000836</v>
      </c>
      <c r="J104" s="76">
        <f t="shared" si="31"/>
        <v>10.003270706377602</v>
      </c>
      <c r="K104" s="76">
        <f t="shared" si="31"/>
        <v>9.8133179654967293</v>
      </c>
      <c r="L104" s="76">
        <f t="shared" si="31"/>
        <v>9.5509503714205621</v>
      </c>
      <c r="M104" s="76">
        <f t="shared" si="31"/>
        <v>9.3143093660655101</v>
      </c>
      <c r="N104" s="76">
        <f t="shared" si="31"/>
        <v>9.5677676923696264</v>
      </c>
      <c r="O104" s="76">
        <f t="shared" si="31"/>
        <v>9.7808486821226364</v>
      </c>
      <c r="P104" s="76">
        <f t="shared" si="31"/>
        <v>9.5852407847800229</v>
      </c>
      <c r="Q104" s="76">
        <f t="shared" si="31"/>
        <v>9.298891237601735</v>
      </c>
      <c r="R104" s="76">
        <f t="shared" si="31"/>
        <v>24.245745945518109</v>
      </c>
      <c r="S104" s="76">
        <f t="shared" si="31"/>
        <v>12.652973434509509</v>
      </c>
      <c r="T104" s="76">
        <f t="shared" si="31"/>
        <v>9.8469135802469125</v>
      </c>
      <c r="U104" s="76">
        <f t="shared" si="31"/>
        <v>9.4390400000000003</v>
      </c>
      <c r="V104" s="76" t="e">
        <f t="shared" si="31"/>
        <v>#DIV/0!</v>
      </c>
      <c r="W104" s="76" t="e">
        <f t="shared" si="31"/>
        <v>#DIV/0!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</row>
    <row r="105" spans="1:33" x14ac:dyDescent="0.3">
      <c r="B105" s="261"/>
      <c r="C105" s="60"/>
    </row>
    <row r="106" spans="1:33" ht="23.4" x14ac:dyDescent="0.45">
      <c r="B106" s="261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</row>
    <row r="107" spans="1:33" x14ac:dyDescent="0.3">
      <c r="A107" s="52" t="s">
        <v>113</v>
      </c>
      <c r="B107" s="261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>
        <f t="shared" ref="H107:AF107" si="32">H65*H102*H42^2</f>
        <v>39.315731817526306</v>
      </c>
      <c r="I107" s="83">
        <f t="shared" si="32"/>
        <v>39.315731817526306</v>
      </c>
      <c r="J107" s="83">
        <f t="shared" si="32"/>
        <v>66.443586771619437</v>
      </c>
      <c r="K107" s="83">
        <f t="shared" si="32"/>
        <v>56.61465381723788</v>
      </c>
      <c r="L107" s="83">
        <f t="shared" si="32"/>
        <v>56.61465381723788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77.058834362351561</v>
      </c>
      <c r="P107" s="83">
        <f t="shared" si="32"/>
        <v>120.40442869117427</v>
      </c>
      <c r="Q107" s="83">
        <f t="shared" si="32"/>
        <v>104.88563565986736</v>
      </c>
      <c r="R107" s="83">
        <f t="shared" si="32"/>
        <v>104.85068251984181</v>
      </c>
      <c r="S107" s="83">
        <f t="shared" si="32"/>
        <v>14.15366345430947</v>
      </c>
      <c r="T107" s="83">
        <f t="shared" si="32"/>
        <v>14.15366345430947</v>
      </c>
      <c r="U107" s="83">
        <f t="shared" si="32"/>
        <v>14.15366345430947</v>
      </c>
      <c r="V107" s="83" t="e">
        <f t="shared" si="32"/>
        <v>#DIV/0!</v>
      </c>
      <c r="W107" s="83" t="e">
        <f t="shared" si="32"/>
        <v>#DIV/0!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8"/>
    </row>
    <row r="108" spans="1:33" x14ac:dyDescent="0.3">
      <c r="A108" s="52" t="s">
        <v>113</v>
      </c>
      <c r="B108" s="261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>
        <f t="shared" ref="H108:AF108" si="33">H65*H103*H42^2</f>
        <v>6.7398436696317185</v>
      </c>
      <c r="I108" s="83">
        <f t="shared" si="33"/>
        <v>6.64998823899331</v>
      </c>
      <c r="J108" s="83">
        <f t="shared" si="33"/>
        <v>15.26657344587705</v>
      </c>
      <c r="K108" s="83">
        <f t="shared" si="33"/>
        <v>11.87738971852067</v>
      </c>
      <c r="L108" s="83">
        <f t="shared" si="33"/>
        <v>10.468510815316531</v>
      </c>
      <c r="M108" s="83">
        <f t="shared" si="33"/>
        <v>9.3500532168708208</v>
      </c>
      <c r="N108" s="83">
        <f t="shared" si="33"/>
        <v>10.553492551153314</v>
      </c>
      <c r="O108" s="83">
        <f t="shared" si="33"/>
        <v>15.916027946449038</v>
      </c>
      <c r="P108" s="83">
        <f t="shared" si="33"/>
        <v>22.633918094151774</v>
      </c>
      <c r="Q108" s="83">
        <f t="shared" si="33"/>
        <v>17.196407614740291</v>
      </c>
      <c r="R108" s="83">
        <f t="shared" si="33"/>
        <v>672.01697399288207</v>
      </c>
      <c r="S108" s="83">
        <f t="shared" si="33"/>
        <v>9.6212095164021623</v>
      </c>
      <c r="T108" s="83">
        <f t="shared" si="33"/>
        <v>3.0176538406739479</v>
      </c>
      <c r="U108" s="83">
        <f t="shared" si="33"/>
        <v>2.4803947427946755</v>
      </c>
      <c r="V108" s="83" t="e">
        <f t="shared" si="33"/>
        <v>#DIV/0!</v>
      </c>
      <c r="W108" s="83" t="e">
        <f t="shared" si="33"/>
        <v>#DIV/0!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</row>
    <row r="109" spans="1:33" x14ac:dyDescent="0.3">
      <c r="A109" s="52" t="s">
        <v>113</v>
      </c>
      <c r="B109" s="261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>
        <f t="shared" ref="H109:AF109" si="34">H65*H104*H42^2</f>
        <v>52.755399173368509</v>
      </c>
      <c r="I109" s="83">
        <f t="shared" si="34"/>
        <v>52.596982907128442</v>
      </c>
      <c r="J109" s="83">
        <f t="shared" si="34"/>
        <v>94.950455025599865</v>
      </c>
      <c r="K109" s="83">
        <f t="shared" si="34"/>
        <v>79.36822848786835</v>
      </c>
      <c r="L109" s="83">
        <f t="shared" si="34"/>
        <v>77.246249843370663</v>
      </c>
      <c r="M109" s="83">
        <f t="shared" si="34"/>
        <v>75.332342900922185</v>
      </c>
      <c r="N109" s="83">
        <f t="shared" si="34"/>
        <v>77.382265101037049</v>
      </c>
      <c r="O109" s="83">
        <f t="shared" si="34"/>
        <v>107.67154264555897</v>
      </c>
      <c r="P109" s="83">
        <f t="shared" si="34"/>
        <v>164.87220579411169</v>
      </c>
      <c r="Q109" s="83">
        <f t="shared" si="34"/>
        <v>139.33144548397553</v>
      </c>
      <c r="R109" s="83">
        <f t="shared" si="34"/>
        <v>363.16900151289445</v>
      </c>
      <c r="S109" s="83">
        <f t="shared" si="34"/>
        <v>25.583703955480829</v>
      </c>
      <c r="T109" s="83">
        <f t="shared" si="34"/>
        <v>19.909985839783481</v>
      </c>
      <c r="U109" s="83">
        <f t="shared" si="34"/>
        <v>19.08528507025218</v>
      </c>
      <c r="V109" s="83" t="e">
        <f t="shared" si="34"/>
        <v>#DIV/0!</v>
      </c>
      <c r="W109" s="83" t="e">
        <f t="shared" si="34"/>
        <v>#DIV/0!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</row>
    <row r="110" spans="1:33" x14ac:dyDescent="0.3">
      <c r="B110" s="261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</row>
    <row r="111" spans="1:33" ht="23.4" x14ac:dyDescent="0.45">
      <c r="B111" s="261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</row>
    <row r="112" spans="1:33" x14ac:dyDescent="0.3">
      <c r="A112" s="52" t="s">
        <v>113</v>
      </c>
      <c r="B112" s="261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>
        <f t="shared" ref="H112:AF114" si="35">SQRT(H53/H107)</f>
        <v>0.92994288618008469</v>
      </c>
      <c r="I112" s="76">
        <f t="shared" si="35"/>
        <v>0.92994288618008469</v>
      </c>
      <c r="J112" s="76">
        <f t="shared" si="35"/>
        <v>0.71534068167698839</v>
      </c>
      <c r="K112" s="76">
        <f t="shared" si="35"/>
        <v>0.77495240515007069</v>
      </c>
      <c r="L112" s="76">
        <f t="shared" si="35"/>
        <v>0.77495240515007069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0.66424491870006053</v>
      </c>
      <c r="P112" s="76">
        <f t="shared" si="35"/>
        <v>0.53139593496004844</v>
      </c>
      <c r="Q112" s="76">
        <f t="shared" si="35"/>
        <v>0.56935278745719486</v>
      </c>
      <c r="R112" s="76">
        <f t="shared" si="35"/>
        <v>0.56944767958843767</v>
      </c>
      <c r="S112" s="76">
        <f t="shared" si="35"/>
        <v>1.5499048103001414</v>
      </c>
      <c r="T112" s="76">
        <f t="shared" si="35"/>
        <v>1.5499048103001414</v>
      </c>
      <c r="U112" s="76">
        <f t="shared" si="35"/>
        <v>1.5499048103001414</v>
      </c>
      <c r="V112" s="76" t="e">
        <f t="shared" si="35"/>
        <v>#DIV/0!</v>
      </c>
      <c r="W112" s="76" t="e">
        <f t="shared" si="35"/>
        <v>#DIV/0!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</row>
    <row r="113" spans="1:32" x14ac:dyDescent="0.3">
      <c r="A113" s="52" t="s">
        <v>113</v>
      </c>
      <c r="B113" s="261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>
        <f t="shared" si="35"/>
        <v>2.2460247979366383</v>
      </c>
      <c r="I113" s="76">
        <f t="shared" si="35"/>
        <v>2.2611481590617717</v>
      </c>
      <c r="J113" s="76">
        <f t="shared" si="35"/>
        <v>1.4923430687258963</v>
      </c>
      <c r="K113" s="76">
        <f t="shared" si="35"/>
        <v>1.6919166144734232</v>
      </c>
      <c r="L113" s="76">
        <f t="shared" si="35"/>
        <v>1.802175185414459</v>
      </c>
      <c r="M113" s="76">
        <f t="shared" si="35"/>
        <v>1.9069197517447838</v>
      </c>
      <c r="N113" s="76">
        <f t="shared" si="35"/>
        <v>1.7949045337540632</v>
      </c>
      <c r="O113" s="76">
        <f t="shared" si="35"/>
        <v>1.4615783860323959</v>
      </c>
      <c r="P113" s="76">
        <f t="shared" si="35"/>
        <v>1.2256305808045362</v>
      </c>
      <c r="Q113" s="76">
        <f t="shared" si="35"/>
        <v>1.4061141967531587</v>
      </c>
      <c r="R113" s="76">
        <f t="shared" si="35"/>
        <v>0.22493101197155654</v>
      </c>
      <c r="S113" s="76">
        <f t="shared" si="35"/>
        <v>1.8798561712162949</v>
      </c>
      <c r="T113" s="76">
        <f t="shared" si="35"/>
        <v>3.3566398687860843</v>
      </c>
      <c r="U113" s="76">
        <f t="shared" si="35"/>
        <v>3.7023635141188449</v>
      </c>
      <c r="V113" s="76" t="e">
        <f t="shared" si="35"/>
        <v>#DIV/0!</v>
      </c>
      <c r="W113" s="76" t="e">
        <f t="shared" si="35"/>
        <v>#DIV/0!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</row>
    <row r="114" spans="1:32" x14ac:dyDescent="0.3">
      <c r="A114" s="52" t="s">
        <v>113</v>
      </c>
      <c r="B114" s="261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>
        <f t="shared" si="35"/>
        <v>0.60999417538052647</v>
      </c>
      <c r="I114" s="76">
        <f t="shared" si="35"/>
        <v>0.61091210205389279</v>
      </c>
      <c r="J114" s="76">
        <f t="shared" si="35"/>
        <v>0.45468499220855163</v>
      </c>
      <c r="K114" s="76">
        <f t="shared" si="35"/>
        <v>0.49731985848568694</v>
      </c>
      <c r="L114" s="76">
        <f t="shared" si="35"/>
        <v>0.50410434717213204</v>
      </c>
      <c r="M114" s="76">
        <f t="shared" si="35"/>
        <v>0.510467864998705</v>
      </c>
      <c r="N114" s="76">
        <f t="shared" si="35"/>
        <v>0.50366111874793684</v>
      </c>
      <c r="O114" s="76">
        <f t="shared" si="35"/>
        <v>0.42698112499542429</v>
      </c>
      <c r="P114" s="76">
        <f t="shared" si="35"/>
        <v>0.34505269254596532</v>
      </c>
      <c r="Q114" s="76">
        <f t="shared" si="35"/>
        <v>0.37534840394041846</v>
      </c>
      <c r="R114" s="76">
        <f t="shared" si="35"/>
        <v>0.23249025768271195</v>
      </c>
      <c r="S114" s="76">
        <f t="shared" si="35"/>
        <v>0.87594620290919178</v>
      </c>
      <c r="T114" s="76">
        <f t="shared" si="35"/>
        <v>0.99294151565654265</v>
      </c>
      <c r="U114" s="76">
        <f t="shared" si="35"/>
        <v>1.0141678040039921</v>
      </c>
      <c r="V114" s="76" t="e">
        <f t="shared" si="35"/>
        <v>#DIV/0!</v>
      </c>
      <c r="W114" s="76" t="e">
        <f t="shared" si="35"/>
        <v>#DIV/0!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</row>
    <row r="115" spans="1:32" x14ac:dyDescent="0.3">
      <c r="A115" s="52" t="s">
        <v>113</v>
      </c>
      <c r="B115" s="261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>
        <f t="shared" ref="H115:AF115" si="36">SQRT(H36/H50*((H47/H107)^H41+(H48/H108)^H41+(H49/H109)^H41)^(1/H41))</f>
        <v>1.9616539584386676</v>
      </c>
      <c r="I115" s="76">
        <f t="shared" si="36"/>
        <v>1.8118604489910513</v>
      </c>
      <c r="J115" s="76">
        <f t="shared" si="36"/>
        <v>1.5257690765019349</v>
      </c>
      <c r="K115" s="76">
        <f t="shared" si="36"/>
        <v>1.6704729073858176</v>
      </c>
      <c r="L115" s="76">
        <f t="shared" si="36"/>
        <v>1.8248773525075577</v>
      </c>
      <c r="M115" s="76">
        <f t="shared" si="36"/>
        <v>1.9435998576225748</v>
      </c>
      <c r="N115" s="76">
        <f t="shared" si="36"/>
        <v>1.8270552807330409</v>
      </c>
      <c r="O115" s="76">
        <f t="shared" si="36"/>
        <v>1.4061238983259581</v>
      </c>
      <c r="P115" s="76">
        <f t="shared" si="36"/>
        <v>1.2358519014310845</v>
      </c>
      <c r="Q115" s="76">
        <f t="shared" si="36"/>
        <v>1.097970598208551</v>
      </c>
      <c r="R115" s="76">
        <f t="shared" si="36"/>
        <v>0.83849133315907343</v>
      </c>
      <c r="S115" s="76">
        <f t="shared" si="36"/>
        <v>1.9172112960201777</v>
      </c>
      <c r="T115" s="76">
        <f t="shared" si="36"/>
        <v>3.3475151300938242</v>
      </c>
      <c r="U115" s="76">
        <f t="shared" si="36"/>
        <v>3.7007546937019526</v>
      </c>
      <c r="V115" s="76" t="e">
        <f t="shared" si="36"/>
        <v>#DIV/0!</v>
      </c>
      <c r="W115" s="76" t="e">
        <f t="shared" si="36"/>
        <v>#DIV/0!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</row>
    <row r="116" spans="1:32" x14ac:dyDescent="0.3">
      <c r="B116" s="261"/>
      <c r="C116" s="60"/>
    </row>
    <row r="117" spans="1:32" ht="15" customHeight="1" x14ac:dyDescent="0.45">
      <c r="B117" s="261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</row>
    <row r="118" spans="1:32" ht="15" customHeight="1" x14ac:dyDescent="0.3">
      <c r="A118" s="52" t="s">
        <v>113</v>
      </c>
      <c r="B118" s="261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>
        <f t="shared" ref="H118:AF120" si="37">H53/SQRT(1+H112^4)</f>
        <v>25.717252453996675</v>
      </c>
      <c r="I118" s="91">
        <f t="shared" si="37"/>
        <v>25.717252453996675</v>
      </c>
      <c r="J118" s="91">
        <f t="shared" si="37"/>
        <v>30.267401828197695</v>
      </c>
      <c r="K118" s="91">
        <f t="shared" si="37"/>
        <v>29.14766866444231</v>
      </c>
      <c r="L118" s="91">
        <f t="shared" si="37"/>
        <v>29.14766866444231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31.106690109967769</v>
      </c>
      <c r="P118" s="91">
        <f t="shared" si="37"/>
        <v>32.720463300459279</v>
      </c>
      <c r="Q118" s="91">
        <f t="shared" si="37"/>
        <v>32.343110504878325</v>
      </c>
      <c r="R118" s="91">
        <f t="shared" si="37"/>
        <v>32.342085136336877</v>
      </c>
      <c r="S118" s="91">
        <f t="shared" si="37"/>
        <v>13.06669361539976</v>
      </c>
      <c r="T118" s="91">
        <f t="shared" si="37"/>
        <v>13.06669361539976</v>
      </c>
      <c r="U118" s="91">
        <f t="shared" si="37"/>
        <v>13.06669361539976</v>
      </c>
      <c r="V118" s="91" t="e">
        <f t="shared" si="37"/>
        <v>#DIV/0!</v>
      </c>
      <c r="W118" s="91" t="e">
        <f t="shared" si="37"/>
        <v>#DIV/0!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</row>
    <row r="119" spans="1:32" ht="15" customHeight="1" x14ac:dyDescent="0.3">
      <c r="A119" s="52" t="s">
        <v>113</v>
      </c>
      <c r="B119" s="261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>
        <f t="shared" si="37"/>
        <v>6.6112003548849412</v>
      </c>
      <c r="I119" s="91">
        <f t="shared" si="37"/>
        <v>6.5263286581226119</v>
      </c>
      <c r="J119" s="91">
        <f t="shared" si="37"/>
        <v>13.927035857693237</v>
      </c>
      <c r="K119" s="91">
        <f t="shared" si="37"/>
        <v>11.212896588793077</v>
      </c>
      <c r="L119" s="91">
        <f t="shared" si="37"/>
        <v>10.005006014954011</v>
      </c>
      <c r="M119" s="91">
        <f t="shared" si="37"/>
        <v>9.0153681270390038</v>
      </c>
      <c r="N119" s="91">
        <f t="shared" si="37"/>
        <v>10.079113841386663</v>
      </c>
      <c r="O119" s="91">
        <f t="shared" si="37"/>
        <v>14.414806299645761</v>
      </c>
      <c r="P119" s="91">
        <f t="shared" si="37"/>
        <v>18.840929771131982</v>
      </c>
      <c r="Q119" s="91">
        <f t="shared" si="37"/>
        <v>15.345312998010614</v>
      </c>
      <c r="R119" s="91">
        <f t="shared" si="37"/>
        <v>33.956567634539176</v>
      </c>
      <c r="S119" s="91">
        <f t="shared" si="37"/>
        <v>9.2576881260675989</v>
      </c>
      <c r="T119" s="91">
        <f t="shared" si="37"/>
        <v>3.0058380218044798</v>
      </c>
      <c r="U119" s="91">
        <f t="shared" si="37"/>
        <v>2.473820507112932</v>
      </c>
      <c r="V119" s="91" t="e">
        <f t="shared" si="37"/>
        <v>#DIV/0!</v>
      </c>
      <c r="W119" s="91" t="e">
        <f t="shared" si="37"/>
        <v>#DIV/0!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</row>
    <row r="120" spans="1:32" ht="15" customHeight="1" x14ac:dyDescent="0.3">
      <c r="A120" s="52" t="s">
        <v>113</v>
      </c>
      <c r="B120" s="261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>
        <f t="shared" si="37"/>
        <v>18.397580569184981</v>
      </c>
      <c r="I120" s="91">
        <f t="shared" si="37"/>
        <v>18.390835259568966</v>
      </c>
      <c r="J120" s="91">
        <f t="shared" si="37"/>
        <v>19.223395879219112</v>
      </c>
      <c r="K120" s="91">
        <f t="shared" si="37"/>
        <v>19.05573355301032</v>
      </c>
      <c r="L120" s="91">
        <f t="shared" si="37"/>
        <v>19.02521755665536</v>
      </c>
      <c r="M120" s="91">
        <f t="shared" si="37"/>
        <v>18.995593788810602</v>
      </c>
      <c r="N120" s="91">
        <f t="shared" si="37"/>
        <v>19.027244622389482</v>
      </c>
      <c r="O120" s="91">
        <f t="shared" si="37"/>
        <v>19.311593335131125</v>
      </c>
      <c r="P120" s="91">
        <f t="shared" si="37"/>
        <v>19.49223816829489</v>
      </c>
      <c r="Q120" s="91">
        <f t="shared" si="37"/>
        <v>19.437945305589292</v>
      </c>
      <c r="R120" s="91">
        <f t="shared" si="37"/>
        <v>19.601296575144445</v>
      </c>
      <c r="S120" s="91">
        <f t="shared" si="37"/>
        <v>15.573794246854265</v>
      </c>
      <c r="T120" s="91">
        <f t="shared" si="37"/>
        <v>13.978411850451819</v>
      </c>
      <c r="U120" s="91">
        <f t="shared" si="37"/>
        <v>13.683825544574523</v>
      </c>
      <c r="V120" s="91" t="e">
        <f t="shared" si="37"/>
        <v>#DIV/0!</v>
      </c>
      <c r="W120" s="91" t="e">
        <f t="shared" si="37"/>
        <v>#DIV/0!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</row>
    <row r="121" spans="1:32" ht="15" customHeight="1" x14ac:dyDescent="0.3">
      <c r="A121" s="52" t="s">
        <v>113</v>
      </c>
      <c r="B121" s="261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>
        <f t="shared" ref="H121:AF121" si="38">H36/SQRT(1+H115^4)</f>
        <v>8.5515264424980728</v>
      </c>
      <c r="I121" s="91">
        <f t="shared" si="38"/>
        <v>9.9074314862005277</v>
      </c>
      <c r="J121" s="91">
        <f t="shared" si="38"/>
        <v>13.419304204214383</v>
      </c>
      <c r="K121" s="91">
        <f t="shared" si="38"/>
        <v>11.470018308202713</v>
      </c>
      <c r="L121" s="91">
        <f t="shared" si="38"/>
        <v>9.7783214107746446</v>
      </c>
      <c r="M121" s="91">
        <f t="shared" si="38"/>
        <v>8.7007718586753775</v>
      </c>
      <c r="N121" s="91">
        <f t="shared" si="38"/>
        <v>9.7569437064328515</v>
      </c>
      <c r="O121" s="91">
        <f t="shared" si="38"/>
        <v>15.345144381274805</v>
      </c>
      <c r="P121" s="91">
        <f t="shared" si="38"/>
        <v>18.624233829422071</v>
      </c>
      <c r="Q121" s="91">
        <f t="shared" si="38"/>
        <v>21.707076949024806</v>
      </c>
      <c r="R121" s="91">
        <f t="shared" si="38"/>
        <v>27.813741024966728</v>
      </c>
      <c r="S121" s="91">
        <f t="shared" si="38"/>
        <v>8.9255250580270236</v>
      </c>
      <c r="T121" s="91">
        <f t="shared" si="38"/>
        <v>3.0221178351991966</v>
      </c>
      <c r="U121" s="91">
        <f t="shared" si="38"/>
        <v>2.4759604471659253</v>
      </c>
      <c r="V121" s="91" t="e">
        <f t="shared" si="38"/>
        <v>#DIV/0!</v>
      </c>
      <c r="W121" s="91" t="e">
        <f t="shared" si="38"/>
        <v>#DIV/0!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</row>
    <row r="122" spans="1:32" x14ac:dyDescent="0.3">
      <c r="B122" s="261"/>
      <c r="C122" s="60"/>
    </row>
    <row r="123" spans="1:32" ht="23.4" x14ac:dyDescent="0.45">
      <c r="B123" s="261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</row>
    <row r="124" spans="1:32" x14ac:dyDescent="0.3">
      <c r="A124" s="52" t="s">
        <v>113</v>
      </c>
      <c r="B124" s="261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>
        <f t="shared" ref="H124:AF127" si="39">H47/H118</f>
        <v>1.1734155137288095E-2</v>
      </c>
      <c r="I124" s="92">
        <f t="shared" si="39"/>
        <v>2.3651085048374768E-2</v>
      </c>
      <c r="J124" s="92">
        <f t="shared" si="39"/>
        <v>2.7142253228840112E-2</v>
      </c>
      <c r="K124" s="92">
        <f t="shared" si="39"/>
        <v>1.2593030002697232E-4</v>
      </c>
      <c r="L124" s="92">
        <f t="shared" si="39"/>
        <v>1.6146459856466355E-2</v>
      </c>
      <c r="M124" s="92">
        <f t="shared" si="39"/>
        <v>1.8800275068602462E-2</v>
      </c>
      <c r="N124" s="92">
        <f t="shared" si="39"/>
        <v>0.12367932703303132</v>
      </c>
      <c r="O124" s="92">
        <f t="shared" si="39"/>
        <v>1.7491371778113093E-2</v>
      </c>
      <c r="P124" s="92">
        <f t="shared" si="39"/>
        <v>4.0024784352048507E-3</v>
      </c>
      <c r="Q124" s="92">
        <f t="shared" si="39"/>
        <v>1.1354258318618123E-3</v>
      </c>
      <c r="R124" s="92">
        <f t="shared" si="39"/>
        <v>1.728909463143328E-3</v>
      </c>
      <c r="S124" s="92">
        <f t="shared" si="39"/>
        <v>2.564627872693467E-2</v>
      </c>
      <c r="T124" s="92">
        <f t="shared" si="39"/>
        <v>1.2663900284994741E-3</v>
      </c>
      <c r="U124" s="92">
        <f t="shared" si="39"/>
        <v>1.1270838961620084E-2</v>
      </c>
      <c r="V124" s="92" t="e">
        <f t="shared" si="39"/>
        <v>#DIV/0!</v>
      </c>
      <c r="W124" s="92" t="e">
        <f t="shared" si="39"/>
        <v>#DIV/0!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</row>
    <row r="125" spans="1:32" x14ac:dyDescent="0.3">
      <c r="A125" s="52" t="s">
        <v>113</v>
      </c>
      <c r="B125" s="261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>
        <f t="shared" si="39"/>
        <v>0.29280306466127204</v>
      </c>
      <c r="I125" s="92">
        <f t="shared" si="39"/>
        <v>0.45672064435342763</v>
      </c>
      <c r="J125" s="92">
        <f t="shared" si="39"/>
        <v>0.32103245304206074</v>
      </c>
      <c r="K125" s="92">
        <f t="shared" si="39"/>
        <v>0.51967713729064269</v>
      </c>
      <c r="L125" s="92">
        <f t="shared" si="39"/>
        <v>0.63774745716925274</v>
      </c>
      <c r="M125" s="92">
        <f t="shared" si="39"/>
        <v>0.74784951263153576</v>
      </c>
      <c r="N125" s="92">
        <f t="shared" si="39"/>
        <v>0.3962946944401684</v>
      </c>
      <c r="O125" s="92">
        <f t="shared" si="39"/>
        <v>0.2650077236968405</v>
      </c>
      <c r="P125" s="92">
        <f t="shared" si="39"/>
        <v>5.0971531058485613E-2</v>
      </c>
      <c r="Q125" s="92">
        <f t="shared" si="39"/>
        <v>1.4234853373686063E-3</v>
      </c>
      <c r="R125" s="92">
        <f t="shared" si="39"/>
        <v>1.1985698801489695E-2</v>
      </c>
      <c r="S125" s="92">
        <f t="shared" si="39"/>
        <v>0.74811788490674713</v>
      </c>
      <c r="T125" s="92">
        <f t="shared" si="39"/>
        <v>1.8234851246939641</v>
      </c>
      <c r="U125" s="92">
        <f t="shared" si="39"/>
        <v>0.95004656693659983</v>
      </c>
      <c r="V125" s="92" t="e">
        <f t="shared" si="39"/>
        <v>#DIV/0!</v>
      </c>
      <c r="W125" s="92" t="e">
        <f t="shared" si="39"/>
        <v>#DIV/0!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</row>
    <row r="126" spans="1:32" x14ac:dyDescent="0.3">
      <c r="A126" s="52" t="s">
        <v>113</v>
      </c>
      <c r="B126" s="261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>
        <f t="shared" si="39"/>
        <v>5.6759416031532013E-2</v>
      </c>
      <c r="I126" s="92">
        <f t="shared" si="39"/>
        <v>0.11984812673764653</v>
      </c>
      <c r="J126" s="92">
        <f t="shared" si="39"/>
        <v>3.7193342216549297E-2</v>
      </c>
      <c r="K126" s="92">
        <f t="shared" si="39"/>
        <v>4.153452577924862E-2</v>
      </c>
      <c r="L126" s="92">
        <f t="shared" si="39"/>
        <v>2.7975126482262771E-2</v>
      </c>
      <c r="M126" s="92">
        <f t="shared" si="39"/>
        <v>8.8330521206889841E-3</v>
      </c>
      <c r="N126" s="92">
        <f t="shared" si="39"/>
        <v>3.3585178920128314E-2</v>
      </c>
      <c r="O126" s="92">
        <f t="shared" si="39"/>
        <v>6.2977191259901921E-2</v>
      </c>
      <c r="P126" s="92">
        <f t="shared" si="39"/>
        <v>8.5220997745756085E-3</v>
      </c>
      <c r="Q126" s="92">
        <f t="shared" si="39"/>
        <v>6.0989507963020754E-4</v>
      </c>
      <c r="R126" s="92">
        <f t="shared" si="39"/>
        <v>2.1337218326176872E-2</v>
      </c>
      <c r="S126" s="92">
        <f t="shared" si="39"/>
        <v>7.8822518105885128E-3</v>
      </c>
      <c r="T126" s="92">
        <f t="shared" si="39"/>
        <v>2.7540155356601315E-2</v>
      </c>
      <c r="U126" s="92">
        <f t="shared" si="39"/>
        <v>2.473411206518884E-2</v>
      </c>
      <c r="V126" s="92" t="e">
        <f t="shared" si="39"/>
        <v>#DIV/0!</v>
      </c>
      <c r="W126" s="92" t="e">
        <f t="shared" si="39"/>
        <v>#DIV/0!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</row>
    <row r="127" spans="1:32" x14ac:dyDescent="0.3">
      <c r="A127" s="52" t="s">
        <v>113</v>
      </c>
      <c r="B127" s="261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>
        <f t="shared" si="39"/>
        <v>0.29871776381643744</v>
      </c>
      <c r="I127" s="92">
        <f t="shared" si="39"/>
        <v>0.47359459976604057</v>
      </c>
      <c r="J127" s="92">
        <f t="shared" si="39"/>
        <v>0.32074180912596434</v>
      </c>
      <c r="K127" s="92">
        <f t="shared" si="39"/>
        <v>0.52174132366601966</v>
      </c>
      <c r="L127" s="92">
        <f t="shared" si="39"/>
        <v>0.6368640802267076</v>
      </c>
      <c r="M127" s="92">
        <f t="shared" si="39"/>
        <v>0.7461453954280467</v>
      </c>
      <c r="N127" s="92">
        <f t="shared" si="39"/>
        <v>0.4070843014751323</v>
      </c>
      <c r="O127" s="92">
        <f t="shared" si="39"/>
        <v>0.27064076457051656</v>
      </c>
      <c r="P127" s="92">
        <f t="shared" si="39"/>
        <v>5.0837193146448016E-2</v>
      </c>
      <c r="Q127" s="92">
        <f t="shared" si="39"/>
        <v>1.7513095137539215E-3</v>
      </c>
      <c r="R127" s="92">
        <f t="shared" si="39"/>
        <v>2.944628085608764E-2</v>
      </c>
      <c r="S127" s="92">
        <f t="shared" si="39"/>
        <v>0.75825848375635485</v>
      </c>
      <c r="T127" s="92">
        <f t="shared" si="39"/>
        <v>1.8243216628515644</v>
      </c>
      <c r="U127" s="92">
        <f t="shared" si="39"/>
        <v>0.95087569372040193</v>
      </c>
      <c r="V127" s="92" t="e">
        <f t="shared" si="39"/>
        <v>#DIV/0!</v>
      </c>
      <c r="W127" s="92" t="e">
        <f t="shared" si="39"/>
        <v>#DIV/0!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</row>
    <row r="128" spans="1:32" x14ac:dyDescent="0.3">
      <c r="B128" s="261"/>
      <c r="C128" s="60"/>
    </row>
    <row r="129" spans="1:34" ht="23.4" x14ac:dyDescent="0.45">
      <c r="B129" s="261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</row>
    <row r="130" spans="1:34" x14ac:dyDescent="0.3">
      <c r="A130" s="52" t="s">
        <v>113</v>
      </c>
      <c r="B130" s="261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>
        <f t="shared" ref="H130:AF133" si="40">IF(H112&lt;1,H53/(SQRT(1+H112^4)),H53/SQRT(2)/H112)</f>
        <v>25.717252453996675</v>
      </c>
      <c r="I130" s="91">
        <f t="shared" si="40"/>
        <v>25.717252453996675</v>
      </c>
      <c r="J130" s="91">
        <f t="shared" si="40"/>
        <v>30.267401828197695</v>
      </c>
      <c r="K130" s="91">
        <f t="shared" si="40"/>
        <v>29.14766866444231</v>
      </c>
      <c r="L130" s="91">
        <f t="shared" si="40"/>
        <v>29.14766866444231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31.106690109967769</v>
      </c>
      <c r="P130" s="91">
        <f t="shared" si="40"/>
        <v>32.720463300459279</v>
      </c>
      <c r="Q130" s="91">
        <f t="shared" si="40"/>
        <v>32.343110504878325</v>
      </c>
      <c r="R130" s="91">
        <f t="shared" si="40"/>
        <v>32.342085136336877</v>
      </c>
      <c r="S130" s="91">
        <f t="shared" si="40"/>
        <v>15.511682008191791</v>
      </c>
      <c r="T130" s="91">
        <f t="shared" si="40"/>
        <v>15.511682008191791</v>
      </c>
      <c r="U130" s="91">
        <f t="shared" si="40"/>
        <v>15.511682008191791</v>
      </c>
      <c r="V130" s="91" t="e">
        <f t="shared" si="40"/>
        <v>#DIV/0!</v>
      </c>
      <c r="W130" s="91" t="e">
        <f t="shared" si="40"/>
        <v>#DIV/0!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</row>
    <row r="131" spans="1:34" x14ac:dyDescent="0.3">
      <c r="A131" s="52" t="s">
        <v>113</v>
      </c>
      <c r="B131" s="261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>
        <f t="shared" si="40"/>
        <v>10.704080641687039</v>
      </c>
      <c r="I131" s="91">
        <f t="shared" si="40"/>
        <v>10.632487952633017</v>
      </c>
      <c r="J131" s="91">
        <f t="shared" si="40"/>
        <v>16.10998909310338</v>
      </c>
      <c r="K131" s="91">
        <f t="shared" si="40"/>
        <v>14.209701798941854</v>
      </c>
      <c r="L131" s="91">
        <f t="shared" si="40"/>
        <v>13.340340470182198</v>
      </c>
      <c r="M131" s="91">
        <f t="shared" si="40"/>
        <v>12.607573306818562</v>
      </c>
      <c r="N131" s="91">
        <f t="shared" si="40"/>
        <v>13.394378424160125</v>
      </c>
      <c r="O131" s="91">
        <f t="shared" si="40"/>
        <v>16.449087363426386</v>
      </c>
      <c r="P131" s="91">
        <f t="shared" si="40"/>
        <v>19.615723478897738</v>
      </c>
      <c r="Q131" s="91">
        <f t="shared" si="40"/>
        <v>17.097921787474199</v>
      </c>
      <c r="R131" s="91">
        <f t="shared" si="40"/>
        <v>33.956567634539176</v>
      </c>
      <c r="S131" s="91">
        <f t="shared" si="40"/>
        <v>12.789079786240945</v>
      </c>
      <c r="T131" s="91">
        <f t="shared" si="40"/>
        <v>7.1624098801630378</v>
      </c>
      <c r="U131" s="91">
        <f t="shared" si="40"/>
        <v>6.4935899645349853</v>
      </c>
      <c r="V131" s="91" t="e">
        <f t="shared" si="40"/>
        <v>#DIV/0!</v>
      </c>
      <c r="W131" s="91" t="e">
        <f t="shared" si="40"/>
        <v>#DIV/0!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</row>
    <row r="132" spans="1:34" x14ac:dyDescent="0.3">
      <c r="A132" s="52" t="s">
        <v>113</v>
      </c>
      <c r="B132" s="261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>
        <f t="shared" si="40"/>
        <v>18.397580569184981</v>
      </c>
      <c r="I132" s="91">
        <f t="shared" si="40"/>
        <v>18.390835259568966</v>
      </c>
      <c r="J132" s="91">
        <f t="shared" si="40"/>
        <v>19.223395879219112</v>
      </c>
      <c r="K132" s="91">
        <f t="shared" si="40"/>
        <v>19.05573355301032</v>
      </c>
      <c r="L132" s="91">
        <f t="shared" si="40"/>
        <v>19.02521755665536</v>
      </c>
      <c r="M132" s="91">
        <f t="shared" si="40"/>
        <v>18.995593788810602</v>
      </c>
      <c r="N132" s="91">
        <f t="shared" si="40"/>
        <v>19.027244622389482</v>
      </c>
      <c r="O132" s="91">
        <f t="shared" si="40"/>
        <v>19.311593335131125</v>
      </c>
      <c r="P132" s="91">
        <f t="shared" si="40"/>
        <v>19.49223816829489</v>
      </c>
      <c r="Q132" s="91">
        <f t="shared" si="40"/>
        <v>19.437945305589292</v>
      </c>
      <c r="R132" s="91">
        <f t="shared" si="40"/>
        <v>19.601296575144445</v>
      </c>
      <c r="S132" s="91">
        <f t="shared" si="40"/>
        <v>15.573794246854265</v>
      </c>
      <c r="T132" s="91">
        <f t="shared" si="40"/>
        <v>13.978411850451819</v>
      </c>
      <c r="U132" s="91">
        <f t="shared" si="40"/>
        <v>13.686533748133758</v>
      </c>
      <c r="V132" s="91" t="e">
        <f t="shared" si="40"/>
        <v>#DIV/0!</v>
      </c>
      <c r="W132" s="91" t="e">
        <f t="shared" si="40"/>
        <v>#DIV/0!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</row>
    <row r="133" spans="1:34" x14ac:dyDescent="0.3">
      <c r="A133" s="52" t="s">
        <v>113</v>
      </c>
      <c r="B133" s="261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>
        <f t="shared" si="40"/>
        <v>12.255795909834161</v>
      </c>
      <c r="I133" s="91">
        <f t="shared" si="40"/>
        <v>13.269029948598074</v>
      </c>
      <c r="J133" s="91">
        <f t="shared" si="40"/>
        <v>15.757057165860136</v>
      </c>
      <c r="K133" s="91">
        <f t="shared" si="40"/>
        <v>14.392110434144195</v>
      </c>
      <c r="L133" s="91">
        <f t="shared" si="40"/>
        <v>13.174381569976246</v>
      </c>
      <c r="M133" s="91">
        <f t="shared" si="40"/>
        <v>12.369640009003966</v>
      </c>
      <c r="N133" s="91">
        <f t="shared" si="40"/>
        <v>13.158677142323119</v>
      </c>
      <c r="O133" s="91">
        <f t="shared" si="40"/>
        <v>17.097803820107927</v>
      </c>
      <c r="P133" s="91">
        <f t="shared" si="40"/>
        <v>19.453488344762857</v>
      </c>
      <c r="Q133" s="91">
        <f t="shared" si="40"/>
        <v>21.896424730834269</v>
      </c>
      <c r="R133" s="91">
        <f t="shared" si="40"/>
        <v>27.813741024966728</v>
      </c>
      <c r="S133" s="91">
        <f t="shared" si="40"/>
        <v>12.539896155551125</v>
      </c>
      <c r="T133" s="91">
        <f t="shared" si="40"/>
        <v>7.1819333523576265</v>
      </c>
      <c r="U133" s="91">
        <f t="shared" si="40"/>
        <v>6.4964129076853787</v>
      </c>
      <c r="V133" s="91" t="e">
        <f t="shared" si="40"/>
        <v>#DIV/0!</v>
      </c>
      <c r="W133" s="91" t="e">
        <f t="shared" si="40"/>
        <v>#DIV/0!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</row>
    <row r="134" spans="1:34" x14ac:dyDescent="0.3">
      <c r="B134" s="261"/>
      <c r="C134" s="60"/>
    </row>
    <row r="135" spans="1:34" ht="21" x14ac:dyDescent="0.4">
      <c r="B135" s="261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</row>
    <row r="136" spans="1:34" x14ac:dyDescent="0.3">
      <c r="A136" s="52" t="s">
        <v>113</v>
      </c>
      <c r="B136" s="261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>
        <f t="shared" ref="H136:AF139" si="41">H47/H130</f>
        <v>1.1734155137288095E-2</v>
      </c>
      <c r="I136" s="92">
        <f t="shared" si="41"/>
        <v>2.3651085048374768E-2</v>
      </c>
      <c r="J136" s="92">
        <f t="shared" si="41"/>
        <v>2.7142253228840112E-2</v>
      </c>
      <c r="K136" s="92">
        <f t="shared" si="41"/>
        <v>1.2593030002697232E-4</v>
      </c>
      <c r="L136" s="92">
        <f t="shared" si="41"/>
        <v>1.6146459856466355E-2</v>
      </c>
      <c r="M136" s="92">
        <f t="shared" si="41"/>
        <v>1.8800275068602462E-2</v>
      </c>
      <c r="N136" s="92">
        <f t="shared" si="41"/>
        <v>0.12367932703303132</v>
      </c>
      <c r="O136" s="92">
        <f t="shared" si="41"/>
        <v>1.7491371778113093E-2</v>
      </c>
      <c r="P136" s="92">
        <f t="shared" si="41"/>
        <v>4.0024784352048507E-3</v>
      </c>
      <c r="Q136" s="92">
        <f t="shared" si="41"/>
        <v>1.1354258318618123E-3</v>
      </c>
      <c r="R136" s="92">
        <f t="shared" si="41"/>
        <v>1.728909463143328E-3</v>
      </c>
      <c r="S136" s="92">
        <f t="shared" si="41"/>
        <v>2.1603850976510849E-2</v>
      </c>
      <c r="T136" s="92">
        <f t="shared" si="41"/>
        <v>1.0667786053930948E-3</v>
      </c>
      <c r="U136" s="92">
        <f t="shared" si="41"/>
        <v>9.4943023859195078E-3</v>
      </c>
      <c r="V136" s="92" t="e">
        <f t="shared" si="41"/>
        <v>#DIV/0!</v>
      </c>
      <c r="W136" s="92" t="e">
        <f t="shared" si="41"/>
        <v>#DIV/0!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</row>
    <row r="137" spans="1:34" x14ac:dyDescent="0.3">
      <c r="A137" s="52" t="s">
        <v>113</v>
      </c>
      <c r="B137" s="261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>
        <f t="shared" si="41"/>
        <v>0.1808450244163059</v>
      </c>
      <c r="I137" s="92">
        <f t="shared" si="41"/>
        <v>0.28033975145599488</v>
      </c>
      <c r="J137" s="92">
        <f t="shared" si="41"/>
        <v>0.27753156499119108</v>
      </c>
      <c r="K137" s="92">
        <f t="shared" si="41"/>
        <v>0.41007799336323314</v>
      </c>
      <c r="L137" s="92">
        <f t="shared" si="41"/>
        <v>0.47829867305574503</v>
      </c>
      <c r="M137" s="92">
        <f t="shared" si="41"/>
        <v>0.53476894370732275</v>
      </c>
      <c r="N137" s="92">
        <f t="shared" si="41"/>
        <v>0.29820714433416912</v>
      </c>
      <c r="O137" s="92">
        <f t="shared" si="41"/>
        <v>0.23223385714964531</v>
      </c>
      <c r="P137" s="92">
        <f t="shared" si="41"/>
        <v>4.8958226701815474E-2</v>
      </c>
      <c r="Q137" s="92">
        <f t="shared" si="41"/>
        <v>1.277572112068182E-3</v>
      </c>
      <c r="R137" s="92">
        <f t="shared" si="41"/>
        <v>1.1985698801489695E-2</v>
      </c>
      <c r="S137" s="92">
        <f t="shared" si="41"/>
        <v>0.54154342421501867</v>
      </c>
      <c r="T137" s="92">
        <f t="shared" si="41"/>
        <v>0.76525932077420211</v>
      </c>
      <c r="U137" s="92">
        <f t="shared" si="41"/>
        <v>0.36193302823799461</v>
      </c>
      <c r="V137" s="92" t="e">
        <f t="shared" si="41"/>
        <v>#DIV/0!</v>
      </c>
      <c r="W137" s="92" t="e">
        <f t="shared" si="41"/>
        <v>#DIV/0!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</row>
    <row r="138" spans="1:34" x14ac:dyDescent="0.3">
      <c r="A138" s="52" t="s">
        <v>113</v>
      </c>
      <c r="B138" s="261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>
        <f t="shared" si="41"/>
        <v>5.6759416031532013E-2</v>
      </c>
      <c r="I138" s="92">
        <f t="shared" si="41"/>
        <v>0.11984812673764653</v>
      </c>
      <c r="J138" s="92">
        <f t="shared" si="41"/>
        <v>3.7193342216549297E-2</v>
      </c>
      <c r="K138" s="92">
        <f t="shared" si="41"/>
        <v>4.153452577924862E-2</v>
      </c>
      <c r="L138" s="92">
        <f t="shared" si="41"/>
        <v>2.7975126482262771E-2</v>
      </c>
      <c r="M138" s="92">
        <f t="shared" si="41"/>
        <v>8.8330521206889841E-3</v>
      </c>
      <c r="N138" s="92">
        <f t="shared" si="41"/>
        <v>3.3585178920128314E-2</v>
      </c>
      <c r="O138" s="92">
        <f t="shared" si="41"/>
        <v>6.2977191259901921E-2</v>
      </c>
      <c r="P138" s="92">
        <f t="shared" si="41"/>
        <v>8.5220997745756085E-3</v>
      </c>
      <c r="Q138" s="92">
        <f t="shared" si="41"/>
        <v>6.0989507963020754E-4</v>
      </c>
      <c r="R138" s="92">
        <f t="shared" si="41"/>
        <v>2.1337218326176872E-2</v>
      </c>
      <c r="S138" s="92">
        <f t="shared" si="41"/>
        <v>7.8822518105885128E-3</v>
      </c>
      <c r="T138" s="92">
        <f t="shared" si="41"/>
        <v>2.7540155356601315E-2</v>
      </c>
      <c r="U138" s="92">
        <f t="shared" si="41"/>
        <v>2.4729217837653791E-2</v>
      </c>
      <c r="V138" s="92" t="e">
        <f t="shared" si="41"/>
        <v>#DIV/0!</v>
      </c>
      <c r="W138" s="92" t="e">
        <f t="shared" si="41"/>
        <v>#DIV/0!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</row>
    <row r="139" spans="1:34" x14ac:dyDescent="0.3">
      <c r="A139" s="52" t="s">
        <v>113</v>
      </c>
      <c r="B139" s="262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>
        <f t="shared" si="41"/>
        <v>0.20843141277103114</v>
      </c>
      <c r="I139" s="92">
        <f t="shared" si="41"/>
        <v>0.35361334382340037</v>
      </c>
      <c r="J139" s="92">
        <f t="shared" si="41"/>
        <v>0.27315582233190622</v>
      </c>
      <c r="K139" s="92">
        <f t="shared" si="41"/>
        <v>0.41580993711649594</v>
      </c>
      <c r="L139" s="92">
        <f t="shared" si="41"/>
        <v>0.47269480076591897</v>
      </c>
      <c r="M139" s="92">
        <f t="shared" si="41"/>
        <v>0.52483668516585358</v>
      </c>
      <c r="N139" s="92">
        <f t="shared" si="41"/>
        <v>0.30184634597427173</v>
      </c>
      <c r="O139" s="92">
        <f t="shared" si="41"/>
        <v>0.2428979564561973</v>
      </c>
      <c r="P139" s="92">
        <f t="shared" si="41"/>
        <v>4.8670128236709458E-2</v>
      </c>
      <c r="Q139" s="92">
        <f t="shared" si="41"/>
        <v>1.736165188789118E-3</v>
      </c>
      <c r="R139" s="92">
        <f t="shared" si="41"/>
        <v>2.944628085608764E-2</v>
      </c>
      <c r="S139" s="92">
        <f t="shared" si="41"/>
        <v>0.53970583274989459</v>
      </c>
      <c r="T139" s="92">
        <f t="shared" si="41"/>
        <v>0.76766446637020125</v>
      </c>
      <c r="U139" s="92">
        <f t="shared" si="41"/>
        <v>0.36240470568580369</v>
      </c>
      <c r="V139" s="92" t="e">
        <f t="shared" si="41"/>
        <v>#DIV/0!</v>
      </c>
      <c r="W139" s="92" t="e">
        <f t="shared" si="41"/>
        <v>#DIV/0!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</row>
    <row r="140" spans="1:34" x14ac:dyDescent="0.3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</row>
    <row r="141" spans="1:34" x14ac:dyDescent="0.3">
      <c r="C141" s="60"/>
    </row>
    <row r="142" spans="1:34" ht="27" customHeight="1" x14ac:dyDescent="0.4">
      <c r="C142" s="60"/>
      <c r="D142" s="99" t="s">
        <v>409</v>
      </c>
      <c r="E142" s="100" t="s">
        <v>410</v>
      </c>
      <c r="F142" s="89"/>
    </row>
    <row r="143" spans="1:34" ht="21" customHeight="1" x14ac:dyDescent="0.3">
      <c r="A143" s="52" t="s">
        <v>113</v>
      </c>
      <c r="B143" s="263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>
        <f t="shared" ref="H143:AF143" si="42">0.525*H43*SQRT(H36/H38)</f>
        <v>1.2280135346889747</v>
      </c>
      <c r="I143" s="76">
        <f t="shared" si="42"/>
        <v>1.2280135346889747</v>
      </c>
      <c r="J143" s="76">
        <f t="shared" si="42"/>
        <v>0.94462579591459617</v>
      </c>
      <c r="K143" s="76">
        <f t="shared" si="42"/>
        <v>1.0233446122408123</v>
      </c>
      <c r="L143" s="76">
        <f t="shared" si="42"/>
        <v>1.0233446122408123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0.87715252477783912</v>
      </c>
      <c r="P143" s="76">
        <f t="shared" si="42"/>
        <v>0.70172201982227134</v>
      </c>
      <c r="Q143" s="76">
        <f t="shared" si="42"/>
        <v>0.75184502123814789</v>
      </c>
      <c r="R143" s="76">
        <f t="shared" si="42"/>
        <v>0.75197032874168745</v>
      </c>
      <c r="S143" s="76">
        <f t="shared" si="42"/>
        <v>2.0466892244816246</v>
      </c>
      <c r="T143" s="76">
        <f t="shared" si="42"/>
        <v>2.0466892244816246</v>
      </c>
      <c r="U143" s="76">
        <f t="shared" si="42"/>
        <v>2.0466892244816246</v>
      </c>
      <c r="V143" s="76" t="e">
        <f t="shared" si="42"/>
        <v>#DIV/0!</v>
      </c>
      <c r="W143" s="76" t="e">
        <f t="shared" si="42"/>
        <v>#DIV/0!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96"/>
      <c r="AH143" s="96"/>
    </row>
    <row r="144" spans="1:34" ht="19.5" customHeight="1" x14ac:dyDescent="0.3">
      <c r="A144" s="52" t="s">
        <v>113</v>
      </c>
      <c r="B144" s="264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>
        <f t="shared" ref="H144:AF144" si="43">(H143-0.22)/H143^2</f>
        <v>0.66843634610370506</v>
      </c>
      <c r="I144" s="76">
        <f t="shared" si="43"/>
        <v>0.66843634610370506</v>
      </c>
      <c r="J144" s="76">
        <f t="shared" si="43"/>
        <v>0.81207134871718645</v>
      </c>
      <c r="K144" s="76">
        <f t="shared" si="43"/>
        <v>0.76711075303667364</v>
      </c>
      <c r="L144" s="76">
        <f t="shared" si="43"/>
        <v>0.76711075303667364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0.85411420587371834</v>
      </c>
      <c r="P144" s="76">
        <f t="shared" si="43"/>
        <v>0.97828701504522919</v>
      </c>
      <c r="Q144" s="76">
        <f t="shared" si="43"/>
        <v>0.94086744497903296</v>
      </c>
      <c r="R144" s="76">
        <f t="shared" si="43"/>
        <v>0.94077550390253961</v>
      </c>
      <c r="S144" s="76">
        <f t="shared" si="43"/>
        <v>0.43607466994999522</v>
      </c>
      <c r="T144" s="76">
        <f t="shared" si="43"/>
        <v>0.43607466994999522</v>
      </c>
      <c r="U144" s="76">
        <f t="shared" si="43"/>
        <v>0.43607466994999522</v>
      </c>
      <c r="V144" s="76" t="e">
        <f t="shared" si="43"/>
        <v>#DIV/0!</v>
      </c>
      <c r="W144" s="76" t="e">
        <f t="shared" si="43"/>
        <v>#DIV/0!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</row>
    <row r="145" spans="1:36" ht="21" customHeight="1" x14ac:dyDescent="0.3">
      <c r="A145" s="52" t="s">
        <v>113</v>
      </c>
      <c r="B145" s="264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>
        <f t="shared" ref="H145:AF145" si="44">IF(H143&gt;0.673,H144,1)</f>
        <v>0.66843634610370506</v>
      </c>
      <c r="I145" s="76">
        <f t="shared" si="44"/>
        <v>0.66843634610370506</v>
      </c>
      <c r="J145" s="76">
        <f t="shared" si="44"/>
        <v>0.81207134871718645</v>
      </c>
      <c r="K145" s="76">
        <f t="shared" si="44"/>
        <v>0.76711075303667364</v>
      </c>
      <c r="L145" s="76">
        <f t="shared" si="44"/>
        <v>0.76711075303667364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0.85411420587371834</v>
      </c>
      <c r="P145" s="76">
        <f t="shared" si="44"/>
        <v>0.97828701504522919</v>
      </c>
      <c r="Q145" s="76">
        <f t="shared" si="44"/>
        <v>0.94086744497903296</v>
      </c>
      <c r="R145" s="76">
        <f t="shared" si="44"/>
        <v>0.94077550390253961</v>
      </c>
      <c r="S145" s="76">
        <f t="shared" si="44"/>
        <v>0.43607466994999522</v>
      </c>
      <c r="T145" s="76">
        <f t="shared" si="44"/>
        <v>0.43607466994999522</v>
      </c>
      <c r="U145" s="76">
        <f t="shared" si="44"/>
        <v>0.43607466994999522</v>
      </c>
      <c r="V145" s="76" t="e">
        <f t="shared" si="44"/>
        <v>#DIV/0!</v>
      </c>
      <c r="W145" s="76" t="e">
        <f t="shared" si="44"/>
        <v>#DIV/0!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</row>
    <row r="146" spans="1:36" ht="23.25" customHeight="1" x14ac:dyDescent="0.3">
      <c r="A146" s="52" t="s">
        <v>113</v>
      </c>
      <c r="B146" s="264"/>
      <c r="C146" s="103" t="s">
        <v>310</v>
      </c>
      <c r="E146" s="102" t="s">
        <v>414</v>
      </c>
      <c r="F146" s="44"/>
      <c r="G146" s="76">
        <v>1.1499999999999999</v>
      </c>
      <c r="H146" s="76">
        <v>1.1499999999999999</v>
      </c>
      <c r="I146" s="76">
        <v>1.1499999999999999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</row>
    <row r="147" spans="1:36" ht="24.75" customHeight="1" x14ac:dyDescent="0.3">
      <c r="A147" s="52" t="s">
        <v>113</v>
      </c>
      <c r="B147" s="264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>
        <f t="shared" ref="H147:AF147" si="45">H145*H36/H146</f>
        <v>19.762465884805195</v>
      </c>
      <c r="I147" s="91">
        <f t="shared" si="45"/>
        <v>19.762465884805195</v>
      </c>
      <c r="J147" s="91">
        <f t="shared" si="45"/>
        <v>24.00906596207334</v>
      </c>
      <c r="K147" s="91">
        <f t="shared" si="45"/>
        <v>22.679796176736438</v>
      </c>
      <c r="L147" s="91">
        <f t="shared" si="45"/>
        <v>22.679796176736438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25.252072173657762</v>
      </c>
      <c r="P147" s="91">
        <f t="shared" si="45"/>
        <v>28.92326827090243</v>
      </c>
      <c r="Q147" s="91">
        <f t="shared" si="45"/>
        <v>27.816950547206194</v>
      </c>
      <c r="R147" s="91">
        <f t="shared" si="45"/>
        <v>27.814232289292477</v>
      </c>
      <c r="S147" s="91">
        <f t="shared" si="45"/>
        <v>12.892642415912904</v>
      </c>
      <c r="T147" s="91">
        <f t="shared" si="45"/>
        <v>12.892642415912904</v>
      </c>
      <c r="U147" s="91">
        <f t="shared" si="45"/>
        <v>12.892642415912904</v>
      </c>
      <c r="V147" s="91" t="e">
        <f t="shared" si="45"/>
        <v>#DIV/0!</v>
      </c>
      <c r="W147" s="91" t="e">
        <f t="shared" si="45"/>
        <v>#DIV/0!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</row>
    <row r="148" spans="1:36" ht="16.5" customHeight="1" x14ac:dyDescent="0.3">
      <c r="B148" s="264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</row>
    <row r="149" spans="1:36" ht="16.5" customHeight="1" x14ac:dyDescent="0.4">
      <c r="B149" s="264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</row>
    <row r="150" spans="1:36" x14ac:dyDescent="0.3">
      <c r="A150" s="52" t="s">
        <v>113</v>
      </c>
      <c r="B150" s="264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>
        <f t="shared" ref="H150:AF150" si="46">1.1*H43*SQRT(H36/H38)</f>
        <v>2.5729807393483282</v>
      </c>
      <c r="I150" s="76">
        <f t="shared" si="46"/>
        <v>2.5729807393483282</v>
      </c>
      <c r="J150" s="76">
        <f t="shared" si="46"/>
        <v>1.9792159533448681</v>
      </c>
      <c r="K150" s="76">
        <f t="shared" si="46"/>
        <v>2.1441506161236066</v>
      </c>
      <c r="L150" s="76">
        <f t="shared" si="46"/>
        <v>2.1441506161236066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1.8378433852488061</v>
      </c>
      <c r="P150" s="76">
        <f t="shared" si="46"/>
        <v>1.4702747081990448</v>
      </c>
      <c r="Q150" s="76">
        <f t="shared" si="46"/>
        <v>1.5752943302132625</v>
      </c>
      <c r="R150" s="76">
        <f t="shared" si="46"/>
        <v>1.5755568792682977</v>
      </c>
      <c r="S150" s="76">
        <f t="shared" si="46"/>
        <v>4.2883012322472132</v>
      </c>
      <c r="T150" s="76">
        <f t="shared" si="46"/>
        <v>4.2883012322472132</v>
      </c>
      <c r="U150" s="76">
        <f t="shared" si="46"/>
        <v>4.2883012322472132</v>
      </c>
      <c r="V150" s="76" t="e">
        <f t="shared" si="46"/>
        <v>#DIV/0!</v>
      </c>
      <c r="W150" s="76" t="e">
        <f t="shared" si="46"/>
        <v>#DIV/0!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</row>
    <row r="151" spans="1:36" x14ac:dyDescent="0.3">
      <c r="A151" s="52" t="s">
        <v>113</v>
      </c>
      <c r="B151" s="264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>
        <f t="shared" ref="H151:AF151" si="47">0.21*(H150-0.2)</f>
        <v>0.49832595526314888</v>
      </c>
      <c r="I151" s="76">
        <f t="shared" si="47"/>
        <v>0.49832595526314888</v>
      </c>
      <c r="J151" s="76">
        <f t="shared" si="47"/>
        <v>0.37363535020242228</v>
      </c>
      <c r="K151" s="76">
        <f t="shared" si="47"/>
        <v>0.4082716293859574</v>
      </c>
      <c r="L151" s="76">
        <f t="shared" si="47"/>
        <v>0.4082716293859574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0.34394711090224928</v>
      </c>
      <c r="P151" s="76">
        <f t="shared" si="47"/>
        <v>0.26675768872179939</v>
      </c>
      <c r="Q151" s="76">
        <f t="shared" si="47"/>
        <v>0.28881180934478512</v>
      </c>
      <c r="R151" s="76">
        <f t="shared" si="47"/>
        <v>0.28886694464634249</v>
      </c>
      <c r="S151" s="76">
        <f t="shared" si="47"/>
        <v>0.85854325877191473</v>
      </c>
      <c r="T151" s="76">
        <f t="shared" si="47"/>
        <v>0.85854325877191473</v>
      </c>
      <c r="U151" s="76">
        <f t="shared" si="47"/>
        <v>0.85854325877191473</v>
      </c>
      <c r="V151" s="76" t="e">
        <f t="shared" si="47"/>
        <v>#DIV/0!</v>
      </c>
      <c r="W151" s="76" t="e">
        <f t="shared" si="47"/>
        <v>#DIV/0!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</row>
    <row r="152" spans="1:36" x14ac:dyDescent="0.3">
      <c r="A152" s="52" t="s">
        <v>113</v>
      </c>
      <c r="B152" s="264"/>
      <c r="C152" s="60" t="s">
        <v>305</v>
      </c>
      <c r="E152" s="102" t="s">
        <v>418</v>
      </c>
      <c r="F152" s="44"/>
      <c r="G152" s="76">
        <v>1</v>
      </c>
      <c r="H152" s="76">
        <v>1</v>
      </c>
      <c r="I152" s="76">
        <v>1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110"/>
      <c r="AH152" s="110"/>
      <c r="AI152" s="110"/>
      <c r="AJ152" s="110"/>
    </row>
    <row r="153" spans="1:36" x14ac:dyDescent="0.3">
      <c r="A153" s="52" t="s">
        <v>113</v>
      </c>
      <c r="B153" s="264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>
        <f t="shared" ref="H153:AF153" si="48">1/(2*H150^2)*((1+H151+H150^2)-SQRT((1+H151+H150^2)^2-4*H150^2))</f>
        <v>0.13890924917169559</v>
      </c>
      <c r="I153" s="76">
        <f t="shared" si="48"/>
        <v>0.13890924917169559</v>
      </c>
      <c r="J153" s="76">
        <f t="shared" si="48"/>
        <v>0.22723151054613341</v>
      </c>
      <c r="K153" s="76">
        <f t="shared" si="48"/>
        <v>0.1958822405758002</v>
      </c>
      <c r="L153" s="76">
        <f t="shared" si="48"/>
        <v>0.1958822405758002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0.2602396316749257</v>
      </c>
      <c r="P153" s="76">
        <f t="shared" si="48"/>
        <v>0.38526083049975623</v>
      </c>
      <c r="Q153" s="76">
        <f t="shared" si="48"/>
        <v>0.34238019282094173</v>
      </c>
      <c r="R153" s="76">
        <f t="shared" si="48"/>
        <v>0.34228117150603976</v>
      </c>
      <c r="S153" s="76">
        <f t="shared" si="48"/>
        <v>5.1826902255960462E-2</v>
      </c>
      <c r="T153" s="76">
        <f t="shared" si="48"/>
        <v>5.1826902255960462E-2</v>
      </c>
      <c r="U153" s="76">
        <f t="shared" si="48"/>
        <v>5.1826902255960462E-2</v>
      </c>
      <c r="V153" s="76" t="e">
        <f t="shared" si="48"/>
        <v>#DIV/0!</v>
      </c>
      <c r="W153" s="76" t="e">
        <f t="shared" si="48"/>
        <v>#DIV/0!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</row>
    <row r="154" spans="1:36" x14ac:dyDescent="0.3">
      <c r="A154" s="52" t="s">
        <v>113</v>
      </c>
      <c r="B154" s="264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>
        <f t="shared" ref="H154:AF154" si="49">1/(2*H150^2)+0.07</f>
        <v>0.14552607819987501</v>
      </c>
      <c r="I154" s="76">
        <f t="shared" si="49"/>
        <v>0.14552607819987501</v>
      </c>
      <c r="J154" s="76">
        <f t="shared" si="49"/>
        <v>0.19763907215778875</v>
      </c>
      <c r="K154" s="76">
        <f t="shared" si="49"/>
        <v>0.17875755260782006</v>
      </c>
      <c r="L154" s="76">
        <f t="shared" si="49"/>
        <v>0.17875755260782006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0.21803111327175498</v>
      </c>
      <c r="P154" s="76">
        <f t="shared" si="49"/>
        <v>0.30129861448711714</v>
      </c>
      <c r="Q154" s="76">
        <f t="shared" si="49"/>
        <v>0.27148679306433315</v>
      </c>
      <c r="R154" s="76">
        <f t="shared" si="49"/>
        <v>0.27141964758681408</v>
      </c>
      <c r="S154" s="76">
        <f t="shared" si="49"/>
        <v>9.718938815195502E-2</v>
      </c>
      <c r="T154" s="76">
        <f t="shared" si="49"/>
        <v>9.718938815195502E-2</v>
      </c>
      <c r="U154" s="76">
        <f t="shared" si="49"/>
        <v>9.718938815195502E-2</v>
      </c>
      <c r="V154" s="76" t="e">
        <f t="shared" si="49"/>
        <v>#DIV/0!</v>
      </c>
      <c r="W154" s="76" t="e">
        <f t="shared" si="49"/>
        <v>#DIV/0!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</row>
    <row r="155" spans="1:36" x14ac:dyDescent="0.3">
      <c r="A155" s="52" t="s">
        <v>113</v>
      </c>
      <c r="B155" s="264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>
        <f t="shared" ref="H155:AF155" si="50">IF(H150&lt;=0.2,H152,IF(H150&lt;2,H153,H154))</f>
        <v>0.14552607819987501</v>
      </c>
      <c r="I155" s="76">
        <f t="shared" si="50"/>
        <v>0.14552607819987501</v>
      </c>
      <c r="J155" s="76">
        <f t="shared" si="50"/>
        <v>0.22723151054613341</v>
      </c>
      <c r="K155" s="76">
        <f t="shared" si="50"/>
        <v>0.17875755260782006</v>
      </c>
      <c r="L155" s="76">
        <f t="shared" si="50"/>
        <v>0.17875755260782006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0.2602396316749257</v>
      </c>
      <c r="P155" s="76">
        <f t="shared" si="50"/>
        <v>0.38526083049975623</v>
      </c>
      <c r="Q155" s="76">
        <f t="shared" si="50"/>
        <v>0.34238019282094173</v>
      </c>
      <c r="R155" s="76">
        <f t="shared" si="50"/>
        <v>0.34228117150603976</v>
      </c>
      <c r="S155" s="76">
        <f t="shared" si="50"/>
        <v>9.718938815195502E-2</v>
      </c>
      <c r="T155" s="76">
        <f t="shared" si="50"/>
        <v>9.718938815195502E-2</v>
      </c>
      <c r="U155" s="76">
        <f t="shared" si="50"/>
        <v>9.718938815195502E-2</v>
      </c>
      <c r="V155" s="76" t="e">
        <f t="shared" si="50"/>
        <v>#DIV/0!</v>
      </c>
      <c r="W155" s="76" t="e">
        <f t="shared" si="50"/>
        <v>#DIV/0!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96"/>
    </row>
    <row r="156" spans="1:36" x14ac:dyDescent="0.3">
      <c r="A156" s="52" t="s">
        <v>113</v>
      </c>
      <c r="B156" s="264"/>
      <c r="C156" s="60" t="s">
        <v>305</v>
      </c>
      <c r="E156" s="101" t="s">
        <v>296</v>
      </c>
      <c r="F156" s="44" t="s">
        <v>300</v>
      </c>
      <c r="G156" s="111">
        <f>$H$4+$H$5*G34*$H$6</f>
        <v>503535</v>
      </c>
      <c r="H156" s="111">
        <f t="shared" ref="H156:AF156" si="51">$H$4+$H$5*H34*$H$6</f>
        <v>503535</v>
      </c>
      <c r="I156" s="111">
        <f t="shared" si="51"/>
        <v>503535</v>
      </c>
      <c r="J156" s="111">
        <f t="shared" si="51"/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</row>
    <row r="157" spans="1:36" x14ac:dyDescent="0.3">
      <c r="A157" s="52" t="s">
        <v>113</v>
      </c>
      <c r="B157" s="264"/>
      <c r="C157" s="60" t="s">
        <v>305</v>
      </c>
      <c r="E157" s="101" t="s">
        <v>296</v>
      </c>
      <c r="F157" s="44" t="s">
        <v>69</v>
      </c>
      <c r="G157" s="83">
        <f>G156*$H7*$H8</f>
        <v>7.303170933E-2</v>
      </c>
      <c r="H157" s="83">
        <f t="shared" ref="H157:AF157" si="52">H156*$H7*$H8</f>
        <v>7.303170933E-2</v>
      </c>
      <c r="I157" s="83">
        <f t="shared" si="52"/>
        <v>7.303170933E-2</v>
      </c>
      <c r="J157" s="83">
        <f t="shared" si="52"/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</row>
    <row r="158" spans="1:36" x14ac:dyDescent="0.3">
      <c r="A158" s="52" t="s">
        <v>113</v>
      </c>
      <c r="B158" s="264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>
        <f t="shared" ref="H158:AF158" si="53">2*(H42^2)*H36</f>
        <v>1.387755102040817E-2</v>
      </c>
      <c r="I158" s="83">
        <f t="shared" si="53"/>
        <v>1.387755102040817E-2</v>
      </c>
      <c r="J158" s="83">
        <f t="shared" si="53"/>
        <v>2.3453061224489799E-2</v>
      </c>
      <c r="K158" s="83">
        <f t="shared" si="53"/>
        <v>1.9983673469387765E-2</v>
      </c>
      <c r="L158" s="83">
        <f t="shared" si="53"/>
        <v>1.9983673469387765E-2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2.7200000000000012E-2</v>
      </c>
      <c r="P158" s="83">
        <f t="shared" si="53"/>
        <v>4.250000000000001E-2</v>
      </c>
      <c r="Q158" s="83">
        <f t="shared" si="53"/>
        <v>3.7022222222222227E-2</v>
      </c>
      <c r="R158" s="83">
        <f t="shared" si="53"/>
        <v>3.7009884565981227E-2</v>
      </c>
      <c r="S158" s="83">
        <f t="shared" si="53"/>
        <v>4.9959183673469413E-3</v>
      </c>
      <c r="T158" s="83">
        <f t="shared" si="53"/>
        <v>4.9959183673469413E-3</v>
      </c>
      <c r="U158" s="83">
        <f t="shared" si="53"/>
        <v>4.9959183673469413E-3</v>
      </c>
      <c r="V158" s="83" t="e">
        <f t="shared" si="53"/>
        <v>#DIV/0!</v>
      </c>
      <c r="W158" s="83" t="e">
        <f t="shared" si="53"/>
        <v>#DIV/0!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</row>
    <row r="159" spans="1:36" x14ac:dyDescent="0.3">
      <c r="A159" s="52" t="s">
        <v>113</v>
      </c>
      <c r="B159" s="264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>
        <f t="shared" ref="H159:AF159" si="54">IF(0.05*H43-0.75&lt;0,0,0.05*H43-0.75)</f>
        <v>2.7499999999999996</v>
      </c>
      <c r="I159" s="76">
        <f t="shared" si="54"/>
        <v>2.7499999999999996</v>
      </c>
      <c r="J159" s="76">
        <f t="shared" si="54"/>
        <v>1.9423076923076925</v>
      </c>
      <c r="K159" s="76">
        <f t="shared" si="54"/>
        <v>2.1666666666666661</v>
      </c>
      <c r="L159" s="76">
        <f t="shared" si="54"/>
        <v>2.1666666666666661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1.75</v>
      </c>
      <c r="P159" s="76">
        <f t="shared" si="54"/>
        <v>1.25</v>
      </c>
      <c r="Q159" s="76">
        <f t="shared" si="54"/>
        <v>1.3928571428571428</v>
      </c>
      <c r="R159" s="76">
        <f t="shared" si="54"/>
        <v>1.3932142857142855</v>
      </c>
      <c r="S159" s="76">
        <f t="shared" si="54"/>
        <v>5.0833333333333321</v>
      </c>
      <c r="T159" s="76">
        <f t="shared" si="54"/>
        <v>5.0833333333333321</v>
      </c>
      <c r="U159" s="76">
        <f t="shared" si="54"/>
        <v>5.0833333333333321</v>
      </c>
      <c r="V159" s="76" t="e">
        <f t="shared" si="54"/>
        <v>#DIV/0!</v>
      </c>
      <c r="W159" s="76" t="e">
        <f t="shared" si="54"/>
        <v>#DIV/0!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</row>
    <row r="160" spans="1:36" x14ac:dyDescent="0.3">
      <c r="A160" s="52" t="s">
        <v>113</v>
      </c>
      <c r="B160" s="264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>
        <f t="shared" ref="H160:AF160" si="55">IF(H157&lt;=H158,1,1-H159*((H157/H36)-2*H42^2))</f>
        <v>0.99521547248966535</v>
      </c>
      <c r="I160" s="76">
        <f t="shared" si="55"/>
        <v>0.99521547248966535</v>
      </c>
      <c r="J160" s="76">
        <f t="shared" si="55"/>
        <v>0.99716773560030736</v>
      </c>
      <c r="K160" s="76">
        <f t="shared" si="55"/>
        <v>0.99661948791084332</v>
      </c>
      <c r="L160" s="76">
        <f t="shared" si="55"/>
        <v>0.99661948791084332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0.99764101496095592</v>
      </c>
      <c r="P160" s="76">
        <f t="shared" si="55"/>
        <v>0.99887751068639707</v>
      </c>
      <c r="Q160" s="76">
        <f t="shared" si="55"/>
        <v>0.99852482143150911</v>
      </c>
      <c r="R160" s="76">
        <f t="shared" si="55"/>
        <v>0.99852393762180214</v>
      </c>
      <c r="S160" s="76">
        <f t="shared" si="55"/>
        <v>0.98982798223352486</v>
      </c>
      <c r="T160" s="76">
        <f t="shared" si="55"/>
        <v>0.98982798223352486</v>
      </c>
      <c r="U160" s="76">
        <f t="shared" si="55"/>
        <v>0.98982798223352486</v>
      </c>
      <c r="V160" s="76" t="e">
        <f t="shared" si="55"/>
        <v>#DIV/0!</v>
      </c>
      <c r="W160" s="76" t="e">
        <f t="shared" si="55"/>
        <v>#DIV/0!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</row>
    <row r="161" spans="1:32" x14ac:dyDescent="0.3">
      <c r="A161" s="52" t="s">
        <v>113</v>
      </c>
      <c r="B161" s="264"/>
      <c r="C161" s="103" t="s">
        <v>310</v>
      </c>
      <c r="E161" s="102" t="s">
        <v>414</v>
      </c>
      <c r="F161" s="44"/>
      <c r="G161" s="223">
        <v>1.1499999999999999</v>
      </c>
      <c r="H161" s="223">
        <v>1.1499999999999999</v>
      </c>
      <c r="I161" s="223">
        <v>1.1499999999999999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</row>
    <row r="162" spans="1:32" ht="15.6" x14ac:dyDescent="0.3">
      <c r="A162" s="52" t="s">
        <v>113</v>
      </c>
      <c r="B162" s="264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>
        <f t="shared" ref="H162:AF162" si="56">(1.3*H33/H28*SQRT(H38/H36)+H155*(1-1.3*H33/H28*SQRT(H38/H36)))*H36*H160</f>
        <v>9.1804728065972654</v>
      </c>
      <c r="I162" s="83">
        <f t="shared" si="56"/>
        <v>9.0248449320764141</v>
      </c>
      <c r="J162" s="83">
        <f t="shared" si="56"/>
        <v>15.716238820697184</v>
      </c>
      <c r="K162" s="83">
        <f t="shared" si="56"/>
        <v>13.130095882872046</v>
      </c>
      <c r="L162" s="83">
        <f t="shared" si="56"/>
        <v>11.878546706828173</v>
      </c>
      <c r="M162" s="83">
        <f t="shared" si="56"/>
        <v>10.454095554955719</v>
      </c>
      <c r="N162" s="83">
        <f t="shared" si="56"/>
        <v>11.966724692524028</v>
      </c>
      <c r="O162" s="83">
        <f t="shared" si="56"/>
        <v>16.117840708363502</v>
      </c>
      <c r="P162" s="83">
        <f t="shared" si="56"/>
        <v>19.648532113066913</v>
      </c>
      <c r="Q162" s="83">
        <f t="shared" si="56"/>
        <v>16.305949934592935</v>
      </c>
      <c r="R162" s="83">
        <f t="shared" si="56"/>
        <v>45.05989547232415</v>
      </c>
      <c r="S162" s="83">
        <f t="shared" si="56"/>
        <v>11.453878090519419</v>
      </c>
      <c r="T162" s="83">
        <f t="shared" si="56"/>
        <v>7.2109657801419083</v>
      </c>
      <c r="U162" s="83">
        <f t="shared" si="56"/>
        <v>6.1077267489266776</v>
      </c>
      <c r="V162" s="83" t="e">
        <f t="shared" si="56"/>
        <v>#DIV/0!</v>
      </c>
      <c r="W162" s="83" t="e">
        <f t="shared" si="56"/>
        <v>#DIV/0!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</row>
    <row r="163" spans="1:32" x14ac:dyDescent="0.3">
      <c r="A163" s="52" t="s">
        <v>113</v>
      </c>
      <c r="B163" s="264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>
        <f t="shared" ref="H163:AF163" si="57">H162/H161</f>
        <v>7.98301983182371</v>
      </c>
      <c r="I163" s="91">
        <f t="shared" si="57"/>
        <v>7.8476912452838388</v>
      </c>
      <c r="J163" s="91">
        <f t="shared" si="57"/>
        <v>13.666294626693205</v>
      </c>
      <c r="K163" s="91">
        <f t="shared" si="57"/>
        <v>11.417474680758302</v>
      </c>
      <c r="L163" s="91">
        <f t="shared" si="57"/>
        <v>10.329171049415804</v>
      </c>
      <c r="M163" s="91">
        <f t="shared" si="57"/>
        <v>9.0905178738745391</v>
      </c>
      <c r="N163" s="91">
        <f t="shared" si="57"/>
        <v>10.405847558716546</v>
      </c>
      <c r="O163" s="91">
        <f t="shared" si="57"/>
        <v>14.015513659446524</v>
      </c>
      <c r="P163" s="91">
        <f t="shared" si="57"/>
        <v>17.085680098319056</v>
      </c>
      <c r="Q163" s="91">
        <f t="shared" si="57"/>
        <v>14.17908689964603</v>
      </c>
      <c r="R163" s="91">
        <f t="shared" si="57"/>
        <v>39.182517802021003</v>
      </c>
      <c r="S163" s="91">
        <f t="shared" si="57"/>
        <v>9.959893991756017</v>
      </c>
      <c r="T163" s="91">
        <f t="shared" si="57"/>
        <v>6.2704050262103559</v>
      </c>
      <c r="U163" s="91">
        <f t="shared" si="57"/>
        <v>5.3110667381971117</v>
      </c>
      <c r="V163" s="91" t="e">
        <f t="shared" si="57"/>
        <v>#DIV/0!</v>
      </c>
      <c r="W163" s="91" t="e">
        <f t="shared" si="57"/>
        <v>#DIV/0!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</row>
    <row r="164" spans="1:32" x14ac:dyDescent="0.3">
      <c r="B164" s="264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</row>
    <row r="165" spans="1:32" ht="21" x14ac:dyDescent="0.4">
      <c r="B165" s="264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</row>
    <row r="166" spans="1:32" ht="22.5" customHeight="1" x14ac:dyDescent="0.3">
      <c r="A166" s="52" t="s">
        <v>113</v>
      </c>
      <c r="B166" s="264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>
        <f t="shared" ref="H166:AF166" si="58">IF(H39&lt;1,5.34+4*(H39)^2,IF(H39&gt;1,5.34*H39^2+4))</f>
        <v>5.6206257215946804</v>
      </c>
      <c r="I166" s="116">
        <f t="shared" si="58"/>
        <v>5.6004790450714879</v>
      </c>
      <c r="J166" s="116">
        <f t="shared" si="58"/>
        <v>6.0566219331268591</v>
      </c>
      <c r="K166" s="116">
        <f t="shared" si="58"/>
        <v>5.9209414039262347</v>
      </c>
      <c r="L166" s="116">
        <f t="shared" si="58"/>
        <v>5.733535979586116</v>
      </c>
      <c r="M166" s="116">
        <f t="shared" si="58"/>
        <v>5.5645066900467928</v>
      </c>
      <c r="N166" s="116">
        <f t="shared" si="58"/>
        <v>5.74554835169259</v>
      </c>
      <c r="O166" s="116">
        <f>IF(O39&lt;1,5.34+4*(O39)^2,IF(O39&gt;1,5.34*O39^2+4))</f>
        <v>5.8977490586590262</v>
      </c>
      <c r="P166" s="116">
        <f t="shared" si="58"/>
        <v>5.7580291319857313</v>
      </c>
      <c r="Q166" s="116">
        <f t="shared" si="58"/>
        <v>5.5534937411440959</v>
      </c>
      <c r="R166" s="116">
        <f t="shared" si="58"/>
        <v>18.537907740904767</v>
      </c>
      <c r="S166" s="116">
        <f t="shared" si="58"/>
        <v>7.9492667389353624</v>
      </c>
      <c r="T166" s="116">
        <f t="shared" si="58"/>
        <v>5.9449382716049382</v>
      </c>
      <c r="U166" s="116">
        <f t="shared" si="58"/>
        <v>5.6536</v>
      </c>
      <c r="V166" s="116" t="e">
        <f>IF(V39&lt;1,5.34+4*(V39)^2,IF(V39&gt;1,5.34*V39^2+4))</f>
        <v>#DIV/0!</v>
      </c>
      <c r="W166" s="116" t="e">
        <f t="shared" si="58"/>
        <v>#DIV/0!</v>
      </c>
      <c r="X166" s="116" t="e">
        <f t="shared" si="58"/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>IF(AD39&lt;1,5.34+4*(AD39)^2,IF(AD39&gt;1,5.34*AD39^2+4))</f>
        <v>#DIV/0!</v>
      </c>
      <c r="AE166" s="116" t="e">
        <f t="shared" si="58"/>
        <v>#DIV/0!</v>
      </c>
      <c r="AF166" s="116" t="e">
        <f t="shared" si="58"/>
        <v>#DIV/0!</v>
      </c>
    </row>
    <row r="167" spans="1:32" ht="24.75" customHeight="1" x14ac:dyDescent="0.3">
      <c r="A167" s="52" t="s">
        <v>113</v>
      </c>
      <c r="B167" s="264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>
        <f t="shared" ref="H167:AF167" si="59">0.795*H43*SQRT(H36/(H38*H166))</f>
        <v>0.78436579312900201</v>
      </c>
      <c r="I167" s="116">
        <f t="shared" si="59"/>
        <v>0.78577533129303001</v>
      </c>
      <c r="J167" s="116">
        <f t="shared" si="59"/>
        <v>0.58123585088180441</v>
      </c>
      <c r="K167" s="116">
        <f t="shared" si="59"/>
        <v>0.63684589106951917</v>
      </c>
      <c r="L167" s="116">
        <f t="shared" si="59"/>
        <v>0.64717012593934642</v>
      </c>
      <c r="M167" s="116">
        <f t="shared" si="59"/>
        <v>0.6569259204050194</v>
      </c>
      <c r="N167" s="116">
        <f t="shared" si="59"/>
        <v>0.64649324398665997</v>
      </c>
      <c r="O167" s="116">
        <f t="shared" si="59"/>
        <v>0.54694014073448871</v>
      </c>
      <c r="P167" s="116">
        <f t="shared" si="59"/>
        <v>0.44282894584671889</v>
      </c>
      <c r="Q167" s="116">
        <f t="shared" si="59"/>
        <v>0.48311776784000393</v>
      </c>
      <c r="R167" s="116">
        <f t="shared" si="59"/>
        <v>0.26447106954931482</v>
      </c>
      <c r="S167" s="116">
        <f t="shared" si="59"/>
        <v>1.0992492887741623</v>
      </c>
      <c r="T167" s="116">
        <f t="shared" si="59"/>
        <v>1.2711185410182082</v>
      </c>
      <c r="U167" s="116">
        <f t="shared" si="59"/>
        <v>1.3034584420035293</v>
      </c>
      <c r="V167" s="116" t="e">
        <f t="shared" si="59"/>
        <v>#DIV/0!</v>
      </c>
      <c r="W167" s="116" t="e">
        <f t="shared" si="59"/>
        <v>#DIV/0!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</row>
    <row r="168" spans="1:32" ht="18.75" customHeight="1" x14ac:dyDescent="0.3">
      <c r="A168" s="52" t="s">
        <v>113</v>
      </c>
      <c r="B168" s="264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>
        <f t="shared" ref="H168:AF168" si="60">IF(H167&gt;1.2,0.9/H167,IF(H167&gt;0.8,(1-0.625*(H167-0.8)),1))</f>
        <v>1</v>
      </c>
      <c r="I168" s="116">
        <f t="shared" si="60"/>
        <v>1</v>
      </c>
      <c r="J168" s="116">
        <f t="shared" si="60"/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0.81296919451614857</v>
      </c>
      <c r="T168" s="116">
        <f t="shared" si="60"/>
        <v>0.70803781941460009</v>
      </c>
      <c r="U168" s="116">
        <f t="shared" si="60"/>
        <v>0.69047080520390158</v>
      </c>
      <c r="V168" s="116" t="e">
        <f t="shared" si="60"/>
        <v>#DIV/0!</v>
      </c>
      <c r="W168" s="116" t="e">
        <f t="shared" si="60"/>
        <v>#DIV/0!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</row>
    <row r="169" spans="1:32" ht="18.75" customHeight="1" x14ac:dyDescent="0.3">
      <c r="A169" s="52" t="s">
        <v>113</v>
      </c>
      <c r="B169" s="264"/>
      <c r="C169" s="60" t="s">
        <v>306</v>
      </c>
      <c r="E169" s="102" t="s">
        <v>414</v>
      </c>
      <c r="F169" s="44"/>
      <c r="G169" s="223">
        <v>1.1499999999999999</v>
      </c>
      <c r="H169" s="223">
        <v>1.1499999999999999</v>
      </c>
      <c r="I169" s="223">
        <v>1.1499999999999999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</row>
    <row r="170" spans="1:32" ht="18.75" customHeight="1" x14ac:dyDescent="0.3">
      <c r="A170" s="52" t="s">
        <v>113</v>
      </c>
      <c r="B170" s="264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>
        <f t="shared" ref="H170:AF170" si="61">H168/H169*H36/SQRT(3)</f>
        <v>17.069486219519373</v>
      </c>
      <c r="I170" s="91">
        <f t="shared" si="61"/>
        <v>17.069486219519373</v>
      </c>
      <c r="J170" s="91">
        <f t="shared" si="61"/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13.876966462687161</v>
      </c>
      <c r="T170" s="91">
        <f t="shared" si="61"/>
        <v>12.085841801396061</v>
      </c>
      <c r="U170" s="91">
        <f t="shared" si="61"/>
        <v>11.785981894408444</v>
      </c>
      <c r="V170" s="91" t="e">
        <f t="shared" si="61"/>
        <v>#DIV/0!</v>
      </c>
      <c r="W170" s="91" t="e">
        <f t="shared" si="61"/>
        <v>#DIV/0!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</row>
    <row r="171" spans="1:32" ht="22.5" customHeight="1" x14ac:dyDescent="0.3">
      <c r="B171" s="264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</row>
    <row r="172" spans="1:32" ht="41.25" customHeight="1" x14ac:dyDescent="0.4">
      <c r="B172" s="264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</row>
    <row r="173" spans="1:32" x14ac:dyDescent="0.3">
      <c r="A173" s="52" t="s">
        <v>113</v>
      </c>
      <c r="B173" s="264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>
        <f t="shared" ref="H173:AF173" si="62">IF(H43&gt;120,0,1-H30/(120*H33))</f>
        <v>0.41666666666666674</v>
      </c>
      <c r="I173" s="76">
        <f t="shared" si="62"/>
        <v>0.41666666666666674</v>
      </c>
      <c r="J173" s="76">
        <f t="shared" si="62"/>
        <v>0.55128205128205132</v>
      </c>
      <c r="K173" s="76">
        <f t="shared" si="62"/>
        <v>0.51388888888888895</v>
      </c>
      <c r="L173" s="76">
        <f t="shared" si="62"/>
        <v>0.51388888888888895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0.58333333333333348</v>
      </c>
      <c r="P173" s="76">
        <f t="shared" si="62"/>
        <v>0.66666666666666663</v>
      </c>
      <c r="Q173" s="76">
        <f t="shared" si="62"/>
        <v>0.6428571428571429</v>
      </c>
      <c r="R173" s="76">
        <f t="shared" si="62"/>
        <v>0.64279761904761912</v>
      </c>
      <c r="S173" s="76">
        <f t="shared" si="62"/>
        <v>2.7777777777777901E-2</v>
      </c>
      <c r="T173" s="76">
        <f t="shared" si="62"/>
        <v>2.7777777777777901E-2</v>
      </c>
      <c r="U173" s="76">
        <f t="shared" si="62"/>
        <v>2.7777777777777901E-2</v>
      </c>
      <c r="V173" s="76" t="e">
        <f t="shared" si="62"/>
        <v>#DIV/0!</v>
      </c>
      <c r="W173" s="76" t="e">
        <f t="shared" si="62"/>
        <v>#DIV/0!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</row>
    <row r="174" spans="1:32" x14ac:dyDescent="0.3">
      <c r="A174" s="52" t="s">
        <v>113</v>
      </c>
      <c r="B174" s="264"/>
      <c r="C174" s="60" t="s">
        <v>306</v>
      </c>
      <c r="E174" s="102" t="s">
        <v>425</v>
      </c>
      <c r="F174" s="44"/>
      <c r="G174" s="116">
        <f>G166</f>
        <v>5.6114289018912809</v>
      </c>
      <c r="H174" s="116">
        <f t="shared" ref="H174:AF175" si="63">H166</f>
        <v>5.6206257215946804</v>
      </c>
      <c r="I174" s="116">
        <f t="shared" si="63"/>
        <v>5.6004790450714879</v>
      </c>
      <c r="J174" s="116">
        <f t="shared" si="63"/>
        <v>6.0566219331268591</v>
      </c>
      <c r="K174" s="116">
        <f t="shared" si="63"/>
        <v>5.9209414039262347</v>
      </c>
      <c r="L174" s="116">
        <f t="shared" si="63"/>
        <v>5.733535979586116</v>
      </c>
      <c r="M174" s="116">
        <f t="shared" si="63"/>
        <v>5.5645066900467928</v>
      </c>
      <c r="N174" s="116">
        <f t="shared" si="63"/>
        <v>5.74554835169259</v>
      </c>
      <c r="O174" s="116">
        <f t="shared" si="63"/>
        <v>5.8977490586590262</v>
      </c>
      <c r="P174" s="116">
        <f t="shared" si="63"/>
        <v>5.7580291319857313</v>
      </c>
      <c r="Q174" s="116">
        <f t="shared" si="63"/>
        <v>5.5534937411440959</v>
      </c>
      <c r="R174" s="116">
        <f t="shared" si="63"/>
        <v>18.537907740904767</v>
      </c>
      <c r="S174" s="116">
        <f t="shared" si="63"/>
        <v>7.9492667389353624</v>
      </c>
      <c r="T174" s="116">
        <f t="shared" si="63"/>
        <v>5.9449382716049382</v>
      </c>
      <c r="U174" s="116">
        <f t="shared" si="63"/>
        <v>5.6536</v>
      </c>
      <c r="V174" s="116" t="e">
        <f t="shared" si="63"/>
        <v>#DIV/0!</v>
      </c>
      <c r="W174" s="116" t="e">
        <f t="shared" si="63"/>
        <v>#DIV/0!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</row>
    <row r="175" spans="1:32" x14ac:dyDescent="0.3">
      <c r="A175" s="52" t="s">
        <v>113</v>
      </c>
      <c r="B175" s="264"/>
      <c r="C175" s="60" t="s">
        <v>306</v>
      </c>
      <c r="E175" s="102" t="s">
        <v>289</v>
      </c>
      <c r="F175" s="44"/>
      <c r="G175" s="116">
        <f>G167</f>
        <v>0.56072021137380945</v>
      </c>
      <c r="H175" s="116">
        <f t="shared" si="63"/>
        <v>0.78436579312900201</v>
      </c>
      <c r="I175" s="116">
        <f t="shared" si="63"/>
        <v>0.78577533129303001</v>
      </c>
      <c r="J175" s="116">
        <f t="shared" si="63"/>
        <v>0.58123585088180441</v>
      </c>
      <c r="K175" s="116">
        <f t="shared" si="63"/>
        <v>0.63684589106951917</v>
      </c>
      <c r="L175" s="116">
        <f t="shared" si="63"/>
        <v>0.64717012593934642</v>
      </c>
      <c r="M175" s="116">
        <f t="shared" si="63"/>
        <v>0.6569259204050194</v>
      </c>
      <c r="N175" s="116">
        <f t="shared" si="63"/>
        <v>0.64649324398665997</v>
      </c>
      <c r="O175" s="116">
        <f t="shared" si="63"/>
        <v>0.54694014073448871</v>
      </c>
      <c r="P175" s="116">
        <f t="shared" si="63"/>
        <v>0.44282894584671889</v>
      </c>
      <c r="Q175" s="116">
        <f t="shared" si="63"/>
        <v>0.48311776784000393</v>
      </c>
      <c r="R175" s="116">
        <f t="shared" si="63"/>
        <v>0.26447106954931482</v>
      </c>
      <c r="S175" s="116">
        <f t="shared" si="63"/>
        <v>1.0992492887741623</v>
      </c>
      <c r="T175" s="116">
        <f t="shared" si="63"/>
        <v>1.2711185410182082</v>
      </c>
      <c r="U175" s="116">
        <f t="shared" si="63"/>
        <v>1.3034584420035293</v>
      </c>
      <c r="V175" s="116" t="e">
        <f t="shared" si="63"/>
        <v>#DIV/0!</v>
      </c>
      <c r="W175" s="116" t="e">
        <f t="shared" si="63"/>
        <v>#DIV/0!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</row>
    <row r="176" spans="1:32" x14ac:dyDescent="0.3">
      <c r="A176" s="52" t="s">
        <v>113</v>
      </c>
      <c r="B176" s="264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>
        <f t="shared" ref="H176:AF176" si="64">IF(H175&gt;1.25,1/H175^2,IF(H175&gt;0.8,(1-0.8*(H175-0.8)),1))</f>
        <v>1</v>
      </c>
      <c r="I176" s="116">
        <f t="shared" si="64"/>
        <v>1</v>
      </c>
      <c r="J176" s="116">
        <f t="shared" si="64"/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0.76060056898067019</v>
      </c>
      <c r="T176" s="116">
        <f t="shared" si="64"/>
        <v>0.61891056014985413</v>
      </c>
      <c r="U176" s="116">
        <f t="shared" si="64"/>
        <v>0.58858016399867186</v>
      </c>
      <c r="V176" s="116" t="e">
        <f t="shared" si="64"/>
        <v>#DIV/0!</v>
      </c>
      <c r="W176" s="116" t="e">
        <f t="shared" si="64"/>
        <v>#DIV/0!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</row>
    <row r="177" spans="1:34" x14ac:dyDescent="0.3">
      <c r="A177" s="52" t="s">
        <v>113</v>
      </c>
      <c r="B177" s="264"/>
      <c r="C177" s="103" t="s">
        <v>310</v>
      </c>
      <c r="E177" s="102" t="s">
        <v>414</v>
      </c>
      <c r="F177" s="44"/>
      <c r="G177" s="223">
        <v>1.1499999999999999</v>
      </c>
      <c r="H177" s="223">
        <v>1.1499999999999999</v>
      </c>
      <c r="I177" s="223">
        <v>1.1499999999999999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</row>
    <row r="178" spans="1:34" x14ac:dyDescent="0.3">
      <c r="A178" s="52" t="s">
        <v>113</v>
      </c>
      <c r="B178" s="264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>
        <f t="shared" ref="H178:AF178" si="65">H176/H177*H36/SQRT(3)</f>
        <v>17.069486219519373</v>
      </c>
      <c r="I178" s="91">
        <f t="shared" si="65"/>
        <v>17.069486219519373</v>
      </c>
      <c r="J178" s="91">
        <f t="shared" si="65"/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12.983060930774146</v>
      </c>
      <c r="T178" s="91">
        <f t="shared" si="65"/>
        <v>10.564485277592953</v>
      </c>
      <c r="U178" s="91">
        <f t="shared" si="65"/>
        <v>10.046760998457781</v>
      </c>
      <c r="V178" s="91" t="e">
        <f t="shared" si="65"/>
        <v>#DIV/0!</v>
      </c>
      <c r="W178" s="91" t="e">
        <f t="shared" si="65"/>
        <v>#DIV/0!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</row>
    <row r="179" spans="1:34" x14ac:dyDescent="0.3">
      <c r="A179" s="52" t="s">
        <v>113</v>
      </c>
      <c r="B179" s="264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>
        <f t="shared" ref="H179:AF179" si="66">H147</f>
        <v>19.762465884805195</v>
      </c>
      <c r="I179" s="91">
        <f t="shared" si="66"/>
        <v>19.762465884805195</v>
      </c>
      <c r="J179" s="91">
        <f t="shared" si="66"/>
        <v>24.00906596207334</v>
      </c>
      <c r="K179" s="91">
        <f t="shared" si="66"/>
        <v>22.679796176736438</v>
      </c>
      <c r="L179" s="91">
        <f t="shared" si="66"/>
        <v>22.679796176736438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25.252072173657762</v>
      </c>
      <c r="P179" s="91">
        <f t="shared" si="66"/>
        <v>28.92326827090243</v>
      </c>
      <c r="Q179" s="91">
        <f t="shared" si="66"/>
        <v>27.816950547206194</v>
      </c>
      <c r="R179" s="91">
        <f t="shared" si="66"/>
        <v>27.814232289292477</v>
      </c>
      <c r="S179" s="91">
        <f t="shared" si="66"/>
        <v>12.892642415912904</v>
      </c>
      <c r="T179" s="91">
        <f t="shared" si="66"/>
        <v>12.892642415912904</v>
      </c>
      <c r="U179" s="91">
        <f t="shared" si="66"/>
        <v>12.892642415912904</v>
      </c>
      <c r="V179" s="91" t="e">
        <f t="shared" si="66"/>
        <v>#DIV/0!</v>
      </c>
      <c r="W179" s="91" t="e">
        <f t="shared" si="66"/>
        <v>#DIV/0!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</row>
    <row r="180" spans="1:34" x14ac:dyDescent="0.3">
      <c r="A180" s="52" t="s">
        <v>113</v>
      </c>
      <c r="B180" s="264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>
        <f t="shared" ref="H180:AF180" si="67">H163</f>
        <v>7.98301983182371</v>
      </c>
      <c r="I180" s="91">
        <f t="shared" si="67"/>
        <v>7.8476912452838388</v>
      </c>
      <c r="J180" s="91">
        <f t="shared" si="67"/>
        <v>13.666294626693205</v>
      </c>
      <c r="K180" s="91">
        <f t="shared" si="67"/>
        <v>11.417474680758302</v>
      </c>
      <c r="L180" s="91">
        <f t="shared" si="67"/>
        <v>10.329171049415804</v>
      </c>
      <c r="M180" s="91">
        <f t="shared" si="67"/>
        <v>9.0905178738745391</v>
      </c>
      <c r="N180" s="91">
        <f t="shared" si="67"/>
        <v>10.405847558716546</v>
      </c>
      <c r="O180" s="91">
        <f t="shared" si="67"/>
        <v>14.015513659446524</v>
      </c>
      <c r="P180" s="91">
        <f t="shared" si="67"/>
        <v>17.085680098319056</v>
      </c>
      <c r="Q180" s="91">
        <f t="shared" si="67"/>
        <v>14.17908689964603</v>
      </c>
      <c r="R180" s="91">
        <f t="shared" si="67"/>
        <v>39.182517802021003</v>
      </c>
      <c r="S180" s="91">
        <f t="shared" si="67"/>
        <v>9.959893991756017</v>
      </c>
      <c r="T180" s="91">
        <f t="shared" si="67"/>
        <v>6.2704050262103559</v>
      </c>
      <c r="U180" s="91">
        <f t="shared" si="67"/>
        <v>5.3110667381971117</v>
      </c>
      <c r="V180" s="91" t="e">
        <f t="shared" si="67"/>
        <v>#DIV/0!</v>
      </c>
      <c r="W180" s="91" t="e">
        <f t="shared" si="67"/>
        <v>#DIV/0!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</row>
    <row r="181" spans="1:34" x14ac:dyDescent="0.3">
      <c r="A181" s="52" t="s">
        <v>113</v>
      </c>
      <c r="B181" s="264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>
        <f t="shared" ref="H181:AF181" si="68">H178</f>
        <v>17.069486219519373</v>
      </c>
      <c r="I181" s="91">
        <f t="shared" si="68"/>
        <v>17.069486219519373</v>
      </c>
      <c r="J181" s="91">
        <f t="shared" si="68"/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12.983060930774146</v>
      </c>
      <c r="T181" s="91">
        <f t="shared" si="68"/>
        <v>10.564485277592953</v>
      </c>
      <c r="U181" s="91">
        <f t="shared" si="68"/>
        <v>10.046760998457781</v>
      </c>
      <c r="V181" s="91" t="e">
        <f t="shared" si="68"/>
        <v>#DIV/0!</v>
      </c>
      <c r="W181" s="91" t="e">
        <f t="shared" si="68"/>
        <v>#DIV/0!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109"/>
      <c r="AH181" s="109"/>
    </row>
    <row r="182" spans="1:34" ht="16.5" customHeight="1" x14ac:dyDescent="0.3">
      <c r="A182" s="52" t="s">
        <v>113</v>
      </c>
      <c r="B182" s="264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>
        <f t="shared" ref="H182:AF182" si="69">(H47/H179)^2+(H48/H180)^2-H173*(H47/H179)*(H48/H180)+(H49/H181)^2</f>
        <v>6.1232828630700904E-2</v>
      </c>
      <c r="I182" s="121">
        <f t="shared" si="69"/>
        <v>0.15701299540169539</v>
      </c>
      <c r="J182" s="121">
        <f t="shared" si="69"/>
        <v>0.10378602713409614</v>
      </c>
      <c r="K182" s="121">
        <f t="shared" si="69"/>
        <v>0.26258054971441896</v>
      </c>
      <c r="L182" s="121">
        <f t="shared" si="69"/>
        <v>0.37640919786673133</v>
      </c>
      <c r="M182" s="121">
        <f t="shared" si="69"/>
        <v>0.54154171858590372</v>
      </c>
      <c r="N182" s="121">
        <f t="shared" si="69"/>
        <v>0.14265461471551336</v>
      </c>
      <c r="O182" s="121">
        <f t="shared" si="69"/>
        <v>7.6402634635426472E-2</v>
      </c>
      <c r="P182" s="121">
        <f t="shared" si="69"/>
        <v>3.1048704628628193E-3</v>
      </c>
      <c r="Q182" s="121">
        <f t="shared" si="69"/>
        <v>3.2911097271644417E-6</v>
      </c>
      <c r="R182" s="121">
        <f t="shared" si="69"/>
        <v>6.9886055991362787E-4</v>
      </c>
      <c r="S182" s="121">
        <f t="shared" si="69"/>
        <v>0.48380664694311631</v>
      </c>
      <c r="T182" s="121">
        <f t="shared" si="69"/>
        <v>0.76538815226383017</v>
      </c>
      <c r="U182" s="121">
        <f t="shared" si="69"/>
        <v>0.19694748782507809</v>
      </c>
      <c r="V182" s="121" t="e">
        <f t="shared" si="69"/>
        <v>#DIV/0!</v>
      </c>
      <c r="W182" s="121" t="e">
        <f t="shared" si="69"/>
        <v>#DIV/0!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</row>
    <row r="183" spans="1:34" x14ac:dyDescent="0.3">
      <c r="B183" s="264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</row>
    <row r="184" spans="1:34" ht="21" x14ac:dyDescent="0.4">
      <c r="B184" s="264"/>
      <c r="E184" s="48" t="s">
        <v>433</v>
      </c>
    </row>
    <row r="185" spans="1:34" x14ac:dyDescent="0.3">
      <c r="B185" s="264"/>
      <c r="E185" s="44" t="s">
        <v>247</v>
      </c>
      <c r="F185" s="44"/>
      <c r="G185" s="123">
        <f>G47/G147</f>
        <v>1.8107633458967997E-2</v>
      </c>
      <c r="H185" s="123">
        <f t="shared" ref="H185:AF185" si="70">H47/H147</f>
        <v>1.5269867219961788E-2</v>
      </c>
      <c r="I185" s="123">
        <f t="shared" si="70"/>
        <v>3.0777582541845622E-2</v>
      </c>
      <c r="J185" s="123">
        <f t="shared" si="70"/>
        <v>3.4217303009527654E-2</v>
      </c>
      <c r="K185" s="123">
        <f t="shared" si="70"/>
        <v>1.6184337069858912E-4</v>
      </c>
      <c r="L185" s="123">
        <f t="shared" si="70"/>
        <v>2.0751141603412886E-2</v>
      </c>
      <c r="M185" s="123">
        <f t="shared" si="70"/>
        <v>2.4161777479380038E-2</v>
      </c>
      <c r="N185" s="123">
        <f t="shared" si="70"/>
        <v>0.15895046044098726</v>
      </c>
      <c r="O185" s="123">
        <f t="shared" si="70"/>
        <v>2.1546694376534694E-2</v>
      </c>
      <c r="P185" s="123">
        <f t="shared" si="70"/>
        <v>4.527944336143788E-3</v>
      </c>
      <c r="Q185" s="123">
        <f t="shared" si="70"/>
        <v>1.3201735786127823E-3</v>
      </c>
      <c r="R185" s="123">
        <f t="shared" si="70"/>
        <v>2.0103570168113517E-3</v>
      </c>
      <c r="S185" s="123">
        <f t="shared" si="70"/>
        <v>2.5992504537811715E-2</v>
      </c>
      <c r="T185" s="123">
        <f t="shared" si="70"/>
        <v>1.2834863456366401E-3</v>
      </c>
      <c r="U185" s="123">
        <f t="shared" si="70"/>
        <v>1.1422995748197202E-2</v>
      </c>
      <c r="V185" s="123" t="e">
        <f t="shared" si="70"/>
        <v>#DIV/0!</v>
      </c>
      <c r="W185" s="123" t="e">
        <f t="shared" si="70"/>
        <v>#DIV/0!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45"/>
      <c r="AH185" s="45"/>
    </row>
    <row r="186" spans="1:34" x14ac:dyDescent="0.3">
      <c r="B186" s="264"/>
      <c r="E186" s="44" t="s">
        <v>248</v>
      </c>
      <c r="F186" s="44"/>
      <c r="G186" s="123">
        <f>G48/G163</f>
        <v>4.1231171575683942E-2</v>
      </c>
      <c r="H186" s="123">
        <f t="shared" ref="H186:AF186" si="71">H48/H163</f>
        <v>0.24248714969780724</v>
      </c>
      <c r="I186" s="123">
        <f t="shared" si="71"/>
        <v>0.37981986508341437</v>
      </c>
      <c r="J186" s="123">
        <f t="shared" si="71"/>
        <v>0.32715747809703433</v>
      </c>
      <c r="K186" s="123">
        <f t="shared" si="71"/>
        <v>0.51036557232925595</v>
      </c>
      <c r="L186" s="123">
        <f t="shared" si="71"/>
        <v>0.61773274103742104</v>
      </c>
      <c r="M186" s="123">
        <f t="shared" si="71"/>
        <v>0.74166716941137056</v>
      </c>
      <c r="N186" s="123">
        <f t="shared" si="71"/>
        <v>0.38385141791301186</v>
      </c>
      <c r="O186" s="123">
        <f t="shared" si="71"/>
        <v>0.27255761706780379</v>
      </c>
      <c r="P186" s="123">
        <f t="shared" si="71"/>
        <v>5.6207949082137061E-2</v>
      </c>
      <c r="Q186" s="123">
        <f t="shared" si="71"/>
        <v>1.5405666249598423E-3</v>
      </c>
      <c r="R186" s="123">
        <f t="shared" si="71"/>
        <v>1.0387111774093486E-2</v>
      </c>
      <c r="S186" s="123">
        <f t="shared" si="71"/>
        <v>0.69537306980703251</v>
      </c>
      <c r="T186" s="123">
        <f t="shared" si="71"/>
        <v>0.8741223090197433</v>
      </c>
      <c r="U186" s="123">
        <f t="shared" si="71"/>
        <v>0.44251838582578434</v>
      </c>
      <c r="V186" s="123" t="e">
        <f t="shared" si="71"/>
        <v>#DIV/0!</v>
      </c>
      <c r="W186" s="123" t="e">
        <f t="shared" si="71"/>
        <v>#DIV/0!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26"/>
      <c r="AH186" s="26"/>
    </row>
    <row r="187" spans="1:34" x14ac:dyDescent="0.3">
      <c r="B187" s="265"/>
      <c r="E187" s="44" t="s">
        <v>252</v>
      </c>
      <c r="F187" s="44"/>
      <c r="G187" s="123">
        <f>G49/G170</f>
        <v>4.0112413765390945E-2</v>
      </c>
      <c r="H187" s="123">
        <f t="shared" ref="H187:AF187" si="72">H49/H170</f>
        <v>6.1175592286186721E-2</v>
      </c>
      <c r="I187" s="123">
        <f t="shared" si="72"/>
        <v>0.12912557101335304</v>
      </c>
      <c r="J187" s="123">
        <f t="shared" si="72"/>
        <v>4.1886576567395466E-2</v>
      </c>
      <c r="K187" s="123">
        <f t="shared" si="72"/>
        <v>4.6367585193919536E-2</v>
      </c>
      <c r="L187" s="123">
        <f t="shared" si="72"/>
        <v>3.1180368328331917E-2</v>
      </c>
      <c r="M187" s="123">
        <f t="shared" si="72"/>
        <v>9.8297668624688361E-3</v>
      </c>
      <c r="N187" s="123">
        <f t="shared" si="72"/>
        <v>3.7437179232099542E-2</v>
      </c>
      <c r="O187" s="123">
        <f t="shared" si="72"/>
        <v>7.1249356387145218E-2</v>
      </c>
      <c r="P187" s="123">
        <f t="shared" si="72"/>
        <v>9.7316812213154753E-3</v>
      </c>
      <c r="Q187" s="123">
        <f t="shared" si="72"/>
        <v>6.9452044704446905E-4</v>
      </c>
      <c r="R187" s="123">
        <f t="shared" si="72"/>
        <v>2.4502034749103088E-2</v>
      </c>
      <c r="S187" s="123">
        <f t="shared" si="72"/>
        <v>8.8460664821862801E-3</v>
      </c>
      <c r="T187" s="123">
        <f t="shared" si="72"/>
        <v>3.1852777847508437E-2</v>
      </c>
      <c r="U187" s="123">
        <f t="shared" si="72"/>
        <v>2.8716934875029149E-2</v>
      </c>
      <c r="V187" s="123" t="e">
        <f t="shared" si="72"/>
        <v>#DIV/0!</v>
      </c>
      <c r="W187" s="123" t="e">
        <f t="shared" si="72"/>
        <v>#DIV/0!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26"/>
      <c r="AH187" s="26"/>
    </row>
    <row r="188" spans="1:34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>
        <f t="shared" ref="H188:AF188" si="73">SQRT(H182)</f>
        <v>0.24745267957874473</v>
      </c>
      <c r="I188" s="123">
        <f t="shared" si="73"/>
        <v>0.39624865350142879</v>
      </c>
      <c r="J188" s="123">
        <f t="shared" si="73"/>
        <v>0.3221583882721295</v>
      </c>
      <c r="K188" s="123">
        <f t="shared" si="73"/>
        <v>0.51242614074071102</v>
      </c>
      <c r="L188" s="123">
        <f t="shared" si="73"/>
        <v>0.6135219620084772</v>
      </c>
      <c r="M188" s="123">
        <f t="shared" si="73"/>
        <v>0.73589518179283098</v>
      </c>
      <c r="N188" s="123">
        <f t="shared" si="73"/>
        <v>0.37769645843655109</v>
      </c>
      <c r="O188" s="123">
        <f t="shared" si="73"/>
        <v>0.27641026506884014</v>
      </c>
      <c r="P188" s="123">
        <f t="shared" si="73"/>
        <v>5.5721364510058609E-2</v>
      </c>
      <c r="Q188" s="123">
        <f t="shared" si="73"/>
        <v>1.8141415951254858E-3</v>
      </c>
      <c r="R188" s="123">
        <f t="shared" si="73"/>
        <v>2.6435970947056738E-2</v>
      </c>
      <c r="S188" s="123">
        <f t="shared" si="73"/>
        <v>0.69556210861656076</v>
      </c>
      <c r="T188" s="123">
        <f t="shared" si="73"/>
        <v>0.87486464796780428</v>
      </c>
      <c r="U188" s="123">
        <f t="shared" si="73"/>
        <v>0.44378766073999637</v>
      </c>
      <c r="V188" s="123" t="e">
        <f t="shared" si="73"/>
        <v>#DIV/0!</v>
      </c>
      <c r="W188" s="123" t="e">
        <f t="shared" si="73"/>
        <v>#DIV/0!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</row>
    <row r="189" spans="1:34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</row>
    <row r="190" spans="1:34" x14ac:dyDescent="0.3">
      <c r="E190" s="108"/>
      <c r="F190" s="108"/>
      <c r="G190" s="97"/>
      <c r="H190" s="97"/>
      <c r="I190" s="97"/>
      <c r="J190" s="97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</row>
    <row r="191" spans="1:34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</row>
    <row r="192" spans="1:34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</row>
    <row r="193" spans="5:21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</row>
    <row r="194" spans="5:21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</row>
    <row r="196" spans="5:21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</row>
    <row r="197" spans="5:21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</row>
    <row r="198" spans="5:21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</row>
    <row r="199" spans="5:21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</row>
    <row r="200" spans="5:21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</row>
    <row r="201" spans="5:21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</row>
    <row r="202" spans="5:21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V95:V98">
    <cfRule type="cellIs" dxfId="65" priority="65" operator="lessThan">
      <formula>1</formula>
    </cfRule>
    <cfRule type="cellIs" dxfId="64" priority="66" operator="greaterThan">
      <formula>1</formula>
    </cfRule>
  </conditionalFormatting>
  <conditionalFormatting sqref="W95:W98">
    <cfRule type="cellIs" dxfId="63" priority="63" operator="lessThan">
      <formula>1</formula>
    </cfRule>
    <cfRule type="cellIs" dxfId="62" priority="64" operator="greaterThan">
      <formula>1</formula>
    </cfRule>
  </conditionalFormatting>
  <conditionalFormatting sqref="X95:X98">
    <cfRule type="cellIs" dxfId="61" priority="61" operator="lessThan">
      <formula>1</formula>
    </cfRule>
    <cfRule type="cellIs" dxfId="60" priority="62" operator="greaterThan">
      <formula>1</formula>
    </cfRule>
  </conditionalFormatting>
  <conditionalFormatting sqref="Y95:Y98">
    <cfRule type="cellIs" dxfId="59" priority="59" operator="lessThan">
      <formula>1</formula>
    </cfRule>
    <cfRule type="cellIs" dxfId="58" priority="60" operator="greaterThan">
      <formula>1</formula>
    </cfRule>
  </conditionalFormatting>
  <conditionalFormatting sqref="V125:V127">
    <cfRule type="cellIs" dxfId="57" priority="57" operator="lessThan">
      <formula>1</formula>
    </cfRule>
    <cfRule type="cellIs" dxfId="56" priority="58" operator="greaterThan">
      <formula>1</formula>
    </cfRule>
  </conditionalFormatting>
  <conditionalFormatting sqref="W124:W127">
    <cfRule type="cellIs" dxfId="55" priority="55" operator="lessThan">
      <formula>1</formula>
    </cfRule>
    <cfRule type="cellIs" dxfId="54" priority="56" operator="greaterThan">
      <formula>1</formula>
    </cfRule>
  </conditionalFormatting>
  <conditionalFormatting sqref="X124:X127">
    <cfRule type="cellIs" dxfId="53" priority="53" operator="lessThan">
      <formula>1</formula>
    </cfRule>
    <cfRule type="cellIs" dxfId="52" priority="54" operator="greaterThan">
      <formula>1</formula>
    </cfRule>
  </conditionalFormatting>
  <conditionalFormatting sqref="Y124:Y127">
    <cfRule type="cellIs" dxfId="51" priority="51" operator="lessThan">
      <formula>1</formula>
    </cfRule>
    <cfRule type="cellIs" dxfId="50" priority="52" operator="greaterThan">
      <formula>1</formula>
    </cfRule>
  </conditionalFormatting>
  <conditionalFormatting sqref="V136:V139">
    <cfRule type="cellIs" dxfId="49" priority="49" operator="lessThan">
      <formula>1</formula>
    </cfRule>
    <cfRule type="cellIs" dxfId="48" priority="50" operator="greaterThan">
      <formula>1</formula>
    </cfRule>
  </conditionalFormatting>
  <conditionalFormatting sqref="W136:W139">
    <cfRule type="cellIs" dxfId="47" priority="47" operator="lessThan">
      <formula>1</formula>
    </cfRule>
    <cfRule type="cellIs" dxfId="46" priority="48" operator="greaterThan">
      <formula>1</formula>
    </cfRule>
  </conditionalFormatting>
  <conditionalFormatting sqref="X136:X139">
    <cfRule type="cellIs" dxfId="45" priority="45" operator="lessThan">
      <formula>1</formula>
    </cfRule>
    <cfRule type="cellIs" dxfId="44" priority="46" operator="greaterThan">
      <formula>1</formula>
    </cfRule>
  </conditionalFormatting>
  <conditionalFormatting sqref="Y136:Y139">
    <cfRule type="cellIs" dxfId="43" priority="43" operator="lessThan">
      <formula>1</formula>
    </cfRule>
    <cfRule type="cellIs" dxfId="42" priority="44" operator="greaterThan">
      <formula>1</formula>
    </cfRule>
  </conditionalFormatting>
  <conditionalFormatting sqref="Z95:Z98">
    <cfRule type="cellIs" dxfId="41" priority="41" operator="lessThan">
      <formula>1</formula>
    </cfRule>
    <cfRule type="cellIs" dxfId="40" priority="42" operator="greaterThan">
      <formula>1</formula>
    </cfRule>
  </conditionalFormatting>
  <conditionalFormatting sqref="Z124:Z127">
    <cfRule type="cellIs" dxfId="39" priority="39" operator="lessThan">
      <formula>1</formula>
    </cfRule>
    <cfRule type="cellIs" dxfId="38" priority="40" operator="greaterThan">
      <formula>1</formula>
    </cfRule>
  </conditionalFormatting>
  <conditionalFormatting sqref="Z136:Z139">
    <cfRule type="cellIs" dxfId="37" priority="37" operator="lessThan">
      <formula>1</formula>
    </cfRule>
    <cfRule type="cellIs" dxfId="36" priority="38" operator="greaterThan">
      <formula>1</formula>
    </cfRule>
  </conditionalFormatting>
  <conditionalFormatting sqref="AA95:AA98">
    <cfRule type="cellIs" dxfId="35" priority="35" operator="lessThan">
      <formula>1</formula>
    </cfRule>
    <cfRule type="cellIs" dxfId="34" priority="36" operator="greaterThan">
      <formula>1</formula>
    </cfRule>
  </conditionalFormatting>
  <conditionalFormatting sqref="AA124:AA127">
    <cfRule type="cellIs" dxfId="33" priority="33" operator="lessThan">
      <formula>1</formula>
    </cfRule>
    <cfRule type="cellIs" dxfId="32" priority="34" operator="greaterThan">
      <formula>1</formula>
    </cfRule>
  </conditionalFormatting>
  <conditionalFormatting sqref="AA136:AA139">
    <cfRule type="cellIs" dxfId="31" priority="31" operator="lessThan">
      <formula>1</formula>
    </cfRule>
    <cfRule type="cellIs" dxfId="30" priority="32" operator="greaterThan">
      <formula>1</formula>
    </cfRule>
  </conditionalFormatting>
  <conditionalFormatting sqref="AB95:AB98">
    <cfRule type="cellIs" dxfId="29" priority="29" operator="lessThan">
      <formula>1</formula>
    </cfRule>
    <cfRule type="cellIs" dxfId="28" priority="30" operator="greaterThan">
      <formula>1</formula>
    </cfRule>
  </conditionalFormatting>
  <conditionalFormatting sqref="AB124:AB127">
    <cfRule type="cellIs" dxfId="27" priority="27" operator="lessThan">
      <formula>1</formula>
    </cfRule>
    <cfRule type="cellIs" dxfId="26" priority="28" operator="greaterThan">
      <formula>1</formula>
    </cfRule>
  </conditionalFormatting>
  <conditionalFormatting sqref="AB136:AB139">
    <cfRule type="cellIs" dxfId="25" priority="25" operator="lessThan">
      <formula>1</formula>
    </cfRule>
    <cfRule type="cellIs" dxfId="24" priority="26" operator="greaterThan">
      <formula>1</formula>
    </cfRule>
  </conditionalFormatting>
  <conditionalFormatting sqref="AC95:AC98">
    <cfRule type="cellIs" dxfId="23" priority="23" operator="lessThan">
      <formula>1</formula>
    </cfRule>
    <cfRule type="cellIs" dxfId="22" priority="24" operator="greaterThan">
      <formula>1</formula>
    </cfRule>
  </conditionalFormatting>
  <conditionalFormatting sqref="AC124:AC127">
    <cfRule type="cellIs" dxfId="21" priority="21" operator="lessThan">
      <formula>1</formula>
    </cfRule>
    <cfRule type="cellIs" dxfId="20" priority="22" operator="greaterThan">
      <formula>1</formula>
    </cfRule>
  </conditionalFormatting>
  <conditionalFormatting sqref="AC136:AC139">
    <cfRule type="cellIs" dxfId="19" priority="19" operator="lessThan">
      <formula>1</formula>
    </cfRule>
    <cfRule type="cellIs" dxfId="18" priority="20" operator="greaterThan">
      <formula>1</formula>
    </cfRule>
  </conditionalFormatting>
  <conditionalFormatting sqref="AD95:AD98">
    <cfRule type="cellIs" dxfId="17" priority="17" operator="lessThan">
      <formula>1</formula>
    </cfRule>
    <cfRule type="cellIs" dxfId="16" priority="18" operator="greaterThan">
      <formula>1</formula>
    </cfRule>
  </conditionalFormatting>
  <conditionalFormatting sqref="AD124:AD127">
    <cfRule type="cellIs" dxfId="15" priority="15" operator="lessThan">
      <formula>1</formula>
    </cfRule>
    <cfRule type="cellIs" dxfId="14" priority="16" operator="greaterThan">
      <formula>1</formula>
    </cfRule>
  </conditionalFormatting>
  <conditionalFormatting sqref="AD136:AD139">
    <cfRule type="cellIs" dxfId="13" priority="13" operator="lessThan">
      <formula>1</formula>
    </cfRule>
    <cfRule type="cellIs" dxfId="12" priority="14" operator="greaterThan">
      <formula>1</formula>
    </cfRule>
  </conditionalFormatting>
  <conditionalFormatting sqref="AE95:AE98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AE124:AE127">
    <cfRule type="cellIs" dxfId="9" priority="9" operator="lessThan">
      <formula>1</formula>
    </cfRule>
    <cfRule type="cellIs" dxfId="8" priority="10" operator="greaterThan">
      <formula>1</formula>
    </cfRule>
  </conditionalFormatting>
  <conditionalFormatting sqref="AE136:AE139">
    <cfRule type="cellIs" dxfId="7" priority="7" operator="lessThan">
      <formula>1</formula>
    </cfRule>
    <cfRule type="cellIs" dxfId="6" priority="8" operator="greaterThan">
      <formula>1</formula>
    </cfRule>
  </conditionalFormatting>
  <conditionalFormatting sqref="AF95:AF98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AF124:AF12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F136:AF139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2024-06-13T07:01:45Z</dcterms:modified>
</cp:coreProperties>
</file>