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ml.chartshap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ml.chartshapes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1.xml" ContentType="application/vnd.openxmlformats-officedocument.drawingml.chartshapes+xml"/>
  <Override PartName="/xl/charts/chart25.xml" ContentType="application/vnd.openxmlformats-officedocument.drawingml.chart+xml"/>
  <Override PartName="/xl/drawings/drawing12.xml" ContentType="application/vnd.openxmlformats-officedocument.drawingml.chartshapes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3.xml" ContentType="application/vnd.openxmlformats-officedocument.drawingml.chartshapes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4.xml" ContentType="application/vnd.openxmlformats-officedocument.drawingml.chartshapes+xml"/>
  <Override PartName="/xl/charts/chart41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7.xml" ContentType="application/vnd.openxmlformats-officedocument.drawingml.chartshapes+xml"/>
  <Override PartName="/xl/charts/chart44.xml" ContentType="application/vnd.openxmlformats-officedocument.drawingml.chart+xml"/>
  <Override PartName="/xl/drawings/drawing18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19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0.xml" ContentType="application/vnd.openxmlformats-officedocument.drawingml.chartshapes+xml"/>
  <Override PartName="/xl/charts/chart60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3.xml" ContentType="application/vnd.openxmlformats-officedocument.drawingml.chartshapes+xml"/>
  <Override PartName="/xl/charts/chart63.xml" ContentType="application/vnd.openxmlformats-officedocument.drawingml.chart+xml"/>
  <Override PartName="/xl/drawings/drawing24.xml" ContentType="application/vnd.openxmlformats-officedocument.drawingml.chartshapes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5.xml" ContentType="application/vnd.openxmlformats-officedocument.drawingml.chartshapes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drawings/drawing26.xml" ContentType="application/vnd.openxmlformats-officedocument.drawingml.chartshapes+xml"/>
  <Override PartName="/xl/charts/chart79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1522 McDermott Woodfibre FST Eng Completion\ACMA Work\CTR 08 Model Test Correlation\"/>
    </mc:Choice>
  </mc:AlternateContent>
  <xr:revisionPtr revIDLastSave="0" documentId="13_ncr:1_{D8EF95B8-5A17-409D-9517-315822947F3B}" xr6:coauthVersionLast="47" xr6:coauthVersionMax="47" xr10:uidLastSave="{00000000-0000-0000-0000-000000000000}"/>
  <bookViews>
    <workbookView xWindow="-120" yWindow="-120" windowWidth="19440" windowHeight="15000" tabRatio="500" firstSheet="7" activeTab="7" xr2:uid="{00000000-000D-0000-FFFF-FFFF00000000}"/>
  </bookViews>
  <sheets>
    <sheet name="Intro" sheetId="1" r:id="rId1"/>
    <sheet name="inputs" sheetId="29" r:id="rId2"/>
    <sheet name="F" sheetId="32" r:id="rId3"/>
    <sheet name="M" sheetId="35" r:id="rId4"/>
    <sheet name="Mz" sheetId="37" r:id="rId5"/>
    <sheet name="Mz-data" sheetId="36" r:id="rId6"/>
    <sheet name="orcaflex_comp" sheetId="30" r:id="rId7"/>
    <sheet name="orcaflex-acma" sheetId="28" r:id="rId8"/>
    <sheet name="longitudinal-acma" sheetId="2" r:id="rId9"/>
    <sheet name="longitudinal-marin" sheetId="38" r:id="rId10"/>
    <sheet name="Report_table_graphs" sheetId="3" r:id="rId11"/>
    <sheet name="Reference_FSTs_light" sheetId="4" r:id="rId12"/>
    <sheet name="Reference_FSTs_full" sheetId="5" r:id="rId13"/>
    <sheet name="Reference_LNGC_light" sheetId="6" r:id="rId14"/>
    <sheet name="Reference_LNGC_full" sheetId="7" r:id="rId15"/>
    <sheet name="openDomain_long_FST1" sheetId="8" r:id="rId16"/>
    <sheet name="openDomain_long_FST2" sheetId="9" r:id="rId17"/>
    <sheet name="topoDomain_long_FST1" sheetId="10" r:id="rId18"/>
    <sheet name="topoDomain_long_FST2" sheetId="11" r:id="rId19"/>
    <sheet name="openDomain_trans_FST1" sheetId="12" r:id="rId20"/>
    <sheet name="openDomain_trans_FST2" sheetId="13" r:id="rId21"/>
    <sheet name="openDomain_trans_FST2_noApp" sheetId="14" r:id="rId22"/>
    <sheet name="openDomain_trans_FST2_hull" sheetId="15" r:id="rId23"/>
    <sheet name="openDomain_trans_FST2_topside" sheetId="16" r:id="rId24"/>
    <sheet name="openDomain_trans_full_FST1" sheetId="17" r:id="rId25"/>
    <sheet name="openDomain_trans_full_FST2" sheetId="18" r:id="rId26"/>
    <sheet name="topoDomain_trans_FST1" sheetId="19" r:id="rId27"/>
    <sheet name="topoDomain_trans_FST2" sheetId="20" r:id="rId28"/>
    <sheet name="openDomain_trans_LNGC_FST1" sheetId="21" r:id="rId29"/>
    <sheet name="openDomain_trans_LNGC_FST2" sheetId="22" r:id="rId30"/>
    <sheet name="openDomain_trans_LNGC_LNGC" sheetId="23" r:id="rId31"/>
    <sheet name="openDomain_trans_full_LNGC_FST1" sheetId="24" r:id="rId32"/>
    <sheet name="openDomain_trans_full_LNGC_FST2" sheetId="25" r:id="rId33"/>
    <sheet name="openDomain_trans_full_LNGC_LNGC" sheetId="26" r:id="rId34"/>
  </sheets>
  <definedNames>
    <definedName name="Afx" localSheetId="12">Reference_FSTs_full!$E$6</definedName>
    <definedName name="Afx" localSheetId="11">Reference_FSTs_light!$E$6</definedName>
    <definedName name="Afx" localSheetId="14">Reference_LNGC_full!$E$5</definedName>
    <definedName name="Afx" localSheetId="13">Reference_LNGC_light!$E$5</definedName>
    <definedName name="Afy" localSheetId="12">Reference_FSTs_full!$E$7</definedName>
    <definedName name="Afy" localSheetId="11">Reference_FSTs_light!$E$7</definedName>
    <definedName name="Afy" localSheetId="14">Reference_LNGC_full!$E$6</definedName>
    <definedName name="Afy" localSheetId="13">Reference_LNGC_light!$E$6</definedName>
    <definedName name="Afz" localSheetId="12">Reference_FSTs_full!$E$8</definedName>
    <definedName name="Afz" localSheetId="11">Reference_FSTs_light!$E$8</definedName>
    <definedName name="Afz" localSheetId="14">Reference_LNGC_full!$E$7</definedName>
    <definedName name="Afz" localSheetId="13">Reference_LNGC_light!$E$7</definedName>
    <definedName name="Amx" localSheetId="12">Reference_FSTs_full!$E$9</definedName>
    <definedName name="Amx" localSheetId="11">Reference_FSTs_light!$E$9</definedName>
    <definedName name="Amx" localSheetId="14">Reference_LNGC_full!$E$8</definedName>
    <definedName name="Amx" localSheetId="13">Reference_LNGC_light!$E$8</definedName>
    <definedName name="Amy" localSheetId="12">Reference_FSTs_full!$E$10</definedName>
    <definedName name="Amy" localSheetId="11">Reference_FSTs_light!$E$10</definedName>
    <definedName name="Amy" localSheetId="14">Reference_LNGC_full!$E$9</definedName>
    <definedName name="Amy" localSheetId="13">Reference_LNGC_light!$E$9</definedName>
    <definedName name="Amz" localSheetId="12">Reference_FSTs_full!$E$11</definedName>
    <definedName name="Amz" localSheetId="11">Reference_FSTs_light!$E$11</definedName>
    <definedName name="Amz" localSheetId="14">Reference_LNGC_full!$E$10</definedName>
    <definedName name="Amz" localSheetId="13">Reference_LNGC_light!$E$10</definedName>
    <definedName name="B" localSheetId="12">Reference_FSTs_full!$E$4</definedName>
    <definedName name="B" localSheetId="11">Reference_FSTs_light!$E$4</definedName>
    <definedName name="B" localSheetId="14">Reference_LNGC_full!$E$3</definedName>
    <definedName name="B" localSheetId="13">Reference_LNGC_light!$E$3</definedName>
    <definedName name="dx" localSheetId="16">openDomain_long_FST2!$V$4</definedName>
    <definedName name="dx" localSheetId="19">openDomain_trans_FST1!$V$4</definedName>
    <definedName name="dx" localSheetId="20">openDomain_trans_FST2!$V$4</definedName>
    <definedName name="dx" localSheetId="22">openDomain_trans_FST2_hull!$V$4</definedName>
    <definedName name="dx" localSheetId="21">openDomain_trans_FST2_noApp!$V$4</definedName>
    <definedName name="dx" localSheetId="23">openDomain_trans_FST2_topside!$V$4</definedName>
    <definedName name="dx" localSheetId="24">openDomain_trans_full_FST1!$V$4</definedName>
    <definedName name="dx" localSheetId="25">openDomain_trans_full_FST2!$V$4</definedName>
    <definedName name="dx" localSheetId="31">openDomain_trans_full_LNGC_FST1!$V$4</definedName>
    <definedName name="dx" localSheetId="32">openDomain_trans_full_LNGC_FST2!$V$4</definedName>
    <definedName name="dx" localSheetId="33">openDomain_trans_full_LNGC_LNGC!$V$4</definedName>
    <definedName name="dx" localSheetId="28">openDomain_trans_LNGC_FST1!$V$4</definedName>
    <definedName name="dx" localSheetId="29">openDomain_trans_LNGC_FST2!$V$4</definedName>
    <definedName name="dx" localSheetId="30">openDomain_trans_LNGC_LNGC!$V$4</definedName>
    <definedName name="dx" localSheetId="17">topoDomain_long_FST1!$V$4</definedName>
    <definedName name="dx" localSheetId="18">topoDomain_long_FST2!$V$4</definedName>
    <definedName name="dx" localSheetId="26">topoDomain_trans_FST1!$V$4</definedName>
    <definedName name="dx" localSheetId="27">topoDomain_trans_FST2!$V$4</definedName>
    <definedName name="dx">openDomain_long_FST1!$V$4</definedName>
    <definedName name="dy" localSheetId="16">openDomain_long_FST2!$W$4</definedName>
    <definedName name="dy" localSheetId="19">openDomain_trans_FST1!$W$4</definedName>
    <definedName name="dy" localSheetId="20">openDomain_trans_FST2!$W$4</definedName>
    <definedName name="dy" localSheetId="22">openDomain_trans_FST2_hull!$W$4</definedName>
    <definedName name="dy" localSheetId="21">openDomain_trans_FST2_noApp!$W$4</definedName>
    <definedName name="dy" localSheetId="23">openDomain_trans_FST2_topside!$W$4</definedName>
    <definedName name="dy" localSheetId="24">openDomain_trans_full_FST1!$W$4</definedName>
    <definedName name="dy" localSheetId="25">openDomain_trans_full_FST2!$W$4</definedName>
    <definedName name="dy" localSheetId="31">openDomain_trans_full_LNGC_FST1!$W$4</definedName>
    <definedName name="dy" localSheetId="32">openDomain_trans_full_LNGC_FST2!$W$4</definedName>
    <definedName name="dy" localSheetId="33">openDomain_trans_full_LNGC_LNGC!$W$4</definedName>
    <definedName name="dy" localSheetId="28">openDomain_trans_LNGC_FST1!$W$4</definedName>
    <definedName name="dy" localSheetId="29">openDomain_trans_LNGC_FST2!$W$4</definedName>
    <definedName name="dy" localSheetId="30">openDomain_trans_LNGC_LNGC!$W$4</definedName>
    <definedName name="dy" localSheetId="17">topoDomain_long_FST1!$W$4</definedName>
    <definedName name="dy" localSheetId="18">topoDomain_long_FST2!$W$4</definedName>
    <definedName name="dy" localSheetId="26">topoDomain_trans_FST1!$W$4</definedName>
    <definedName name="dy" localSheetId="27">topoDomain_trans_FST2!$W$4</definedName>
    <definedName name="dy">openDomain_long_FST1!$W$4</definedName>
    <definedName name="dz" localSheetId="16">openDomain_long_FST2!$X$4</definedName>
    <definedName name="dz" localSheetId="19">openDomain_trans_FST1!$X$4</definedName>
    <definedName name="dz" localSheetId="20">openDomain_trans_FST2!$X$4</definedName>
    <definedName name="dz" localSheetId="22">openDomain_trans_FST2_hull!$X$4</definedName>
    <definedName name="dz" localSheetId="21">openDomain_trans_FST2_noApp!$X$4</definedName>
    <definedName name="dz" localSheetId="23">openDomain_trans_FST2_topside!$X$4</definedName>
    <definedName name="dz" localSheetId="24">openDomain_trans_full_FST1!$X$4</definedName>
    <definedName name="dz" localSheetId="25">openDomain_trans_full_FST2!$X$4</definedName>
    <definedName name="dz" localSheetId="31">openDomain_trans_full_LNGC_FST1!$X$4</definedName>
    <definedName name="dz" localSheetId="32">openDomain_trans_full_LNGC_FST2!$X$4</definedName>
    <definedName name="dz" localSheetId="33">openDomain_trans_full_LNGC_LNGC!$X$4</definedName>
    <definedName name="dz" localSheetId="28">openDomain_trans_LNGC_FST1!$X$4</definedName>
    <definedName name="dz" localSheetId="29">openDomain_trans_LNGC_FST2!$X$4</definedName>
    <definedName name="dz" localSheetId="30">openDomain_trans_LNGC_LNGC!$X$4</definedName>
    <definedName name="dz" localSheetId="17">topoDomain_long_FST1!$X$4</definedName>
    <definedName name="dz" localSheetId="18">topoDomain_long_FST2!$X$4</definedName>
    <definedName name="dz" localSheetId="26">topoDomain_trans_FST1!$X$4</definedName>
    <definedName name="dz" localSheetId="27">topoDomain_trans_FST2!$X$4</definedName>
    <definedName name="dz">openDomain_long_FST1!$X$4</definedName>
    <definedName name="h" localSheetId="12">Reference_FSTs_full!$E$5</definedName>
    <definedName name="h" localSheetId="14">Reference_LNGC_full!$E$4</definedName>
    <definedName name="h" localSheetId="13">Reference_LNGC_light!$E$4</definedName>
    <definedName name="h">Reference_FSTs_light!$E$5</definedName>
    <definedName name="L" localSheetId="12">Reference_FSTs_full!$E$3</definedName>
    <definedName name="L" localSheetId="11">Reference_FSTs_light!$E$3</definedName>
    <definedName name="L" localSheetId="14">Reference_LNGC_full!$E$2</definedName>
    <definedName name="L" localSheetId="13">Reference_LNGC_light!$E$2</definedName>
    <definedName name="rho" localSheetId="15">openDomain_long_FST1!$D$7</definedName>
    <definedName name="rho" localSheetId="16">openDomain_long_FST2!$D$7</definedName>
    <definedName name="rho" localSheetId="19">openDomain_trans_FST1!$D$7</definedName>
    <definedName name="rho" localSheetId="20">openDomain_trans_FST2!$D$7</definedName>
    <definedName name="rho" localSheetId="22">openDomain_trans_FST2_hull!$D$7</definedName>
    <definedName name="rho" localSheetId="21">openDomain_trans_FST2_noApp!$D$7</definedName>
    <definedName name="rho" localSheetId="23">openDomain_trans_FST2_topside!$D$7</definedName>
    <definedName name="rho" localSheetId="24">openDomain_trans_full_FST1!$D$7</definedName>
    <definedName name="rho" localSheetId="25">openDomain_trans_full_FST2!$D$7</definedName>
    <definedName name="rho" localSheetId="31">openDomain_trans_full_LNGC_FST1!$D$7</definedName>
    <definedName name="rho" localSheetId="32">openDomain_trans_full_LNGC_FST2!$D$7</definedName>
    <definedName name="rho" localSheetId="33">openDomain_trans_full_LNGC_LNGC!$D$7</definedName>
    <definedName name="rho" localSheetId="28">openDomain_trans_LNGC_FST1!$D$7</definedName>
    <definedName name="rho" localSheetId="29">openDomain_trans_LNGC_FST2!$D$7</definedName>
    <definedName name="rho" localSheetId="30">openDomain_trans_LNGC_LNGC!$D$7</definedName>
    <definedName name="rho" localSheetId="12">Reference_FSTs_full!$E$2</definedName>
    <definedName name="rho" localSheetId="11">Reference_FSTs_light!$E$2</definedName>
    <definedName name="rho" localSheetId="14">Reference_LNGC_full!#REF!</definedName>
    <definedName name="rho" localSheetId="13">Reference_LNGC_light!#REF!</definedName>
    <definedName name="rho" localSheetId="17">topoDomain_long_FST1!$D$7</definedName>
    <definedName name="rho" localSheetId="18">topoDomain_long_FST2!$D$7</definedName>
    <definedName name="rho" localSheetId="26">topoDomain_trans_FST1!$D$7</definedName>
    <definedName name="rho" localSheetId="27">topoDomain_trans_FST2!$D$7</definedName>
    <definedName name="T" localSheetId="12">Reference_FSTs_full!#REF!</definedName>
    <definedName name="T" localSheetId="11">Reference_FSTs_light!#REF!</definedName>
    <definedName name="T" localSheetId="14">Reference_LNGC_full!#REF!</definedName>
    <definedName name="T" localSheetId="13">Reference_LNGC_light!#REF!</definedName>
    <definedName name="U" localSheetId="15">openDomain_long_FST1!$E$7</definedName>
    <definedName name="U" localSheetId="16">openDomain_long_FST2!$E$7</definedName>
    <definedName name="U" localSheetId="19">openDomain_trans_FST1!$E$7</definedName>
    <definedName name="U" localSheetId="20">openDomain_trans_FST2!$E$7</definedName>
    <definedName name="U" localSheetId="22">openDomain_trans_FST2_hull!$E$7</definedName>
    <definedName name="U" localSheetId="21">openDomain_trans_FST2_noApp!$E$7</definedName>
    <definedName name="U" localSheetId="23">openDomain_trans_FST2_topside!$E$7</definedName>
    <definedName name="U" localSheetId="24">openDomain_trans_full_FST1!$E$7</definedName>
    <definedName name="U" localSheetId="25">openDomain_trans_full_FST2!$E$7</definedName>
    <definedName name="U" localSheetId="31">openDomain_trans_full_LNGC_FST1!$E$7</definedName>
    <definedName name="U" localSheetId="32">openDomain_trans_full_LNGC_FST2!$E$7</definedName>
    <definedName name="U" localSheetId="33">openDomain_trans_full_LNGC_LNGC!$E$7</definedName>
    <definedName name="U" localSheetId="28">openDomain_trans_LNGC_FST1!$E$7</definedName>
    <definedName name="U" localSheetId="29">openDomain_trans_LNGC_FST2!$E$7</definedName>
    <definedName name="U" localSheetId="30">openDomain_trans_LNGC_LNGC!$E$7</definedName>
    <definedName name="U" localSheetId="12">Reference_FSTs_full!$E$12</definedName>
    <definedName name="U" localSheetId="11">Reference_FSTs_light!$E$12</definedName>
    <definedName name="U" localSheetId="14">Reference_LNGC_full!#REF!</definedName>
    <definedName name="U" localSheetId="13">Reference_LNGC_light!#REF!</definedName>
    <definedName name="U" localSheetId="17">topoDomain_long_FST1!$E$7</definedName>
    <definedName name="U" localSheetId="18">topoDomain_long_FST2!$E$7</definedName>
    <definedName name="U" localSheetId="26">topoDomain_trans_FST1!$E$7</definedName>
    <definedName name="U" localSheetId="27">topoDomain_trans_FST2!$E$7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130" i="28" l="1"/>
  <c r="Y153" i="28"/>
  <c r="Z153" i="28" s="1"/>
  <c r="Y152" i="28"/>
  <c r="Z152" i="28" s="1"/>
  <c r="Y151" i="28"/>
  <c r="Z151" i="28" s="1"/>
  <c r="Y150" i="28"/>
  <c r="Z150" i="28" s="1"/>
  <c r="Y149" i="28"/>
  <c r="Z149" i="28" s="1"/>
  <c r="Y148" i="28"/>
  <c r="Z148" i="28" s="1"/>
  <c r="Y147" i="28"/>
  <c r="Z147" i="28" s="1"/>
  <c r="Y146" i="28"/>
  <c r="Z146" i="28" s="1"/>
  <c r="Y145" i="28"/>
  <c r="Z145" i="28" s="1"/>
  <c r="Y144" i="28"/>
  <c r="Z144" i="28" s="1"/>
  <c r="Y143" i="28"/>
  <c r="Z143" i="28" s="1"/>
  <c r="Y142" i="28"/>
  <c r="Z142" i="28" s="1"/>
  <c r="Y141" i="28"/>
  <c r="Z141" i="28" s="1"/>
  <c r="Y140" i="28"/>
  <c r="Z140" i="28" s="1"/>
  <c r="Y139" i="28"/>
  <c r="Z139" i="28" s="1"/>
  <c r="Y138" i="28"/>
  <c r="Z138" i="28" s="1"/>
  <c r="Y137" i="28"/>
  <c r="Z137" i="28" s="1"/>
  <c r="Y136" i="28"/>
  <c r="Z136" i="28" s="1"/>
  <c r="Y135" i="28"/>
  <c r="Z135" i="28" s="1"/>
  <c r="Y134" i="28"/>
  <c r="Z134" i="28" s="1"/>
  <c r="Y133" i="28"/>
  <c r="Z133" i="28" s="1"/>
  <c r="Y132" i="28"/>
  <c r="Z132" i="28" s="1"/>
  <c r="Y131" i="28"/>
  <c r="Z131" i="28" s="1"/>
  <c r="Y130" i="28"/>
  <c r="Z130" i="28" s="1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G215" i="28" l="1"/>
  <c r="C215" i="28"/>
  <c r="B215" i="28"/>
  <c r="A215" i="28"/>
  <c r="H215" i="28" s="1"/>
  <c r="G214" i="28"/>
  <c r="C214" i="28"/>
  <c r="B214" i="28"/>
  <c r="A214" i="28"/>
  <c r="H214" i="28" s="1"/>
  <c r="G213" i="28"/>
  <c r="C213" i="28"/>
  <c r="B213" i="28"/>
  <c r="A213" i="28"/>
  <c r="H213" i="28" s="1"/>
  <c r="G212" i="28"/>
  <c r="C212" i="28"/>
  <c r="B212" i="28"/>
  <c r="A212" i="28"/>
  <c r="H212" i="28" s="1"/>
  <c r="G211" i="28"/>
  <c r="C211" i="28"/>
  <c r="B211" i="28"/>
  <c r="A211" i="28"/>
  <c r="H211" i="28" s="1"/>
  <c r="G210" i="28"/>
  <c r="C210" i="28"/>
  <c r="B210" i="28"/>
  <c r="A210" i="28"/>
  <c r="H210" i="28" s="1"/>
  <c r="G209" i="28"/>
  <c r="C209" i="28"/>
  <c r="B209" i="28"/>
  <c r="A209" i="28"/>
  <c r="H209" i="28" s="1"/>
  <c r="G208" i="28"/>
  <c r="C208" i="28"/>
  <c r="B208" i="28"/>
  <c r="A208" i="28"/>
  <c r="H208" i="28" s="1"/>
  <c r="G207" i="28"/>
  <c r="C207" i="28"/>
  <c r="B207" i="28"/>
  <c r="A207" i="28"/>
  <c r="H207" i="28" s="1"/>
  <c r="G206" i="28"/>
  <c r="C206" i="28"/>
  <c r="B206" i="28"/>
  <c r="A206" i="28"/>
  <c r="H206" i="28" s="1"/>
  <c r="G205" i="28"/>
  <c r="C205" i="28"/>
  <c r="B205" i="28"/>
  <c r="A205" i="28"/>
  <c r="H205" i="28" s="1"/>
  <c r="G204" i="28"/>
  <c r="C204" i="28"/>
  <c r="B204" i="28"/>
  <c r="A204" i="28"/>
  <c r="H204" i="28" s="1"/>
  <c r="G203" i="28"/>
  <c r="C203" i="28"/>
  <c r="B203" i="28"/>
  <c r="A203" i="28"/>
  <c r="H203" i="28" s="1"/>
  <c r="G202" i="28"/>
  <c r="C202" i="28"/>
  <c r="B202" i="28"/>
  <c r="A202" i="28"/>
  <c r="H202" i="28" s="1"/>
  <c r="G201" i="28"/>
  <c r="C201" i="28"/>
  <c r="B201" i="28"/>
  <c r="A201" i="28"/>
  <c r="H201" i="28" s="1"/>
  <c r="G200" i="28"/>
  <c r="C200" i="28"/>
  <c r="B200" i="28"/>
  <c r="A200" i="28"/>
  <c r="H200" i="28" s="1"/>
  <c r="G199" i="28"/>
  <c r="C199" i="28"/>
  <c r="B199" i="28"/>
  <c r="A199" i="28"/>
  <c r="H199" i="28" s="1"/>
  <c r="G198" i="28"/>
  <c r="C198" i="28"/>
  <c r="B198" i="28"/>
  <c r="A198" i="28"/>
  <c r="H198" i="28" s="1"/>
  <c r="G197" i="28"/>
  <c r="C197" i="28"/>
  <c r="B197" i="28"/>
  <c r="A197" i="28"/>
  <c r="H197" i="28" s="1"/>
  <c r="G196" i="28"/>
  <c r="C196" i="28"/>
  <c r="B196" i="28"/>
  <c r="A196" i="28"/>
  <c r="H196" i="28" s="1"/>
  <c r="G195" i="28"/>
  <c r="C195" i="28"/>
  <c r="B195" i="28"/>
  <c r="A195" i="28"/>
  <c r="H195" i="28" s="1"/>
  <c r="G194" i="28"/>
  <c r="C194" i="28"/>
  <c r="B194" i="28"/>
  <c r="A194" i="28"/>
  <c r="H194" i="28" s="1"/>
  <c r="G193" i="28"/>
  <c r="C193" i="28"/>
  <c r="B193" i="28"/>
  <c r="A193" i="28"/>
  <c r="H193" i="28" s="1"/>
  <c r="G192" i="28"/>
  <c r="C192" i="28"/>
  <c r="B192" i="28"/>
  <c r="A192" i="28"/>
  <c r="H192" i="28" s="1"/>
  <c r="G184" i="28"/>
  <c r="C184" i="28"/>
  <c r="B184" i="28"/>
  <c r="A184" i="28"/>
  <c r="H184" i="28" s="1"/>
  <c r="G183" i="28"/>
  <c r="C183" i="28"/>
  <c r="B183" i="28"/>
  <c r="A183" i="28"/>
  <c r="H183" i="28" s="1"/>
  <c r="G182" i="28"/>
  <c r="C182" i="28"/>
  <c r="B182" i="28"/>
  <c r="A182" i="28"/>
  <c r="H182" i="28" s="1"/>
  <c r="G181" i="28"/>
  <c r="C181" i="28"/>
  <c r="B181" i="28"/>
  <c r="A181" i="28"/>
  <c r="H181" i="28" s="1"/>
  <c r="G180" i="28"/>
  <c r="C180" i="28"/>
  <c r="B180" i="28"/>
  <c r="A180" i="28"/>
  <c r="G179" i="28"/>
  <c r="C179" i="28"/>
  <c r="B179" i="28"/>
  <c r="A179" i="28"/>
  <c r="G178" i="28"/>
  <c r="C178" i="28"/>
  <c r="B178" i="28"/>
  <c r="A178" i="28"/>
  <c r="G177" i="28"/>
  <c r="C177" i="28"/>
  <c r="B177" i="28"/>
  <c r="A177" i="28"/>
  <c r="G176" i="28"/>
  <c r="C176" i="28"/>
  <c r="B176" i="28"/>
  <c r="A176" i="28"/>
  <c r="G175" i="28"/>
  <c r="C175" i="28"/>
  <c r="B175" i="28"/>
  <c r="A175" i="28"/>
  <c r="G174" i="28"/>
  <c r="C174" i="28"/>
  <c r="B174" i="28"/>
  <c r="A174" i="28"/>
  <c r="G173" i="28"/>
  <c r="C173" i="28"/>
  <c r="B173" i="28"/>
  <c r="A173" i="28"/>
  <c r="G172" i="28"/>
  <c r="C172" i="28"/>
  <c r="B172" i="28"/>
  <c r="A172" i="28"/>
  <c r="G171" i="28"/>
  <c r="C171" i="28"/>
  <c r="B171" i="28"/>
  <c r="A171" i="28"/>
  <c r="G170" i="28"/>
  <c r="C170" i="28"/>
  <c r="B170" i="28"/>
  <c r="A170" i="28"/>
  <c r="G169" i="28"/>
  <c r="C169" i="28"/>
  <c r="B169" i="28"/>
  <c r="A169" i="28"/>
  <c r="G168" i="28"/>
  <c r="C168" i="28"/>
  <c r="B168" i="28"/>
  <c r="A168" i="28"/>
  <c r="G167" i="28"/>
  <c r="C167" i="28"/>
  <c r="B167" i="28"/>
  <c r="A167" i="28"/>
  <c r="G166" i="28"/>
  <c r="C166" i="28"/>
  <c r="B166" i="28"/>
  <c r="A166" i="28"/>
  <c r="G165" i="28"/>
  <c r="C165" i="28"/>
  <c r="B165" i="28"/>
  <c r="A165" i="28"/>
  <c r="G164" i="28"/>
  <c r="C164" i="28"/>
  <c r="B164" i="28"/>
  <c r="A164" i="28"/>
  <c r="G163" i="28"/>
  <c r="C163" i="28"/>
  <c r="B163" i="28"/>
  <c r="A163" i="28"/>
  <c r="G162" i="28"/>
  <c r="C162" i="28"/>
  <c r="B162" i="28"/>
  <c r="A162" i="28"/>
  <c r="G161" i="28"/>
  <c r="C161" i="28"/>
  <c r="B161" i="28"/>
  <c r="A161" i="28"/>
  <c r="G153" i="28"/>
  <c r="C153" i="28"/>
  <c r="B153" i="28"/>
  <c r="A153" i="28"/>
  <c r="G152" i="28"/>
  <c r="C152" i="28"/>
  <c r="B152" i="28"/>
  <c r="A152" i="28"/>
  <c r="G151" i="28"/>
  <c r="C151" i="28"/>
  <c r="B151" i="28"/>
  <c r="A151" i="28"/>
  <c r="G150" i="28"/>
  <c r="C150" i="28"/>
  <c r="B150" i="28"/>
  <c r="A150" i="28"/>
  <c r="G149" i="28"/>
  <c r="C149" i="28"/>
  <c r="B149" i="28"/>
  <c r="A149" i="28"/>
  <c r="G148" i="28"/>
  <c r="C148" i="28"/>
  <c r="B148" i="28"/>
  <c r="A148" i="28"/>
  <c r="G147" i="28"/>
  <c r="C147" i="28"/>
  <c r="B147" i="28"/>
  <c r="A147" i="28"/>
  <c r="G146" i="28"/>
  <c r="C146" i="28"/>
  <c r="B146" i="28"/>
  <c r="A146" i="28"/>
  <c r="G145" i="28"/>
  <c r="C145" i="28"/>
  <c r="B145" i="28"/>
  <c r="A145" i="28"/>
  <c r="G144" i="28"/>
  <c r="C144" i="28"/>
  <c r="B144" i="28"/>
  <c r="A144" i="28"/>
  <c r="G143" i="28"/>
  <c r="C143" i="28"/>
  <c r="B143" i="28"/>
  <c r="A143" i="28"/>
  <c r="G142" i="28"/>
  <c r="C142" i="28"/>
  <c r="B142" i="28"/>
  <c r="A142" i="28"/>
  <c r="G141" i="28"/>
  <c r="C141" i="28"/>
  <c r="B141" i="28"/>
  <c r="A141" i="28"/>
  <c r="G140" i="28"/>
  <c r="C140" i="28"/>
  <c r="B140" i="28"/>
  <c r="A140" i="28"/>
  <c r="G139" i="28"/>
  <c r="C139" i="28"/>
  <c r="B139" i="28"/>
  <c r="A139" i="28"/>
  <c r="G138" i="28"/>
  <c r="C138" i="28"/>
  <c r="B138" i="28"/>
  <c r="A138" i="28"/>
  <c r="G137" i="28"/>
  <c r="C137" i="28"/>
  <c r="B137" i="28"/>
  <c r="A137" i="28"/>
  <c r="G136" i="28"/>
  <c r="C136" i="28"/>
  <c r="B136" i="28"/>
  <c r="A136" i="28"/>
  <c r="G135" i="28"/>
  <c r="C135" i="28"/>
  <c r="B135" i="28"/>
  <c r="A135" i="28"/>
  <c r="G134" i="28"/>
  <c r="C134" i="28"/>
  <c r="B134" i="28"/>
  <c r="A134" i="28"/>
  <c r="H134" i="28" s="1"/>
  <c r="G133" i="28"/>
  <c r="C133" i="28"/>
  <c r="B133" i="28"/>
  <c r="A133" i="28"/>
  <c r="G132" i="28"/>
  <c r="C132" i="28"/>
  <c r="B132" i="28"/>
  <c r="A132" i="28"/>
  <c r="G131" i="28"/>
  <c r="C131" i="28"/>
  <c r="B131" i="28"/>
  <c r="A131" i="28"/>
  <c r="G130" i="28"/>
  <c r="C130" i="28"/>
  <c r="B130" i="28"/>
  <c r="A130" i="28"/>
  <c r="G122" i="28"/>
  <c r="C122" i="28"/>
  <c r="B122" i="28"/>
  <c r="A122" i="28"/>
  <c r="G121" i="28"/>
  <c r="C121" i="28"/>
  <c r="B121" i="28"/>
  <c r="A121" i="28"/>
  <c r="G120" i="28"/>
  <c r="C120" i="28"/>
  <c r="B120" i="28"/>
  <c r="A120" i="28"/>
  <c r="G119" i="28"/>
  <c r="C119" i="28"/>
  <c r="B119" i="28"/>
  <c r="A119" i="28"/>
  <c r="G118" i="28"/>
  <c r="C118" i="28"/>
  <c r="B118" i="28"/>
  <c r="A118" i="28"/>
  <c r="G117" i="28"/>
  <c r="C117" i="28"/>
  <c r="B117" i="28"/>
  <c r="A117" i="28"/>
  <c r="G116" i="28"/>
  <c r="C116" i="28"/>
  <c r="B116" i="28"/>
  <c r="A116" i="28"/>
  <c r="G115" i="28"/>
  <c r="C115" i="28"/>
  <c r="B115" i="28"/>
  <c r="A115" i="28"/>
  <c r="G114" i="28"/>
  <c r="C114" i="28"/>
  <c r="B114" i="28"/>
  <c r="A114" i="28"/>
  <c r="G113" i="28"/>
  <c r="C113" i="28"/>
  <c r="B113" i="28"/>
  <c r="A113" i="28"/>
  <c r="G112" i="28"/>
  <c r="C112" i="28"/>
  <c r="B112" i="28"/>
  <c r="A112" i="28"/>
  <c r="G110" i="28"/>
  <c r="C110" i="28"/>
  <c r="B110" i="28"/>
  <c r="A110" i="28"/>
  <c r="G109" i="28"/>
  <c r="C109" i="28"/>
  <c r="B109" i="28"/>
  <c r="A109" i="28"/>
  <c r="G108" i="28"/>
  <c r="C108" i="28"/>
  <c r="B108" i="28"/>
  <c r="A108" i="28"/>
  <c r="G107" i="28"/>
  <c r="C107" i="28"/>
  <c r="B107" i="28"/>
  <c r="A107" i="28"/>
  <c r="G106" i="28"/>
  <c r="C106" i="28"/>
  <c r="B106" i="28"/>
  <c r="A106" i="28"/>
  <c r="G105" i="28"/>
  <c r="C105" i="28"/>
  <c r="B105" i="28"/>
  <c r="A105" i="28"/>
  <c r="G104" i="28"/>
  <c r="C104" i="28"/>
  <c r="B104" i="28"/>
  <c r="A104" i="28"/>
  <c r="G103" i="28"/>
  <c r="C103" i="28"/>
  <c r="B103" i="28"/>
  <c r="A103" i="28"/>
  <c r="G102" i="28"/>
  <c r="C102" i="28"/>
  <c r="B102" i="28"/>
  <c r="A102" i="28"/>
  <c r="G101" i="28"/>
  <c r="C101" i="28"/>
  <c r="B101" i="28"/>
  <c r="A101" i="28"/>
  <c r="G100" i="28"/>
  <c r="C100" i="28"/>
  <c r="B100" i="28"/>
  <c r="A100" i="28"/>
  <c r="G99" i="28"/>
  <c r="C99" i="28"/>
  <c r="B99" i="28"/>
  <c r="A99" i="28"/>
  <c r="G111" i="28"/>
  <c r="C111" i="28"/>
  <c r="B111" i="28"/>
  <c r="A111" i="28"/>
  <c r="O215" i="28"/>
  <c r="K215" i="28"/>
  <c r="J215" i="28"/>
  <c r="I215" i="28"/>
  <c r="O214" i="28"/>
  <c r="K214" i="28"/>
  <c r="J214" i="28"/>
  <c r="I214" i="28"/>
  <c r="O213" i="28"/>
  <c r="K213" i="28"/>
  <c r="J213" i="28"/>
  <c r="I213" i="28"/>
  <c r="O212" i="28"/>
  <c r="K212" i="28"/>
  <c r="J212" i="28"/>
  <c r="I212" i="28"/>
  <c r="O211" i="28"/>
  <c r="K211" i="28"/>
  <c r="J211" i="28"/>
  <c r="I211" i="28"/>
  <c r="O210" i="28"/>
  <c r="K210" i="28"/>
  <c r="J210" i="28"/>
  <c r="I210" i="28"/>
  <c r="O209" i="28"/>
  <c r="K209" i="28"/>
  <c r="J209" i="28"/>
  <c r="I209" i="28"/>
  <c r="O208" i="28"/>
  <c r="K208" i="28"/>
  <c r="J208" i="28"/>
  <c r="I208" i="28"/>
  <c r="O207" i="28"/>
  <c r="K207" i="28"/>
  <c r="J207" i="28"/>
  <c r="I207" i="28"/>
  <c r="O206" i="28"/>
  <c r="K206" i="28"/>
  <c r="J206" i="28"/>
  <c r="I206" i="28"/>
  <c r="O205" i="28"/>
  <c r="K205" i="28"/>
  <c r="J205" i="28"/>
  <c r="I205" i="28"/>
  <c r="O204" i="28"/>
  <c r="K204" i="28"/>
  <c r="J204" i="28"/>
  <c r="I204" i="28"/>
  <c r="O203" i="28"/>
  <c r="K203" i="28"/>
  <c r="J203" i="28"/>
  <c r="I203" i="28"/>
  <c r="O202" i="28"/>
  <c r="K202" i="28"/>
  <c r="J202" i="28"/>
  <c r="I202" i="28"/>
  <c r="O201" i="28"/>
  <c r="K201" i="28"/>
  <c r="J201" i="28"/>
  <c r="I201" i="28"/>
  <c r="O200" i="28"/>
  <c r="K200" i="28"/>
  <c r="J200" i="28"/>
  <c r="I200" i="28"/>
  <c r="O199" i="28"/>
  <c r="K199" i="28"/>
  <c r="J199" i="28"/>
  <c r="I199" i="28"/>
  <c r="O198" i="28"/>
  <c r="K198" i="28"/>
  <c r="J198" i="28"/>
  <c r="I198" i="28"/>
  <c r="O197" i="28"/>
  <c r="K197" i="28"/>
  <c r="J197" i="28"/>
  <c r="I197" i="28"/>
  <c r="O196" i="28"/>
  <c r="K196" i="28"/>
  <c r="J196" i="28"/>
  <c r="I196" i="28"/>
  <c r="O195" i="28"/>
  <c r="K195" i="28"/>
  <c r="J195" i="28"/>
  <c r="I195" i="28"/>
  <c r="O194" i="28"/>
  <c r="K194" i="28"/>
  <c r="J194" i="28"/>
  <c r="I194" i="28"/>
  <c r="O193" i="28"/>
  <c r="K193" i="28"/>
  <c r="J193" i="28"/>
  <c r="I193" i="28"/>
  <c r="O192" i="28"/>
  <c r="K192" i="28"/>
  <c r="J192" i="28"/>
  <c r="I192" i="28"/>
  <c r="O184" i="28"/>
  <c r="K184" i="28"/>
  <c r="J184" i="28"/>
  <c r="I184" i="28"/>
  <c r="O183" i="28"/>
  <c r="K183" i="28"/>
  <c r="J183" i="28"/>
  <c r="I183" i="28"/>
  <c r="O182" i="28"/>
  <c r="K182" i="28"/>
  <c r="J182" i="28"/>
  <c r="I182" i="28"/>
  <c r="O181" i="28"/>
  <c r="K181" i="28"/>
  <c r="J181" i="28"/>
  <c r="I181" i="28"/>
  <c r="O180" i="28"/>
  <c r="K180" i="28"/>
  <c r="J180" i="28"/>
  <c r="I180" i="28"/>
  <c r="O179" i="28"/>
  <c r="K179" i="28"/>
  <c r="J179" i="28"/>
  <c r="I179" i="28"/>
  <c r="O178" i="28"/>
  <c r="K178" i="28"/>
  <c r="J178" i="28"/>
  <c r="I178" i="28"/>
  <c r="O177" i="28"/>
  <c r="K177" i="28"/>
  <c r="J177" i="28"/>
  <c r="I177" i="28"/>
  <c r="O176" i="28"/>
  <c r="K176" i="28"/>
  <c r="J176" i="28"/>
  <c r="I176" i="28"/>
  <c r="O175" i="28"/>
  <c r="K175" i="28"/>
  <c r="J175" i="28"/>
  <c r="I175" i="28"/>
  <c r="O174" i="28"/>
  <c r="K174" i="28"/>
  <c r="J174" i="28"/>
  <c r="I174" i="28"/>
  <c r="O173" i="28"/>
  <c r="K173" i="28"/>
  <c r="J173" i="28"/>
  <c r="I173" i="28"/>
  <c r="O172" i="28"/>
  <c r="K172" i="28"/>
  <c r="J172" i="28"/>
  <c r="I172" i="28"/>
  <c r="O171" i="28"/>
  <c r="K171" i="28"/>
  <c r="J171" i="28"/>
  <c r="I171" i="28"/>
  <c r="O170" i="28"/>
  <c r="K170" i="28"/>
  <c r="J170" i="28"/>
  <c r="I170" i="28"/>
  <c r="O169" i="28"/>
  <c r="K169" i="28"/>
  <c r="J169" i="28"/>
  <c r="I169" i="28"/>
  <c r="O168" i="28"/>
  <c r="K168" i="28"/>
  <c r="J168" i="28"/>
  <c r="I168" i="28"/>
  <c r="O167" i="28"/>
  <c r="K167" i="28"/>
  <c r="J167" i="28"/>
  <c r="I167" i="28"/>
  <c r="O166" i="28"/>
  <c r="K166" i="28"/>
  <c r="J166" i="28"/>
  <c r="I166" i="28"/>
  <c r="O165" i="28"/>
  <c r="K165" i="28"/>
  <c r="J165" i="28"/>
  <c r="I165" i="28"/>
  <c r="O164" i="28"/>
  <c r="K164" i="28"/>
  <c r="J164" i="28"/>
  <c r="I164" i="28"/>
  <c r="O163" i="28"/>
  <c r="K163" i="28"/>
  <c r="J163" i="28"/>
  <c r="I163" i="28"/>
  <c r="O162" i="28"/>
  <c r="K162" i="28"/>
  <c r="J162" i="28"/>
  <c r="I162" i="28"/>
  <c r="O161" i="28"/>
  <c r="K161" i="28"/>
  <c r="J161" i="28"/>
  <c r="I161" i="28"/>
  <c r="O153" i="28"/>
  <c r="K153" i="28"/>
  <c r="J153" i="28"/>
  <c r="I153" i="28"/>
  <c r="O152" i="28"/>
  <c r="K152" i="28"/>
  <c r="J152" i="28"/>
  <c r="I152" i="28"/>
  <c r="O151" i="28"/>
  <c r="K151" i="28"/>
  <c r="J151" i="28"/>
  <c r="I151" i="28"/>
  <c r="O150" i="28"/>
  <c r="K150" i="28"/>
  <c r="J150" i="28"/>
  <c r="I150" i="28"/>
  <c r="O149" i="28"/>
  <c r="K149" i="28"/>
  <c r="J149" i="28"/>
  <c r="I149" i="28"/>
  <c r="O148" i="28"/>
  <c r="K148" i="28"/>
  <c r="J148" i="28"/>
  <c r="I148" i="28"/>
  <c r="O147" i="28"/>
  <c r="K147" i="28"/>
  <c r="J147" i="28"/>
  <c r="I147" i="28"/>
  <c r="O146" i="28"/>
  <c r="K146" i="28"/>
  <c r="J146" i="28"/>
  <c r="I146" i="28"/>
  <c r="O145" i="28"/>
  <c r="K145" i="28"/>
  <c r="J145" i="28"/>
  <c r="I145" i="28"/>
  <c r="P145" i="28" s="1"/>
  <c r="O144" i="28"/>
  <c r="K144" i="28"/>
  <c r="J144" i="28"/>
  <c r="I144" i="28"/>
  <c r="P144" i="28" s="1"/>
  <c r="O143" i="28"/>
  <c r="K143" i="28"/>
  <c r="J143" i="28"/>
  <c r="I143" i="28"/>
  <c r="P143" i="28" s="1"/>
  <c r="O142" i="28"/>
  <c r="K142" i="28"/>
  <c r="J142" i="28"/>
  <c r="I142" i="28"/>
  <c r="P142" i="28" s="1"/>
  <c r="O141" i="28"/>
  <c r="K141" i="28"/>
  <c r="J141" i="28"/>
  <c r="I141" i="28"/>
  <c r="P141" i="28" s="1"/>
  <c r="O140" i="28"/>
  <c r="K140" i="28"/>
  <c r="J140" i="28"/>
  <c r="I140" i="28"/>
  <c r="P140" i="28" s="1"/>
  <c r="O139" i="28"/>
  <c r="K139" i="28"/>
  <c r="J139" i="28"/>
  <c r="I139" i="28"/>
  <c r="P139" i="28" s="1"/>
  <c r="O138" i="28"/>
  <c r="K138" i="28"/>
  <c r="J138" i="28"/>
  <c r="I138" i="28"/>
  <c r="P138" i="28" s="1"/>
  <c r="O137" i="28"/>
  <c r="K137" i="28"/>
  <c r="J137" i="28"/>
  <c r="I137" i="28"/>
  <c r="P137" i="28" s="1"/>
  <c r="O136" i="28"/>
  <c r="K136" i="28"/>
  <c r="J136" i="28"/>
  <c r="I136" i="28"/>
  <c r="P136" i="28" s="1"/>
  <c r="O135" i="28"/>
  <c r="K135" i="28"/>
  <c r="J135" i="28"/>
  <c r="I135" i="28"/>
  <c r="P135" i="28" s="1"/>
  <c r="O134" i="28"/>
  <c r="K134" i="28"/>
  <c r="J134" i="28"/>
  <c r="I134" i="28"/>
  <c r="P134" i="28" s="1"/>
  <c r="O133" i="28"/>
  <c r="K133" i="28"/>
  <c r="J133" i="28"/>
  <c r="I133" i="28"/>
  <c r="P133" i="28" s="1"/>
  <c r="O132" i="28"/>
  <c r="K132" i="28"/>
  <c r="J132" i="28"/>
  <c r="I132" i="28"/>
  <c r="P132" i="28" s="1"/>
  <c r="O131" i="28"/>
  <c r="K131" i="28"/>
  <c r="J131" i="28"/>
  <c r="I131" i="28"/>
  <c r="P131" i="28" s="1"/>
  <c r="O130" i="28"/>
  <c r="K130" i="28"/>
  <c r="J130" i="28"/>
  <c r="I130" i="28"/>
  <c r="P130" i="28" s="1"/>
  <c r="O122" i="28"/>
  <c r="K122" i="28"/>
  <c r="J122" i="28"/>
  <c r="I122" i="28"/>
  <c r="O121" i="28"/>
  <c r="K121" i="28"/>
  <c r="J121" i="28"/>
  <c r="I121" i="28"/>
  <c r="O120" i="28"/>
  <c r="K120" i="28"/>
  <c r="J120" i="28"/>
  <c r="I120" i="28"/>
  <c r="O119" i="28"/>
  <c r="K119" i="28"/>
  <c r="J119" i="28"/>
  <c r="I119" i="28"/>
  <c r="O118" i="28"/>
  <c r="K118" i="28"/>
  <c r="J118" i="28"/>
  <c r="I118" i="28"/>
  <c r="O117" i="28"/>
  <c r="K117" i="28"/>
  <c r="J117" i="28"/>
  <c r="I117" i="28"/>
  <c r="O116" i="28"/>
  <c r="K116" i="28"/>
  <c r="J116" i="28"/>
  <c r="I116" i="28"/>
  <c r="O115" i="28"/>
  <c r="K115" i="28"/>
  <c r="J115" i="28"/>
  <c r="I115" i="28"/>
  <c r="O114" i="28"/>
  <c r="K114" i="28"/>
  <c r="J114" i="28"/>
  <c r="I114" i="28"/>
  <c r="O113" i="28"/>
  <c r="K113" i="28"/>
  <c r="J113" i="28"/>
  <c r="I113" i="28"/>
  <c r="O112" i="28"/>
  <c r="K112" i="28"/>
  <c r="J112" i="28"/>
  <c r="I112" i="28"/>
  <c r="O111" i="28"/>
  <c r="K111" i="28"/>
  <c r="J111" i="28"/>
  <c r="I111" i="28"/>
  <c r="O110" i="28"/>
  <c r="K110" i="28"/>
  <c r="J110" i="28"/>
  <c r="I110" i="28"/>
  <c r="O109" i="28"/>
  <c r="K109" i="28"/>
  <c r="J109" i="28"/>
  <c r="I109" i="28"/>
  <c r="O108" i="28"/>
  <c r="K108" i="28"/>
  <c r="J108" i="28"/>
  <c r="I108" i="28"/>
  <c r="O107" i="28"/>
  <c r="K107" i="28"/>
  <c r="J107" i="28"/>
  <c r="I107" i="28"/>
  <c r="O106" i="28"/>
  <c r="K106" i="28"/>
  <c r="J106" i="28"/>
  <c r="I106" i="28"/>
  <c r="O105" i="28"/>
  <c r="K105" i="28"/>
  <c r="J105" i="28"/>
  <c r="I105" i="28"/>
  <c r="O104" i="28"/>
  <c r="K104" i="28"/>
  <c r="J104" i="28"/>
  <c r="I104" i="28"/>
  <c r="O103" i="28"/>
  <c r="K103" i="28"/>
  <c r="J103" i="28"/>
  <c r="I103" i="28"/>
  <c r="O102" i="28"/>
  <c r="K102" i="28"/>
  <c r="J102" i="28"/>
  <c r="I102" i="28"/>
  <c r="O101" i="28"/>
  <c r="K101" i="28"/>
  <c r="J101" i="28"/>
  <c r="I101" i="28"/>
  <c r="O100" i="28"/>
  <c r="K100" i="28"/>
  <c r="J100" i="28"/>
  <c r="I100" i="28"/>
  <c r="O99" i="28"/>
  <c r="K99" i="28"/>
  <c r="J99" i="28"/>
  <c r="I99" i="28"/>
  <c r="A111" i="2"/>
  <c r="A142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C145" i="2"/>
  <c r="B145" i="2"/>
  <c r="C144" i="2"/>
  <c r="B144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7" i="2"/>
  <c r="B137" i="2"/>
  <c r="C136" i="2"/>
  <c r="B136" i="2"/>
  <c r="C135" i="2"/>
  <c r="B135" i="2"/>
  <c r="C134" i="2"/>
  <c r="B134" i="2"/>
  <c r="C133" i="2"/>
  <c r="B133" i="2"/>
  <c r="C132" i="2"/>
  <c r="B132" i="2"/>
  <c r="C131" i="2"/>
  <c r="B131" i="2"/>
  <c r="C130" i="2"/>
  <c r="B130" i="2"/>
  <c r="D130" i="2"/>
  <c r="E130" i="2"/>
  <c r="F130" i="2"/>
  <c r="G130" i="2"/>
  <c r="D131" i="2"/>
  <c r="E131" i="2"/>
  <c r="F131" i="2"/>
  <c r="G131" i="2"/>
  <c r="D132" i="2"/>
  <c r="E132" i="2"/>
  <c r="F132" i="2"/>
  <c r="G132" i="2"/>
  <c r="D133" i="2"/>
  <c r="E133" i="2"/>
  <c r="F133" i="2"/>
  <c r="G133" i="2"/>
  <c r="D134" i="2"/>
  <c r="E134" i="2"/>
  <c r="F134" i="2"/>
  <c r="G134" i="2"/>
  <c r="D135" i="2"/>
  <c r="E135" i="2"/>
  <c r="F135" i="2"/>
  <c r="G135" i="2"/>
  <c r="D136" i="2"/>
  <c r="E136" i="2"/>
  <c r="F136" i="2"/>
  <c r="G136" i="2"/>
  <c r="D137" i="2"/>
  <c r="E137" i="2"/>
  <c r="F137" i="2"/>
  <c r="G137" i="2"/>
  <c r="D138" i="2"/>
  <c r="E138" i="2"/>
  <c r="F138" i="2"/>
  <c r="G138" i="2"/>
  <c r="D139" i="2"/>
  <c r="E139" i="2"/>
  <c r="F139" i="2"/>
  <c r="G139" i="2"/>
  <c r="D140" i="2"/>
  <c r="E140" i="2"/>
  <c r="F140" i="2"/>
  <c r="G140" i="2"/>
  <c r="D141" i="2"/>
  <c r="E141" i="2"/>
  <c r="F141" i="2"/>
  <c r="G141" i="2"/>
  <c r="D142" i="2"/>
  <c r="E142" i="2"/>
  <c r="F142" i="2"/>
  <c r="G142" i="2"/>
  <c r="D143" i="2"/>
  <c r="E143" i="2"/>
  <c r="F143" i="2"/>
  <c r="G143" i="2"/>
  <c r="D144" i="2"/>
  <c r="E144" i="2"/>
  <c r="F144" i="2"/>
  <c r="G144" i="2"/>
  <c r="D145" i="2"/>
  <c r="E145" i="2"/>
  <c r="F145" i="2"/>
  <c r="G145" i="2"/>
  <c r="D146" i="2"/>
  <c r="E146" i="2"/>
  <c r="F146" i="2"/>
  <c r="G146" i="2"/>
  <c r="D147" i="2"/>
  <c r="E147" i="2"/>
  <c r="F147" i="2"/>
  <c r="G147" i="2"/>
  <c r="D148" i="2"/>
  <c r="E148" i="2"/>
  <c r="F148" i="2"/>
  <c r="G148" i="2"/>
  <c r="D149" i="2"/>
  <c r="E149" i="2"/>
  <c r="F149" i="2"/>
  <c r="G149" i="2"/>
  <c r="D150" i="2"/>
  <c r="E150" i="2"/>
  <c r="F150" i="2"/>
  <c r="G150" i="2"/>
  <c r="D151" i="2"/>
  <c r="E151" i="2"/>
  <c r="F151" i="2"/>
  <c r="G151" i="2"/>
  <c r="D152" i="2"/>
  <c r="E152" i="2"/>
  <c r="F152" i="2"/>
  <c r="G152" i="2"/>
  <c r="D153" i="2"/>
  <c r="E153" i="2"/>
  <c r="F153" i="2"/>
  <c r="G153" i="2"/>
  <c r="D154" i="2"/>
  <c r="E154" i="2"/>
  <c r="F154" i="2"/>
  <c r="G154" i="2"/>
  <c r="C123" i="2"/>
  <c r="B123" i="2"/>
  <c r="C122" i="2"/>
  <c r="B122" i="2"/>
  <c r="C121" i="2"/>
  <c r="B121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4" i="2"/>
  <c r="B114" i="2"/>
  <c r="C113" i="2"/>
  <c r="B113" i="2"/>
  <c r="C112" i="2"/>
  <c r="B112" i="2"/>
  <c r="C111" i="2"/>
  <c r="B111" i="2"/>
  <c r="C110" i="2"/>
  <c r="B110" i="2"/>
  <c r="C109" i="2"/>
  <c r="B109" i="2"/>
  <c r="C108" i="2"/>
  <c r="B108" i="2"/>
  <c r="C107" i="2"/>
  <c r="B107" i="2"/>
  <c r="C106" i="2"/>
  <c r="B106" i="2"/>
  <c r="C105" i="2"/>
  <c r="B105" i="2"/>
  <c r="C104" i="2"/>
  <c r="B104" i="2"/>
  <c r="C103" i="2"/>
  <c r="B103" i="2"/>
  <c r="C102" i="2"/>
  <c r="B102" i="2"/>
  <c r="C101" i="2"/>
  <c r="B101" i="2"/>
  <c r="C100" i="2"/>
  <c r="B100" i="2"/>
  <c r="C99" i="2"/>
  <c r="B99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I216" i="38"/>
  <c r="A216" i="38"/>
  <c r="I215" i="38"/>
  <c r="A215" i="38"/>
  <c r="I214" i="38"/>
  <c r="A214" i="38"/>
  <c r="I213" i="38"/>
  <c r="A213" i="38"/>
  <c r="I212" i="38"/>
  <c r="A212" i="38"/>
  <c r="I211" i="38"/>
  <c r="A211" i="38"/>
  <c r="I210" i="38"/>
  <c r="A210" i="38"/>
  <c r="I209" i="38"/>
  <c r="A209" i="38"/>
  <c r="I208" i="38"/>
  <c r="A208" i="38"/>
  <c r="I207" i="38"/>
  <c r="A207" i="38"/>
  <c r="I206" i="38"/>
  <c r="A206" i="38"/>
  <c r="I205" i="38"/>
  <c r="A205" i="38"/>
  <c r="I204" i="38"/>
  <c r="A204" i="38"/>
  <c r="I203" i="38"/>
  <c r="A203" i="38"/>
  <c r="I202" i="38"/>
  <c r="A202" i="38"/>
  <c r="I201" i="38"/>
  <c r="A201" i="38"/>
  <c r="I200" i="38"/>
  <c r="A200" i="38"/>
  <c r="I199" i="38"/>
  <c r="A199" i="38"/>
  <c r="I198" i="38"/>
  <c r="A198" i="38"/>
  <c r="I197" i="38"/>
  <c r="A197" i="38"/>
  <c r="I196" i="38"/>
  <c r="A196" i="38"/>
  <c r="I195" i="38"/>
  <c r="A195" i="38"/>
  <c r="I194" i="38"/>
  <c r="A194" i="38"/>
  <c r="I193" i="38"/>
  <c r="A193" i="38"/>
  <c r="I192" i="38"/>
  <c r="A192" i="38"/>
  <c r="O191" i="38"/>
  <c r="N191" i="38"/>
  <c r="M191" i="38"/>
  <c r="L191" i="38"/>
  <c r="K191" i="38"/>
  <c r="J191" i="38"/>
  <c r="G191" i="38"/>
  <c r="F191" i="38"/>
  <c r="E191" i="38"/>
  <c r="D191" i="38"/>
  <c r="C191" i="38"/>
  <c r="B191" i="38"/>
  <c r="I185" i="38"/>
  <c r="A185" i="38"/>
  <c r="I184" i="38"/>
  <c r="A184" i="38"/>
  <c r="I183" i="38"/>
  <c r="A183" i="38"/>
  <c r="I182" i="38"/>
  <c r="A182" i="38"/>
  <c r="I181" i="38"/>
  <c r="A181" i="38"/>
  <c r="I180" i="38"/>
  <c r="A180" i="38"/>
  <c r="I179" i="38"/>
  <c r="A179" i="38"/>
  <c r="I178" i="38"/>
  <c r="A178" i="38"/>
  <c r="I177" i="38"/>
  <c r="A177" i="38"/>
  <c r="I176" i="38"/>
  <c r="A176" i="38"/>
  <c r="I175" i="38"/>
  <c r="A175" i="38"/>
  <c r="I174" i="38"/>
  <c r="A174" i="38"/>
  <c r="I173" i="38"/>
  <c r="A173" i="38"/>
  <c r="I172" i="38"/>
  <c r="A172" i="38"/>
  <c r="I171" i="38"/>
  <c r="A171" i="38"/>
  <c r="I170" i="38"/>
  <c r="A170" i="38"/>
  <c r="I169" i="38"/>
  <c r="A169" i="38"/>
  <c r="I168" i="38"/>
  <c r="A168" i="38"/>
  <c r="I167" i="38"/>
  <c r="A167" i="38"/>
  <c r="I166" i="38"/>
  <c r="A166" i="38"/>
  <c r="I165" i="38"/>
  <c r="A165" i="38"/>
  <c r="I164" i="38"/>
  <c r="A164" i="38"/>
  <c r="I163" i="38"/>
  <c r="A163" i="38"/>
  <c r="I162" i="38"/>
  <c r="A162" i="38"/>
  <c r="I161" i="38"/>
  <c r="A161" i="38"/>
  <c r="O160" i="38"/>
  <c r="N160" i="38"/>
  <c r="M160" i="38"/>
  <c r="L160" i="38"/>
  <c r="K160" i="38"/>
  <c r="J160" i="38"/>
  <c r="G160" i="38"/>
  <c r="F160" i="38"/>
  <c r="E160" i="38"/>
  <c r="D160" i="38"/>
  <c r="C160" i="38"/>
  <c r="B160" i="38"/>
  <c r="I153" i="38"/>
  <c r="A153" i="38"/>
  <c r="I152" i="38"/>
  <c r="A152" i="38"/>
  <c r="I151" i="38"/>
  <c r="A151" i="38"/>
  <c r="I150" i="38"/>
  <c r="A150" i="38"/>
  <c r="I149" i="38"/>
  <c r="A149" i="38"/>
  <c r="I148" i="38"/>
  <c r="A148" i="38"/>
  <c r="I147" i="38"/>
  <c r="A147" i="38"/>
  <c r="I146" i="38"/>
  <c r="A146" i="38"/>
  <c r="I145" i="38"/>
  <c r="A145" i="38"/>
  <c r="I144" i="38"/>
  <c r="A144" i="38"/>
  <c r="I143" i="38"/>
  <c r="A143" i="38"/>
  <c r="I142" i="38"/>
  <c r="A142" i="38"/>
  <c r="I141" i="38"/>
  <c r="A141" i="38"/>
  <c r="I140" i="38"/>
  <c r="A140" i="38"/>
  <c r="I139" i="38"/>
  <c r="A139" i="38"/>
  <c r="I138" i="38"/>
  <c r="A138" i="38"/>
  <c r="I137" i="38"/>
  <c r="A137" i="38"/>
  <c r="I136" i="38"/>
  <c r="A136" i="38"/>
  <c r="I135" i="38"/>
  <c r="A135" i="38"/>
  <c r="I134" i="38"/>
  <c r="A134" i="38"/>
  <c r="I133" i="38"/>
  <c r="A133" i="38"/>
  <c r="I132" i="38"/>
  <c r="A132" i="38"/>
  <c r="I131" i="38"/>
  <c r="A131" i="38"/>
  <c r="I130" i="38"/>
  <c r="A130" i="38"/>
  <c r="W129" i="38"/>
  <c r="V129" i="38"/>
  <c r="U129" i="38"/>
  <c r="T129" i="38"/>
  <c r="S129" i="38"/>
  <c r="R129" i="38"/>
  <c r="O129" i="38"/>
  <c r="N129" i="38"/>
  <c r="M129" i="38"/>
  <c r="L129" i="38"/>
  <c r="K129" i="38"/>
  <c r="J129" i="38"/>
  <c r="G129" i="38"/>
  <c r="F129" i="38"/>
  <c r="E129" i="38"/>
  <c r="D129" i="38"/>
  <c r="C129" i="38"/>
  <c r="B129" i="38"/>
  <c r="I122" i="38"/>
  <c r="A122" i="38"/>
  <c r="I121" i="38"/>
  <c r="A121" i="38"/>
  <c r="I120" i="38"/>
  <c r="A120" i="38"/>
  <c r="I119" i="38"/>
  <c r="A119" i="38"/>
  <c r="I118" i="38"/>
  <c r="A118" i="38"/>
  <c r="I117" i="38"/>
  <c r="A117" i="38"/>
  <c r="I116" i="38"/>
  <c r="A116" i="38"/>
  <c r="I115" i="38"/>
  <c r="A115" i="38"/>
  <c r="I114" i="38"/>
  <c r="A114" i="38"/>
  <c r="I113" i="38"/>
  <c r="A113" i="38"/>
  <c r="I112" i="38"/>
  <c r="A112" i="38"/>
  <c r="I111" i="38"/>
  <c r="A111" i="38"/>
  <c r="I110" i="38"/>
  <c r="A110" i="38"/>
  <c r="I109" i="38"/>
  <c r="A109" i="38"/>
  <c r="I108" i="38"/>
  <c r="A108" i="38"/>
  <c r="I107" i="38"/>
  <c r="A107" i="38"/>
  <c r="I106" i="38"/>
  <c r="A106" i="38"/>
  <c r="I105" i="38"/>
  <c r="A105" i="38"/>
  <c r="I104" i="38"/>
  <c r="A104" i="38"/>
  <c r="I103" i="38"/>
  <c r="A103" i="38"/>
  <c r="I102" i="38"/>
  <c r="A102" i="38"/>
  <c r="I101" i="38"/>
  <c r="A101" i="38"/>
  <c r="I100" i="38"/>
  <c r="A100" i="38"/>
  <c r="I99" i="38"/>
  <c r="A99" i="38"/>
  <c r="AM98" i="38"/>
  <c r="AL98" i="38"/>
  <c r="AK98" i="38"/>
  <c r="AJ98" i="38"/>
  <c r="AI98" i="38"/>
  <c r="AH98" i="38"/>
  <c r="AE98" i="38"/>
  <c r="AD98" i="38"/>
  <c r="AC98" i="38"/>
  <c r="AB98" i="38"/>
  <c r="AA98" i="38"/>
  <c r="Z98" i="38"/>
  <c r="W98" i="38"/>
  <c r="V98" i="38"/>
  <c r="U98" i="38"/>
  <c r="T98" i="38"/>
  <c r="S98" i="38"/>
  <c r="R98" i="38"/>
  <c r="O98" i="38"/>
  <c r="N98" i="38"/>
  <c r="M98" i="38"/>
  <c r="L98" i="38"/>
  <c r="K98" i="38"/>
  <c r="J98" i="38"/>
  <c r="G98" i="38"/>
  <c r="F98" i="38"/>
  <c r="E98" i="38"/>
  <c r="D98" i="38"/>
  <c r="C98" i="38"/>
  <c r="B98" i="38"/>
  <c r="O67" i="38"/>
  <c r="N67" i="38"/>
  <c r="M67" i="38"/>
  <c r="L67" i="38"/>
  <c r="K67" i="38"/>
  <c r="J67" i="38"/>
  <c r="G67" i="38"/>
  <c r="F67" i="38"/>
  <c r="E67" i="38"/>
  <c r="D67" i="38"/>
  <c r="C67" i="38"/>
  <c r="B67" i="38"/>
  <c r="O36" i="38"/>
  <c r="N36" i="38"/>
  <c r="M36" i="38"/>
  <c r="L36" i="38"/>
  <c r="K36" i="38"/>
  <c r="J36" i="38"/>
  <c r="G36" i="38"/>
  <c r="F36" i="38"/>
  <c r="E36" i="38"/>
  <c r="D36" i="38"/>
  <c r="C36" i="38"/>
  <c r="B36" i="38"/>
  <c r="O5" i="38"/>
  <c r="N5" i="38"/>
  <c r="M5" i="38"/>
  <c r="L5" i="38"/>
  <c r="K5" i="38"/>
  <c r="J5" i="38"/>
  <c r="G5" i="38"/>
  <c r="F5" i="38"/>
  <c r="E5" i="38"/>
  <c r="D5" i="38"/>
  <c r="C5" i="38"/>
  <c r="B5" i="38"/>
  <c r="Q125" i="28"/>
  <c r="U191" i="28" s="1"/>
  <c r="Q187" i="28"/>
  <c r="Q215" i="28"/>
  <c r="Y215" i="28" s="1"/>
  <c r="Q214" i="28"/>
  <c r="Y214" i="28" s="1"/>
  <c r="Q213" i="28"/>
  <c r="Y213" i="28" s="1"/>
  <c r="Q212" i="28"/>
  <c r="Y212" i="28" s="1"/>
  <c r="Q211" i="28"/>
  <c r="Y211" i="28" s="1"/>
  <c r="Q210" i="28"/>
  <c r="Y210" i="28" s="1"/>
  <c r="Q209" i="28"/>
  <c r="Y209" i="28" s="1"/>
  <c r="Q208" i="28"/>
  <c r="Y208" i="28" s="1"/>
  <c r="Q207" i="28"/>
  <c r="Y207" i="28" s="1"/>
  <c r="Q206" i="28"/>
  <c r="Y206" i="28" s="1"/>
  <c r="Q205" i="28"/>
  <c r="Y205" i="28" s="1"/>
  <c r="Q204" i="28"/>
  <c r="Y204" i="28" s="1"/>
  <c r="Q203" i="28"/>
  <c r="Y203" i="28" s="1"/>
  <c r="Q202" i="28"/>
  <c r="Y202" i="28" s="1"/>
  <c r="Q201" i="28"/>
  <c r="Y201" i="28" s="1"/>
  <c r="Q200" i="28"/>
  <c r="Y200" i="28" s="1"/>
  <c r="Q199" i="28"/>
  <c r="Y199" i="28" s="1"/>
  <c r="Q198" i="28"/>
  <c r="Y198" i="28" s="1"/>
  <c r="Q197" i="28"/>
  <c r="Y197" i="28" s="1"/>
  <c r="Q196" i="28"/>
  <c r="Y196" i="28" s="1"/>
  <c r="Q195" i="28"/>
  <c r="Y195" i="28" s="1"/>
  <c r="Q194" i="28"/>
  <c r="Y194" i="28" s="1"/>
  <c r="Q193" i="28"/>
  <c r="Y193" i="28" s="1"/>
  <c r="Q192" i="28"/>
  <c r="Y192" i="28" s="1"/>
  <c r="Q153" i="28"/>
  <c r="Q152" i="28"/>
  <c r="Q151" i="28"/>
  <c r="Q150" i="28"/>
  <c r="Q149" i="28"/>
  <c r="Q148" i="28"/>
  <c r="Q147" i="28"/>
  <c r="Q146" i="28"/>
  <c r="Q145" i="28"/>
  <c r="Q144" i="28"/>
  <c r="Q143" i="28"/>
  <c r="Q142" i="28"/>
  <c r="Q141" i="28"/>
  <c r="Q140" i="28"/>
  <c r="Q139" i="28"/>
  <c r="Q138" i="28"/>
  <c r="Q137" i="28"/>
  <c r="Q136" i="28"/>
  <c r="Q135" i="28"/>
  <c r="Q134" i="28"/>
  <c r="Q133" i="28"/>
  <c r="Q132" i="28"/>
  <c r="Q131" i="28"/>
  <c r="Q130" i="28"/>
  <c r="T191" i="28"/>
  <c r="W188" i="28"/>
  <c r="V188" i="28"/>
  <c r="U188" i="28"/>
  <c r="T188" i="28"/>
  <c r="S188" i="28"/>
  <c r="R188" i="28"/>
  <c r="B31" i="29"/>
  <c r="V191" i="28" l="1"/>
  <c r="R191" i="28"/>
  <c r="W191" i="28"/>
  <c r="S191" i="28"/>
  <c r="P146" i="28"/>
  <c r="P147" i="28"/>
  <c r="P148" i="28"/>
  <c r="P149" i="28"/>
  <c r="P150" i="28"/>
  <c r="P151" i="28"/>
  <c r="P152" i="28"/>
  <c r="P153" i="28"/>
  <c r="P161" i="28"/>
  <c r="P162" i="28"/>
  <c r="P163" i="28"/>
  <c r="P164" i="28"/>
  <c r="P165" i="28"/>
  <c r="P166" i="28"/>
  <c r="P167" i="28"/>
  <c r="P168" i="28"/>
  <c r="P169" i="28"/>
  <c r="P170" i="28"/>
  <c r="P171" i="28"/>
  <c r="P172" i="28"/>
  <c r="P173" i="28"/>
  <c r="P174" i="28"/>
  <c r="P175" i="28"/>
  <c r="P176" i="28"/>
  <c r="P177" i="28"/>
  <c r="P178" i="28"/>
  <c r="P179" i="28"/>
  <c r="P180" i="28"/>
  <c r="P181" i="28"/>
  <c r="P182" i="28"/>
  <c r="P183" i="28"/>
  <c r="P184" i="28"/>
  <c r="P192" i="28"/>
  <c r="P193" i="28"/>
  <c r="P194" i="28"/>
  <c r="P195" i="28"/>
  <c r="P196" i="28"/>
  <c r="P197" i="28"/>
  <c r="P198" i="28"/>
  <c r="P199" i="28"/>
  <c r="P200" i="28"/>
  <c r="P201" i="28"/>
  <c r="P202" i="28"/>
  <c r="P203" i="28"/>
  <c r="P204" i="28"/>
  <c r="P205" i="28"/>
  <c r="P206" i="28"/>
  <c r="P207" i="28"/>
  <c r="P208" i="28"/>
  <c r="P209" i="28"/>
  <c r="P210" i="28"/>
  <c r="P211" i="28"/>
  <c r="P212" i="28"/>
  <c r="P213" i="28"/>
  <c r="P214" i="28"/>
  <c r="P215" i="28"/>
  <c r="H111" i="28"/>
  <c r="H99" i="28"/>
  <c r="H100" i="28"/>
  <c r="H101" i="28"/>
  <c r="H102" i="28"/>
  <c r="H103" i="28"/>
  <c r="H104" i="28"/>
  <c r="H105" i="28"/>
  <c r="H106" i="28"/>
  <c r="H107" i="28"/>
  <c r="H108" i="28"/>
  <c r="H109" i="28"/>
  <c r="H110" i="28"/>
  <c r="H112" i="28"/>
  <c r="H113" i="28"/>
  <c r="H114" i="28"/>
  <c r="H115" i="28"/>
  <c r="H116" i="28"/>
  <c r="H117" i="28"/>
  <c r="H118" i="28"/>
  <c r="H119" i="28"/>
  <c r="H120" i="28"/>
  <c r="H121" i="28"/>
  <c r="H122" i="28"/>
  <c r="H130" i="28"/>
  <c r="H131" i="28"/>
  <c r="H132" i="28"/>
  <c r="H133" i="28"/>
  <c r="H135" i="28"/>
  <c r="H136" i="28"/>
  <c r="H137" i="28"/>
  <c r="H138" i="28"/>
  <c r="H139" i="28"/>
  <c r="H140" i="28"/>
  <c r="H141" i="28"/>
  <c r="H142" i="28"/>
  <c r="H143" i="28"/>
  <c r="H144" i="28"/>
  <c r="H145" i="28"/>
  <c r="H146" i="28"/>
  <c r="H147" i="28"/>
  <c r="H148" i="28"/>
  <c r="H149" i="28"/>
  <c r="H150" i="28"/>
  <c r="H151" i="28"/>
  <c r="H152" i="28"/>
  <c r="H153" i="28"/>
  <c r="H161" i="28"/>
  <c r="H162" i="28"/>
  <c r="H163" i="28"/>
  <c r="H164" i="28"/>
  <c r="H165" i="28"/>
  <c r="H166" i="28"/>
  <c r="H167" i="28"/>
  <c r="H168" i="28"/>
  <c r="H169" i="28"/>
  <c r="H170" i="28"/>
  <c r="H171" i="28"/>
  <c r="H172" i="28"/>
  <c r="H173" i="28"/>
  <c r="H174" i="28"/>
  <c r="H175" i="28"/>
  <c r="H176" i="28"/>
  <c r="H177" i="28"/>
  <c r="H178" i="28"/>
  <c r="H179" i="28"/>
  <c r="H180" i="28"/>
  <c r="A31" i="36"/>
  <c r="A6" i="36"/>
  <c r="AP6" i="30"/>
  <c r="AJ6" i="30"/>
  <c r="AI6" i="30"/>
  <c r="N30" i="30"/>
  <c r="AC30" i="30" s="1"/>
  <c r="M30" i="30"/>
  <c r="AB30" i="30" s="1"/>
  <c r="L30" i="30"/>
  <c r="AA30" i="30" s="1"/>
  <c r="N29" i="30"/>
  <c r="AC29" i="30" s="1"/>
  <c r="M29" i="30"/>
  <c r="AB29" i="30" s="1"/>
  <c r="L29" i="30"/>
  <c r="AA29" i="30" s="1"/>
  <c r="N28" i="30"/>
  <c r="AC28" i="30" s="1"/>
  <c r="M28" i="30"/>
  <c r="AB28" i="30" s="1"/>
  <c r="L28" i="30"/>
  <c r="AA28" i="30" s="1"/>
  <c r="N27" i="30"/>
  <c r="AC27" i="30" s="1"/>
  <c r="M27" i="30"/>
  <c r="AB27" i="30" s="1"/>
  <c r="L27" i="30"/>
  <c r="AA27" i="30" s="1"/>
  <c r="N26" i="30"/>
  <c r="AC26" i="30" s="1"/>
  <c r="M26" i="30"/>
  <c r="AB26" i="30" s="1"/>
  <c r="L26" i="30"/>
  <c r="AA26" i="30" s="1"/>
  <c r="N25" i="30"/>
  <c r="AC25" i="30" s="1"/>
  <c r="M25" i="30"/>
  <c r="AB25" i="30" s="1"/>
  <c r="L25" i="30"/>
  <c r="AA25" i="30" s="1"/>
  <c r="N24" i="30"/>
  <c r="AC24" i="30" s="1"/>
  <c r="M24" i="30"/>
  <c r="AB24" i="30" s="1"/>
  <c r="L24" i="30"/>
  <c r="AA24" i="30" s="1"/>
  <c r="N23" i="30"/>
  <c r="AC23" i="30" s="1"/>
  <c r="M23" i="30"/>
  <c r="AB23" i="30" s="1"/>
  <c r="L23" i="30"/>
  <c r="AA23" i="30" s="1"/>
  <c r="N22" i="30"/>
  <c r="AC22" i="30" s="1"/>
  <c r="M22" i="30"/>
  <c r="AB22" i="30" s="1"/>
  <c r="L22" i="30"/>
  <c r="AA22" i="30" s="1"/>
  <c r="N21" i="30"/>
  <c r="AC21" i="30" s="1"/>
  <c r="M21" i="30"/>
  <c r="AB21" i="30" s="1"/>
  <c r="L21" i="30"/>
  <c r="AA21" i="30" s="1"/>
  <c r="N20" i="30"/>
  <c r="AC20" i="30" s="1"/>
  <c r="M20" i="30"/>
  <c r="AB20" i="30" s="1"/>
  <c r="L20" i="30"/>
  <c r="AA20" i="30" s="1"/>
  <c r="N19" i="30"/>
  <c r="AC19" i="30" s="1"/>
  <c r="M19" i="30"/>
  <c r="AB19" i="30" s="1"/>
  <c r="L19" i="30"/>
  <c r="AA19" i="30" s="1"/>
  <c r="N18" i="30"/>
  <c r="AC18" i="30" s="1"/>
  <c r="M18" i="30"/>
  <c r="AB18" i="30" s="1"/>
  <c r="L18" i="30"/>
  <c r="AA18" i="30" s="1"/>
  <c r="N17" i="30"/>
  <c r="AC17" i="30" s="1"/>
  <c r="M17" i="30"/>
  <c r="AB17" i="30" s="1"/>
  <c r="L17" i="30"/>
  <c r="AA17" i="30" s="1"/>
  <c r="N16" i="30"/>
  <c r="AC16" i="30" s="1"/>
  <c r="M16" i="30"/>
  <c r="AB16" i="30" s="1"/>
  <c r="L16" i="30"/>
  <c r="AA16" i="30" s="1"/>
  <c r="N15" i="30"/>
  <c r="AC15" i="30" s="1"/>
  <c r="M15" i="30"/>
  <c r="AB15" i="30" s="1"/>
  <c r="L15" i="30"/>
  <c r="AA15" i="30" s="1"/>
  <c r="N14" i="30"/>
  <c r="AC14" i="30" s="1"/>
  <c r="M14" i="30"/>
  <c r="AB14" i="30" s="1"/>
  <c r="L14" i="30"/>
  <c r="AA14" i="30" s="1"/>
  <c r="N13" i="30"/>
  <c r="AC13" i="30" s="1"/>
  <c r="M13" i="30"/>
  <c r="AB13" i="30" s="1"/>
  <c r="L13" i="30"/>
  <c r="AA13" i="30" s="1"/>
  <c r="N12" i="30"/>
  <c r="AC12" i="30" s="1"/>
  <c r="M12" i="30"/>
  <c r="AB12" i="30" s="1"/>
  <c r="L12" i="30"/>
  <c r="AA12" i="30" s="1"/>
  <c r="N11" i="30"/>
  <c r="AC11" i="30" s="1"/>
  <c r="M11" i="30"/>
  <c r="AB11" i="30" s="1"/>
  <c r="L11" i="30"/>
  <c r="AA11" i="30" s="1"/>
  <c r="N10" i="30"/>
  <c r="AC10" i="30" s="1"/>
  <c r="M10" i="30"/>
  <c r="AB10" i="30" s="1"/>
  <c r="L10" i="30"/>
  <c r="AA10" i="30" s="1"/>
  <c r="N9" i="30"/>
  <c r="AC9" i="30" s="1"/>
  <c r="M9" i="30"/>
  <c r="AB9" i="30" s="1"/>
  <c r="L9" i="30"/>
  <c r="AA9" i="30" s="1"/>
  <c r="N8" i="30"/>
  <c r="AC8" i="30" s="1"/>
  <c r="M8" i="30"/>
  <c r="AB8" i="30" s="1"/>
  <c r="L8" i="30"/>
  <c r="AA8" i="30" s="1"/>
  <c r="N7" i="30"/>
  <c r="AC7" i="30" s="1"/>
  <c r="M7" i="30"/>
  <c r="M31" i="30" s="1"/>
  <c r="AB31" i="30" s="1"/>
  <c r="L7" i="30"/>
  <c r="L31" i="30" s="1"/>
  <c r="AA31" i="30" s="1"/>
  <c r="F30" i="30"/>
  <c r="E30" i="30"/>
  <c r="U30" i="30" s="1"/>
  <c r="D30" i="30"/>
  <c r="T30" i="30" s="1"/>
  <c r="F29" i="30"/>
  <c r="E29" i="30"/>
  <c r="U29" i="30" s="1"/>
  <c r="D29" i="30"/>
  <c r="T29" i="30" s="1"/>
  <c r="F28" i="30"/>
  <c r="V28" i="30" s="1"/>
  <c r="E28" i="30"/>
  <c r="U28" i="30" s="1"/>
  <c r="D28" i="30"/>
  <c r="T28" i="30" s="1"/>
  <c r="F27" i="30"/>
  <c r="V27" i="30" s="1"/>
  <c r="E27" i="30"/>
  <c r="U27" i="30" s="1"/>
  <c r="D27" i="30"/>
  <c r="T27" i="30" s="1"/>
  <c r="F26" i="30"/>
  <c r="V26" i="30" s="1"/>
  <c r="E26" i="30"/>
  <c r="U26" i="30" s="1"/>
  <c r="D26" i="30"/>
  <c r="T26" i="30" s="1"/>
  <c r="F25" i="30"/>
  <c r="V25" i="30" s="1"/>
  <c r="E25" i="30"/>
  <c r="U25" i="30" s="1"/>
  <c r="D25" i="30"/>
  <c r="F24" i="30"/>
  <c r="V24" i="30" s="1"/>
  <c r="E24" i="30"/>
  <c r="U24" i="30" s="1"/>
  <c r="D24" i="30"/>
  <c r="T24" i="30" s="1"/>
  <c r="F23" i="30"/>
  <c r="E23" i="30"/>
  <c r="U23" i="30" s="1"/>
  <c r="D23" i="30"/>
  <c r="T23" i="30" s="1"/>
  <c r="F22" i="30"/>
  <c r="V22" i="30" s="1"/>
  <c r="E22" i="30"/>
  <c r="U22" i="30" s="1"/>
  <c r="D22" i="30"/>
  <c r="T22" i="30" s="1"/>
  <c r="F21" i="30"/>
  <c r="V21" i="30" s="1"/>
  <c r="E21" i="30"/>
  <c r="U21" i="30" s="1"/>
  <c r="D21" i="30"/>
  <c r="T21" i="30" s="1"/>
  <c r="F20" i="30"/>
  <c r="V20" i="30" s="1"/>
  <c r="E20" i="30"/>
  <c r="U20" i="30" s="1"/>
  <c r="D20" i="30"/>
  <c r="T20" i="30" s="1"/>
  <c r="F19" i="30"/>
  <c r="V19" i="30" s="1"/>
  <c r="E19" i="30"/>
  <c r="U19" i="30" s="1"/>
  <c r="D19" i="30"/>
  <c r="T19" i="30" s="1"/>
  <c r="F18" i="30"/>
  <c r="V18" i="30" s="1"/>
  <c r="E18" i="30"/>
  <c r="U18" i="30" s="1"/>
  <c r="D18" i="30"/>
  <c r="T18" i="30" s="1"/>
  <c r="F17" i="30"/>
  <c r="V17" i="30" s="1"/>
  <c r="E17" i="30"/>
  <c r="U17" i="30" s="1"/>
  <c r="D17" i="30"/>
  <c r="T17" i="30" s="1"/>
  <c r="F16" i="30"/>
  <c r="V16" i="30" s="1"/>
  <c r="E16" i="30"/>
  <c r="U16" i="30" s="1"/>
  <c r="D16" i="30"/>
  <c r="T16" i="30" s="1"/>
  <c r="F15" i="30"/>
  <c r="V15" i="30" s="1"/>
  <c r="E15" i="30"/>
  <c r="U15" i="30" s="1"/>
  <c r="D15" i="30"/>
  <c r="T15" i="30" s="1"/>
  <c r="F14" i="30"/>
  <c r="V14" i="30" s="1"/>
  <c r="E14" i="30"/>
  <c r="U14" i="30" s="1"/>
  <c r="D14" i="30"/>
  <c r="T14" i="30" s="1"/>
  <c r="F13" i="30"/>
  <c r="V13" i="30" s="1"/>
  <c r="E13" i="30"/>
  <c r="U13" i="30" s="1"/>
  <c r="D13" i="30"/>
  <c r="F12" i="30"/>
  <c r="V12" i="30" s="1"/>
  <c r="E12" i="30"/>
  <c r="U12" i="30" s="1"/>
  <c r="D12" i="30"/>
  <c r="T12" i="30" s="1"/>
  <c r="F11" i="30"/>
  <c r="E11" i="30"/>
  <c r="U11" i="30" s="1"/>
  <c r="D11" i="30"/>
  <c r="T11" i="30" s="1"/>
  <c r="F10" i="30"/>
  <c r="V10" i="30" s="1"/>
  <c r="E10" i="30"/>
  <c r="U10" i="30" s="1"/>
  <c r="D10" i="30"/>
  <c r="T10" i="30" s="1"/>
  <c r="F9" i="30"/>
  <c r="V9" i="30" s="1"/>
  <c r="E9" i="30"/>
  <c r="U9" i="30" s="1"/>
  <c r="D9" i="30"/>
  <c r="T9" i="30" s="1"/>
  <c r="F8" i="30"/>
  <c r="V8" i="30" s="1"/>
  <c r="E8" i="30"/>
  <c r="U8" i="30" s="1"/>
  <c r="D8" i="30"/>
  <c r="T8" i="30" s="1"/>
  <c r="F7" i="30"/>
  <c r="F31" i="30" s="1"/>
  <c r="V31" i="30" s="1"/>
  <c r="E7" i="30"/>
  <c r="E31" i="30" s="1"/>
  <c r="U31" i="30" s="1"/>
  <c r="D7" i="30"/>
  <c r="D31" i="30" s="1"/>
  <c r="T31" i="30" s="1"/>
  <c r="AD3" i="30"/>
  <c r="AD6" i="30" s="1"/>
  <c r="AC3" i="30"/>
  <c r="AC6" i="30" s="1"/>
  <c r="AB3" i="30"/>
  <c r="AB6" i="30" s="1"/>
  <c r="AA3" i="30"/>
  <c r="AA6" i="30" s="1"/>
  <c r="Z3" i="30"/>
  <c r="Z6" i="30" s="1"/>
  <c r="Y3" i="30"/>
  <c r="Y6" i="30" s="1"/>
  <c r="W3" i="30"/>
  <c r="W6" i="30" s="1"/>
  <c r="AO6" i="30" s="1"/>
  <c r="V3" i="30"/>
  <c r="V6" i="30" s="1"/>
  <c r="U3" i="30"/>
  <c r="U6" i="30" s="1"/>
  <c r="T3" i="30"/>
  <c r="T6" i="30" s="1"/>
  <c r="S3" i="30"/>
  <c r="S6" i="30" s="1"/>
  <c r="AH6" i="30" s="1"/>
  <c r="R3" i="30"/>
  <c r="R6" i="30" s="1"/>
  <c r="W35" i="30"/>
  <c r="AQ6" i="30" s="1"/>
  <c r="R35" i="30"/>
  <c r="AK6" i="30" s="1"/>
  <c r="S35" i="30"/>
  <c r="I30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I16" i="30"/>
  <c r="I15" i="30"/>
  <c r="I14" i="30"/>
  <c r="I13" i="30"/>
  <c r="I12" i="30"/>
  <c r="I11" i="30"/>
  <c r="I10" i="30"/>
  <c r="I9" i="30"/>
  <c r="I8" i="30"/>
  <c r="V71" i="30"/>
  <c r="U71" i="30"/>
  <c r="T71" i="30"/>
  <c r="R71" i="30"/>
  <c r="V70" i="30"/>
  <c r="U70" i="30"/>
  <c r="T70" i="30"/>
  <c r="R70" i="30"/>
  <c r="V69" i="30"/>
  <c r="U69" i="30"/>
  <c r="T69" i="30"/>
  <c r="R69" i="30"/>
  <c r="V68" i="30"/>
  <c r="U68" i="30"/>
  <c r="T68" i="30"/>
  <c r="R68" i="30"/>
  <c r="V67" i="30"/>
  <c r="U67" i="30"/>
  <c r="T67" i="30"/>
  <c r="R67" i="30"/>
  <c r="V66" i="30"/>
  <c r="U66" i="30"/>
  <c r="T66" i="30"/>
  <c r="R66" i="30"/>
  <c r="V65" i="30"/>
  <c r="U65" i="30"/>
  <c r="T65" i="30"/>
  <c r="R65" i="30"/>
  <c r="V64" i="30"/>
  <c r="U64" i="30"/>
  <c r="T64" i="30"/>
  <c r="R64" i="30"/>
  <c r="V63" i="30"/>
  <c r="U63" i="30"/>
  <c r="T63" i="30"/>
  <c r="R63" i="30"/>
  <c r="V62" i="30"/>
  <c r="U62" i="30"/>
  <c r="T62" i="30"/>
  <c r="R62" i="30"/>
  <c r="V61" i="30"/>
  <c r="U61" i="30"/>
  <c r="T61" i="30"/>
  <c r="R61" i="30"/>
  <c r="V60" i="30"/>
  <c r="U60" i="30"/>
  <c r="T60" i="30"/>
  <c r="R60" i="30"/>
  <c r="AK31" i="30" s="1"/>
  <c r="V59" i="30"/>
  <c r="U59" i="30"/>
  <c r="T59" i="30"/>
  <c r="R59" i="30"/>
  <c r="AK30" i="30" s="1"/>
  <c r="V58" i="30"/>
  <c r="U58" i="30"/>
  <c r="T58" i="30"/>
  <c r="R58" i="30"/>
  <c r="AK29" i="30" s="1"/>
  <c r="V57" i="30"/>
  <c r="U57" i="30"/>
  <c r="T57" i="30"/>
  <c r="R57" i="30"/>
  <c r="AK28" i="30" s="1"/>
  <c r="V56" i="30"/>
  <c r="U56" i="30"/>
  <c r="T56" i="30"/>
  <c r="R56" i="30"/>
  <c r="AK27" i="30" s="1"/>
  <c r="V55" i="30"/>
  <c r="U55" i="30"/>
  <c r="T55" i="30"/>
  <c r="R55" i="30"/>
  <c r="AK26" i="30" s="1"/>
  <c r="V54" i="30"/>
  <c r="U54" i="30"/>
  <c r="T54" i="30"/>
  <c r="R54" i="30"/>
  <c r="AK25" i="30" s="1"/>
  <c r="V53" i="30"/>
  <c r="U53" i="30"/>
  <c r="T53" i="30"/>
  <c r="R53" i="30"/>
  <c r="AK24" i="30" s="1"/>
  <c r="V52" i="30"/>
  <c r="U52" i="30"/>
  <c r="T52" i="30"/>
  <c r="R52" i="30"/>
  <c r="AK23" i="30" s="1"/>
  <c r="V51" i="30"/>
  <c r="U51" i="30"/>
  <c r="T51" i="30"/>
  <c r="R51" i="30"/>
  <c r="AK22" i="30" s="1"/>
  <c r="V50" i="30"/>
  <c r="U50" i="30"/>
  <c r="T50" i="30"/>
  <c r="R50" i="30"/>
  <c r="AK21" i="30" s="1"/>
  <c r="V49" i="30"/>
  <c r="U49" i="30"/>
  <c r="T49" i="30"/>
  <c r="R49" i="30"/>
  <c r="AK20" i="30" s="1"/>
  <c r="V48" i="30"/>
  <c r="U48" i="30"/>
  <c r="T48" i="30"/>
  <c r="R48" i="30"/>
  <c r="AK19" i="30" s="1"/>
  <c r="V47" i="30"/>
  <c r="U47" i="30"/>
  <c r="T47" i="30"/>
  <c r="R47" i="30"/>
  <c r="AK18" i="30" s="1"/>
  <c r="V46" i="30"/>
  <c r="U46" i="30"/>
  <c r="T46" i="30"/>
  <c r="R46" i="30"/>
  <c r="V45" i="30"/>
  <c r="U45" i="30"/>
  <c r="T45" i="30"/>
  <c r="R45" i="30"/>
  <c r="AK16" i="30" s="1"/>
  <c r="V44" i="30"/>
  <c r="U44" i="30"/>
  <c r="T44" i="30"/>
  <c r="R44" i="30"/>
  <c r="AK15" i="30" s="1"/>
  <c r="V43" i="30"/>
  <c r="U43" i="30"/>
  <c r="T43" i="30"/>
  <c r="R43" i="30"/>
  <c r="AK14" i="30" s="1"/>
  <c r="V42" i="30"/>
  <c r="U42" i="30"/>
  <c r="T42" i="30"/>
  <c r="R42" i="30"/>
  <c r="AK13" i="30" s="1"/>
  <c r="V41" i="30"/>
  <c r="U41" i="30"/>
  <c r="T41" i="30"/>
  <c r="R41" i="30"/>
  <c r="AK12" i="30" s="1"/>
  <c r="V40" i="30"/>
  <c r="U40" i="30"/>
  <c r="T40" i="30"/>
  <c r="R40" i="30"/>
  <c r="AK11" i="30" s="1"/>
  <c r="V39" i="30"/>
  <c r="U39" i="30"/>
  <c r="T39" i="30"/>
  <c r="R39" i="30"/>
  <c r="AK10" i="30" s="1"/>
  <c r="V38" i="30"/>
  <c r="U38" i="30"/>
  <c r="T38" i="30"/>
  <c r="R38" i="30"/>
  <c r="V37" i="30"/>
  <c r="U37" i="30"/>
  <c r="T37" i="30"/>
  <c r="R37" i="30"/>
  <c r="AK8" i="30" s="1"/>
  <c r="V36" i="30"/>
  <c r="U36" i="30"/>
  <c r="T36" i="30"/>
  <c r="R36" i="30"/>
  <c r="AK7" i="30" s="1"/>
  <c r="V30" i="30"/>
  <c r="V29" i="30"/>
  <c r="T25" i="30"/>
  <c r="V23" i="30"/>
  <c r="T13" i="30"/>
  <c r="V11" i="30"/>
  <c r="T7" i="30"/>
  <c r="G17" i="29"/>
  <c r="G16" i="29"/>
  <c r="G15" i="29"/>
  <c r="G14" i="29"/>
  <c r="AK17" i="30"/>
  <c r="AK9" i="30"/>
  <c r="AL6" i="30"/>
  <c r="AF6" i="30"/>
  <c r="AN6" i="30" s="1"/>
  <c r="Q72" i="30"/>
  <c r="G72" i="30"/>
  <c r="F72" i="30"/>
  <c r="V72" i="30" s="1"/>
  <c r="E72" i="30"/>
  <c r="U72" i="30" s="1"/>
  <c r="D72" i="30"/>
  <c r="T72" i="30" s="1"/>
  <c r="C72" i="30"/>
  <c r="B72" i="30"/>
  <c r="R72" i="30" s="1"/>
  <c r="Q71" i="30"/>
  <c r="Q70" i="30"/>
  <c r="Q69" i="30"/>
  <c r="Q68" i="30"/>
  <c r="Q67" i="30"/>
  <c r="Q66" i="30"/>
  <c r="Q65" i="30"/>
  <c r="Q64" i="30"/>
  <c r="Q63" i="30"/>
  <c r="Q62" i="30"/>
  <c r="Q61" i="30"/>
  <c r="Q60" i="30"/>
  <c r="Q59" i="30"/>
  <c r="Q58" i="30"/>
  <c r="Q57" i="30"/>
  <c r="Q56" i="30"/>
  <c r="Q55" i="30"/>
  <c r="Q54" i="30"/>
  <c r="Q53" i="30"/>
  <c r="Q52" i="30"/>
  <c r="Q51" i="30"/>
  <c r="Q50" i="30"/>
  <c r="Q49" i="30"/>
  <c r="Q48" i="30"/>
  <c r="Q47" i="30"/>
  <c r="Q46" i="30"/>
  <c r="Q45" i="30"/>
  <c r="Q44" i="30"/>
  <c r="Q43" i="30"/>
  <c r="Q42" i="30"/>
  <c r="Q41" i="30"/>
  <c r="Q40" i="30"/>
  <c r="Q39" i="30"/>
  <c r="Q38" i="30"/>
  <c r="Q37" i="30"/>
  <c r="Q36" i="30"/>
  <c r="Q31" i="30"/>
  <c r="AF31" i="30" s="1"/>
  <c r="AN31" i="30" s="1"/>
  <c r="V35" i="30"/>
  <c r="U35" i="30"/>
  <c r="T35" i="30"/>
  <c r="AG6" i="30"/>
  <c r="C33" i="30"/>
  <c r="AB27" i="12"/>
  <c r="AB24" i="12"/>
  <c r="AB23" i="12"/>
  <c r="U7" i="30" l="1"/>
  <c r="V7" i="30"/>
  <c r="AA7" i="30"/>
  <c r="N31" i="30"/>
  <c r="AC31" i="30" s="1"/>
  <c r="AB7" i="30"/>
  <c r="X31" i="30"/>
  <c r="S72" i="30"/>
  <c r="S70" i="30"/>
  <c r="S68" i="30"/>
  <c r="S66" i="30"/>
  <c r="S64" i="30"/>
  <c r="S62" i="30"/>
  <c r="S60" i="30"/>
  <c r="AL31" i="30" s="1"/>
  <c r="S58" i="30"/>
  <c r="AL29" i="30" s="1"/>
  <c r="S56" i="30"/>
  <c r="AL27" i="30" s="1"/>
  <c r="S54" i="30"/>
  <c r="AL25" i="30" s="1"/>
  <c r="S52" i="30"/>
  <c r="AL23" i="30" s="1"/>
  <c r="S50" i="30"/>
  <c r="AL21" i="30" s="1"/>
  <c r="S48" i="30"/>
  <c r="AL19" i="30" s="1"/>
  <c r="S46" i="30"/>
  <c r="AL17" i="30" s="1"/>
  <c r="S44" i="30"/>
  <c r="AL15" i="30" s="1"/>
  <c r="S42" i="30"/>
  <c r="AL13" i="30" s="1"/>
  <c r="S40" i="30"/>
  <c r="AL11" i="30" s="1"/>
  <c r="S38" i="30"/>
  <c r="AL9" i="30" s="1"/>
  <c r="S36" i="30"/>
  <c r="AL7" i="30" s="1"/>
  <c r="S71" i="30"/>
  <c r="S69" i="30"/>
  <c r="S67" i="30"/>
  <c r="S65" i="30"/>
  <c r="S63" i="30"/>
  <c r="S61" i="30"/>
  <c r="S59" i="30"/>
  <c r="AL30" i="30" s="1"/>
  <c r="S57" i="30"/>
  <c r="AL28" i="30" s="1"/>
  <c r="S55" i="30"/>
  <c r="AL26" i="30" s="1"/>
  <c r="S53" i="30"/>
  <c r="AL24" i="30" s="1"/>
  <c r="S51" i="30"/>
  <c r="AL22" i="30" s="1"/>
  <c r="S49" i="30"/>
  <c r="AL20" i="30" s="1"/>
  <c r="S47" i="30"/>
  <c r="AL18" i="30" s="1"/>
  <c r="S45" i="30"/>
  <c r="AL16" i="30" s="1"/>
  <c r="S43" i="30"/>
  <c r="AL14" i="30" s="1"/>
  <c r="S41" i="30"/>
  <c r="AL12" i="30" s="1"/>
  <c r="S39" i="30"/>
  <c r="AL10" i="30" s="1"/>
  <c r="S37" i="30"/>
  <c r="AL8" i="30" s="1"/>
  <c r="G33" i="30"/>
  <c r="W70" i="30" l="1"/>
  <c r="W68" i="30"/>
  <c r="W66" i="30"/>
  <c r="W64" i="30"/>
  <c r="W62" i="30"/>
  <c r="W60" i="30"/>
  <c r="AQ31" i="30" s="1"/>
  <c r="W58" i="30"/>
  <c r="AQ29" i="30" s="1"/>
  <c r="W56" i="30"/>
  <c r="AQ27" i="30" s="1"/>
  <c r="W54" i="30"/>
  <c r="AQ25" i="30" s="1"/>
  <c r="W52" i="30"/>
  <c r="AQ23" i="30" s="1"/>
  <c r="W50" i="30"/>
  <c r="AQ21" i="30" s="1"/>
  <c r="W48" i="30"/>
  <c r="AQ19" i="30" s="1"/>
  <c r="W46" i="30"/>
  <c r="AQ17" i="30" s="1"/>
  <c r="W44" i="30"/>
  <c r="AQ15" i="30" s="1"/>
  <c r="W42" i="30"/>
  <c r="AQ13" i="30" s="1"/>
  <c r="W40" i="30"/>
  <c r="AQ11" i="30" s="1"/>
  <c r="W38" i="30"/>
  <c r="AQ9" i="30" s="1"/>
  <c r="W36" i="30"/>
  <c r="AQ7" i="30" s="1"/>
  <c r="W71" i="30"/>
  <c r="W69" i="30"/>
  <c r="W67" i="30"/>
  <c r="W65" i="30"/>
  <c r="W63" i="30"/>
  <c r="W61" i="30"/>
  <c r="W59" i="30"/>
  <c r="AQ30" i="30" s="1"/>
  <c r="W57" i="30"/>
  <c r="AQ28" i="30" s="1"/>
  <c r="W55" i="30"/>
  <c r="AQ26" i="30" s="1"/>
  <c r="W53" i="30"/>
  <c r="AQ24" i="30" s="1"/>
  <c r="W51" i="30"/>
  <c r="AQ22" i="30" s="1"/>
  <c r="W49" i="30"/>
  <c r="AQ20" i="30" s="1"/>
  <c r="W47" i="30"/>
  <c r="AQ18" i="30" s="1"/>
  <c r="W45" i="30"/>
  <c r="AQ16" i="30" s="1"/>
  <c r="W43" i="30"/>
  <c r="AQ14" i="30" s="1"/>
  <c r="W41" i="30"/>
  <c r="AQ12" i="30" s="1"/>
  <c r="W39" i="30"/>
  <c r="AQ10" i="30" s="1"/>
  <c r="W37" i="30"/>
  <c r="AQ8" i="30" s="1"/>
  <c r="W72" i="30"/>
  <c r="I24" i="29"/>
  <c r="E24" i="29"/>
  <c r="D24" i="29"/>
  <c r="I23" i="29"/>
  <c r="B32" i="29" s="1"/>
  <c r="B33" i="29" s="1"/>
  <c r="B35" i="29" s="1"/>
  <c r="B36" i="29" s="1"/>
  <c r="E23" i="29"/>
  <c r="D23" i="29"/>
  <c r="E13" i="29"/>
  <c r="E12" i="29"/>
  <c r="E11" i="29"/>
  <c r="E10" i="29"/>
  <c r="E17" i="29"/>
  <c r="E16" i="29"/>
  <c r="E15" i="29"/>
  <c r="E14" i="29"/>
  <c r="J24" i="29" l="1"/>
  <c r="J23" i="29"/>
  <c r="A216" i="28"/>
  <c r="O191" i="28"/>
  <c r="N191" i="28"/>
  <c r="M191" i="28"/>
  <c r="L191" i="28"/>
  <c r="K191" i="28"/>
  <c r="J191" i="28"/>
  <c r="G191" i="28"/>
  <c r="F191" i="28"/>
  <c r="E191" i="28"/>
  <c r="D191" i="28"/>
  <c r="C191" i="28"/>
  <c r="B191" i="28"/>
  <c r="A185" i="28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I7" i="30"/>
  <c r="A7" i="30"/>
  <c r="O160" i="28"/>
  <c r="N160" i="28"/>
  <c r="M160" i="28"/>
  <c r="L160" i="28"/>
  <c r="K160" i="28"/>
  <c r="J160" i="28"/>
  <c r="G160" i="28"/>
  <c r="F160" i="28"/>
  <c r="E160" i="28"/>
  <c r="D160" i="28"/>
  <c r="C160" i="28"/>
  <c r="B160" i="28"/>
  <c r="W129" i="28"/>
  <c r="V129" i="28"/>
  <c r="U129" i="28"/>
  <c r="T129" i="28"/>
  <c r="S129" i="28"/>
  <c r="R129" i="28"/>
  <c r="O129" i="28"/>
  <c r="N129" i="28"/>
  <c r="M129" i="28"/>
  <c r="L129" i="28"/>
  <c r="K129" i="28"/>
  <c r="J129" i="28"/>
  <c r="G129" i="28"/>
  <c r="F129" i="28"/>
  <c r="E129" i="28"/>
  <c r="D129" i="28"/>
  <c r="C129" i="28"/>
  <c r="B129" i="28"/>
  <c r="AK98" i="28"/>
  <c r="AJ98" i="28"/>
  <c r="AI98" i="28"/>
  <c r="AH98" i="28"/>
  <c r="AG98" i="28"/>
  <c r="AF98" i="28"/>
  <c r="AC98" i="28"/>
  <c r="AB98" i="28"/>
  <c r="AA98" i="28"/>
  <c r="Z98" i="28"/>
  <c r="Y98" i="28"/>
  <c r="W98" i="28"/>
  <c r="V98" i="28"/>
  <c r="U98" i="28"/>
  <c r="T98" i="28"/>
  <c r="S98" i="28"/>
  <c r="R98" i="28"/>
  <c r="O98" i="28"/>
  <c r="N98" i="28"/>
  <c r="M98" i="28"/>
  <c r="L98" i="28"/>
  <c r="K98" i="28"/>
  <c r="J98" i="28"/>
  <c r="G98" i="28"/>
  <c r="F98" i="28"/>
  <c r="E98" i="28"/>
  <c r="D98" i="28"/>
  <c r="C98" i="28"/>
  <c r="B98" i="28"/>
  <c r="O67" i="28"/>
  <c r="N67" i="28"/>
  <c r="M67" i="28"/>
  <c r="L67" i="28"/>
  <c r="K67" i="28"/>
  <c r="J67" i="28"/>
  <c r="G67" i="28"/>
  <c r="F67" i="28"/>
  <c r="E67" i="28"/>
  <c r="D67" i="28"/>
  <c r="C67" i="28"/>
  <c r="B67" i="28"/>
  <c r="O36" i="28"/>
  <c r="N36" i="28"/>
  <c r="M36" i="28"/>
  <c r="L36" i="28"/>
  <c r="K36" i="28"/>
  <c r="J36" i="28"/>
  <c r="G36" i="28"/>
  <c r="F36" i="28"/>
  <c r="E36" i="28"/>
  <c r="D36" i="28"/>
  <c r="C36" i="28"/>
  <c r="B36" i="28"/>
  <c r="O5" i="28"/>
  <c r="N5" i="28"/>
  <c r="M5" i="28"/>
  <c r="L5" i="28"/>
  <c r="K5" i="28"/>
  <c r="J5" i="28"/>
  <c r="G5" i="28"/>
  <c r="F5" i="28"/>
  <c r="E5" i="28"/>
  <c r="D5" i="28"/>
  <c r="C5" i="28"/>
  <c r="B5" i="28"/>
  <c r="H64" i="1"/>
  <c r="G64" i="1"/>
  <c r="F64" i="1"/>
  <c r="E64" i="1"/>
  <c r="D64" i="1"/>
  <c r="H63" i="1"/>
  <c r="G63" i="1"/>
  <c r="F63" i="1"/>
  <c r="E63" i="1"/>
  <c r="D63" i="1"/>
  <c r="H62" i="1"/>
  <c r="G62" i="1"/>
  <c r="F62" i="1"/>
  <c r="E62" i="1"/>
  <c r="D62" i="1"/>
  <c r="H61" i="1"/>
  <c r="G61" i="1"/>
  <c r="F61" i="1"/>
  <c r="E61" i="1"/>
  <c r="D61" i="1"/>
  <c r="H60" i="1"/>
  <c r="G60" i="1"/>
  <c r="F60" i="1"/>
  <c r="E60" i="1"/>
  <c r="D60" i="1"/>
  <c r="H59" i="1"/>
  <c r="G59" i="1"/>
  <c r="F59" i="1"/>
  <c r="E59" i="1"/>
  <c r="D59" i="1"/>
  <c r="H58" i="1"/>
  <c r="G58" i="1"/>
  <c r="F58" i="1"/>
  <c r="E58" i="1"/>
  <c r="D58" i="1"/>
  <c r="H57" i="1"/>
  <c r="G57" i="1"/>
  <c r="F57" i="1"/>
  <c r="E57" i="1"/>
  <c r="D57" i="1"/>
  <c r="H56" i="1"/>
  <c r="G56" i="1"/>
  <c r="F56" i="1"/>
  <c r="E56" i="1"/>
  <c r="D56" i="1"/>
  <c r="H55" i="1"/>
  <c r="G55" i="1"/>
  <c r="F55" i="1"/>
  <c r="E55" i="1"/>
  <c r="D55" i="1"/>
  <c r="H54" i="1"/>
  <c r="G54" i="1"/>
  <c r="F54" i="1"/>
  <c r="E54" i="1"/>
  <c r="D54" i="1"/>
  <c r="H53" i="1"/>
  <c r="G53" i="1"/>
  <c r="F53" i="1"/>
  <c r="E53" i="1"/>
  <c r="D53" i="1"/>
  <c r="H52" i="1"/>
  <c r="G52" i="1"/>
  <c r="F52" i="1"/>
  <c r="E52" i="1"/>
  <c r="D52" i="1"/>
  <c r="H51" i="1"/>
  <c r="G51" i="1"/>
  <c r="F51" i="1"/>
  <c r="E51" i="1"/>
  <c r="D51" i="1"/>
  <c r="H50" i="1"/>
  <c r="G50" i="1"/>
  <c r="F50" i="1"/>
  <c r="E50" i="1"/>
  <c r="D50" i="1"/>
  <c r="H49" i="1"/>
  <c r="G49" i="1"/>
  <c r="F49" i="1"/>
  <c r="E49" i="1"/>
  <c r="D49" i="1"/>
  <c r="H48" i="1"/>
  <c r="G48" i="1"/>
  <c r="F48" i="1"/>
  <c r="E48" i="1"/>
  <c r="D48" i="1"/>
  <c r="H47" i="1"/>
  <c r="G47" i="1"/>
  <c r="F47" i="1"/>
  <c r="E47" i="1"/>
  <c r="D47" i="1"/>
  <c r="H46" i="1"/>
  <c r="G46" i="1"/>
  <c r="F46" i="1"/>
  <c r="E46" i="1"/>
  <c r="D46" i="1"/>
  <c r="G44" i="1"/>
  <c r="F44" i="1"/>
  <c r="E44" i="1"/>
  <c r="C44" i="1"/>
  <c r="Y46" i="26"/>
  <c r="P46" i="26"/>
  <c r="Y45" i="26"/>
  <c r="P45" i="26"/>
  <c r="Y44" i="26"/>
  <c r="P44" i="26"/>
  <c r="Y43" i="26"/>
  <c r="P43" i="26"/>
  <c r="Y42" i="26"/>
  <c r="P42" i="26"/>
  <c r="Y41" i="26"/>
  <c r="P41" i="26"/>
  <c r="Y40" i="26"/>
  <c r="P40" i="26"/>
  <c r="Y39" i="26"/>
  <c r="P39" i="26"/>
  <c r="Y38" i="26"/>
  <c r="Y37" i="26"/>
  <c r="P37" i="26"/>
  <c r="Y36" i="26"/>
  <c r="P36" i="26"/>
  <c r="Y35" i="26"/>
  <c r="P35" i="26"/>
  <c r="Y34" i="26"/>
  <c r="P34" i="26"/>
  <c r="Y33" i="26"/>
  <c r="P33" i="26"/>
  <c r="Y32" i="26"/>
  <c r="P32" i="26"/>
  <c r="Y31" i="26"/>
  <c r="P31" i="26"/>
  <c r="Y30" i="26"/>
  <c r="P30" i="26"/>
  <c r="Y29" i="26"/>
  <c r="P29" i="26"/>
  <c r="Y28" i="26"/>
  <c r="P28" i="26"/>
  <c r="Y27" i="26"/>
  <c r="P27" i="26"/>
  <c r="Y26" i="26"/>
  <c r="P26" i="26"/>
  <c r="Y25" i="26"/>
  <c r="P25" i="26"/>
  <c r="Y24" i="26"/>
  <c r="P24" i="26"/>
  <c r="Y23" i="26"/>
  <c r="P23" i="26"/>
  <c r="Y22" i="26"/>
  <c r="P22" i="26"/>
  <c r="Y21" i="26"/>
  <c r="P21" i="26"/>
  <c r="Y20" i="26"/>
  <c r="P20" i="26"/>
  <c r="Y19" i="26"/>
  <c r="P19" i="26"/>
  <c r="Y18" i="26"/>
  <c r="P18" i="26"/>
  <c r="Y17" i="26"/>
  <c r="P17" i="26"/>
  <c r="Y16" i="26"/>
  <c r="P16" i="26"/>
  <c r="Y15" i="26"/>
  <c r="P15" i="26"/>
  <c r="Y14" i="26"/>
  <c r="P14" i="26"/>
  <c r="S13" i="26"/>
  <c r="T13" i="26" s="1"/>
  <c r="U13" i="26" s="1"/>
  <c r="P13" i="26"/>
  <c r="J13" i="26"/>
  <c r="I13" i="26"/>
  <c r="K13" i="26" s="1"/>
  <c r="H13" i="26"/>
  <c r="D13" i="26"/>
  <c r="F13" i="26" s="1"/>
  <c r="H12" i="26"/>
  <c r="V10" i="26"/>
  <c r="S10" i="26"/>
  <c r="K10" i="26"/>
  <c r="J10" i="26"/>
  <c r="I10" i="26"/>
  <c r="F10" i="26"/>
  <c r="E10" i="26"/>
  <c r="T12" i="26" s="1"/>
  <c r="D10" i="26"/>
  <c r="S12" i="26" s="1"/>
  <c r="U8" i="26"/>
  <c r="V8" i="26" s="1"/>
  <c r="W8" i="26" s="1"/>
  <c r="X8" i="26" s="1"/>
  <c r="T8" i="26"/>
  <c r="E7" i="26"/>
  <c r="R46" i="26" s="1"/>
  <c r="D7" i="26"/>
  <c r="T6" i="26"/>
  <c r="U6" i="26" s="1"/>
  <c r="Y46" i="25"/>
  <c r="P46" i="25"/>
  <c r="Y45" i="25"/>
  <c r="P45" i="25"/>
  <c r="Y44" i="25"/>
  <c r="P44" i="25"/>
  <c r="Y43" i="25"/>
  <c r="P43" i="25"/>
  <c r="Y42" i="25"/>
  <c r="P42" i="25"/>
  <c r="Y41" i="25"/>
  <c r="P41" i="25"/>
  <c r="Y40" i="25"/>
  <c r="P40" i="25"/>
  <c r="Y39" i="25"/>
  <c r="P39" i="25"/>
  <c r="Y38" i="25"/>
  <c r="Y37" i="25"/>
  <c r="P37" i="25"/>
  <c r="Y36" i="25"/>
  <c r="P36" i="25"/>
  <c r="Y35" i="25"/>
  <c r="P35" i="25"/>
  <c r="Y34" i="25"/>
  <c r="P34" i="25"/>
  <c r="Y33" i="25"/>
  <c r="P33" i="25"/>
  <c r="Y32" i="25"/>
  <c r="P32" i="25"/>
  <c r="Y31" i="25"/>
  <c r="P31" i="25"/>
  <c r="Y30" i="25"/>
  <c r="P30" i="25"/>
  <c r="Y29" i="25"/>
  <c r="P29" i="25"/>
  <c r="Y28" i="25"/>
  <c r="P28" i="25"/>
  <c r="Y27" i="25"/>
  <c r="P27" i="25"/>
  <c r="Y26" i="25"/>
  <c r="P26" i="25"/>
  <c r="Y25" i="25"/>
  <c r="P25" i="25"/>
  <c r="Y24" i="25"/>
  <c r="P24" i="25"/>
  <c r="Y23" i="25"/>
  <c r="P23" i="25"/>
  <c r="Y22" i="25"/>
  <c r="P22" i="25"/>
  <c r="Y21" i="25"/>
  <c r="P21" i="25"/>
  <c r="Y20" i="25"/>
  <c r="P20" i="25"/>
  <c r="Y19" i="25"/>
  <c r="P19" i="25"/>
  <c r="Y18" i="25"/>
  <c r="P18" i="25"/>
  <c r="Y17" i="25"/>
  <c r="P17" i="25"/>
  <c r="Y16" i="25"/>
  <c r="P16" i="25"/>
  <c r="Y15" i="25"/>
  <c r="P15" i="25"/>
  <c r="Y14" i="25"/>
  <c r="P14" i="25"/>
  <c r="S13" i="25"/>
  <c r="T13" i="25" s="1"/>
  <c r="U13" i="25" s="1"/>
  <c r="P13" i="25"/>
  <c r="K13" i="25"/>
  <c r="J13" i="25"/>
  <c r="I13" i="25"/>
  <c r="H13" i="25"/>
  <c r="F13" i="25"/>
  <c r="D13" i="25"/>
  <c r="E13" i="25" s="1"/>
  <c r="T12" i="25"/>
  <c r="S12" i="25"/>
  <c r="H12" i="25"/>
  <c r="V10" i="25"/>
  <c r="S10" i="25"/>
  <c r="K10" i="25"/>
  <c r="J10" i="25"/>
  <c r="I10" i="25"/>
  <c r="F10" i="25"/>
  <c r="U12" i="25" s="1"/>
  <c r="E10" i="25"/>
  <c r="D10" i="25"/>
  <c r="T8" i="25"/>
  <c r="U8" i="25" s="1"/>
  <c r="V8" i="25" s="1"/>
  <c r="W8" i="25" s="1"/>
  <c r="X8" i="25" s="1"/>
  <c r="E7" i="25"/>
  <c r="R45" i="25" s="1"/>
  <c r="D7" i="25"/>
  <c r="X6" i="25"/>
  <c r="V6" i="25"/>
  <c r="W6" i="25" s="1"/>
  <c r="U6" i="25"/>
  <c r="T6" i="25"/>
  <c r="Y46" i="24"/>
  <c r="P46" i="24"/>
  <c r="Y45" i="24"/>
  <c r="P45" i="24"/>
  <c r="Y44" i="24"/>
  <c r="P44" i="24"/>
  <c r="Y43" i="24"/>
  <c r="P43" i="24"/>
  <c r="Y42" i="24"/>
  <c r="P42" i="24"/>
  <c r="Y41" i="24"/>
  <c r="P41" i="24"/>
  <c r="Y40" i="24"/>
  <c r="P40" i="24"/>
  <c r="Y39" i="24"/>
  <c r="P39" i="24"/>
  <c r="Y38" i="24"/>
  <c r="Y37" i="24"/>
  <c r="P37" i="24"/>
  <c r="Y36" i="24"/>
  <c r="P36" i="24"/>
  <c r="Y35" i="24"/>
  <c r="P35" i="24"/>
  <c r="Y34" i="24"/>
  <c r="P34" i="24"/>
  <c r="Y33" i="24"/>
  <c r="P33" i="24"/>
  <c r="Y32" i="24"/>
  <c r="P32" i="24"/>
  <c r="Y31" i="24"/>
  <c r="P31" i="24"/>
  <c r="Y30" i="24"/>
  <c r="P30" i="24"/>
  <c r="Y29" i="24"/>
  <c r="P29" i="24"/>
  <c r="Y28" i="24"/>
  <c r="P28" i="24"/>
  <c r="Y27" i="24"/>
  <c r="P27" i="24"/>
  <c r="Y26" i="24"/>
  <c r="P26" i="24"/>
  <c r="Y25" i="24"/>
  <c r="P25" i="24"/>
  <c r="Y24" i="24"/>
  <c r="P24" i="24"/>
  <c r="Y23" i="24"/>
  <c r="P23" i="24"/>
  <c r="Y22" i="24"/>
  <c r="P22" i="24"/>
  <c r="Y21" i="24"/>
  <c r="P21" i="24"/>
  <c r="Y20" i="24"/>
  <c r="P20" i="24"/>
  <c r="Y19" i="24"/>
  <c r="P19" i="24"/>
  <c r="Y18" i="24"/>
  <c r="P18" i="24"/>
  <c r="Y17" i="24"/>
  <c r="P17" i="24"/>
  <c r="Y16" i="24"/>
  <c r="P16" i="24"/>
  <c r="Y15" i="24"/>
  <c r="P15" i="24"/>
  <c r="Y14" i="24"/>
  <c r="P14" i="24"/>
  <c r="V13" i="24"/>
  <c r="W13" i="24" s="1"/>
  <c r="X13" i="24" s="1"/>
  <c r="S13" i="24"/>
  <c r="T13" i="24" s="1"/>
  <c r="U13" i="24" s="1"/>
  <c r="P13" i="24"/>
  <c r="J13" i="24"/>
  <c r="I13" i="24"/>
  <c r="K13" i="24" s="1"/>
  <c r="H13" i="24"/>
  <c r="F13" i="24"/>
  <c r="E13" i="24"/>
  <c r="D13" i="24"/>
  <c r="H12" i="24"/>
  <c r="V10" i="24"/>
  <c r="S10" i="24"/>
  <c r="K10" i="24"/>
  <c r="J10" i="24"/>
  <c r="I10" i="24"/>
  <c r="F10" i="24"/>
  <c r="E10" i="24"/>
  <c r="T12" i="24" s="1"/>
  <c r="D10" i="24"/>
  <c r="S12" i="24" s="1"/>
  <c r="T8" i="24"/>
  <c r="U8" i="24" s="1"/>
  <c r="V8" i="24" s="1"/>
  <c r="W8" i="24" s="1"/>
  <c r="X8" i="24" s="1"/>
  <c r="E7" i="24"/>
  <c r="Q37" i="24" s="1"/>
  <c r="D7" i="24"/>
  <c r="V6" i="24"/>
  <c r="V12" i="24" s="1"/>
  <c r="U6" i="24"/>
  <c r="T6" i="24"/>
  <c r="Y46" i="23"/>
  <c r="P46" i="23"/>
  <c r="Y45" i="23"/>
  <c r="P45" i="23"/>
  <c r="Y44" i="23"/>
  <c r="P44" i="23"/>
  <c r="Y43" i="23"/>
  <c r="P43" i="23"/>
  <c r="Y42" i="23"/>
  <c r="P42" i="23"/>
  <c r="Y41" i="23"/>
  <c r="P41" i="23"/>
  <c r="Y40" i="23"/>
  <c r="P40" i="23"/>
  <c r="Y39" i="23"/>
  <c r="P39" i="23"/>
  <c r="Y38" i="23"/>
  <c r="Y37" i="23"/>
  <c r="P37" i="23"/>
  <c r="Y36" i="23"/>
  <c r="P36" i="23"/>
  <c r="Y35" i="23"/>
  <c r="P35" i="23"/>
  <c r="Y34" i="23"/>
  <c r="P34" i="23"/>
  <c r="Y33" i="23"/>
  <c r="P33" i="23"/>
  <c r="Y32" i="23"/>
  <c r="P32" i="23"/>
  <c r="Y31" i="23"/>
  <c r="P31" i="23"/>
  <c r="Y30" i="23"/>
  <c r="P30" i="23"/>
  <c r="Y29" i="23"/>
  <c r="P29" i="23"/>
  <c r="Y28" i="23"/>
  <c r="P28" i="23"/>
  <c r="Y27" i="23"/>
  <c r="P27" i="23"/>
  <c r="Y26" i="23"/>
  <c r="P26" i="23"/>
  <c r="Y25" i="23"/>
  <c r="P25" i="23"/>
  <c r="Y24" i="23"/>
  <c r="P24" i="23"/>
  <c r="Y23" i="23"/>
  <c r="P23" i="23"/>
  <c r="Y22" i="23"/>
  <c r="P22" i="23"/>
  <c r="Y21" i="23"/>
  <c r="P21" i="23"/>
  <c r="Y20" i="23"/>
  <c r="P20" i="23"/>
  <c r="Y19" i="23"/>
  <c r="P19" i="23"/>
  <c r="Y18" i="23"/>
  <c r="P18" i="23"/>
  <c r="Y17" i="23"/>
  <c r="P17" i="23"/>
  <c r="Y16" i="23"/>
  <c r="P16" i="23"/>
  <c r="Y15" i="23"/>
  <c r="P15" i="23"/>
  <c r="Y14" i="23"/>
  <c r="P14" i="23"/>
  <c r="U13" i="23"/>
  <c r="S13" i="23"/>
  <c r="T13" i="23" s="1"/>
  <c r="P13" i="23"/>
  <c r="J13" i="23"/>
  <c r="I13" i="23"/>
  <c r="K13" i="23" s="1"/>
  <c r="H13" i="23"/>
  <c r="D13" i="23"/>
  <c r="F13" i="23" s="1"/>
  <c r="U12" i="23"/>
  <c r="T12" i="23"/>
  <c r="H12" i="23"/>
  <c r="V10" i="23"/>
  <c r="S10" i="23"/>
  <c r="K10" i="23"/>
  <c r="J10" i="23"/>
  <c r="I10" i="23"/>
  <c r="F10" i="23"/>
  <c r="E10" i="23"/>
  <c r="D10" i="23"/>
  <c r="S12" i="23" s="1"/>
  <c r="U8" i="23"/>
  <c r="V8" i="23" s="1"/>
  <c r="W8" i="23" s="1"/>
  <c r="X8" i="23" s="1"/>
  <c r="T8" i="23"/>
  <c r="E7" i="23"/>
  <c r="R45" i="23" s="1"/>
  <c r="D7" i="23"/>
  <c r="U6" i="23"/>
  <c r="V6" i="23" s="1"/>
  <c r="T6" i="23"/>
  <c r="Y46" i="22"/>
  <c r="P46" i="22"/>
  <c r="Y45" i="22"/>
  <c r="P45" i="22"/>
  <c r="Y44" i="22"/>
  <c r="P44" i="22"/>
  <c r="Y43" i="22"/>
  <c r="P43" i="22"/>
  <c r="Y42" i="22"/>
  <c r="P42" i="22"/>
  <c r="Y41" i="22"/>
  <c r="P41" i="22"/>
  <c r="Y40" i="22"/>
  <c r="P40" i="22"/>
  <c r="Y39" i="22"/>
  <c r="P39" i="22"/>
  <c r="Y38" i="22"/>
  <c r="Y37" i="22"/>
  <c r="P37" i="22"/>
  <c r="Y36" i="22"/>
  <c r="P36" i="22"/>
  <c r="Y35" i="22"/>
  <c r="P35" i="22"/>
  <c r="Y34" i="22"/>
  <c r="P34" i="22"/>
  <c r="Y33" i="22"/>
  <c r="P33" i="22"/>
  <c r="Y32" i="22"/>
  <c r="P32" i="22"/>
  <c r="Y31" i="22"/>
  <c r="P31" i="22"/>
  <c r="Y30" i="22"/>
  <c r="P30" i="22"/>
  <c r="Y29" i="22"/>
  <c r="P29" i="22"/>
  <c r="Y28" i="22"/>
  <c r="P28" i="22"/>
  <c r="Y27" i="22"/>
  <c r="P27" i="22"/>
  <c r="Y26" i="22"/>
  <c r="P26" i="22"/>
  <c r="Y25" i="22"/>
  <c r="P25" i="22"/>
  <c r="Y24" i="22"/>
  <c r="P24" i="22"/>
  <c r="Y23" i="22"/>
  <c r="P23" i="22"/>
  <c r="Y22" i="22"/>
  <c r="P22" i="22"/>
  <c r="Y21" i="22"/>
  <c r="P21" i="22"/>
  <c r="Y20" i="22"/>
  <c r="P20" i="22"/>
  <c r="Y19" i="22"/>
  <c r="P19" i="22"/>
  <c r="Y18" i="22"/>
  <c r="P18" i="22"/>
  <c r="Y17" i="22"/>
  <c r="P17" i="22"/>
  <c r="Y16" i="22"/>
  <c r="P16" i="22"/>
  <c r="Y15" i="22"/>
  <c r="P15" i="22"/>
  <c r="Y14" i="22"/>
  <c r="P14" i="22"/>
  <c r="U13" i="22"/>
  <c r="T13" i="22"/>
  <c r="S13" i="22"/>
  <c r="P13" i="22"/>
  <c r="I13" i="22"/>
  <c r="J13" i="22" s="1"/>
  <c r="H13" i="22"/>
  <c r="F13" i="22"/>
  <c r="E13" i="22"/>
  <c r="D13" i="22"/>
  <c r="T12" i="22"/>
  <c r="S12" i="22"/>
  <c r="H12" i="22"/>
  <c r="V10" i="22"/>
  <c r="S10" i="22"/>
  <c r="K10" i="22"/>
  <c r="J10" i="22"/>
  <c r="I10" i="22"/>
  <c r="F10" i="22"/>
  <c r="E10" i="22"/>
  <c r="D10" i="22"/>
  <c r="T8" i="22"/>
  <c r="U8" i="22" s="1"/>
  <c r="V8" i="22" s="1"/>
  <c r="W8" i="22" s="1"/>
  <c r="X8" i="22" s="1"/>
  <c r="E7" i="22"/>
  <c r="R34" i="22" s="1"/>
  <c r="D7" i="22"/>
  <c r="T6" i="22"/>
  <c r="U6" i="22" s="1"/>
  <c r="Y46" i="21"/>
  <c r="P46" i="21"/>
  <c r="Y45" i="21"/>
  <c r="P45" i="21"/>
  <c r="Y44" i="21"/>
  <c r="P44" i="21"/>
  <c r="Y43" i="21"/>
  <c r="P43" i="21"/>
  <c r="Y42" i="21"/>
  <c r="P42" i="21"/>
  <c r="Y41" i="21"/>
  <c r="P41" i="21"/>
  <c r="Y40" i="21"/>
  <c r="P40" i="21"/>
  <c r="Y39" i="21"/>
  <c r="P39" i="21"/>
  <c r="Y38" i="21"/>
  <c r="Y37" i="21"/>
  <c r="P37" i="21"/>
  <c r="Y36" i="21"/>
  <c r="P36" i="21"/>
  <c r="Y35" i="21"/>
  <c r="P35" i="21"/>
  <c r="Y34" i="21"/>
  <c r="P34" i="21"/>
  <c r="Y33" i="21"/>
  <c r="P33" i="21"/>
  <c r="Y32" i="21"/>
  <c r="P32" i="21"/>
  <c r="Y31" i="21"/>
  <c r="P31" i="21"/>
  <c r="Y30" i="21"/>
  <c r="P30" i="21"/>
  <c r="Y29" i="21"/>
  <c r="P29" i="21"/>
  <c r="Y28" i="21"/>
  <c r="P28" i="21"/>
  <c r="Y27" i="21"/>
  <c r="P27" i="21"/>
  <c r="Y26" i="21"/>
  <c r="P26" i="21"/>
  <c r="Y25" i="21"/>
  <c r="P25" i="21"/>
  <c r="Y24" i="21"/>
  <c r="P24" i="21"/>
  <c r="Y23" i="21"/>
  <c r="P23" i="21"/>
  <c r="Y22" i="21"/>
  <c r="P22" i="21"/>
  <c r="Y21" i="21"/>
  <c r="P21" i="21"/>
  <c r="Y20" i="21"/>
  <c r="P20" i="21"/>
  <c r="Y19" i="21"/>
  <c r="P19" i="21"/>
  <c r="Y18" i="21"/>
  <c r="P18" i="21"/>
  <c r="Y17" i="21"/>
  <c r="P17" i="21"/>
  <c r="Y16" i="21"/>
  <c r="P16" i="21"/>
  <c r="Y15" i="21"/>
  <c r="P15" i="21"/>
  <c r="Y14" i="21"/>
  <c r="P14" i="21"/>
  <c r="U13" i="21"/>
  <c r="S13" i="21"/>
  <c r="T13" i="21" s="1"/>
  <c r="P13" i="21"/>
  <c r="J13" i="21"/>
  <c r="I13" i="21"/>
  <c r="K13" i="21" s="1"/>
  <c r="H13" i="21"/>
  <c r="F13" i="21"/>
  <c r="E13" i="21"/>
  <c r="D13" i="21"/>
  <c r="T12" i="21"/>
  <c r="H12" i="21"/>
  <c r="V10" i="21"/>
  <c r="S10" i="21"/>
  <c r="K10" i="21"/>
  <c r="J10" i="21"/>
  <c r="I10" i="21"/>
  <c r="F10" i="21"/>
  <c r="E10" i="21"/>
  <c r="D10" i="21"/>
  <c r="S12" i="21" s="1"/>
  <c r="W8" i="21"/>
  <c r="X8" i="21" s="1"/>
  <c r="V8" i="21"/>
  <c r="U8" i="21"/>
  <c r="T8" i="21"/>
  <c r="E7" i="21"/>
  <c r="Q36" i="21" s="1"/>
  <c r="D7" i="21"/>
  <c r="U6" i="21"/>
  <c r="T6" i="21"/>
  <c r="Y46" i="20"/>
  <c r="P46" i="20"/>
  <c r="Y45" i="20"/>
  <c r="P45" i="20"/>
  <c r="Y44" i="20"/>
  <c r="P44" i="20"/>
  <c r="Y43" i="20"/>
  <c r="P43" i="20"/>
  <c r="Y42" i="20"/>
  <c r="P42" i="20"/>
  <c r="Y41" i="20"/>
  <c r="P41" i="20"/>
  <c r="Y40" i="20"/>
  <c r="P40" i="20"/>
  <c r="Y39" i="20"/>
  <c r="P39" i="20"/>
  <c r="Y38" i="20"/>
  <c r="P38" i="20"/>
  <c r="Y37" i="20"/>
  <c r="P37" i="20"/>
  <c r="Y36" i="20"/>
  <c r="P36" i="20"/>
  <c r="Y35" i="20"/>
  <c r="P35" i="20"/>
  <c r="Y34" i="20"/>
  <c r="P34" i="20"/>
  <c r="Y33" i="20"/>
  <c r="P33" i="20"/>
  <c r="Y32" i="20"/>
  <c r="P32" i="20"/>
  <c r="Y31" i="20"/>
  <c r="P31" i="20"/>
  <c r="Y30" i="20"/>
  <c r="P30" i="20"/>
  <c r="Y29" i="20"/>
  <c r="P29" i="20"/>
  <c r="Y28" i="20"/>
  <c r="P28" i="20"/>
  <c r="Y27" i="20"/>
  <c r="P27" i="20"/>
  <c r="Y26" i="20"/>
  <c r="P26" i="20"/>
  <c r="Y25" i="20"/>
  <c r="P25" i="20"/>
  <c r="Y24" i="20"/>
  <c r="P24" i="20"/>
  <c r="Y23" i="20"/>
  <c r="P23" i="20"/>
  <c r="Y22" i="20"/>
  <c r="P22" i="20"/>
  <c r="Y21" i="20"/>
  <c r="P21" i="20"/>
  <c r="Y20" i="20"/>
  <c r="P20" i="20"/>
  <c r="Y19" i="20"/>
  <c r="P19" i="20"/>
  <c r="Y18" i="20"/>
  <c r="P18" i="20"/>
  <c r="Y17" i="20"/>
  <c r="P17" i="20"/>
  <c r="Y16" i="20"/>
  <c r="P16" i="20"/>
  <c r="Y15" i="20"/>
  <c r="P15" i="20"/>
  <c r="Y14" i="20"/>
  <c r="P14" i="20"/>
  <c r="W13" i="20"/>
  <c r="X13" i="20" s="1"/>
  <c r="V13" i="20"/>
  <c r="T13" i="20"/>
  <c r="U13" i="20" s="1"/>
  <c r="S13" i="20"/>
  <c r="P13" i="20"/>
  <c r="I13" i="20"/>
  <c r="K13" i="20" s="1"/>
  <c r="H13" i="20"/>
  <c r="F13" i="20"/>
  <c r="D13" i="20"/>
  <c r="E13" i="20" s="1"/>
  <c r="V12" i="20"/>
  <c r="U12" i="20"/>
  <c r="T12" i="20"/>
  <c r="S12" i="20"/>
  <c r="H12" i="20"/>
  <c r="V10" i="20"/>
  <c r="S10" i="20"/>
  <c r="K10" i="20"/>
  <c r="J10" i="20"/>
  <c r="W12" i="20" s="1"/>
  <c r="I10" i="20"/>
  <c r="F10" i="20"/>
  <c r="E10" i="20"/>
  <c r="D10" i="20"/>
  <c r="U8" i="20"/>
  <c r="V8" i="20" s="1"/>
  <c r="W8" i="20" s="1"/>
  <c r="X8" i="20" s="1"/>
  <c r="T8" i="20"/>
  <c r="E7" i="20"/>
  <c r="R29" i="20" s="1"/>
  <c r="D7" i="20"/>
  <c r="X6" i="20"/>
  <c r="W6" i="20"/>
  <c r="V6" i="20"/>
  <c r="U6" i="20"/>
  <c r="T6" i="20"/>
  <c r="Y46" i="19"/>
  <c r="P46" i="19"/>
  <c r="Y45" i="19"/>
  <c r="P45" i="19"/>
  <c r="Y44" i="19"/>
  <c r="P44" i="19"/>
  <c r="Y43" i="19"/>
  <c r="P43" i="19"/>
  <c r="Y42" i="19"/>
  <c r="P42" i="19"/>
  <c r="Y41" i="19"/>
  <c r="P41" i="19"/>
  <c r="Y40" i="19"/>
  <c r="P40" i="19"/>
  <c r="Y39" i="19"/>
  <c r="P39" i="19"/>
  <c r="Y38" i="19"/>
  <c r="P38" i="19"/>
  <c r="Y37" i="19"/>
  <c r="P37" i="19"/>
  <c r="Y36" i="19"/>
  <c r="P36" i="19"/>
  <c r="Y35" i="19"/>
  <c r="P35" i="19"/>
  <c r="Y34" i="19"/>
  <c r="P34" i="19"/>
  <c r="Y33" i="19"/>
  <c r="P33" i="19"/>
  <c r="Y32" i="19"/>
  <c r="P32" i="19"/>
  <c r="Y31" i="19"/>
  <c r="P31" i="19"/>
  <c r="Y30" i="19"/>
  <c r="P30" i="19"/>
  <c r="Y29" i="19"/>
  <c r="P29" i="19"/>
  <c r="Y28" i="19"/>
  <c r="P28" i="19"/>
  <c r="Y27" i="19"/>
  <c r="P27" i="19"/>
  <c r="Y26" i="19"/>
  <c r="P26" i="19"/>
  <c r="Y25" i="19"/>
  <c r="P25" i="19"/>
  <c r="Y24" i="19"/>
  <c r="P24" i="19"/>
  <c r="Y23" i="19"/>
  <c r="P23" i="19"/>
  <c r="Y22" i="19"/>
  <c r="P22" i="19"/>
  <c r="Y21" i="19"/>
  <c r="P21" i="19"/>
  <c r="Y20" i="19"/>
  <c r="P20" i="19"/>
  <c r="Y19" i="19"/>
  <c r="P19" i="19"/>
  <c r="Y18" i="19"/>
  <c r="P18" i="19"/>
  <c r="Y17" i="19"/>
  <c r="P17" i="19"/>
  <c r="Y16" i="19"/>
  <c r="P16" i="19"/>
  <c r="Y15" i="19"/>
  <c r="P15" i="19"/>
  <c r="Y14" i="19"/>
  <c r="P14" i="19"/>
  <c r="S13" i="19"/>
  <c r="T13" i="19" s="1"/>
  <c r="U13" i="19" s="1"/>
  <c r="P13" i="19"/>
  <c r="K13" i="19"/>
  <c r="J13" i="19"/>
  <c r="I13" i="19"/>
  <c r="H13" i="19"/>
  <c r="D13" i="19"/>
  <c r="F13" i="19" s="1"/>
  <c r="T12" i="19"/>
  <c r="S12" i="19"/>
  <c r="H12" i="19"/>
  <c r="V10" i="19"/>
  <c r="S10" i="19"/>
  <c r="K10" i="19"/>
  <c r="J10" i="19"/>
  <c r="I10" i="19"/>
  <c r="F10" i="19"/>
  <c r="E10" i="19"/>
  <c r="D10" i="19"/>
  <c r="T8" i="19"/>
  <c r="U8" i="19" s="1"/>
  <c r="V8" i="19" s="1"/>
  <c r="W8" i="19" s="1"/>
  <c r="X8" i="19" s="1"/>
  <c r="E7" i="19"/>
  <c r="Q26" i="19" s="1"/>
  <c r="D7" i="19"/>
  <c r="V6" i="19"/>
  <c r="T6" i="19"/>
  <c r="U6" i="19" s="1"/>
  <c r="U12" i="19" s="1"/>
  <c r="Y46" i="18"/>
  <c r="P46" i="18"/>
  <c r="Y45" i="18"/>
  <c r="P45" i="18"/>
  <c r="Y44" i="18"/>
  <c r="P44" i="18"/>
  <c r="Y43" i="18"/>
  <c r="P43" i="18"/>
  <c r="Y42" i="18"/>
  <c r="P42" i="18"/>
  <c r="Y41" i="18"/>
  <c r="P41" i="18"/>
  <c r="Y40" i="18"/>
  <c r="P40" i="18"/>
  <c r="Y39" i="18"/>
  <c r="P39" i="18"/>
  <c r="Y38" i="18"/>
  <c r="Y37" i="18"/>
  <c r="P37" i="18"/>
  <c r="Y36" i="18"/>
  <c r="P36" i="18"/>
  <c r="Y35" i="18"/>
  <c r="P35" i="18"/>
  <c r="Y34" i="18"/>
  <c r="P34" i="18"/>
  <c r="Y33" i="18"/>
  <c r="P33" i="18"/>
  <c r="Y32" i="18"/>
  <c r="P32" i="18"/>
  <c r="Y31" i="18"/>
  <c r="P31" i="18"/>
  <c r="Y30" i="18"/>
  <c r="P30" i="18"/>
  <c r="Y29" i="18"/>
  <c r="P29" i="18"/>
  <c r="Y28" i="18"/>
  <c r="P28" i="18"/>
  <c r="Y27" i="18"/>
  <c r="P27" i="18"/>
  <c r="Y26" i="18"/>
  <c r="P26" i="18"/>
  <c r="Y25" i="18"/>
  <c r="P25" i="18"/>
  <c r="Y24" i="18"/>
  <c r="P24" i="18"/>
  <c r="Y23" i="18"/>
  <c r="P23" i="18"/>
  <c r="Y22" i="18"/>
  <c r="P22" i="18"/>
  <c r="Y21" i="18"/>
  <c r="P21" i="18"/>
  <c r="Y20" i="18"/>
  <c r="P20" i="18"/>
  <c r="Y19" i="18"/>
  <c r="P19" i="18"/>
  <c r="Y18" i="18"/>
  <c r="P18" i="18"/>
  <c r="Y17" i="18"/>
  <c r="P17" i="18"/>
  <c r="Y16" i="18"/>
  <c r="P16" i="18"/>
  <c r="Y15" i="18"/>
  <c r="P15" i="18"/>
  <c r="Y14" i="18"/>
  <c r="P14" i="18"/>
  <c r="S13" i="18"/>
  <c r="T13" i="18" s="1"/>
  <c r="U13" i="18" s="1"/>
  <c r="P13" i="18"/>
  <c r="K13" i="18"/>
  <c r="J13" i="18"/>
  <c r="I13" i="18"/>
  <c r="H13" i="18"/>
  <c r="F13" i="18"/>
  <c r="D13" i="18"/>
  <c r="E13" i="18" s="1"/>
  <c r="H12" i="18"/>
  <c r="V10" i="18"/>
  <c r="S10" i="18"/>
  <c r="K10" i="18"/>
  <c r="J10" i="18"/>
  <c r="I10" i="18"/>
  <c r="F10" i="18"/>
  <c r="E10" i="18"/>
  <c r="D10" i="18"/>
  <c r="S12" i="18" s="1"/>
  <c r="W8" i="18"/>
  <c r="X8" i="18" s="1"/>
  <c r="T8" i="18"/>
  <c r="U8" i="18" s="1"/>
  <c r="V8" i="18" s="1"/>
  <c r="E7" i="18"/>
  <c r="R38" i="18" s="1"/>
  <c r="D7" i="18"/>
  <c r="U6" i="18"/>
  <c r="T6" i="18"/>
  <c r="Y46" i="17"/>
  <c r="P46" i="17"/>
  <c r="Y45" i="17"/>
  <c r="P45" i="17"/>
  <c r="Y44" i="17"/>
  <c r="P44" i="17"/>
  <c r="Y43" i="17"/>
  <c r="P43" i="17"/>
  <c r="Y42" i="17"/>
  <c r="P42" i="17"/>
  <c r="Y41" i="17"/>
  <c r="P41" i="17"/>
  <c r="Y40" i="17"/>
  <c r="P40" i="17"/>
  <c r="Y39" i="17"/>
  <c r="P39" i="17"/>
  <c r="Y38" i="17"/>
  <c r="Y37" i="17"/>
  <c r="P37" i="17"/>
  <c r="Y36" i="17"/>
  <c r="P36" i="17"/>
  <c r="Y35" i="17"/>
  <c r="P35" i="17"/>
  <c r="Y34" i="17"/>
  <c r="P34" i="17"/>
  <c r="Y33" i="17"/>
  <c r="P33" i="17"/>
  <c r="Y32" i="17"/>
  <c r="P32" i="17"/>
  <c r="Y31" i="17"/>
  <c r="P31" i="17"/>
  <c r="Y30" i="17"/>
  <c r="P30" i="17"/>
  <c r="Y29" i="17"/>
  <c r="P29" i="17"/>
  <c r="Y28" i="17"/>
  <c r="P28" i="17"/>
  <c r="Y27" i="17"/>
  <c r="P27" i="17"/>
  <c r="Y26" i="17"/>
  <c r="P26" i="17"/>
  <c r="Y25" i="17"/>
  <c r="P25" i="17"/>
  <c r="Y24" i="17"/>
  <c r="P24" i="17"/>
  <c r="Y23" i="17"/>
  <c r="P23" i="17"/>
  <c r="Y22" i="17"/>
  <c r="P22" i="17"/>
  <c r="Y21" i="17"/>
  <c r="P21" i="17"/>
  <c r="Y20" i="17"/>
  <c r="P20" i="17"/>
  <c r="Y19" i="17"/>
  <c r="P19" i="17"/>
  <c r="Y18" i="17"/>
  <c r="P18" i="17"/>
  <c r="Y17" i="17"/>
  <c r="P17" i="17"/>
  <c r="Y16" i="17"/>
  <c r="P16" i="17"/>
  <c r="Y15" i="17"/>
  <c r="P15" i="17"/>
  <c r="Y14" i="17"/>
  <c r="P14" i="17"/>
  <c r="U13" i="17"/>
  <c r="S13" i="17"/>
  <c r="T13" i="17" s="1"/>
  <c r="P13" i="17"/>
  <c r="K13" i="17"/>
  <c r="J13" i="17"/>
  <c r="I13" i="17"/>
  <c r="H13" i="17"/>
  <c r="F13" i="17"/>
  <c r="E13" i="17"/>
  <c r="D13" i="17"/>
  <c r="H12" i="17"/>
  <c r="V10" i="17"/>
  <c r="S10" i="17"/>
  <c r="K10" i="17"/>
  <c r="J10" i="17"/>
  <c r="I10" i="17"/>
  <c r="F10" i="17"/>
  <c r="E10" i="17"/>
  <c r="D10" i="17"/>
  <c r="S12" i="17" s="1"/>
  <c r="T8" i="17"/>
  <c r="U8" i="17" s="1"/>
  <c r="V8" i="17" s="1"/>
  <c r="W8" i="17" s="1"/>
  <c r="X8" i="17" s="1"/>
  <c r="E7" i="17"/>
  <c r="R44" i="17" s="1"/>
  <c r="D7" i="17"/>
  <c r="T6" i="17"/>
  <c r="Y46" i="16"/>
  <c r="P46" i="16"/>
  <c r="Y45" i="16"/>
  <c r="P45" i="16"/>
  <c r="Y44" i="16"/>
  <c r="P44" i="16"/>
  <c r="Y43" i="16"/>
  <c r="P43" i="16"/>
  <c r="Y42" i="16"/>
  <c r="P42" i="16"/>
  <c r="Y41" i="16"/>
  <c r="P41" i="16"/>
  <c r="Y40" i="16"/>
  <c r="P40" i="16"/>
  <c r="Y39" i="16"/>
  <c r="P39" i="16"/>
  <c r="Y38" i="16"/>
  <c r="Y37" i="16"/>
  <c r="P37" i="16"/>
  <c r="Y36" i="16"/>
  <c r="P36" i="16"/>
  <c r="Y35" i="16"/>
  <c r="P35" i="16"/>
  <c r="Y34" i="16"/>
  <c r="P34" i="16"/>
  <c r="Y33" i="16"/>
  <c r="P33" i="16"/>
  <c r="Y32" i="16"/>
  <c r="P32" i="16"/>
  <c r="Y31" i="16"/>
  <c r="P31" i="16"/>
  <c r="Y30" i="16"/>
  <c r="P30" i="16"/>
  <c r="Y29" i="16"/>
  <c r="P29" i="16"/>
  <c r="Y28" i="16"/>
  <c r="P28" i="16"/>
  <c r="Y27" i="16"/>
  <c r="P27" i="16"/>
  <c r="Y26" i="16"/>
  <c r="P26" i="16"/>
  <c r="Y25" i="16"/>
  <c r="P25" i="16"/>
  <c r="Y24" i="16"/>
  <c r="P24" i="16"/>
  <c r="Y23" i="16"/>
  <c r="P23" i="16"/>
  <c r="Y22" i="16"/>
  <c r="P22" i="16"/>
  <c r="Y21" i="16"/>
  <c r="P21" i="16"/>
  <c r="Y20" i="16"/>
  <c r="P20" i="16"/>
  <c r="Y19" i="16"/>
  <c r="P19" i="16"/>
  <c r="Y18" i="16"/>
  <c r="P18" i="16"/>
  <c r="Y17" i="16"/>
  <c r="P17" i="16"/>
  <c r="Y16" i="16"/>
  <c r="P16" i="16"/>
  <c r="Y15" i="16"/>
  <c r="P15" i="16"/>
  <c r="Y14" i="16"/>
  <c r="P14" i="16"/>
  <c r="U13" i="16"/>
  <c r="S13" i="16"/>
  <c r="T13" i="16" s="1"/>
  <c r="P13" i="16"/>
  <c r="K13" i="16"/>
  <c r="J13" i="16"/>
  <c r="I13" i="16"/>
  <c r="H13" i="16"/>
  <c r="F13" i="16"/>
  <c r="D13" i="16"/>
  <c r="E13" i="16" s="1"/>
  <c r="S12" i="16"/>
  <c r="H12" i="16"/>
  <c r="V10" i="16"/>
  <c r="S10" i="16"/>
  <c r="K10" i="16"/>
  <c r="J10" i="16"/>
  <c r="I10" i="16"/>
  <c r="F10" i="16"/>
  <c r="E10" i="16"/>
  <c r="T12" i="16" s="1"/>
  <c r="D10" i="16"/>
  <c r="X8" i="16"/>
  <c r="U8" i="16"/>
  <c r="V8" i="16" s="1"/>
  <c r="W8" i="16" s="1"/>
  <c r="T8" i="16"/>
  <c r="E7" i="16"/>
  <c r="R45" i="16" s="1"/>
  <c r="D7" i="16"/>
  <c r="U6" i="16"/>
  <c r="T6" i="16"/>
  <c r="Y46" i="15"/>
  <c r="P46" i="15"/>
  <c r="Y45" i="15"/>
  <c r="P45" i="15"/>
  <c r="Y44" i="15"/>
  <c r="P44" i="15"/>
  <c r="Y43" i="15"/>
  <c r="P43" i="15"/>
  <c r="Y42" i="15"/>
  <c r="P42" i="15"/>
  <c r="Y41" i="15"/>
  <c r="P41" i="15"/>
  <c r="Y40" i="15"/>
  <c r="P40" i="15"/>
  <c r="Y39" i="15"/>
  <c r="P39" i="15"/>
  <c r="Y38" i="15"/>
  <c r="Y37" i="15"/>
  <c r="P37" i="15"/>
  <c r="Y36" i="15"/>
  <c r="P36" i="15"/>
  <c r="Y35" i="15"/>
  <c r="P35" i="15"/>
  <c r="Y34" i="15"/>
  <c r="P34" i="15"/>
  <c r="Y33" i="15"/>
  <c r="P33" i="15"/>
  <c r="Y32" i="15"/>
  <c r="P32" i="15"/>
  <c r="Y31" i="15"/>
  <c r="P31" i="15"/>
  <c r="Y30" i="15"/>
  <c r="P30" i="15"/>
  <c r="Y29" i="15"/>
  <c r="P29" i="15"/>
  <c r="Y28" i="15"/>
  <c r="P28" i="15"/>
  <c r="Y27" i="15"/>
  <c r="P27" i="15"/>
  <c r="Y26" i="15"/>
  <c r="P26" i="15"/>
  <c r="Y25" i="15"/>
  <c r="P25" i="15"/>
  <c r="Y24" i="15"/>
  <c r="P24" i="15"/>
  <c r="Y23" i="15"/>
  <c r="P23" i="15"/>
  <c r="Y22" i="15"/>
  <c r="P22" i="15"/>
  <c r="Y21" i="15"/>
  <c r="P21" i="15"/>
  <c r="Y20" i="15"/>
  <c r="P20" i="15"/>
  <c r="Y19" i="15"/>
  <c r="P19" i="15"/>
  <c r="Y18" i="15"/>
  <c r="P18" i="15"/>
  <c r="Y17" i="15"/>
  <c r="P17" i="15"/>
  <c r="Y16" i="15"/>
  <c r="P16" i="15"/>
  <c r="Y15" i="15"/>
  <c r="P15" i="15"/>
  <c r="Y14" i="15"/>
  <c r="P14" i="15"/>
  <c r="S13" i="15"/>
  <c r="T13" i="15" s="1"/>
  <c r="U13" i="15" s="1"/>
  <c r="P13" i="15"/>
  <c r="J13" i="15"/>
  <c r="I13" i="15"/>
  <c r="K13" i="15" s="1"/>
  <c r="H13" i="15"/>
  <c r="D13" i="15"/>
  <c r="V12" i="15"/>
  <c r="U12" i="15"/>
  <c r="T12" i="15"/>
  <c r="H12" i="15"/>
  <c r="V10" i="15"/>
  <c r="S10" i="15"/>
  <c r="K10" i="15"/>
  <c r="J10" i="15"/>
  <c r="I10" i="15"/>
  <c r="F10" i="15"/>
  <c r="E10" i="15"/>
  <c r="D10" i="15"/>
  <c r="S12" i="15" s="1"/>
  <c r="T8" i="15"/>
  <c r="U8" i="15" s="1"/>
  <c r="V8" i="15" s="1"/>
  <c r="W8" i="15" s="1"/>
  <c r="X8" i="15" s="1"/>
  <c r="E7" i="15"/>
  <c r="Q45" i="15" s="1"/>
  <c r="D7" i="15"/>
  <c r="V6" i="15"/>
  <c r="U6" i="15"/>
  <c r="T6" i="15"/>
  <c r="Y46" i="14"/>
  <c r="P46" i="14"/>
  <c r="Y45" i="14"/>
  <c r="P45" i="14"/>
  <c r="Y44" i="14"/>
  <c r="P44" i="14"/>
  <c r="Y43" i="14"/>
  <c r="P43" i="14"/>
  <c r="Y42" i="14"/>
  <c r="P42" i="14"/>
  <c r="Y41" i="14"/>
  <c r="P41" i="14"/>
  <c r="Y40" i="14"/>
  <c r="P40" i="14"/>
  <c r="Y39" i="14"/>
  <c r="P39" i="14"/>
  <c r="Y38" i="14"/>
  <c r="Y37" i="14"/>
  <c r="P37" i="14"/>
  <c r="Y36" i="14"/>
  <c r="P36" i="14"/>
  <c r="Y35" i="14"/>
  <c r="P35" i="14"/>
  <c r="Y34" i="14"/>
  <c r="P34" i="14"/>
  <c r="Y33" i="14"/>
  <c r="P33" i="14"/>
  <c r="Y32" i="14"/>
  <c r="P32" i="14"/>
  <c r="Y31" i="14"/>
  <c r="P31" i="14"/>
  <c r="Y30" i="14"/>
  <c r="P30" i="14"/>
  <c r="Y29" i="14"/>
  <c r="P29" i="14"/>
  <c r="Y28" i="14"/>
  <c r="P28" i="14"/>
  <c r="Y27" i="14"/>
  <c r="P27" i="14"/>
  <c r="Y26" i="14"/>
  <c r="P26" i="14"/>
  <c r="Y25" i="14"/>
  <c r="P25" i="14"/>
  <c r="Y24" i="14"/>
  <c r="P24" i="14"/>
  <c r="Y23" i="14"/>
  <c r="P23" i="14"/>
  <c r="Y22" i="14"/>
  <c r="P22" i="14"/>
  <c r="Y21" i="14"/>
  <c r="P21" i="14"/>
  <c r="Y20" i="14"/>
  <c r="P20" i="14"/>
  <c r="Y19" i="14"/>
  <c r="P19" i="14"/>
  <c r="Y18" i="14"/>
  <c r="P18" i="14"/>
  <c r="Y17" i="14"/>
  <c r="P17" i="14"/>
  <c r="Y16" i="14"/>
  <c r="P16" i="14"/>
  <c r="Y15" i="14"/>
  <c r="P15" i="14"/>
  <c r="Y14" i="14"/>
  <c r="P14" i="14"/>
  <c r="S13" i="14"/>
  <c r="T13" i="14" s="1"/>
  <c r="U13" i="14" s="1"/>
  <c r="P13" i="14"/>
  <c r="K13" i="14"/>
  <c r="I13" i="14"/>
  <c r="J13" i="14" s="1"/>
  <c r="H13" i="14"/>
  <c r="F13" i="14"/>
  <c r="E13" i="14"/>
  <c r="D13" i="14"/>
  <c r="T12" i="14"/>
  <c r="S12" i="14"/>
  <c r="H12" i="14"/>
  <c r="V10" i="14"/>
  <c r="S10" i="14"/>
  <c r="K10" i="14"/>
  <c r="J10" i="14"/>
  <c r="I10" i="14"/>
  <c r="F10" i="14"/>
  <c r="E10" i="14"/>
  <c r="D10" i="14"/>
  <c r="T8" i="14"/>
  <c r="U8" i="14" s="1"/>
  <c r="V8" i="14" s="1"/>
  <c r="W8" i="14" s="1"/>
  <c r="X8" i="14" s="1"/>
  <c r="E7" i="14"/>
  <c r="Q45" i="14" s="1"/>
  <c r="D7" i="14"/>
  <c r="W6" i="14"/>
  <c r="U6" i="14"/>
  <c r="V6" i="14" s="1"/>
  <c r="T6" i="14"/>
  <c r="Y46" i="13"/>
  <c r="P46" i="13"/>
  <c r="Y45" i="13"/>
  <c r="P45" i="13"/>
  <c r="Y44" i="13"/>
  <c r="P44" i="13"/>
  <c r="Y43" i="13"/>
  <c r="P43" i="13"/>
  <c r="Y42" i="13"/>
  <c r="P42" i="13"/>
  <c r="Y41" i="13"/>
  <c r="P41" i="13"/>
  <c r="Y40" i="13"/>
  <c r="P40" i="13"/>
  <c r="Y39" i="13"/>
  <c r="P39" i="13"/>
  <c r="Y38" i="13"/>
  <c r="P38" i="13"/>
  <c r="Y37" i="13"/>
  <c r="P37" i="13"/>
  <c r="Y36" i="13"/>
  <c r="P36" i="13"/>
  <c r="Y35" i="13"/>
  <c r="P35" i="13"/>
  <c r="Y34" i="13"/>
  <c r="P34" i="13"/>
  <c r="Y33" i="13"/>
  <c r="P33" i="13"/>
  <c r="Y32" i="13"/>
  <c r="P32" i="13"/>
  <c r="Y31" i="13"/>
  <c r="P31" i="13"/>
  <c r="Y30" i="13"/>
  <c r="P30" i="13"/>
  <c r="Y29" i="13"/>
  <c r="P29" i="13"/>
  <c r="Y28" i="13"/>
  <c r="P28" i="13"/>
  <c r="Y27" i="13"/>
  <c r="P27" i="13"/>
  <c r="Y26" i="13"/>
  <c r="P26" i="13"/>
  <c r="Y25" i="13"/>
  <c r="P25" i="13"/>
  <c r="Y24" i="13"/>
  <c r="P24" i="13"/>
  <c r="Y23" i="13"/>
  <c r="P23" i="13"/>
  <c r="Y22" i="13"/>
  <c r="P22" i="13"/>
  <c r="Y21" i="13"/>
  <c r="P21" i="13"/>
  <c r="Y20" i="13"/>
  <c r="P20" i="13"/>
  <c r="Y19" i="13"/>
  <c r="P19" i="13"/>
  <c r="Y18" i="13"/>
  <c r="P18" i="13"/>
  <c r="Y17" i="13"/>
  <c r="P17" i="13"/>
  <c r="Y16" i="13"/>
  <c r="P16" i="13"/>
  <c r="Y15" i="13"/>
  <c r="P15" i="13"/>
  <c r="Y14" i="13"/>
  <c r="P14" i="13"/>
  <c r="U13" i="13"/>
  <c r="S13" i="13"/>
  <c r="T13" i="13" s="1"/>
  <c r="P13" i="13"/>
  <c r="K13" i="13"/>
  <c r="I13" i="13"/>
  <c r="J13" i="13" s="1"/>
  <c r="H13" i="13"/>
  <c r="F13" i="13"/>
  <c r="E13" i="13"/>
  <c r="D13" i="13"/>
  <c r="S12" i="13"/>
  <c r="H12" i="13"/>
  <c r="V10" i="13"/>
  <c r="S10" i="13"/>
  <c r="K10" i="13"/>
  <c r="J10" i="13"/>
  <c r="I10" i="13"/>
  <c r="F10" i="13"/>
  <c r="U12" i="13" s="1"/>
  <c r="E10" i="13"/>
  <c r="D10" i="13"/>
  <c r="T8" i="13"/>
  <c r="U8" i="13" s="1"/>
  <c r="V8" i="13" s="1"/>
  <c r="W8" i="13" s="1"/>
  <c r="X8" i="13" s="1"/>
  <c r="E7" i="13"/>
  <c r="R32" i="13" s="1"/>
  <c r="D7" i="13"/>
  <c r="W6" i="13"/>
  <c r="V6" i="13"/>
  <c r="U6" i="13"/>
  <c r="T6" i="13"/>
  <c r="Y46" i="12"/>
  <c r="P46" i="12"/>
  <c r="Y45" i="12"/>
  <c r="P45" i="12"/>
  <c r="Y44" i="12"/>
  <c r="P44" i="12"/>
  <c r="Y43" i="12"/>
  <c r="P43" i="12"/>
  <c r="Y42" i="12"/>
  <c r="P42" i="12"/>
  <c r="Y41" i="12"/>
  <c r="P41" i="12"/>
  <c r="Y40" i="12"/>
  <c r="P40" i="12"/>
  <c r="Y39" i="12"/>
  <c r="P39" i="12"/>
  <c r="Y38" i="12"/>
  <c r="Y37" i="12"/>
  <c r="P37" i="12"/>
  <c r="Y36" i="12"/>
  <c r="P36" i="12"/>
  <c r="Y35" i="12"/>
  <c r="P35" i="12"/>
  <c r="Y34" i="12"/>
  <c r="P34" i="12"/>
  <c r="Y33" i="12"/>
  <c r="P33" i="12"/>
  <c r="Y32" i="12"/>
  <c r="P32" i="12"/>
  <c r="Y31" i="12"/>
  <c r="P31" i="12"/>
  <c r="Y30" i="12"/>
  <c r="P30" i="12"/>
  <c r="Y29" i="12"/>
  <c r="P29" i="12"/>
  <c r="Y28" i="12"/>
  <c r="P28" i="12"/>
  <c r="Y27" i="12"/>
  <c r="P27" i="12"/>
  <c r="Y26" i="12"/>
  <c r="P26" i="12"/>
  <c r="Y25" i="12"/>
  <c r="P25" i="12"/>
  <c r="Y24" i="12"/>
  <c r="P24" i="12"/>
  <c r="Y23" i="12"/>
  <c r="P23" i="12"/>
  <c r="Y22" i="12"/>
  <c r="P22" i="12"/>
  <c r="Y21" i="12"/>
  <c r="P21" i="12"/>
  <c r="Y20" i="12"/>
  <c r="P20" i="12"/>
  <c r="Y19" i="12"/>
  <c r="P19" i="12"/>
  <c r="Y18" i="12"/>
  <c r="P18" i="12"/>
  <c r="Y17" i="12"/>
  <c r="P17" i="12"/>
  <c r="Y16" i="12"/>
  <c r="P16" i="12"/>
  <c r="Y15" i="12"/>
  <c r="P15" i="12"/>
  <c r="Y14" i="12"/>
  <c r="P14" i="12"/>
  <c r="S13" i="12"/>
  <c r="T13" i="12" s="1"/>
  <c r="U13" i="12" s="1"/>
  <c r="P13" i="12"/>
  <c r="K13" i="12"/>
  <c r="I13" i="12"/>
  <c r="J13" i="12" s="1"/>
  <c r="H13" i="12"/>
  <c r="F13" i="12"/>
  <c r="D13" i="12"/>
  <c r="E13" i="12" s="1"/>
  <c r="H12" i="12"/>
  <c r="V10" i="12"/>
  <c r="S10" i="12"/>
  <c r="K10" i="12"/>
  <c r="J10" i="12"/>
  <c r="I10" i="12"/>
  <c r="F10" i="12"/>
  <c r="E10" i="12"/>
  <c r="D10" i="12"/>
  <c r="S12" i="12" s="1"/>
  <c r="V8" i="12"/>
  <c r="W8" i="12" s="1"/>
  <c r="X8" i="12" s="1"/>
  <c r="U8" i="12"/>
  <c r="T8" i="12"/>
  <c r="E7" i="12"/>
  <c r="R43" i="12" s="1"/>
  <c r="D7" i="12"/>
  <c r="T6" i="12"/>
  <c r="Y46" i="11"/>
  <c r="P46" i="11"/>
  <c r="Y45" i="11"/>
  <c r="P45" i="11"/>
  <c r="Y44" i="11"/>
  <c r="P44" i="11"/>
  <c r="Y43" i="11"/>
  <c r="P43" i="11"/>
  <c r="Y42" i="11"/>
  <c r="P42" i="11"/>
  <c r="Y41" i="11"/>
  <c r="P41" i="11"/>
  <c r="Y40" i="11"/>
  <c r="P40" i="11"/>
  <c r="Y39" i="11"/>
  <c r="P39" i="11"/>
  <c r="Y38" i="11"/>
  <c r="P38" i="11"/>
  <c r="Y37" i="11"/>
  <c r="P37" i="11"/>
  <c r="Y36" i="11"/>
  <c r="P36" i="11"/>
  <c r="Y35" i="11"/>
  <c r="P35" i="11"/>
  <c r="Y34" i="11"/>
  <c r="P34" i="11"/>
  <c r="Y33" i="11"/>
  <c r="P33" i="11"/>
  <c r="Y32" i="11"/>
  <c r="P32" i="11"/>
  <c r="Y31" i="11"/>
  <c r="P31" i="11"/>
  <c r="Y30" i="11"/>
  <c r="P30" i="11"/>
  <c r="Y29" i="11"/>
  <c r="P29" i="11"/>
  <c r="Y28" i="11"/>
  <c r="P28" i="11"/>
  <c r="Y27" i="11"/>
  <c r="P27" i="11"/>
  <c r="Y26" i="11"/>
  <c r="P26" i="11"/>
  <c r="Y25" i="11"/>
  <c r="P25" i="11"/>
  <c r="Y24" i="11"/>
  <c r="P24" i="11"/>
  <c r="Y23" i="11"/>
  <c r="P23" i="11"/>
  <c r="Y22" i="11"/>
  <c r="P22" i="11"/>
  <c r="Y21" i="11"/>
  <c r="P21" i="11"/>
  <c r="Y20" i="11"/>
  <c r="P20" i="11"/>
  <c r="Y19" i="11"/>
  <c r="P19" i="11"/>
  <c r="Y18" i="11"/>
  <c r="P18" i="11"/>
  <c r="Y17" i="11"/>
  <c r="P17" i="11"/>
  <c r="Y16" i="11"/>
  <c r="P16" i="11"/>
  <c r="Y15" i="11"/>
  <c r="P15" i="11"/>
  <c r="Y14" i="11"/>
  <c r="P14" i="11"/>
  <c r="T13" i="11"/>
  <c r="U13" i="11" s="1"/>
  <c r="S13" i="11"/>
  <c r="P13" i="11"/>
  <c r="K13" i="11"/>
  <c r="J13" i="11"/>
  <c r="I13" i="11"/>
  <c r="H13" i="11"/>
  <c r="F13" i="11"/>
  <c r="E13" i="11"/>
  <c r="D13" i="11"/>
  <c r="S12" i="11"/>
  <c r="H12" i="11"/>
  <c r="V10" i="11"/>
  <c r="S10" i="11"/>
  <c r="K10" i="11"/>
  <c r="J10" i="11"/>
  <c r="I10" i="11"/>
  <c r="F10" i="11"/>
  <c r="E10" i="11"/>
  <c r="D10" i="11"/>
  <c r="W8" i="11"/>
  <c r="X8" i="11" s="1"/>
  <c r="U8" i="11"/>
  <c r="V8" i="11" s="1"/>
  <c r="T8" i="11"/>
  <c r="E7" i="11"/>
  <c r="Q33" i="11" s="1"/>
  <c r="D7" i="11"/>
  <c r="T6" i="11"/>
  <c r="Y46" i="10"/>
  <c r="P46" i="10"/>
  <c r="Y45" i="10"/>
  <c r="P45" i="10"/>
  <c r="Y44" i="10"/>
  <c r="P44" i="10"/>
  <c r="Y43" i="10"/>
  <c r="P43" i="10"/>
  <c r="Y42" i="10"/>
  <c r="P42" i="10"/>
  <c r="Y41" i="10"/>
  <c r="P41" i="10"/>
  <c r="Y40" i="10"/>
  <c r="P40" i="10"/>
  <c r="Y39" i="10"/>
  <c r="P39" i="10"/>
  <c r="Y38" i="10"/>
  <c r="P38" i="10"/>
  <c r="Y37" i="10"/>
  <c r="P37" i="10"/>
  <c r="Y36" i="10"/>
  <c r="P36" i="10"/>
  <c r="Y35" i="10"/>
  <c r="P35" i="10"/>
  <c r="Y34" i="10"/>
  <c r="P34" i="10"/>
  <c r="Y33" i="10"/>
  <c r="P33" i="10"/>
  <c r="Y32" i="10"/>
  <c r="P32" i="10"/>
  <c r="Y31" i="10"/>
  <c r="P31" i="10"/>
  <c r="Y30" i="10"/>
  <c r="P30" i="10"/>
  <c r="Y29" i="10"/>
  <c r="P29" i="10"/>
  <c r="Y28" i="10"/>
  <c r="P28" i="10"/>
  <c r="Y27" i="10"/>
  <c r="P27" i="10"/>
  <c r="Y26" i="10"/>
  <c r="P26" i="10"/>
  <c r="Y25" i="10"/>
  <c r="P25" i="10"/>
  <c r="Y24" i="10"/>
  <c r="P24" i="10"/>
  <c r="Y23" i="10"/>
  <c r="P23" i="10"/>
  <c r="Y22" i="10"/>
  <c r="P22" i="10"/>
  <c r="Y21" i="10"/>
  <c r="P21" i="10"/>
  <c r="Y20" i="10"/>
  <c r="P20" i="10"/>
  <c r="Y19" i="10"/>
  <c r="P19" i="10"/>
  <c r="Y18" i="10"/>
  <c r="P18" i="10"/>
  <c r="Y17" i="10"/>
  <c r="P17" i="10"/>
  <c r="Y16" i="10"/>
  <c r="P16" i="10"/>
  <c r="Y15" i="10"/>
  <c r="P15" i="10"/>
  <c r="Y14" i="10"/>
  <c r="P14" i="10"/>
  <c r="U13" i="10"/>
  <c r="T13" i="10"/>
  <c r="S13" i="10"/>
  <c r="P13" i="10"/>
  <c r="K13" i="10"/>
  <c r="I13" i="10"/>
  <c r="J13" i="10" s="1"/>
  <c r="H13" i="10"/>
  <c r="D13" i="10"/>
  <c r="T12" i="10"/>
  <c r="H12" i="10"/>
  <c r="V10" i="10"/>
  <c r="S10" i="10"/>
  <c r="K10" i="10"/>
  <c r="J10" i="10"/>
  <c r="I10" i="10"/>
  <c r="F10" i="10"/>
  <c r="E10" i="10"/>
  <c r="D10" i="10"/>
  <c r="S12" i="10" s="1"/>
  <c r="U8" i="10"/>
  <c r="V8" i="10" s="1"/>
  <c r="W8" i="10" s="1"/>
  <c r="X8" i="10" s="1"/>
  <c r="T8" i="10"/>
  <c r="E7" i="10"/>
  <c r="Q42" i="10" s="1"/>
  <c r="D7" i="10"/>
  <c r="T6" i="10"/>
  <c r="U6" i="10" s="1"/>
  <c r="Y46" i="9"/>
  <c r="P46" i="9"/>
  <c r="Y45" i="9"/>
  <c r="P45" i="9"/>
  <c r="Y44" i="9"/>
  <c r="P44" i="9"/>
  <c r="Y43" i="9"/>
  <c r="P43" i="9"/>
  <c r="Y42" i="9"/>
  <c r="P42" i="9"/>
  <c r="Y41" i="9"/>
  <c r="P41" i="9"/>
  <c r="Y40" i="9"/>
  <c r="P40" i="9"/>
  <c r="Y39" i="9"/>
  <c r="P39" i="9"/>
  <c r="Y38" i="9"/>
  <c r="P38" i="9"/>
  <c r="Y37" i="9"/>
  <c r="P37" i="9"/>
  <c r="Y36" i="9"/>
  <c r="P36" i="9"/>
  <c r="Y35" i="9"/>
  <c r="P35" i="9"/>
  <c r="Y34" i="9"/>
  <c r="P34" i="9"/>
  <c r="Y33" i="9"/>
  <c r="P33" i="9"/>
  <c r="Y32" i="9"/>
  <c r="P32" i="9"/>
  <c r="Y31" i="9"/>
  <c r="P31" i="9"/>
  <c r="Y30" i="9"/>
  <c r="P30" i="9"/>
  <c r="Y29" i="9"/>
  <c r="P29" i="9"/>
  <c r="Y28" i="9"/>
  <c r="P28" i="9"/>
  <c r="Y27" i="9"/>
  <c r="P27" i="9"/>
  <c r="Y26" i="9"/>
  <c r="P26" i="9"/>
  <c r="Y25" i="9"/>
  <c r="P25" i="9"/>
  <c r="Y24" i="9"/>
  <c r="P24" i="9"/>
  <c r="Y23" i="9"/>
  <c r="P23" i="9"/>
  <c r="Y22" i="9"/>
  <c r="P22" i="9"/>
  <c r="Y21" i="9"/>
  <c r="P21" i="9"/>
  <c r="Y20" i="9"/>
  <c r="P20" i="9"/>
  <c r="Y19" i="9"/>
  <c r="P19" i="9"/>
  <c r="Y18" i="9"/>
  <c r="P18" i="9"/>
  <c r="Y17" i="9"/>
  <c r="P17" i="9"/>
  <c r="Y16" i="9"/>
  <c r="P16" i="9"/>
  <c r="Y15" i="9"/>
  <c r="P15" i="9"/>
  <c r="Y14" i="9"/>
  <c r="P14" i="9"/>
  <c r="T13" i="9"/>
  <c r="U13" i="9" s="1"/>
  <c r="S13" i="9"/>
  <c r="P13" i="9"/>
  <c r="J13" i="9"/>
  <c r="I13" i="9"/>
  <c r="K13" i="9" s="1"/>
  <c r="H13" i="9"/>
  <c r="E13" i="9"/>
  <c r="D13" i="9"/>
  <c r="F13" i="9" s="1"/>
  <c r="U12" i="9"/>
  <c r="S12" i="9"/>
  <c r="H12" i="9"/>
  <c r="V10" i="9"/>
  <c r="S10" i="9"/>
  <c r="K10" i="9"/>
  <c r="J10" i="9"/>
  <c r="I10" i="9"/>
  <c r="F10" i="9"/>
  <c r="E10" i="9"/>
  <c r="T12" i="9" s="1"/>
  <c r="D10" i="9"/>
  <c r="V8" i="9"/>
  <c r="W8" i="9" s="1"/>
  <c r="X8" i="9" s="1"/>
  <c r="T8" i="9"/>
  <c r="U8" i="9" s="1"/>
  <c r="E7" i="9"/>
  <c r="Q40" i="9" s="1"/>
  <c r="D7" i="9"/>
  <c r="V6" i="9"/>
  <c r="T6" i="9"/>
  <c r="U6" i="9" s="1"/>
  <c r="Y46" i="8"/>
  <c r="P46" i="8"/>
  <c r="Y45" i="8"/>
  <c r="P45" i="8"/>
  <c r="Y44" i="8"/>
  <c r="P44" i="8"/>
  <c r="Y43" i="8"/>
  <c r="P43" i="8"/>
  <c r="Y42" i="8"/>
  <c r="P42" i="8"/>
  <c r="Y41" i="8"/>
  <c r="P41" i="8"/>
  <c r="Y40" i="8"/>
  <c r="P40" i="8"/>
  <c r="Y39" i="8"/>
  <c r="P39" i="8"/>
  <c r="Y38" i="8"/>
  <c r="P38" i="8"/>
  <c r="Y37" i="8"/>
  <c r="P37" i="8"/>
  <c r="Y36" i="8"/>
  <c r="P36" i="8"/>
  <c r="Y35" i="8"/>
  <c r="P35" i="8"/>
  <c r="Y34" i="8"/>
  <c r="P34" i="8"/>
  <c r="Y33" i="8"/>
  <c r="P33" i="8"/>
  <c r="Y32" i="8"/>
  <c r="P32" i="8"/>
  <c r="Y31" i="8"/>
  <c r="P31" i="8"/>
  <c r="Y30" i="8"/>
  <c r="P30" i="8"/>
  <c r="Y29" i="8"/>
  <c r="P29" i="8"/>
  <c r="Y28" i="8"/>
  <c r="P28" i="8"/>
  <c r="Y27" i="8"/>
  <c r="P27" i="8"/>
  <c r="Y26" i="8"/>
  <c r="P26" i="8"/>
  <c r="Y25" i="8"/>
  <c r="P25" i="8"/>
  <c r="Y24" i="8"/>
  <c r="P24" i="8"/>
  <c r="Y23" i="8"/>
  <c r="P23" i="8"/>
  <c r="Y22" i="8"/>
  <c r="P22" i="8"/>
  <c r="Y21" i="8"/>
  <c r="P21" i="8"/>
  <c r="Y20" i="8"/>
  <c r="P20" i="8"/>
  <c r="Y19" i="8"/>
  <c r="P19" i="8"/>
  <c r="Y18" i="8"/>
  <c r="P18" i="8"/>
  <c r="Y17" i="8"/>
  <c r="P17" i="8"/>
  <c r="Y16" i="8"/>
  <c r="P16" i="8"/>
  <c r="Y15" i="8"/>
  <c r="P15" i="8"/>
  <c r="Y14" i="8"/>
  <c r="P14" i="8"/>
  <c r="S13" i="8"/>
  <c r="T13" i="8" s="1"/>
  <c r="U13" i="8" s="1"/>
  <c r="P13" i="8"/>
  <c r="K13" i="8"/>
  <c r="J13" i="8"/>
  <c r="I13" i="8"/>
  <c r="H13" i="8"/>
  <c r="D13" i="8"/>
  <c r="U12" i="8"/>
  <c r="S12" i="8"/>
  <c r="H12" i="8"/>
  <c r="V10" i="8"/>
  <c r="S10" i="8"/>
  <c r="K10" i="8"/>
  <c r="J10" i="8"/>
  <c r="I10" i="8"/>
  <c r="F10" i="8"/>
  <c r="E10" i="8"/>
  <c r="T12" i="8" s="1"/>
  <c r="D10" i="8"/>
  <c r="X8" i="8"/>
  <c r="T8" i="8"/>
  <c r="U8" i="8" s="1"/>
  <c r="V8" i="8" s="1"/>
  <c r="W8" i="8" s="1"/>
  <c r="E7" i="8"/>
  <c r="R19" i="8" s="1"/>
  <c r="D7" i="8"/>
  <c r="V6" i="8"/>
  <c r="U6" i="8"/>
  <c r="T6" i="8"/>
  <c r="F7" i="7"/>
  <c r="E7" i="7" s="1"/>
  <c r="U5" i="23" s="1"/>
  <c r="F6" i="7"/>
  <c r="E6" i="7" s="1"/>
  <c r="F8" i="7" s="1"/>
  <c r="E8" i="7" s="1"/>
  <c r="V5" i="23" s="1"/>
  <c r="F5" i="7"/>
  <c r="E5" i="7" s="1"/>
  <c r="F7" i="6"/>
  <c r="E7" i="6" s="1"/>
  <c r="U5" i="26" s="1"/>
  <c r="T188" i="3" s="1"/>
  <c r="F6" i="6"/>
  <c r="E6" i="6" s="1"/>
  <c r="T5" i="26" s="1"/>
  <c r="S188" i="3" s="1"/>
  <c r="F5" i="6"/>
  <c r="E5" i="6" s="1"/>
  <c r="F8" i="5"/>
  <c r="E8" i="5" s="1"/>
  <c r="F7" i="5"/>
  <c r="E7" i="5" s="1"/>
  <c r="F6" i="5"/>
  <c r="E6" i="5"/>
  <c r="F8" i="4"/>
  <c r="E8" i="4" s="1"/>
  <c r="F7" i="4"/>
  <c r="E7" i="4" s="1"/>
  <c r="F11" i="4" s="1"/>
  <c r="E11" i="4" s="1"/>
  <c r="X5" i="12" s="1"/>
  <c r="G95" i="38" s="1"/>
  <c r="O95" i="38" s="1"/>
  <c r="W95" i="38" s="1"/>
  <c r="AE95" i="38" s="1"/>
  <c r="AM95" i="38" s="1"/>
  <c r="F6" i="4"/>
  <c r="E6" i="4" s="1"/>
  <c r="Q216" i="3"/>
  <c r="I216" i="3"/>
  <c r="A216" i="3"/>
  <c r="Q215" i="3"/>
  <c r="I215" i="3"/>
  <c r="A215" i="3"/>
  <c r="Q214" i="3"/>
  <c r="I214" i="3"/>
  <c r="A214" i="3"/>
  <c r="Q213" i="3"/>
  <c r="I213" i="3"/>
  <c r="A213" i="3"/>
  <c r="Q212" i="3"/>
  <c r="I212" i="3"/>
  <c r="A212" i="3"/>
  <c r="Q211" i="3"/>
  <c r="I211" i="3"/>
  <c r="A211" i="3"/>
  <c r="Q210" i="3"/>
  <c r="I210" i="3"/>
  <c r="A210" i="3"/>
  <c r="Q209" i="3"/>
  <c r="I209" i="3"/>
  <c r="A209" i="3"/>
  <c r="Q208" i="3"/>
  <c r="I208" i="3"/>
  <c r="A208" i="3"/>
  <c r="Q207" i="3"/>
  <c r="I207" i="3"/>
  <c r="A207" i="3"/>
  <c r="Q206" i="3"/>
  <c r="I206" i="3"/>
  <c r="A206" i="3"/>
  <c r="Q205" i="3"/>
  <c r="I205" i="3"/>
  <c r="A205" i="3"/>
  <c r="Q204" i="3"/>
  <c r="I204" i="3"/>
  <c r="A204" i="3"/>
  <c r="Q203" i="3"/>
  <c r="I203" i="3"/>
  <c r="A203" i="3"/>
  <c r="Q202" i="3"/>
  <c r="I202" i="3"/>
  <c r="A202" i="3"/>
  <c r="Q201" i="3"/>
  <c r="I201" i="3"/>
  <c r="A201" i="3"/>
  <c r="Q200" i="3"/>
  <c r="I200" i="3"/>
  <c r="A200" i="3"/>
  <c r="Q199" i="3"/>
  <c r="I199" i="3"/>
  <c r="A199" i="3"/>
  <c r="Q198" i="3"/>
  <c r="I198" i="3"/>
  <c r="A198" i="3"/>
  <c r="Q197" i="3"/>
  <c r="I197" i="3"/>
  <c r="A197" i="3"/>
  <c r="Q196" i="3"/>
  <c r="I196" i="3"/>
  <c r="A196" i="3"/>
  <c r="Q195" i="3"/>
  <c r="I195" i="3"/>
  <c r="A195" i="3"/>
  <c r="Q194" i="3"/>
  <c r="I194" i="3"/>
  <c r="A194" i="3"/>
  <c r="Q193" i="3"/>
  <c r="I193" i="3"/>
  <c r="A193" i="3"/>
  <c r="Q192" i="3"/>
  <c r="I192" i="3"/>
  <c r="A192" i="3"/>
  <c r="W191" i="3"/>
  <c r="V191" i="3"/>
  <c r="U191" i="3"/>
  <c r="T191" i="3"/>
  <c r="S191" i="3"/>
  <c r="R191" i="3"/>
  <c r="O191" i="3"/>
  <c r="N191" i="3"/>
  <c r="M191" i="3"/>
  <c r="L191" i="3"/>
  <c r="K191" i="3"/>
  <c r="J191" i="3"/>
  <c r="G191" i="3"/>
  <c r="F191" i="3"/>
  <c r="E191" i="3"/>
  <c r="D191" i="3"/>
  <c r="C191" i="3"/>
  <c r="B191" i="3"/>
  <c r="I185" i="3"/>
  <c r="A185" i="3"/>
  <c r="I184" i="3"/>
  <c r="A184" i="3"/>
  <c r="I183" i="3"/>
  <c r="A183" i="3"/>
  <c r="I182" i="3"/>
  <c r="A182" i="3"/>
  <c r="I181" i="3"/>
  <c r="A181" i="3"/>
  <c r="I180" i="3"/>
  <c r="A180" i="3"/>
  <c r="I179" i="3"/>
  <c r="A179" i="3"/>
  <c r="I178" i="3"/>
  <c r="A178" i="3"/>
  <c r="I177" i="3"/>
  <c r="A177" i="3"/>
  <c r="I176" i="3"/>
  <c r="A176" i="3"/>
  <c r="I175" i="3"/>
  <c r="A175" i="3"/>
  <c r="I174" i="3"/>
  <c r="A174" i="3"/>
  <c r="I173" i="3"/>
  <c r="A173" i="3"/>
  <c r="I172" i="3"/>
  <c r="A172" i="3"/>
  <c r="I171" i="3"/>
  <c r="A171" i="3"/>
  <c r="I170" i="3"/>
  <c r="A170" i="3"/>
  <c r="I169" i="3"/>
  <c r="A169" i="3"/>
  <c r="I168" i="3"/>
  <c r="A168" i="3"/>
  <c r="I167" i="3"/>
  <c r="A167" i="3"/>
  <c r="I166" i="3"/>
  <c r="A166" i="3"/>
  <c r="I165" i="3"/>
  <c r="A165" i="3"/>
  <c r="I164" i="3"/>
  <c r="A164" i="3"/>
  <c r="I163" i="3"/>
  <c r="A163" i="3"/>
  <c r="I162" i="3"/>
  <c r="A162" i="3"/>
  <c r="I161" i="3"/>
  <c r="A161" i="3"/>
  <c r="O160" i="3"/>
  <c r="N160" i="3"/>
  <c r="M160" i="3"/>
  <c r="L160" i="3"/>
  <c r="K160" i="3"/>
  <c r="J160" i="3"/>
  <c r="G160" i="3"/>
  <c r="F160" i="3"/>
  <c r="E160" i="3"/>
  <c r="D160" i="3"/>
  <c r="C160" i="3"/>
  <c r="B160" i="3"/>
  <c r="Q153" i="3"/>
  <c r="I153" i="3"/>
  <c r="A153" i="3"/>
  <c r="Q152" i="3"/>
  <c r="I152" i="3"/>
  <c r="A152" i="3"/>
  <c r="Q151" i="3"/>
  <c r="I151" i="3"/>
  <c r="A151" i="3"/>
  <c r="Q150" i="3"/>
  <c r="I150" i="3"/>
  <c r="A150" i="3"/>
  <c r="Q149" i="3"/>
  <c r="I149" i="3"/>
  <c r="A149" i="3"/>
  <c r="Q148" i="3"/>
  <c r="I148" i="3"/>
  <c r="A148" i="3"/>
  <c r="Q147" i="3"/>
  <c r="I147" i="3"/>
  <c r="A147" i="3"/>
  <c r="Q146" i="3"/>
  <c r="I146" i="3"/>
  <c r="A146" i="3"/>
  <c r="Q145" i="3"/>
  <c r="I145" i="3"/>
  <c r="A145" i="3"/>
  <c r="Q144" i="3"/>
  <c r="I144" i="3"/>
  <c r="A144" i="3"/>
  <c r="Q143" i="3"/>
  <c r="I143" i="3"/>
  <c r="A143" i="3"/>
  <c r="Q142" i="3"/>
  <c r="I142" i="3"/>
  <c r="A142" i="3"/>
  <c r="Q141" i="3"/>
  <c r="I141" i="3"/>
  <c r="A141" i="3"/>
  <c r="Q140" i="3"/>
  <c r="I140" i="3"/>
  <c r="A140" i="3"/>
  <c r="Q139" i="3"/>
  <c r="I139" i="3"/>
  <c r="A139" i="3"/>
  <c r="Q138" i="3"/>
  <c r="I138" i="3"/>
  <c r="A138" i="3"/>
  <c r="Q137" i="3"/>
  <c r="I137" i="3"/>
  <c r="A137" i="3"/>
  <c r="Q136" i="3"/>
  <c r="I136" i="3"/>
  <c r="A136" i="3"/>
  <c r="Q135" i="3"/>
  <c r="I135" i="3"/>
  <c r="A135" i="3"/>
  <c r="Q134" i="3"/>
  <c r="I134" i="3"/>
  <c r="A134" i="3"/>
  <c r="Q133" i="3"/>
  <c r="I133" i="3"/>
  <c r="A133" i="3"/>
  <c r="Q132" i="3"/>
  <c r="I132" i="3"/>
  <c r="A132" i="3"/>
  <c r="Q131" i="3"/>
  <c r="I131" i="3"/>
  <c r="A131" i="3"/>
  <c r="Q130" i="3"/>
  <c r="I130" i="3"/>
  <c r="A130" i="3"/>
  <c r="W129" i="3"/>
  <c r="V129" i="3"/>
  <c r="U129" i="3"/>
  <c r="T129" i="3"/>
  <c r="S129" i="3"/>
  <c r="R129" i="3"/>
  <c r="O129" i="3"/>
  <c r="N129" i="3"/>
  <c r="M129" i="3"/>
  <c r="L129" i="3"/>
  <c r="K129" i="3"/>
  <c r="J129" i="3"/>
  <c r="G129" i="3"/>
  <c r="F129" i="3"/>
  <c r="E129" i="3"/>
  <c r="D129" i="3"/>
  <c r="C129" i="3"/>
  <c r="B129" i="3"/>
  <c r="AG123" i="3"/>
  <c r="Y123" i="3"/>
  <c r="Q123" i="3"/>
  <c r="AG122" i="3"/>
  <c r="Y122" i="3"/>
  <c r="Q122" i="3"/>
  <c r="I122" i="3"/>
  <c r="A122" i="3"/>
  <c r="AG121" i="3"/>
  <c r="Y121" i="3"/>
  <c r="Q121" i="3"/>
  <c r="I121" i="3"/>
  <c r="A121" i="3"/>
  <c r="AG120" i="3"/>
  <c r="Y120" i="3"/>
  <c r="Q120" i="3"/>
  <c r="I120" i="3"/>
  <c r="A120" i="3"/>
  <c r="AG119" i="3"/>
  <c r="Y119" i="3"/>
  <c r="Q119" i="3"/>
  <c r="I119" i="3"/>
  <c r="A119" i="3"/>
  <c r="AG118" i="3"/>
  <c r="Y118" i="3"/>
  <c r="Q118" i="3"/>
  <c r="I118" i="3"/>
  <c r="A118" i="3"/>
  <c r="AG117" i="3"/>
  <c r="Y117" i="3"/>
  <c r="Q117" i="3"/>
  <c r="I117" i="3"/>
  <c r="A117" i="3"/>
  <c r="AG116" i="3"/>
  <c r="Y116" i="3"/>
  <c r="Q116" i="3"/>
  <c r="I116" i="3"/>
  <c r="A116" i="3"/>
  <c r="AG115" i="3"/>
  <c r="Y115" i="3"/>
  <c r="Q115" i="3"/>
  <c r="I115" i="3"/>
  <c r="A115" i="3"/>
  <c r="AG114" i="3"/>
  <c r="Y114" i="3"/>
  <c r="Q114" i="3"/>
  <c r="I114" i="3"/>
  <c r="A114" i="3"/>
  <c r="AG113" i="3"/>
  <c r="Y113" i="3"/>
  <c r="Q113" i="3"/>
  <c r="I113" i="3"/>
  <c r="A113" i="3"/>
  <c r="AG112" i="3"/>
  <c r="Y112" i="3"/>
  <c r="Q112" i="3"/>
  <c r="I112" i="3"/>
  <c r="A112" i="3"/>
  <c r="AG111" i="3"/>
  <c r="Y111" i="3"/>
  <c r="Q111" i="3"/>
  <c r="I111" i="3"/>
  <c r="A111" i="3"/>
  <c r="AG110" i="3"/>
  <c r="Y110" i="3"/>
  <c r="Q110" i="3"/>
  <c r="I110" i="3"/>
  <c r="A110" i="3"/>
  <c r="AG109" i="3"/>
  <c r="Y109" i="3"/>
  <c r="Q109" i="3"/>
  <c r="I109" i="3"/>
  <c r="A109" i="3"/>
  <c r="AG108" i="3"/>
  <c r="Y108" i="3"/>
  <c r="Q108" i="3"/>
  <c r="I108" i="3"/>
  <c r="A108" i="3"/>
  <c r="AG107" i="3"/>
  <c r="Y107" i="3"/>
  <c r="Q107" i="3"/>
  <c r="I107" i="3"/>
  <c r="A107" i="3"/>
  <c r="AG106" i="3"/>
  <c r="Y106" i="3"/>
  <c r="Q106" i="3"/>
  <c r="I106" i="3"/>
  <c r="A106" i="3"/>
  <c r="AG105" i="3"/>
  <c r="Y105" i="3"/>
  <c r="Q105" i="3"/>
  <c r="I105" i="3"/>
  <c r="A105" i="3"/>
  <c r="AG104" i="3"/>
  <c r="Y104" i="3"/>
  <c r="Q104" i="3"/>
  <c r="I104" i="3"/>
  <c r="A104" i="3"/>
  <c r="AG103" i="3"/>
  <c r="Y103" i="3"/>
  <c r="Q103" i="3"/>
  <c r="I103" i="3"/>
  <c r="A103" i="3"/>
  <c r="AG102" i="3"/>
  <c r="Y102" i="3"/>
  <c r="Q102" i="3"/>
  <c r="I102" i="3"/>
  <c r="A102" i="3"/>
  <c r="AG101" i="3"/>
  <c r="Y101" i="3"/>
  <c r="Q101" i="3"/>
  <c r="I101" i="3"/>
  <c r="A101" i="3"/>
  <c r="AG100" i="3"/>
  <c r="Y100" i="3"/>
  <c r="Q100" i="3"/>
  <c r="I100" i="3"/>
  <c r="A100" i="3"/>
  <c r="AG99" i="3"/>
  <c r="Y99" i="3"/>
  <c r="Q99" i="3"/>
  <c r="I99" i="3"/>
  <c r="A99" i="3"/>
  <c r="AM98" i="3"/>
  <c r="AL98" i="3"/>
  <c r="AK98" i="3"/>
  <c r="AJ98" i="3"/>
  <c r="AI98" i="3"/>
  <c r="AH98" i="3"/>
  <c r="AE98" i="3"/>
  <c r="AD98" i="3"/>
  <c r="AC98" i="3"/>
  <c r="AB98" i="3"/>
  <c r="AA98" i="3"/>
  <c r="Z98" i="3"/>
  <c r="W98" i="3"/>
  <c r="V98" i="3"/>
  <c r="U98" i="3"/>
  <c r="T98" i="3"/>
  <c r="S98" i="3"/>
  <c r="R98" i="3"/>
  <c r="O98" i="3"/>
  <c r="N98" i="3"/>
  <c r="M98" i="3"/>
  <c r="L98" i="3"/>
  <c r="K98" i="3"/>
  <c r="J98" i="3"/>
  <c r="G98" i="3"/>
  <c r="F98" i="3"/>
  <c r="E98" i="3"/>
  <c r="D98" i="3"/>
  <c r="C98" i="3"/>
  <c r="B98" i="3"/>
  <c r="I92" i="3"/>
  <c r="A92" i="3"/>
  <c r="I91" i="3"/>
  <c r="A91" i="3"/>
  <c r="I90" i="3"/>
  <c r="A90" i="3"/>
  <c r="I89" i="3"/>
  <c r="A89" i="3"/>
  <c r="I88" i="3"/>
  <c r="A88" i="3"/>
  <c r="I87" i="3"/>
  <c r="A87" i="3"/>
  <c r="I86" i="3"/>
  <c r="A86" i="3"/>
  <c r="I85" i="3"/>
  <c r="A85" i="3"/>
  <c r="I84" i="3"/>
  <c r="A84" i="3"/>
  <c r="I83" i="3"/>
  <c r="A83" i="3"/>
  <c r="I82" i="3"/>
  <c r="A82" i="3"/>
  <c r="I81" i="3"/>
  <c r="A81" i="3"/>
  <c r="I80" i="3"/>
  <c r="A80" i="3"/>
  <c r="I79" i="3"/>
  <c r="A79" i="3"/>
  <c r="I78" i="3"/>
  <c r="A78" i="3"/>
  <c r="I77" i="3"/>
  <c r="A77" i="3"/>
  <c r="I76" i="3"/>
  <c r="A76" i="3"/>
  <c r="I75" i="3"/>
  <c r="A75" i="3"/>
  <c r="I74" i="3"/>
  <c r="A74" i="3"/>
  <c r="I73" i="3"/>
  <c r="A73" i="3"/>
  <c r="I72" i="3"/>
  <c r="A72" i="3"/>
  <c r="I71" i="3"/>
  <c r="A71" i="3"/>
  <c r="I70" i="3"/>
  <c r="A70" i="3"/>
  <c r="I69" i="3"/>
  <c r="A69" i="3"/>
  <c r="I68" i="3"/>
  <c r="A68" i="3"/>
  <c r="O67" i="3"/>
  <c r="N67" i="3"/>
  <c r="M67" i="3"/>
  <c r="L67" i="3"/>
  <c r="K67" i="3"/>
  <c r="J67" i="3"/>
  <c r="G67" i="3"/>
  <c r="F67" i="3"/>
  <c r="E67" i="3"/>
  <c r="D67" i="3"/>
  <c r="C67" i="3"/>
  <c r="B67" i="3"/>
  <c r="I43" i="3"/>
  <c r="A43" i="3"/>
  <c r="I41" i="3"/>
  <c r="A41" i="3"/>
  <c r="I40" i="3"/>
  <c r="A40" i="3"/>
  <c r="I39" i="3"/>
  <c r="A39" i="3"/>
  <c r="I37" i="3"/>
  <c r="A37" i="3"/>
  <c r="O36" i="3"/>
  <c r="N36" i="3"/>
  <c r="M36" i="3"/>
  <c r="L36" i="3"/>
  <c r="K36" i="3"/>
  <c r="J36" i="3"/>
  <c r="G36" i="3"/>
  <c r="F36" i="3"/>
  <c r="E36" i="3"/>
  <c r="D36" i="3"/>
  <c r="C36" i="3"/>
  <c r="B36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A18" i="3"/>
  <c r="I17" i="3"/>
  <c r="A17" i="3"/>
  <c r="I16" i="3"/>
  <c r="A16" i="3"/>
  <c r="I15" i="3"/>
  <c r="A15" i="3"/>
  <c r="I14" i="3"/>
  <c r="A14" i="3"/>
  <c r="I13" i="3"/>
  <c r="A13" i="3"/>
  <c r="I12" i="3"/>
  <c r="A12" i="3"/>
  <c r="I10" i="3"/>
  <c r="A10" i="3"/>
  <c r="I9" i="3"/>
  <c r="A9" i="3"/>
  <c r="I8" i="3"/>
  <c r="A8" i="3"/>
  <c r="I6" i="3"/>
  <c r="A6" i="3"/>
  <c r="O5" i="3"/>
  <c r="N5" i="3"/>
  <c r="M5" i="3"/>
  <c r="L5" i="3"/>
  <c r="K5" i="3"/>
  <c r="J5" i="3"/>
  <c r="G5" i="3"/>
  <c r="F5" i="3"/>
  <c r="E5" i="3"/>
  <c r="D5" i="3"/>
  <c r="C5" i="3"/>
  <c r="B5" i="3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O191" i="2"/>
  <c r="N191" i="2"/>
  <c r="M191" i="2"/>
  <c r="L191" i="2"/>
  <c r="K191" i="2"/>
  <c r="J191" i="2"/>
  <c r="G191" i="2"/>
  <c r="F191" i="2"/>
  <c r="E191" i="2"/>
  <c r="D191" i="2"/>
  <c r="C191" i="2"/>
  <c r="B191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O160" i="2"/>
  <c r="N160" i="2"/>
  <c r="M160" i="2"/>
  <c r="L160" i="2"/>
  <c r="K160" i="2"/>
  <c r="J160" i="2"/>
  <c r="G160" i="2"/>
  <c r="F160" i="2"/>
  <c r="E160" i="2"/>
  <c r="D160" i="2"/>
  <c r="C160" i="2"/>
  <c r="B160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W129" i="2"/>
  <c r="V129" i="2"/>
  <c r="U129" i="2"/>
  <c r="T129" i="2"/>
  <c r="S129" i="2"/>
  <c r="R129" i="2"/>
  <c r="O129" i="2"/>
  <c r="N129" i="2"/>
  <c r="M129" i="2"/>
  <c r="L129" i="2"/>
  <c r="K129" i="2"/>
  <c r="J129" i="2"/>
  <c r="G129" i="2"/>
  <c r="F129" i="2"/>
  <c r="E129" i="2"/>
  <c r="D129" i="2"/>
  <c r="C129" i="2"/>
  <c r="B129" i="2"/>
  <c r="T126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AM98" i="2"/>
  <c r="AL98" i="2"/>
  <c r="AK98" i="2"/>
  <c r="AJ98" i="2"/>
  <c r="AI98" i="2"/>
  <c r="AH98" i="2"/>
  <c r="AE98" i="2"/>
  <c r="AD98" i="2"/>
  <c r="AC98" i="2"/>
  <c r="AB98" i="2"/>
  <c r="AA98" i="2"/>
  <c r="Z98" i="2"/>
  <c r="W98" i="2"/>
  <c r="V98" i="2"/>
  <c r="U98" i="2"/>
  <c r="T98" i="2"/>
  <c r="S98" i="2"/>
  <c r="R98" i="2"/>
  <c r="O98" i="2"/>
  <c r="N98" i="2"/>
  <c r="M98" i="2"/>
  <c r="L98" i="2"/>
  <c r="K98" i="2"/>
  <c r="J98" i="2"/>
  <c r="G98" i="2"/>
  <c r="F98" i="2"/>
  <c r="E98" i="2"/>
  <c r="D98" i="2"/>
  <c r="C98" i="2"/>
  <c r="B98" i="2"/>
  <c r="O67" i="2"/>
  <c r="N67" i="2"/>
  <c r="M67" i="2"/>
  <c r="L67" i="2"/>
  <c r="K67" i="2"/>
  <c r="J67" i="2"/>
  <c r="G67" i="2"/>
  <c r="F67" i="2"/>
  <c r="E67" i="2"/>
  <c r="D67" i="2"/>
  <c r="C67" i="2"/>
  <c r="B67" i="2"/>
  <c r="O36" i="2"/>
  <c r="N36" i="2"/>
  <c r="M36" i="2"/>
  <c r="L36" i="2"/>
  <c r="K36" i="2"/>
  <c r="J36" i="2"/>
  <c r="G36" i="2"/>
  <c r="F36" i="2"/>
  <c r="E36" i="2"/>
  <c r="D36" i="2"/>
  <c r="C36" i="2"/>
  <c r="B36" i="2"/>
  <c r="O5" i="2"/>
  <c r="N5" i="2"/>
  <c r="M5" i="2"/>
  <c r="L5" i="2"/>
  <c r="K5" i="2"/>
  <c r="J5" i="2"/>
  <c r="G5" i="2"/>
  <c r="F5" i="2"/>
  <c r="E5" i="2"/>
  <c r="D5" i="2"/>
  <c r="C5" i="2"/>
  <c r="B5" i="2"/>
  <c r="J32" i="1"/>
  <c r="J29" i="1"/>
  <c r="J27" i="1"/>
  <c r="J25" i="1"/>
  <c r="J18" i="1"/>
  <c r="J16" i="1"/>
  <c r="U126" i="28" l="1"/>
  <c r="U126" i="38"/>
  <c r="T126" i="28"/>
  <c r="T126" i="38"/>
  <c r="A7" i="36"/>
  <c r="Q7" i="30"/>
  <c r="Q10" i="30"/>
  <c r="A10" i="36"/>
  <c r="A14" i="36"/>
  <c r="Q14" i="30"/>
  <c r="Q18" i="30"/>
  <c r="A18" i="36"/>
  <c r="Q22" i="30"/>
  <c r="A22" i="36"/>
  <c r="Q26" i="30"/>
  <c r="A26" i="36"/>
  <c r="Q30" i="30"/>
  <c r="A30" i="36"/>
  <c r="Q11" i="30"/>
  <c r="A11" i="36"/>
  <c r="Q15" i="30"/>
  <c r="A15" i="36"/>
  <c r="Q19" i="30"/>
  <c r="A19" i="36"/>
  <c r="Q23" i="30"/>
  <c r="A23" i="36"/>
  <c r="Q27" i="30"/>
  <c r="A27" i="36"/>
  <c r="A8" i="36"/>
  <c r="Q8" i="30"/>
  <c r="Q12" i="30"/>
  <c r="A12" i="36"/>
  <c r="A16" i="36"/>
  <c r="Q16" i="30"/>
  <c r="Q20" i="30"/>
  <c r="A20" i="36"/>
  <c r="A24" i="36"/>
  <c r="Q24" i="30"/>
  <c r="Q28" i="30"/>
  <c r="A28" i="36"/>
  <c r="Q9" i="30"/>
  <c r="A9" i="36"/>
  <c r="Q13" i="30"/>
  <c r="A13" i="36"/>
  <c r="Q17" i="30"/>
  <c r="A17" i="36"/>
  <c r="Q21" i="30"/>
  <c r="A21" i="36"/>
  <c r="Q25" i="30"/>
  <c r="A25" i="36"/>
  <c r="Q29" i="30"/>
  <c r="A29" i="36"/>
  <c r="Q40" i="25"/>
  <c r="Q39" i="25"/>
  <c r="Q31" i="25"/>
  <c r="R46" i="25"/>
  <c r="Q26" i="25"/>
  <c r="R41" i="25"/>
  <c r="Q45" i="25"/>
  <c r="R19" i="18"/>
  <c r="Q25" i="25"/>
  <c r="R35" i="25"/>
  <c r="R39" i="25"/>
  <c r="R40" i="25"/>
  <c r="Q19" i="25"/>
  <c r="Q20" i="25"/>
  <c r="R24" i="25"/>
  <c r="R34" i="25"/>
  <c r="X7" i="12"/>
  <c r="X9" i="12" s="1"/>
  <c r="R14" i="25"/>
  <c r="R18" i="25"/>
  <c r="R19" i="25"/>
  <c r="R27" i="25"/>
  <c r="Q46" i="25"/>
  <c r="Q46" i="18"/>
  <c r="R25" i="19"/>
  <c r="Q16" i="20"/>
  <c r="Q25" i="20"/>
  <c r="R22" i="21"/>
  <c r="R26" i="22"/>
  <c r="Q30" i="22"/>
  <c r="R38" i="22"/>
  <c r="Q43" i="22"/>
  <c r="R34" i="23"/>
  <c r="R36" i="23"/>
  <c r="R38" i="23"/>
  <c r="R40" i="23"/>
  <c r="R15" i="25"/>
  <c r="R21" i="25"/>
  <c r="Q24" i="25"/>
  <c r="R25" i="25"/>
  <c r="R30" i="25"/>
  <c r="R31" i="25"/>
  <c r="Q38" i="25"/>
  <c r="Q19" i="12"/>
  <c r="R24" i="19"/>
  <c r="R32" i="20"/>
  <c r="R34" i="21"/>
  <c r="Q15" i="22"/>
  <c r="Q18" i="22"/>
  <c r="R19" i="22"/>
  <c r="Q21" i="22"/>
  <c r="R30" i="22"/>
  <c r="Q35" i="22"/>
  <c r="Q24" i="23"/>
  <c r="Q28" i="23"/>
  <c r="Q31" i="23"/>
  <c r="Q23" i="25"/>
  <c r="Q35" i="25"/>
  <c r="R42" i="25"/>
  <c r="Q16" i="12"/>
  <c r="R32" i="17"/>
  <c r="Q31" i="18"/>
  <c r="R16" i="19"/>
  <c r="R23" i="19"/>
  <c r="R30" i="19"/>
  <c r="Q29" i="20"/>
  <c r="R41" i="21"/>
  <c r="R17" i="22"/>
  <c r="R18" i="22"/>
  <c r="Q32" i="22"/>
  <c r="R37" i="22"/>
  <c r="R39" i="22"/>
  <c r="R44" i="22"/>
  <c r="Q16" i="23"/>
  <c r="Q18" i="23"/>
  <c r="Q21" i="23"/>
  <c r="R28" i="23"/>
  <c r="R43" i="23"/>
  <c r="R22" i="19"/>
  <c r="Q21" i="20"/>
  <c r="R26" i="20"/>
  <c r="Q28" i="20"/>
  <c r="R16" i="21"/>
  <c r="R29" i="21"/>
  <c r="Q14" i="22"/>
  <c r="R16" i="22"/>
  <c r="Q34" i="22"/>
  <c r="R36" i="22"/>
  <c r="Q41" i="22"/>
  <c r="Q44" i="22"/>
  <c r="Q46" i="22"/>
  <c r="Q20" i="23"/>
  <c r="S5" i="26"/>
  <c r="R188" i="3" s="1"/>
  <c r="F4" i="6"/>
  <c r="E4" i="6" s="1"/>
  <c r="U126" i="2"/>
  <c r="U126" i="3"/>
  <c r="F8" i="6"/>
  <c r="E8" i="6" s="1"/>
  <c r="V5" i="26" s="1"/>
  <c r="U188" i="3" s="1"/>
  <c r="R29" i="9"/>
  <c r="Q33" i="9"/>
  <c r="Q14" i="10"/>
  <c r="R15" i="10"/>
  <c r="Q17" i="10"/>
  <c r="R18" i="10"/>
  <c r="R21" i="10"/>
  <c r="Q24" i="10"/>
  <c r="R25" i="10"/>
  <c r="Q32" i="10"/>
  <c r="Q37" i="10"/>
  <c r="R38" i="10"/>
  <c r="R41" i="10"/>
  <c r="Q44" i="10"/>
  <c r="R45" i="10"/>
  <c r="R18" i="11"/>
  <c r="R20" i="11"/>
  <c r="R23" i="11"/>
  <c r="R31" i="11"/>
  <c r="R39" i="11"/>
  <c r="R44" i="11"/>
  <c r="R16" i="12"/>
  <c r="Q17" i="12"/>
  <c r="R20" i="12"/>
  <c r="R25" i="12"/>
  <c r="R29" i="12"/>
  <c r="R34" i="12"/>
  <c r="Q42" i="12"/>
  <c r="R23" i="13"/>
  <c r="R35" i="13"/>
  <c r="Q42" i="13"/>
  <c r="Q14" i="14"/>
  <c r="Q18" i="14"/>
  <c r="Q19" i="14"/>
  <c r="Q22" i="14"/>
  <c r="Q25" i="14"/>
  <c r="Q26" i="14"/>
  <c r="R27" i="14"/>
  <c r="R30" i="14"/>
  <c r="R32" i="14"/>
  <c r="R37" i="14"/>
  <c r="R38" i="14"/>
  <c r="R40" i="14"/>
  <c r="Q41" i="14"/>
  <c r="R42" i="14"/>
  <c r="R45" i="14"/>
  <c r="T126" i="3"/>
  <c r="Q19" i="8"/>
  <c r="Q21" i="8"/>
  <c r="R33" i="8"/>
  <c r="R19" i="9"/>
  <c r="R33" i="9"/>
  <c r="Q35" i="9"/>
  <c r="R37" i="9"/>
  <c r="R38" i="9"/>
  <c r="R40" i="9"/>
  <c r="R14" i="10"/>
  <c r="Q20" i="10"/>
  <c r="Q23" i="10"/>
  <c r="R24" i="10"/>
  <c r="Q27" i="10"/>
  <c r="R28" i="10"/>
  <c r="R31" i="10"/>
  <c r="Q40" i="10"/>
  <c r="Q43" i="10"/>
  <c r="R44" i="10"/>
  <c r="Q41" i="11"/>
  <c r="R23" i="12"/>
  <c r="R24" i="12"/>
  <c r="Q27" i="12"/>
  <c r="Q38" i="12"/>
  <c r="Q39" i="12"/>
  <c r="Q40" i="12"/>
  <c r="R41" i="12"/>
  <c r="R42" i="12"/>
  <c r="Q46" i="12"/>
  <c r="R15" i="13"/>
  <c r="R27" i="13"/>
  <c r="R37" i="13"/>
  <c r="R14" i="14"/>
  <c r="R16" i="14"/>
  <c r="Q17" i="14"/>
  <c r="R18" i="14"/>
  <c r="R24" i="14"/>
  <c r="R25" i="14"/>
  <c r="R35" i="14"/>
  <c r="Q36" i="14"/>
  <c r="Q37" i="14"/>
  <c r="Q40" i="14"/>
  <c r="Q44" i="14"/>
  <c r="R21" i="9"/>
  <c r="Q37" i="9"/>
  <c r="Q42" i="9"/>
  <c r="R27" i="10"/>
  <c r="R30" i="10"/>
  <c r="Q34" i="10"/>
  <c r="R17" i="11"/>
  <c r="R24" i="11"/>
  <c r="Q26" i="11"/>
  <c r="R36" i="11"/>
  <c r="R38" i="11"/>
  <c r="R40" i="11"/>
  <c r="Q18" i="12"/>
  <c r="R19" i="12"/>
  <c r="Q21" i="12"/>
  <c r="Q22" i="12"/>
  <c r="Q23" i="12"/>
  <c r="R26" i="12"/>
  <c r="R27" i="12"/>
  <c r="R30" i="12"/>
  <c r="Q31" i="12"/>
  <c r="Q32" i="12"/>
  <c r="R35" i="12"/>
  <c r="R38" i="12"/>
  <c r="R39" i="12"/>
  <c r="R40" i="12"/>
  <c r="Q44" i="12"/>
  <c r="Q45" i="12"/>
  <c r="R46" i="12"/>
  <c r="R19" i="13"/>
  <c r="R29" i="13"/>
  <c r="R39" i="13"/>
  <c r="Q46" i="14"/>
  <c r="R46" i="14"/>
  <c r="Q16" i="14"/>
  <c r="R17" i="14"/>
  <c r="R20" i="14"/>
  <c r="Q23" i="14"/>
  <c r="Q24" i="14"/>
  <c r="R28" i="14"/>
  <c r="Q31" i="14"/>
  <c r="Q33" i="14"/>
  <c r="Q34" i="14"/>
  <c r="Q35" i="14"/>
  <c r="R36" i="14"/>
  <c r="R39" i="14"/>
  <c r="R44" i="14"/>
  <c r="R27" i="9"/>
  <c r="R36" i="9"/>
  <c r="Q18" i="10"/>
  <c r="Q21" i="10"/>
  <c r="R22" i="10"/>
  <c r="Q26" i="10"/>
  <c r="Q29" i="10"/>
  <c r="R33" i="10"/>
  <c r="Q38" i="10"/>
  <c r="Q41" i="10"/>
  <c r="R42" i="10"/>
  <c r="Q46" i="10"/>
  <c r="R14" i="11"/>
  <c r="R16" i="11"/>
  <c r="R21" i="11"/>
  <c r="R17" i="12"/>
  <c r="R21" i="12"/>
  <c r="R22" i="12"/>
  <c r="Q25" i="12"/>
  <c r="Q29" i="12"/>
  <c r="Q30" i="12"/>
  <c r="R31" i="12"/>
  <c r="R32" i="12"/>
  <c r="Q34" i="12"/>
  <c r="Q35" i="12"/>
  <c r="Q37" i="12"/>
  <c r="R44" i="12"/>
  <c r="R21" i="13"/>
  <c r="R31" i="13"/>
  <c r="R15" i="14"/>
  <c r="R19" i="14"/>
  <c r="Q20" i="14"/>
  <c r="R22" i="14"/>
  <c r="R23" i="14"/>
  <c r="R26" i="14"/>
  <c r="Q27" i="14"/>
  <c r="Q30" i="14"/>
  <c r="R33" i="14"/>
  <c r="R34" i="14"/>
  <c r="Q38" i="14"/>
  <c r="R41" i="14"/>
  <c r="Q42" i="14"/>
  <c r="R16" i="15"/>
  <c r="R21" i="15"/>
  <c r="R24" i="15"/>
  <c r="R29" i="15"/>
  <c r="R39" i="15"/>
  <c r="R40" i="16"/>
  <c r="Q43" i="16"/>
  <c r="Q23" i="17"/>
  <c r="R28" i="17"/>
  <c r="Q19" i="18"/>
  <c r="R27" i="18"/>
  <c r="Q37" i="18"/>
  <c r="Q41" i="18"/>
  <c r="Q16" i="19"/>
  <c r="Q17" i="19"/>
  <c r="Q19" i="19"/>
  <c r="Q22" i="19"/>
  <c r="Q23" i="19"/>
  <c r="Q24" i="19"/>
  <c r="Q25" i="19"/>
  <c r="R26" i="19"/>
  <c r="R28" i="19"/>
  <c r="Q33" i="19"/>
  <c r="R34" i="19"/>
  <c r="R35" i="19"/>
  <c r="Q42" i="19"/>
  <c r="R44" i="19"/>
  <c r="R45" i="19"/>
  <c r="Q14" i="20"/>
  <c r="R17" i="20"/>
  <c r="R18" i="20"/>
  <c r="R19" i="20"/>
  <c r="R21" i="20"/>
  <c r="Q22" i="20"/>
  <c r="R23" i="20"/>
  <c r="R30" i="20"/>
  <c r="R33" i="20"/>
  <c r="Q35" i="20"/>
  <c r="Q38" i="20"/>
  <c r="R44" i="20"/>
  <c r="Q16" i="21"/>
  <c r="Q17" i="21"/>
  <c r="Q20" i="21"/>
  <c r="Q30" i="21"/>
  <c r="Q26" i="22"/>
  <c r="R32" i="22"/>
  <c r="R35" i="22"/>
  <c r="R42" i="22"/>
  <c r="R14" i="23"/>
  <c r="R16" i="23"/>
  <c r="R22" i="23"/>
  <c r="R24" i="23"/>
  <c r="R31" i="23"/>
  <c r="Q34" i="23"/>
  <c r="Q35" i="23"/>
  <c r="R39" i="23"/>
  <c r="R18" i="24"/>
  <c r="R19" i="24"/>
  <c r="Q24" i="24"/>
  <c r="Q25" i="24"/>
  <c r="R26" i="24"/>
  <c r="R28" i="24"/>
  <c r="Q30" i="24"/>
  <c r="R33" i="24"/>
  <c r="Q35" i="24"/>
  <c r="Q36" i="24"/>
  <c r="Q41" i="24"/>
  <c r="R44" i="24"/>
  <c r="Q15" i="25"/>
  <c r="Q16" i="25"/>
  <c r="R17" i="25"/>
  <c r="R20" i="25"/>
  <c r="Q21" i="25"/>
  <c r="R26" i="25"/>
  <c r="Q27" i="25"/>
  <c r="Q28" i="25"/>
  <c r="R29" i="25"/>
  <c r="R32" i="25"/>
  <c r="R33" i="25"/>
  <c r="R36" i="25"/>
  <c r="R37" i="25"/>
  <c r="Q41" i="25"/>
  <c r="Q42" i="25"/>
  <c r="R43" i="25"/>
  <c r="R44" i="25"/>
  <c r="R14" i="26"/>
  <c r="R16" i="26"/>
  <c r="R18" i="26"/>
  <c r="R20" i="26"/>
  <c r="R22" i="26"/>
  <c r="R24" i="26"/>
  <c r="R26" i="26"/>
  <c r="R28" i="26"/>
  <c r="R30" i="26"/>
  <c r="R32" i="26"/>
  <c r="R34" i="26"/>
  <c r="R36" i="26"/>
  <c r="Q15" i="15"/>
  <c r="Q20" i="15"/>
  <c r="Q23" i="15"/>
  <c r="Q28" i="15"/>
  <c r="Q31" i="15"/>
  <c r="R36" i="15"/>
  <c r="Q38" i="15"/>
  <c r="R20" i="16"/>
  <c r="Q23" i="16"/>
  <c r="R28" i="16"/>
  <c r="R39" i="16"/>
  <c r="R42" i="16"/>
  <c r="R37" i="19"/>
  <c r="R41" i="19"/>
  <c r="Q44" i="19"/>
  <c r="Q37" i="20"/>
  <c r="R43" i="20"/>
  <c r="R46" i="20"/>
  <c r="R15" i="24"/>
  <c r="R17" i="24"/>
  <c r="Q21" i="24"/>
  <c r="R23" i="24"/>
  <c r="R24" i="24"/>
  <c r="R25" i="24"/>
  <c r="R30" i="24"/>
  <c r="Q32" i="24"/>
  <c r="R35" i="24"/>
  <c r="R40" i="24"/>
  <c r="R41" i="24"/>
  <c r="Q46" i="24"/>
  <c r="R20" i="15"/>
  <c r="R28" i="15"/>
  <c r="R31" i="15"/>
  <c r="R40" i="15"/>
  <c r="R43" i="15"/>
  <c r="Q20" i="16"/>
  <c r="R25" i="16"/>
  <c r="Q30" i="16"/>
  <c r="Q33" i="16"/>
  <c r="R41" i="16"/>
  <c r="R34" i="17"/>
  <c r="R42" i="17"/>
  <c r="Q23" i="18"/>
  <c r="Q35" i="18"/>
  <c r="Q38" i="18"/>
  <c r="R42" i="18"/>
  <c r="R45" i="18"/>
  <c r="R14" i="19"/>
  <c r="Q18" i="19"/>
  <c r="R20" i="19"/>
  <c r="R29" i="19"/>
  <c r="R36" i="19"/>
  <c r="Q37" i="19"/>
  <c r="Q40" i="19"/>
  <c r="R16" i="20"/>
  <c r="R20" i="20"/>
  <c r="R25" i="20"/>
  <c r="R28" i="20"/>
  <c r="R34" i="20"/>
  <c r="Q36" i="20"/>
  <c r="Q42" i="20"/>
  <c r="R26" i="21"/>
  <c r="R36" i="21"/>
  <c r="Q40" i="21"/>
  <c r="Q45" i="21"/>
  <c r="Q14" i="24"/>
  <c r="Q17" i="24"/>
  <c r="Q20" i="24"/>
  <c r="Q23" i="24"/>
  <c r="R27" i="24"/>
  <c r="R29" i="24"/>
  <c r="R32" i="24"/>
  <c r="R39" i="24"/>
  <c r="Q43" i="24"/>
  <c r="R45" i="24"/>
  <c r="R15" i="26"/>
  <c r="R17" i="26"/>
  <c r="R19" i="26"/>
  <c r="R21" i="26"/>
  <c r="R23" i="26"/>
  <c r="R25" i="26"/>
  <c r="R27" i="26"/>
  <c r="R29" i="26"/>
  <c r="R31" i="26"/>
  <c r="R33" i="26"/>
  <c r="R35" i="26"/>
  <c r="R37" i="26"/>
  <c r="R37" i="15"/>
  <c r="Q42" i="15"/>
  <c r="Q17" i="16"/>
  <c r="Q24" i="16"/>
  <c r="Q27" i="16"/>
  <c r="R30" i="16"/>
  <c r="R43" i="16"/>
  <c r="R44" i="16"/>
  <c r="Q19" i="17"/>
  <c r="Q24" i="17"/>
  <c r="Q15" i="18"/>
  <c r="Q27" i="18"/>
  <c r="R35" i="18"/>
  <c r="Q44" i="18"/>
  <c r="Q14" i="19"/>
  <c r="R17" i="19"/>
  <c r="Q20" i="19"/>
  <c r="Q29" i="19"/>
  <c r="Q31" i="19"/>
  <c r="R33" i="19"/>
  <c r="Q34" i="19"/>
  <c r="Q35" i="19"/>
  <c r="Q36" i="19"/>
  <c r="R39" i="19"/>
  <c r="R40" i="19"/>
  <c r="R42" i="19"/>
  <c r="Q45" i="19"/>
  <c r="R14" i="20"/>
  <c r="Q18" i="20"/>
  <c r="Q19" i="20"/>
  <c r="Q23" i="20"/>
  <c r="R27" i="20"/>
  <c r="Q30" i="20"/>
  <c r="R36" i="20"/>
  <c r="R38" i="20"/>
  <c r="R39" i="20"/>
  <c r="R41" i="20"/>
  <c r="R42" i="20"/>
  <c r="R45" i="20"/>
  <c r="R14" i="21"/>
  <c r="R18" i="21"/>
  <c r="R33" i="21"/>
  <c r="R40" i="21"/>
  <c r="R20" i="23"/>
  <c r="Q40" i="23"/>
  <c r="R42" i="23"/>
  <c r="R46" i="23"/>
  <c r="R14" i="24"/>
  <c r="R16" i="24"/>
  <c r="Q19" i="24"/>
  <c r="R22" i="24"/>
  <c r="Q31" i="24"/>
  <c r="R36" i="24"/>
  <c r="R37" i="24"/>
  <c r="Q39" i="24"/>
  <c r="Q42" i="24"/>
  <c r="Q45" i="24"/>
  <c r="R16" i="25"/>
  <c r="Q17" i="25"/>
  <c r="R22" i="25"/>
  <c r="R23" i="25"/>
  <c r="R28" i="25"/>
  <c r="Q29" i="25"/>
  <c r="Q33" i="25"/>
  <c r="Q37" i="25"/>
  <c r="R38" i="25"/>
  <c r="Q43" i="25"/>
  <c r="Q44" i="25"/>
  <c r="Q22" i="8"/>
  <c r="R22" i="8"/>
  <c r="S5" i="24"/>
  <c r="S5" i="25"/>
  <c r="S5" i="18"/>
  <c r="S7" i="18" s="1"/>
  <c r="S9" i="18" s="1"/>
  <c r="S5" i="17"/>
  <c r="B157" i="38" s="1"/>
  <c r="J157" i="38" s="1"/>
  <c r="I13" i="5"/>
  <c r="F5" i="5"/>
  <c r="E5" i="5" s="1"/>
  <c r="F10" i="5" s="1"/>
  <c r="E10" i="5" s="1"/>
  <c r="U5" i="24"/>
  <c r="D188" i="38" s="1"/>
  <c r="L188" i="38" s="1"/>
  <c r="U5" i="25"/>
  <c r="U5" i="18"/>
  <c r="U7" i="18" s="1"/>
  <c r="U9" i="18" s="1"/>
  <c r="U5" i="17"/>
  <c r="R18" i="8"/>
  <c r="Q18" i="8"/>
  <c r="S5" i="22"/>
  <c r="S7" i="22" s="1"/>
  <c r="S9" i="22" s="1"/>
  <c r="S5" i="21"/>
  <c r="S5" i="20"/>
  <c r="S5" i="19"/>
  <c r="B64" i="38" s="1"/>
  <c r="J64" i="38" s="1"/>
  <c r="S5" i="16"/>
  <c r="S7" i="16" s="1"/>
  <c r="S9" i="16" s="1"/>
  <c r="S5" i="13"/>
  <c r="S7" i="13" s="1"/>
  <c r="S9" i="13" s="1"/>
  <c r="S5" i="15"/>
  <c r="S7" i="15" s="1"/>
  <c r="S9" i="15" s="1"/>
  <c r="S5" i="14"/>
  <c r="S5" i="11"/>
  <c r="S7" i="11" s="1"/>
  <c r="S9" i="11" s="1"/>
  <c r="S5" i="12"/>
  <c r="S5" i="10"/>
  <c r="B33" i="38" s="1"/>
  <c r="J33" i="38" s="1"/>
  <c r="S5" i="9"/>
  <c r="S5" i="8"/>
  <c r="F5" i="4"/>
  <c r="E5" i="4" s="1"/>
  <c r="F10" i="4" s="1"/>
  <c r="E10" i="4" s="1"/>
  <c r="T5" i="22"/>
  <c r="T5" i="20"/>
  <c r="T5" i="19"/>
  <c r="T5" i="21"/>
  <c r="T5" i="16"/>
  <c r="T5" i="15"/>
  <c r="T7" i="15" s="1"/>
  <c r="T9" i="15" s="1"/>
  <c r="T5" i="14"/>
  <c r="T7" i="14" s="1"/>
  <c r="T9" i="14" s="1"/>
  <c r="T5" i="13"/>
  <c r="T7" i="13" s="1"/>
  <c r="T9" i="13" s="1"/>
  <c r="T5" i="11"/>
  <c r="T5" i="12"/>
  <c r="C95" i="38" s="1"/>
  <c r="K95" i="38" s="1"/>
  <c r="S95" i="38" s="1"/>
  <c r="AA95" i="38" s="1"/>
  <c r="AI95" i="38" s="1"/>
  <c r="T5" i="10"/>
  <c r="T5" i="8"/>
  <c r="C2" i="38" s="1"/>
  <c r="K2" i="38" s="1"/>
  <c r="T5" i="9"/>
  <c r="F9" i="4"/>
  <c r="E9" i="4" s="1"/>
  <c r="R29" i="8"/>
  <c r="Q29" i="8"/>
  <c r="Q45" i="8"/>
  <c r="R45" i="8"/>
  <c r="U5" i="22"/>
  <c r="U5" i="20"/>
  <c r="U5" i="21"/>
  <c r="D126" i="38" s="1"/>
  <c r="L126" i="38" s="1"/>
  <c r="U5" i="19"/>
  <c r="D64" i="38" s="1"/>
  <c r="L64" i="38" s="1"/>
  <c r="U5" i="12"/>
  <c r="D95" i="38" s="1"/>
  <c r="L95" i="38" s="1"/>
  <c r="T95" i="38" s="1"/>
  <c r="AB95" i="38" s="1"/>
  <c r="AJ95" i="38" s="1"/>
  <c r="U5" i="15"/>
  <c r="U7" i="15" s="1"/>
  <c r="U9" i="15" s="1"/>
  <c r="U5" i="16"/>
  <c r="U5" i="14"/>
  <c r="U5" i="13"/>
  <c r="U7" i="13" s="1"/>
  <c r="U9" i="13" s="1"/>
  <c r="U5" i="8"/>
  <c r="U5" i="11"/>
  <c r="U7" i="11" s="1"/>
  <c r="U5" i="9"/>
  <c r="U7" i="9" s="1"/>
  <c r="U9" i="9" s="1"/>
  <c r="U5" i="10"/>
  <c r="S5" i="23"/>
  <c r="R126" i="38" s="1"/>
  <c r="F4" i="7"/>
  <c r="E4" i="7" s="1"/>
  <c r="F9" i="7" s="1"/>
  <c r="E9" i="7" s="1"/>
  <c r="W5" i="23" s="1"/>
  <c r="V126" i="38" s="1"/>
  <c r="Q39" i="8"/>
  <c r="Q24" i="8"/>
  <c r="R32" i="8"/>
  <c r="T5" i="25"/>
  <c r="T5" i="24"/>
  <c r="C188" i="38" s="1"/>
  <c r="K188" i="38" s="1"/>
  <c r="T5" i="18"/>
  <c r="T7" i="18" s="1"/>
  <c r="T9" i="18" s="1"/>
  <c r="T5" i="17"/>
  <c r="F9" i="5"/>
  <c r="E9" i="5" s="1"/>
  <c r="F11" i="5"/>
  <c r="E11" i="5" s="1"/>
  <c r="R34" i="8"/>
  <c r="R42" i="8"/>
  <c r="Q42" i="8"/>
  <c r="R36" i="8"/>
  <c r="R26" i="8"/>
  <c r="R35" i="8"/>
  <c r="Q41" i="8"/>
  <c r="R25" i="8"/>
  <c r="R44" i="8"/>
  <c r="Q44" i="8"/>
  <c r="Q34" i="8"/>
  <c r="R40" i="8"/>
  <c r="R24" i="8"/>
  <c r="Q40" i="8"/>
  <c r="R30" i="8"/>
  <c r="Q27" i="8"/>
  <c r="Q30" i="8"/>
  <c r="R20" i="8"/>
  <c r="R14" i="8"/>
  <c r="Q20" i="8"/>
  <c r="Q14" i="8"/>
  <c r="Q36" i="8"/>
  <c r="R23" i="8"/>
  <c r="Q23" i="8"/>
  <c r="R39" i="8"/>
  <c r="Q26" i="8"/>
  <c r="R43" i="8"/>
  <c r="R28" i="8"/>
  <c r="R17" i="9"/>
  <c r="Q17" i="9"/>
  <c r="R25" i="9"/>
  <c r="Q25" i="9"/>
  <c r="Q16" i="8"/>
  <c r="R16" i="8"/>
  <c r="Q32" i="8"/>
  <c r="Q21" i="9"/>
  <c r="Q29" i="9"/>
  <c r="R42" i="9"/>
  <c r="Q38" i="9"/>
  <c r="Q46" i="8"/>
  <c r="R17" i="8"/>
  <c r="Q33" i="8"/>
  <c r="R46" i="8"/>
  <c r="Q14" i="9"/>
  <c r="R18" i="9"/>
  <c r="Q22" i="9"/>
  <c r="R26" i="9"/>
  <c r="Q30" i="9"/>
  <c r="Q34" i="9"/>
  <c r="R43" i="9"/>
  <c r="Q17" i="8"/>
  <c r="Q43" i="8"/>
  <c r="R14" i="9"/>
  <c r="Q18" i="9"/>
  <c r="R22" i="9"/>
  <c r="Q26" i="9"/>
  <c r="R30" i="9"/>
  <c r="R27" i="8"/>
  <c r="R39" i="9"/>
  <c r="V13" i="8"/>
  <c r="W13" i="8" s="1"/>
  <c r="X13" i="8" s="1"/>
  <c r="V12" i="8"/>
  <c r="W6" i="8"/>
  <c r="Q39" i="9"/>
  <c r="R44" i="9"/>
  <c r="Q44" i="9"/>
  <c r="R37" i="8"/>
  <c r="F9" i="6"/>
  <c r="E9" i="6" s="1"/>
  <c r="W5" i="26" s="1"/>
  <c r="V188" i="3" s="1"/>
  <c r="Q37" i="8"/>
  <c r="R35" i="9"/>
  <c r="F10" i="6"/>
  <c r="E10" i="6" s="1"/>
  <c r="X5" i="26" s="1"/>
  <c r="W188" i="3" s="1"/>
  <c r="R15" i="8"/>
  <c r="Q15" i="8"/>
  <c r="R21" i="8"/>
  <c r="V13" i="9"/>
  <c r="W13" i="9" s="1"/>
  <c r="X13" i="9" s="1"/>
  <c r="W6" i="9"/>
  <c r="Q15" i="9"/>
  <c r="Q23" i="9"/>
  <c r="Q31" i="9"/>
  <c r="Q31" i="8"/>
  <c r="S7" i="9"/>
  <c r="S9" i="9" s="1"/>
  <c r="R15" i="9"/>
  <c r="R23" i="9"/>
  <c r="Q36" i="9"/>
  <c r="R45" i="9"/>
  <c r="Q25" i="8"/>
  <c r="Q28" i="8"/>
  <c r="R31" i="8"/>
  <c r="R41" i="8"/>
  <c r="Q27" i="9"/>
  <c r="Q19" i="9"/>
  <c r="R46" i="9"/>
  <c r="Q46" i="9"/>
  <c r="Q43" i="9"/>
  <c r="R34" i="9"/>
  <c r="R31" i="9"/>
  <c r="Q45" i="9"/>
  <c r="V12" i="9"/>
  <c r="T5" i="23"/>
  <c r="S126" i="38" s="1"/>
  <c r="F10" i="7"/>
  <c r="E10" i="7" s="1"/>
  <c r="X5" i="23" s="1"/>
  <c r="W126" i="38" s="1"/>
  <c r="E13" i="8"/>
  <c r="F13" i="8"/>
  <c r="R38" i="8"/>
  <c r="T7" i="9"/>
  <c r="T9" i="9" s="1"/>
  <c r="R16" i="9"/>
  <c r="Q20" i="9"/>
  <c r="R24" i="9"/>
  <c r="Q28" i="9"/>
  <c r="Q32" i="9"/>
  <c r="Q35" i="8"/>
  <c r="Q38" i="8"/>
  <c r="Q16" i="9"/>
  <c r="R20" i="9"/>
  <c r="Q24" i="9"/>
  <c r="R28" i="9"/>
  <c r="R32" i="9"/>
  <c r="R41" i="9"/>
  <c r="Q41" i="9"/>
  <c r="Q35" i="10"/>
  <c r="R35" i="10"/>
  <c r="T12" i="11"/>
  <c r="U6" i="11"/>
  <c r="Q28" i="10"/>
  <c r="Q31" i="10"/>
  <c r="R34" i="11"/>
  <c r="Q34" i="11"/>
  <c r="Q39" i="11"/>
  <c r="X6" i="13"/>
  <c r="W12" i="13"/>
  <c r="V6" i="10"/>
  <c r="R17" i="10"/>
  <c r="R34" i="10"/>
  <c r="R37" i="10"/>
  <c r="U6" i="12"/>
  <c r="T12" i="12"/>
  <c r="S7" i="10"/>
  <c r="S9" i="10" s="1"/>
  <c r="R20" i="10"/>
  <c r="R23" i="10"/>
  <c r="R40" i="10"/>
  <c r="R43" i="10"/>
  <c r="Q31" i="11"/>
  <c r="Q40" i="11"/>
  <c r="U12" i="10"/>
  <c r="Q15" i="10"/>
  <c r="R26" i="10"/>
  <c r="R29" i="10"/>
  <c r="R46" i="10"/>
  <c r="R18" i="12"/>
  <c r="R36" i="12"/>
  <c r="Q36" i="12"/>
  <c r="R32" i="10"/>
  <c r="Q36" i="11"/>
  <c r="F13" i="10"/>
  <c r="E13" i="10"/>
  <c r="R37" i="11"/>
  <c r="Q37" i="11"/>
  <c r="R28" i="12"/>
  <c r="Q28" i="12"/>
  <c r="R37" i="12"/>
  <c r="R14" i="12"/>
  <c r="Q14" i="12"/>
  <c r="Q30" i="10"/>
  <c r="Q33" i="10"/>
  <c r="R15" i="11"/>
  <c r="R29" i="11"/>
  <c r="Q29" i="11"/>
  <c r="R22" i="11"/>
  <c r="R15" i="12"/>
  <c r="Q15" i="12"/>
  <c r="Q20" i="12"/>
  <c r="Q16" i="10"/>
  <c r="Q19" i="10"/>
  <c r="Q36" i="10"/>
  <c r="Q39" i="10"/>
  <c r="Q44" i="11"/>
  <c r="Q25" i="11"/>
  <c r="Q23" i="11"/>
  <c r="Q21" i="11"/>
  <c r="Q19" i="11"/>
  <c r="Q17" i="11"/>
  <c r="Q15" i="11"/>
  <c r="Q45" i="11"/>
  <c r="R26" i="11"/>
  <c r="Q24" i="11"/>
  <c r="Q22" i="11"/>
  <c r="Q20" i="11"/>
  <c r="Q18" i="11"/>
  <c r="Q16" i="11"/>
  <c r="Q14" i="11"/>
  <c r="R28" i="11"/>
  <c r="R30" i="11"/>
  <c r="Q28" i="11"/>
  <c r="R32" i="11"/>
  <c r="Q30" i="11"/>
  <c r="Q32" i="11"/>
  <c r="Q38" i="11"/>
  <c r="Q42" i="11"/>
  <c r="R16" i="10"/>
  <c r="R19" i="10"/>
  <c r="R36" i="10"/>
  <c r="R39" i="10"/>
  <c r="R42" i="11"/>
  <c r="R46" i="11"/>
  <c r="Q22" i="10"/>
  <c r="Q25" i="10"/>
  <c r="Q45" i="10"/>
  <c r="T7" i="11"/>
  <c r="T9" i="11" s="1"/>
  <c r="R19" i="11"/>
  <c r="R33" i="12"/>
  <c r="Q33" i="12"/>
  <c r="V13" i="13"/>
  <c r="W13" i="13" s="1"/>
  <c r="X13" i="13" s="1"/>
  <c r="Q19" i="13"/>
  <c r="Q27" i="13"/>
  <c r="Q35" i="13"/>
  <c r="W12" i="14"/>
  <c r="X6" i="14"/>
  <c r="S7" i="14"/>
  <c r="S9" i="14" s="1"/>
  <c r="R44" i="13"/>
  <c r="R21" i="14"/>
  <c r="Q21" i="14"/>
  <c r="R43" i="14"/>
  <c r="Q43" i="14"/>
  <c r="R36" i="16"/>
  <c r="Q36" i="16"/>
  <c r="Q14" i="13"/>
  <c r="Q22" i="13"/>
  <c r="Q30" i="13"/>
  <c r="Q38" i="13"/>
  <c r="U7" i="14"/>
  <c r="U9" i="14" s="1"/>
  <c r="Q39" i="14"/>
  <c r="R25" i="15"/>
  <c r="Q25" i="15"/>
  <c r="R15" i="16"/>
  <c r="Q15" i="16"/>
  <c r="R14" i="13"/>
  <c r="R22" i="13"/>
  <c r="R30" i="13"/>
  <c r="R38" i="13"/>
  <c r="R41" i="13"/>
  <c r="Q17" i="13"/>
  <c r="Q25" i="13"/>
  <c r="Q33" i="13"/>
  <c r="Q41" i="13"/>
  <c r="R16" i="16"/>
  <c r="Q16" i="16"/>
  <c r="R17" i="13"/>
  <c r="R25" i="13"/>
  <c r="R33" i="13"/>
  <c r="R45" i="11"/>
  <c r="Q20" i="13"/>
  <c r="Q28" i="13"/>
  <c r="Q36" i="13"/>
  <c r="R45" i="13"/>
  <c r="R31" i="14"/>
  <c r="R43" i="11"/>
  <c r="V12" i="13"/>
  <c r="R20" i="13"/>
  <c r="R28" i="13"/>
  <c r="R36" i="13"/>
  <c r="Q45" i="13"/>
  <c r="R41" i="11"/>
  <c r="Q43" i="11"/>
  <c r="Q15" i="13"/>
  <c r="Q23" i="13"/>
  <c r="Q31" i="13"/>
  <c r="Q39" i="13"/>
  <c r="R36" i="17"/>
  <c r="Q36" i="17"/>
  <c r="R46" i="15"/>
  <c r="Q46" i="15"/>
  <c r="R42" i="13"/>
  <c r="R46" i="13"/>
  <c r="Q46" i="13"/>
  <c r="Q32" i="14"/>
  <c r="R35" i="11"/>
  <c r="Q18" i="13"/>
  <c r="Q26" i="13"/>
  <c r="Q34" i="13"/>
  <c r="R33" i="11"/>
  <c r="Q35" i="11"/>
  <c r="R18" i="13"/>
  <c r="R26" i="13"/>
  <c r="R34" i="13"/>
  <c r="Q21" i="13"/>
  <c r="Q29" i="13"/>
  <c r="Q37" i="13"/>
  <c r="R27" i="11"/>
  <c r="R40" i="13"/>
  <c r="R43" i="13"/>
  <c r="Q43" i="13"/>
  <c r="R17" i="15"/>
  <c r="Q17" i="15"/>
  <c r="R25" i="11"/>
  <c r="Q27" i="11"/>
  <c r="Q46" i="11"/>
  <c r="Q26" i="12"/>
  <c r="Q43" i="12"/>
  <c r="R45" i="12"/>
  <c r="T12" i="13"/>
  <c r="Q16" i="13"/>
  <c r="Q24" i="13"/>
  <c r="Q32" i="13"/>
  <c r="Q40" i="13"/>
  <c r="R29" i="14"/>
  <c r="Q29" i="14"/>
  <c r="Q24" i="12"/>
  <c r="Q41" i="12"/>
  <c r="R16" i="13"/>
  <c r="R24" i="13"/>
  <c r="V13" i="14"/>
  <c r="W13" i="14" s="1"/>
  <c r="X13" i="14" s="1"/>
  <c r="V12" i="14"/>
  <c r="U12" i="14"/>
  <c r="R15" i="15"/>
  <c r="R23" i="15"/>
  <c r="Q43" i="15"/>
  <c r="R17" i="16"/>
  <c r="Q44" i="16"/>
  <c r="U6" i="17"/>
  <c r="T12" i="17"/>
  <c r="R37" i="16"/>
  <c r="Q37" i="16"/>
  <c r="Q43" i="18"/>
  <c r="R43" i="18"/>
  <c r="Q40" i="15"/>
  <c r="Q34" i="17"/>
  <c r="R25" i="17"/>
  <c r="Q14" i="17"/>
  <c r="Q25" i="17"/>
  <c r="R27" i="17"/>
  <c r="R38" i="17"/>
  <c r="R29" i="17"/>
  <c r="R31" i="17"/>
  <c r="R40" i="17"/>
  <c r="Q31" i="17"/>
  <c r="R22" i="17"/>
  <c r="R33" i="17"/>
  <c r="Q33" i="17"/>
  <c r="R24" i="17"/>
  <c r="Q35" i="17"/>
  <c r="Q15" i="17"/>
  <c r="R37" i="17"/>
  <c r="R17" i="17"/>
  <c r="R21" i="17"/>
  <c r="R19" i="17"/>
  <c r="R23" i="17"/>
  <c r="Q27" i="17"/>
  <c r="Q39" i="17"/>
  <c r="R39" i="17"/>
  <c r="Q43" i="17"/>
  <c r="R43" i="17"/>
  <c r="U12" i="18"/>
  <c r="V6" i="18"/>
  <c r="Q28" i="14"/>
  <c r="Q18" i="15"/>
  <c r="Q26" i="15"/>
  <c r="R34" i="15"/>
  <c r="Q37" i="15"/>
  <c r="R24" i="16"/>
  <c r="R34" i="16"/>
  <c r="Q41" i="16"/>
  <c r="R15" i="17"/>
  <c r="F13" i="15"/>
  <c r="E13" i="15"/>
  <c r="R18" i="15"/>
  <c r="R26" i="15"/>
  <c r="Q34" i="15"/>
  <c r="Q21" i="16"/>
  <c r="R21" i="19"/>
  <c r="Q21" i="19"/>
  <c r="R38" i="19"/>
  <c r="Q38" i="19"/>
  <c r="R14" i="16"/>
  <c r="R21" i="16"/>
  <c r="R31" i="16"/>
  <c r="Q31" i="16"/>
  <c r="R38" i="16"/>
  <c r="Q15" i="14"/>
  <c r="Q21" i="15"/>
  <c r="Q29" i="15"/>
  <c r="R18" i="16"/>
  <c r="Q28" i="16"/>
  <c r="R16" i="17"/>
  <c r="Q16" i="17"/>
  <c r="Q20" i="17"/>
  <c r="R35" i="17"/>
  <c r="Q15" i="19"/>
  <c r="R15" i="19"/>
  <c r="Q41" i="15"/>
  <c r="Q44" i="15"/>
  <c r="Q18" i="16"/>
  <c r="Q45" i="16"/>
  <c r="R20" i="17"/>
  <c r="Q40" i="17"/>
  <c r="Q16" i="15"/>
  <c r="Q24" i="15"/>
  <c r="R32" i="15"/>
  <c r="Q32" i="15"/>
  <c r="R41" i="15"/>
  <c r="R44" i="15"/>
  <c r="V6" i="16"/>
  <c r="U12" i="16"/>
  <c r="Q25" i="16"/>
  <c r="Q42" i="16"/>
  <c r="Q28" i="17"/>
  <c r="Q32" i="17"/>
  <c r="Q44" i="17"/>
  <c r="Q46" i="19"/>
  <c r="R46" i="19"/>
  <c r="R19" i="15"/>
  <c r="R27" i="15"/>
  <c r="R35" i="15"/>
  <c r="Q35" i="15"/>
  <c r="Q19" i="15"/>
  <c r="Q27" i="15"/>
  <c r="Q32" i="16"/>
  <c r="Q38" i="16"/>
  <c r="R27" i="16"/>
  <c r="R33" i="16"/>
  <c r="Q35" i="16"/>
  <c r="Q14" i="16"/>
  <c r="Q22" i="16"/>
  <c r="R32" i="16"/>
  <c r="R35" i="16"/>
  <c r="Q39" i="16"/>
  <c r="Q46" i="16"/>
  <c r="Q21" i="17"/>
  <c r="V13" i="15"/>
  <c r="W13" i="15" s="1"/>
  <c r="X13" i="15" s="1"/>
  <c r="T7" i="16"/>
  <c r="T9" i="16" s="1"/>
  <c r="Q19" i="16"/>
  <c r="R22" i="16"/>
  <c r="Q29" i="16"/>
  <c r="R46" i="16"/>
  <c r="Q17" i="17"/>
  <c r="R41" i="17"/>
  <c r="Q44" i="13"/>
  <c r="W6" i="15"/>
  <c r="Q14" i="15"/>
  <c r="Q22" i="15"/>
  <c r="R30" i="15"/>
  <c r="U7" i="16"/>
  <c r="U9" i="16" s="1"/>
  <c r="R19" i="16"/>
  <c r="R26" i="16"/>
  <c r="R29" i="16"/>
  <c r="Q29" i="17"/>
  <c r="R45" i="17"/>
  <c r="R14" i="15"/>
  <c r="R22" i="15"/>
  <c r="Q39" i="15"/>
  <c r="Q26" i="16"/>
  <c r="Q18" i="17"/>
  <c r="Q37" i="17"/>
  <c r="R46" i="17"/>
  <c r="Q33" i="15"/>
  <c r="R45" i="15"/>
  <c r="Q30" i="15"/>
  <c r="Q36" i="15"/>
  <c r="R38" i="15"/>
  <c r="R33" i="15"/>
  <c r="R42" i="15"/>
  <c r="R23" i="16"/>
  <c r="Q40" i="16"/>
  <c r="R14" i="17"/>
  <c r="R18" i="17"/>
  <c r="Q22" i="17"/>
  <c r="Q46" i="17"/>
  <c r="Q30" i="17"/>
  <c r="R26" i="17"/>
  <c r="Q26" i="17"/>
  <c r="R30" i="17"/>
  <c r="Q38" i="17"/>
  <c r="Q42" i="17"/>
  <c r="Q42" i="18"/>
  <c r="R43" i="19"/>
  <c r="Q43" i="19"/>
  <c r="R15" i="18"/>
  <c r="R23" i="18"/>
  <c r="R31" i="18"/>
  <c r="R15" i="20"/>
  <c r="Q15" i="20"/>
  <c r="R24" i="20"/>
  <c r="Q24" i="20"/>
  <c r="R18" i="18"/>
  <c r="Q18" i="18"/>
  <c r="R26" i="18"/>
  <c r="Q26" i="18"/>
  <c r="R34" i="18"/>
  <c r="Q34" i="18"/>
  <c r="R32" i="19"/>
  <c r="Q32" i="19"/>
  <c r="S7" i="20"/>
  <c r="S9" i="20" s="1"/>
  <c r="Q27" i="21"/>
  <c r="R27" i="21"/>
  <c r="Q21" i="18"/>
  <c r="Q29" i="18"/>
  <c r="R37" i="18"/>
  <c r="R40" i="18"/>
  <c r="R21" i="18"/>
  <c r="R29" i="18"/>
  <c r="Q40" i="18"/>
  <c r="R46" i="18"/>
  <c r="R18" i="19"/>
  <c r="T7" i="20"/>
  <c r="T9" i="20" s="1"/>
  <c r="U7" i="20"/>
  <c r="U9" i="20" s="1"/>
  <c r="R16" i="18"/>
  <c r="Q16" i="18"/>
  <c r="R24" i="18"/>
  <c r="Q24" i="18"/>
  <c r="R32" i="18"/>
  <c r="Q32" i="18"/>
  <c r="R35" i="20"/>
  <c r="R43" i="21"/>
  <c r="Q43" i="21"/>
  <c r="R40" i="20"/>
  <c r="Q40" i="20"/>
  <c r="Q45" i="17"/>
  <c r="T12" i="18"/>
  <c r="R41" i="18"/>
  <c r="R19" i="19"/>
  <c r="R31" i="20"/>
  <c r="Q31" i="20"/>
  <c r="S7" i="17"/>
  <c r="S9" i="17" s="1"/>
  <c r="R14" i="18"/>
  <c r="Q14" i="18"/>
  <c r="R22" i="18"/>
  <c r="Q22" i="18"/>
  <c r="R30" i="18"/>
  <c r="Q30" i="18"/>
  <c r="R44" i="18"/>
  <c r="W6" i="19"/>
  <c r="V13" i="19"/>
  <c r="W13" i="19" s="1"/>
  <c r="X13" i="19" s="1"/>
  <c r="R23" i="21"/>
  <c r="Q23" i="21"/>
  <c r="Q17" i="18"/>
  <c r="Q25" i="18"/>
  <c r="Q33" i="18"/>
  <c r="Q34" i="16"/>
  <c r="R17" i="18"/>
  <c r="R25" i="18"/>
  <c r="R33" i="18"/>
  <c r="Q39" i="18"/>
  <c r="V12" i="19"/>
  <c r="R37" i="20"/>
  <c r="Q41" i="17"/>
  <c r="R39" i="18"/>
  <c r="Q32" i="21"/>
  <c r="R32" i="21"/>
  <c r="R39" i="21"/>
  <c r="Q39" i="21"/>
  <c r="R20" i="18"/>
  <c r="Q20" i="18"/>
  <c r="R28" i="18"/>
  <c r="Q28" i="18"/>
  <c r="R36" i="18"/>
  <c r="Q36" i="18"/>
  <c r="Q45" i="18"/>
  <c r="E13" i="19"/>
  <c r="R27" i="19"/>
  <c r="Q27" i="19"/>
  <c r="R31" i="19"/>
  <c r="U7" i="19"/>
  <c r="U9" i="19" s="1"/>
  <c r="Q39" i="19"/>
  <c r="Q32" i="20"/>
  <c r="Q39" i="20"/>
  <c r="Q44" i="20"/>
  <c r="Q19" i="21"/>
  <c r="Q22" i="21"/>
  <c r="Q46" i="21"/>
  <c r="R44" i="23"/>
  <c r="Q44" i="23"/>
  <c r="R15" i="22"/>
  <c r="R17" i="21"/>
  <c r="Q26" i="21"/>
  <c r="U12" i="22"/>
  <c r="V6" i="22"/>
  <c r="R34" i="24"/>
  <c r="Q34" i="24"/>
  <c r="V6" i="21"/>
  <c r="Q14" i="21"/>
  <c r="R20" i="21"/>
  <c r="R37" i="23"/>
  <c r="Q37" i="23"/>
  <c r="Q26" i="20"/>
  <c r="Q33" i="20"/>
  <c r="Q45" i="20"/>
  <c r="R44" i="21"/>
  <c r="Q44" i="21"/>
  <c r="Q27" i="22"/>
  <c r="R27" i="22"/>
  <c r="R30" i="21"/>
  <c r="R38" i="21"/>
  <c r="R46" i="21"/>
  <c r="R35" i="21"/>
  <c r="R37" i="21"/>
  <c r="R21" i="21"/>
  <c r="Q28" i="22"/>
  <c r="R28" i="22"/>
  <c r="X12" i="20"/>
  <c r="Q17" i="20"/>
  <c r="Q43" i="20"/>
  <c r="R15" i="21"/>
  <c r="Q21" i="21"/>
  <c r="Q24" i="21"/>
  <c r="U12" i="21"/>
  <c r="Q15" i="21"/>
  <c r="Q18" i="21"/>
  <c r="R24" i="21"/>
  <c r="Q23" i="22"/>
  <c r="R23" i="22"/>
  <c r="R22" i="20"/>
  <c r="Q46" i="20"/>
  <c r="Q31" i="21"/>
  <c r="R31" i="21"/>
  <c r="Q34" i="21"/>
  <c r="Q41" i="21"/>
  <c r="Q30" i="19"/>
  <c r="Q34" i="20"/>
  <c r="Q41" i="20"/>
  <c r="R41" i="23"/>
  <c r="Q41" i="23"/>
  <c r="S7" i="19"/>
  <c r="S9" i="19" s="1"/>
  <c r="Q28" i="19"/>
  <c r="Q41" i="19"/>
  <c r="J13" i="20"/>
  <c r="Q20" i="20"/>
  <c r="Q27" i="20"/>
  <c r="R25" i="21"/>
  <c r="Q28" i="21"/>
  <c r="Q42" i="21"/>
  <c r="R24" i="22"/>
  <c r="Q24" i="22"/>
  <c r="R19" i="21"/>
  <c r="Q25" i="21"/>
  <c r="R28" i="21"/>
  <c r="Q38" i="21"/>
  <c r="R42" i="21"/>
  <c r="V12" i="23"/>
  <c r="W6" i="23"/>
  <c r="V13" i="23"/>
  <c r="W13" i="23" s="1"/>
  <c r="X13" i="23" s="1"/>
  <c r="R46" i="22"/>
  <c r="Q32" i="25"/>
  <c r="Q33" i="22"/>
  <c r="R15" i="23"/>
  <c r="R23" i="23"/>
  <c r="Q37" i="21"/>
  <c r="K13" i="22"/>
  <c r="R33" i="22"/>
  <c r="Q42" i="22"/>
  <c r="E13" i="23"/>
  <c r="Q15" i="23"/>
  <c r="Q23" i="23"/>
  <c r="Q43" i="23"/>
  <c r="Q46" i="23"/>
  <c r="Q16" i="24"/>
  <c r="Q27" i="24"/>
  <c r="Q38" i="24"/>
  <c r="Q35" i="21"/>
  <c r="Q22" i="22"/>
  <c r="Q31" i="22"/>
  <c r="Q26" i="23"/>
  <c r="R38" i="24"/>
  <c r="Q33" i="21"/>
  <c r="R22" i="22"/>
  <c r="R31" i="22"/>
  <c r="Q40" i="22"/>
  <c r="R26" i="23"/>
  <c r="R29" i="23"/>
  <c r="Q22" i="25"/>
  <c r="Q20" i="22"/>
  <c r="Q29" i="22"/>
  <c r="R40" i="22"/>
  <c r="R18" i="23"/>
  <c r="Q29" i="23"/>
  <c r="Q32" i="23"/>
  <c r="R20" i="24"/>
  <c r="R31" i="24"/>
  <c r="R42" i="24"/>
  <c r="R46" i="24"/>
  <c r="Q29" i="21"/>
  <c r="R20" i="22"/>
  <c r="R29" i="22"/>
  <c r="Q38" i="22"/>
  <c r="R21" i="23"/>
  <c r="R32" i="23"/>
  <c r="R35" i="23"/>
  <c r="Q38" i="23"/>
  <c r="Q34" i="25"/>
  <c r="T7" i="22"/>
  <c r="T9" i="22" s="1"/>
  <c r="R45" i="22"/>
  <c r="Q28" i="24"/>
  <c r="U7" i="22"/>
  <c r="U9" i="22" s="1"/>
  <c r="Q16" i="22"/>
  <c r="Q25" i="22"/>
  <c r="Q36" i="22"/>
  <c r="Q45" i="22"/>
  <c r="R25" i="22"/>
  <c r="R43" i="22"/>
  <c r="R27" i="23"/>
  <c r="R21" i="24"/>
  <c r="R43" i="24"/>
  <c r="W12" i="25"/>
  <c r="Q18" i="25"/>
  <c r="R19" i="23"/>
  <c r="Q27" i="23"/>
  <c r="Q30" i="23"/>
  <c r="X12" i="25"/>
  <c r="R14" i="22"/>
  <c r="R41" i="22"/>
  <c r="Q19" i="23"/>
  <c r="R30" i="23"/>
  <c r="R33" i="23"/>
  <c r="U7" i="25"/>
  <c r="U9" i="25" s="1"/>
  <c r="T7" i="25"/>
  <c r="T9" i="25" s="1"/>
  <c r="S7" i="25"/>
  <c r="S9" i="25" s="1"/>
  <c r="Q30" i="25"/>
  <c r="T7" i="23"/>
  <c r="T9" i="23" s="1"/>
  <c r="Q33" i="23"/>
  <c r="Q36" i="23"/>
  <c r="W6" i="24"/>
  <c r="Q18" i="24"/>
  <c r="Q29" i="24"/>
  <c r="Q40" i="24"/>
  <c r="Q36" i="25"/>
  <c r="U12" i="26"/>
  <c r="V6" i="26"/>
  <c r="R21" i="22"/>
  <c r="Q14" i="23"/>
  <c r="Q22" i="23"/>
  <c r="Q39" i="23"/>
  <c r="Q42" i="23"/>
  <c r="Q19" i="22"/>
  <c r="Q39" i="22"/>
  <c r="U7" i="23"/>
  <c r="U9" i="23" s="1"/>
  <c r="U7" i="24"/>
  <c r="U9" i="24" s="1"/>
  <c r="T7" i="24"/>
  <c r="T9" i="24" s="1"/>
  <c r="Q22" i="24"/>
  <c r="Q33" i="24"/>
  <c r="Q44" i="24"/>
  <c r="V7" i="23"/>
  <c r="V9" i="23" s="1"/>
  <c r="R17" i="23"/>
  <c r="R25" i="23"/>
  <c r="Q45" i="23"/>
  <c r="Q15" i="24"/>
  <c r="Q14" i="25"/>
  <c r="R45" i="21"/>
  <c r="Q17" i="22"/>
  <c r="Q37" i="22"/>
  <c r="W7" i="23"/>
  <c r="Q17" i="23"/>
  <c r="Q25" i="23"/>
  <c r="U12" i="24"/>
  <c r="Q26" i="24"/>
  <c r="V13" i="25"/>
  <c r="W13" i="25" s="1"/>
  <c r="X13" i="25" s="1"/>
  <c r="S7" i="23"/>
  <c r="S9" i="23" s="1"/>
  <c r="Q39" i="26"/>
  <c r="Q41" i="26"/>
  <c r="Q43" i="26"/>
  <c r="Q45" i="26"/>
  <c r="Q15" i="26"/>
  <c r="Q17" i="26"/>
  <c r="Q19" i="26"/>
  <c r="Q21" i="26"/>
  <c r="Q23" i="26"/>
  <c r="Q25" i="26"/>
  <c r="Q27" i="26"/>
  <c r="Q29" i="26"/>
  <c r="Q31" i="26"/>
  <c r="Q33" i="26"/>
  <c r="Q35" i="26"/>
  <c r="Q37" i="26"/>
  <c r="R39" i="26"/>
  <c r="R41" i="26"/>
  <c r="R43" i="26"/>
  <c r="R45" i="26"/>
  <c r="V12" i="25"/>
  <c r="T7" i="26"/>
  <c r="T9" i="26" s="1"/>
  <c r="U7" i="26"/>
  <c r="U9" i="26" s="1"/>
  <c r="V7" i="26"/>
  <c r="Q38" i="26"/>
  <c r="Q40" i="26"/>
  <c r="Q42" i="26"/>
  <c r="Q44" i="26"/>
  <c r="Q46" i="26"/>
  <c r="Q14" i="26"/>
  <c r="Q16" i="26"/>
  <c r="Q18" i="26"/>
  <c r="Q20" i="26"/>
  <c r="Q22" i="26"/>
  <c r="Q24" i="26"/>
  <c r="Q26" i="26"/>
  <c r="Q28" i="26"/>
  <c r="Q30" i="26"/>
  <c r="Q32" i="26"/>
  <c r="Q34" i="26"/>
  <c r="Q36" i="26"/>
  <c r="R38" i="26"/>
  <c r="R40" i="26"/>
  <c r="R42" i="26"/>
  <c r="R44" i="26"/>
  <c r="E13" i="26"/>
  <c r="T7" i="17" l="1"/>
  <c r="T9" i="17" s="1"/>
  <c r="C157" i="38"/>
  <c r="K157" i="38" s="1"/>
  <c r="U7" i="8"/>
  <c r="U9" i="8" s="1"/>
  <c r="D2" i="38"/>
  <c r="L2" i="38" s="1"/>
  <c r="T7" i="21"/>
  <c r="T9" i="21" s="1"/>
  <c r="C126" i="38"/>
  <c r="K126" i="38" s="1"/>
  <c r="S7" i="12"/>
  <c r="S9" i="12" s="1"/>
  <c r="B95" i="38"/>
  <c r="J95" i="38" s="1"/>
  <c r="R95" i="38" s="1"/>
  <c r="Z95" i="38" s="1"/>
  <c r="AH95" i="38" s="1"/>
  <c r="S7" i="21"/>
  <c r="S9" i="21" s="1"/>
  <c r="B126" i="38"/>
  <c r="J126" i="38" s="1"/>
  <c r="U7" i="17"/>
  <c r="D157" i="38"/>
  <c r="L157" i="38" s="1"/>
  <c r="U7" i="10"/>
  <c r="U9" i="10" s="1"/>
  <c r="D33" i="38"/>
  <c r="L33" i="38" s="1"/>
  <c r="K33" i="28"/>
  <c r="C33" i="38"/>
  <c r="K33" i="38" s="1"/>
  <c r="T7" i="19"/>
  <c r="T9" i="19" s="1"/>
  <c r="C64" i="38"/>
  <c r="K64" i="38" s="1"/>
  <c r="S7" i="8"/>
  <c r="S9" i="8" s="1"/>
  <c r="B2" i="38"/>
  <c r="J2" i="38" s="1"/>
  <c r="S7" i="24"/>
  <c r="S9" i="24" s="1"/>
  <c r="B188" i="38"/>
  <c r="J188" i="38" s="1"/>
  <c r="AF29" i="30"/>
  <c r="AN29" i="30" s="1"/>
  <c r="X29" i="30"/>
  <c r="AF21" i="30"/>
  <c r="AN21" i="30" s="1"/>
  <c r="X21" i="30"/>
  <c r="AF13" i="30"/>
  <c r="AN13" i="30" s="1"/>
  <c r="X13" i="30"/>
  <c r="AF28" i="30"/>
  <c r="AN28" i="30" s="1"/>
  <c r="X28" i="30"/>
  <c r="AF20" i="30"/>
  <c r="AN20" i="30" s="1"/>
  <c r="X20" i="30"/>
  <c r="AF12" i="30"/>
  <c r="AN12" i="30" s="1"/>
  <c r="X12" i="30"/>
  <c r="AF27" i="30"/>
  <c r="AN27" i="30" s="1"/>
  <c r="X27" i="30"/>
  <c r="AF19" i="30"/>
  <c r="AN19" i="30" s="1"/>
  <c r="X19" i="30"/>
  <c r="AF11" i="30"/>
  <c r="AN11" i="30" s="1"/>
  <c r="X11" i="30"/>
  <c r="AF26" i="30"/>
  <c r="AN26" i="30" s="1"/>
  <c r="X26" i="30"/>
  <c r="AF18" i="30"/>
  <c r="AN18" i="30" s="1"/>
  <c r="X18" i="30"/>
  <c r="AF10" i="30"/>
  <c r="AN10" i="30" s="1"/>
  <c r="X10" i="30"/>
  <c r="AF24" i="30"/>
  <c r="AN24" i="30" s="1"/>
  <c r="X24" i="30"/>
  <c r="AF16" i="30"/>
  <c r="AN16" i="30" s="1"/>
  <c r="X16" i="30"/>
  <c r="AF8" i="30"/>
  <c r="AN8" i="30" s="1"/>
  <c r="X8" i="30"/>
  <c r="AF14" i="30"/>
  <c r="AN14" i="30" s="1"/>
  <c r="X14" i="30"/>
  <c r="AF7" i="30"/>
  <c r="AN7" i="30" s="1"/>
  <c r="X7" i="30"/>
  <c r="AF25" i="30"/>
  <c r="AN25" i="30" s="1"/>
  <c r="X25" i="30"/>
  <c r="AF17" i="30"/>
  <c r="AN17" i="30" s="1"/>
  <c r="X17" i="30"/>
  <c r="AF9" i="30"/>
  <c r="AN9" i="30" s="1"/>
  <c r="X9" i="30"/>
  <c r="X23" i="30"/>
  <c r="AF23" i="30"/>
  <c r="AN23" i="30" s="1"/>
  <c r="AF15" i="30"/>
  <c r="AN15" i="30" s="1"/>
  <c r="X15" i="30"/>
  <c r="AF30" i="30"/>
  <c r="AN30" i="30" s="1"/>
  <c r="X30" i="30"/>
  <c r="AF22" i="30"/>
  <c r="AN22" i="30" s="1"/>
  <c r="X22" i="30"/>
  <c r="S7" i="26"/>
  <c r="S9" i="26" s="1"/>
  <c r="AB17" i="12"/>
  <c r="AA17" i="12"/>
  <c r="X17" i="12"/>
  <c r="W126" i="28"/>
  <c r="L33" i="28"/>
  <c r="T95" i="28"/>
  <c r="Z95" i="28" s="1"/>
  <c r="AH95" i="28" s="1"/>
  <c r="L157" i="28"/>
  <c r="S126" i="28"/>
  <c r="K188" i="28"/>
  <c r="D64" i="28"/>
  <c r="L64" i="28" s="1"/>
  <c r="C64" i="28"/>
  <c r="K64" i="28" s="1"/>
  <c r="J2" i="28"/>
  <c r="V126" i="28"/>
  <c r="B64" i="28"/>
  <c r="J64" i="28" s="1"/>
  <c r="J188" i="28"/>
  <c r="K157" i="28"/>
  <c r="R126" i="28"/>
  <c r="L2" i="28"/>
  <c r="K2" i="28"/>
  <c r="J33" i="28"/>
  <c r="L188" i="28"/>
  <c r="J157" i="28"/>
  <c r="T7" i="10"/>
  <c r="T9" i="10" s="1"/>
  <c r="X7" i="26"/>
  <c r="T7" i="8"/>
  <c r="T9" i="8" s="1"/>
  <c r="T34" i="21"/>
  <c r="T42" i="21"/>
  <c r="T46" i="21"/>
  <c r="T29" i="21"/>
  <c r="T35" i="21"/>
  <c r="T39" i="21"/>
  <c r="T41" i="21"/>
  <c r="T43" i="21"/>
  <c r="T26" i="21"/>
  <c r="T24" i="21"/>
  <c r="T22" i="21"/>
  <c r="T20" i="21"/>
  <c r="T18" i="21"/>
  <c r="T16" i="21"/>
  <c r="T14" i="21"/>
  <c r="T31" i="21"/>
  <c r="T45" i="21"/>
  <c r="T37" i="21"/>
  <c r="T15" i="21"/>
  <c r="T21" i="21"/>
  <c r="T30" i="21"/>
  <c r="T27" i="21"/>
  <c r="T36" i="21"/>
  <c r="T33" i="21"/>
  <c r="T17" i="21"/>
  <c r="T23" i="21"/>
  <c r="T32" i="21"/>
  <c r="T28" i="21"/>
  <c r="T25" i="21"/>
  <c r="T44" i="21"/>
  <c r="T19" i="21"/>
  <c r="T40" i="21"/>
  <c r="U46" i="13"/>
  <c r="U37" i="13"/>
  <c r="L122" i="38" s="1"/>
  <c r="U35" i="13"/>
  <c r="L120" i="38" s="1"/>
  <c r="U33" i="13"/>
  <c r="L118" i="38" s="1"/>
  <c r="U31" i="13"/>
  <c r="L116" i="38" s="1"/>
  <c r="U29" i="13"/>
  <c r="L114" i="38" s="1"/>
  <c r="U27" i="13"/>
  <c r="L112" i="38" s="1"/>
  <c r="U25" i="13"/>
  <c r="L110" i="38" s="1"/>
  <c r="U23" i="13"/>
  <c r="L108" i="38" s="1"/>
  <c r="U21" i="13"/>
  <c r="L106" i="38" s="1"/>
  <c r="U19" i="13"/>
  <c r="L104" i="38" s="1"/>
  <c r="U17" i="13"/>
  <c r="L102" i="38" s="1"/>
  <c r="U15" i="13"/>
  <c r="L100" i="38" s="1"/>
  <c r="U45" i="13"/>
  <c r="U36" i="13"/>
  <c r="L121" i="38" s="1"/>
  <c r="U34" i="13"/>
  <c r="L119" i="38" s="1"/>
  <c r="U32" i="13"/>
  <c r="L117" i="38" s="1"/>
  <c r="U30" i="13"/>
  <c r="L115" i="38" s="1"/>
  <c r="U28" i="13"/>
  <c r="L113" i="38" s="1"/>
  <c r="U26" i="13"/>
  <c r="L111" i="38" s="1"/>
  <c r="U24" i="13"/>
  <c r="L109" i="38" s="1"/>
  <c r="U22" i="13"/>
  <c r="L107" i="38" s="1"/>
  <c r="U20" i="13"/>
  <c r="L105" i="38" s="1"/>
  <c r="U18" i="13"/>
  <c r="L103" i="38" s="1"/>
  <c r="U16" i="13"/>
  <c r="L101" i="38" s="1"/>
  <c r="U14" i="13"/>
  <c r="L99" i="38" s="1"/>
  <c r="U43" i="13"/>
  <c r="U42" i="13"/>
  <c r="U39" i="13"/>
  <c r="U41" i="13"/>
  <c r="U44" i="13"/>
  <c r="U40" i="13"/>
  <c r="U22" i="20"/>
  <c r="L76" i="3" s="1"/>
  <c r="U15" i="20"/>
  <c r="L69" i="3" s="1"/>
  <c r="U36" i="20"/>
  <c r="L90" i="3" s="1"/>
  <c r="U29" i="20"/>
  <c r="L83" i="3" s="1"/>
  <c r="U43" i="20"/>
  <c r="U24" i="20"/>
  <c r="L78" i="3" s="1"/>
  <c r="U17" i="20"/>
  <c r="L71" i="3" s="1"/>
  <c r="U26" i="20"/>
  <c r="L80" i="3" s="1"/>
  <c r="U19" i="20"/>
  <c r="L73" i="3" s="1"/>
  <c r="U45" i="20"/>
  <c r="U40" i="20"/>
  <c r="U33" i="20"/>
  <c r="L87" i="3" s="1"/>
  <c r="U35" i="20"/>
  <c r="L89" i="3" s="1"/>
  <c r="U42" i="20"/>
  <c r="U16" i="20"/>
  <c r="L70" i="3" s="1"/>
  <c r="U37" i="20"/>
  <c r="L91" i="3" s="1"/>
  <c r="U44" i="20"/>
  <c r="U39" i="20"/>
  <c r="U34" i="20"/>
  <c r="L88" i="3" s="1"/>
  <c r="U27" i="20"/>
  <c r="L81" i="3" s="1"/>
  <c r="U46" i="20"/>
  <c r="U41" i="20"/>
  <c r="U32" i="20"/>
  <c r="L86" i="3" s="1"/>
  <c r="U18" i="20"/>
  <c r="L72" i="3" s="1"/>
  <c r="U21" i="20"/>
  <c r="L75" i="3" s="1"/>
  <c r="U30" i="20"/>
  <c r="L84" i="3" s="1"/>
  <c r="U25" i="20"/>
  <c r="L79" i="3" s="1"/>
  <c r="U20" i="20"/>
  <c r="L74" i="3" s="1"/>
  <c r="U38" i="20"/>
  <c r="L92" i="3" s="1"/>
  <c r="U28" i="20"/>
  <c r="L82" i="3" s="1"/>
  <c r="U23" i="20"/>
  <c r="L77" i="3" s="1"/>
  <c r="U14" i="20"/>
  <c r="L68" i="3" s="1"/>
  <c r="U31" i="20"/>
  <c r="L85" i="3" s="1"/>
  <c r="U46" i="23"/>
  <c r="U44" i="23"/>
  <c r="U42" i="23"/>
  <c r="U40" i="23"/>
  <c r="U37" i="23"/>
  <c r="T153" i="3" s="1"/>
  <c r="U35" i="23"/>
  <c r="T151" i="3" s="1"/>
  <c r="U33" i="23"/>
  <c r="T149" i="3" s="1"/>
  <c r="U31" i="23"/>
  <c r="T147" i="3" s="1"/>
  <c r="U29" i="23"/>
  <c r="T145" i="3" s="1"/>
  <c r="U27" i="23"/>
  <c r="T143" i="3" s="1"/>
  <c r="U25" i="23"/>
  <c r="T141" i="3" s="1"/>
  <c r="U23" i="23"/>
  <c r="T139" i="3" s="1"/>
  <c r="U21" i="23"/>
  <c r="T137" i="3" s="1"/>
  <c r="U19" i="23"/>
  <c r="T135" i="3" s="1"/>
  <c r="U17" i="23"/>
  <c r="T133" i="3" s="1"/>
  <c r="U15" i="23"/>
  <c r="T131" i="3" s="1"/>
  <c r="U45" i="23"/>
  <c r="U43" i="23"/>
  <c r="U41" i="23"/>
  <c r="U39" i="23"/>
  <c r="U22" i="23"/>
  <c r="T138" i="3" s="1"/>
  <c r="U14" i="23"/>
  <c r="U36" i="23"/>
  <c r="T152" i="3" s="1"/>
  <c r="U30" i="23"/>
  <c r="T146" i="3" s="1"/>
  <c r="U24" i="23"/>
  <c r="T140" i="3" s="1"/>
  <c r="U16" i="23"/>
  <c r="T132" i="3" s="1"/>
  <c r="U18" i="23"/>
  <c r="T134" i="3" s="1"/>
  <c r="U26" i="23"/>
  <c r="T142" i="3" s="1"/>
  <c r="U34" i="23"/>
  <c r="T150" i="3" s="1"/>
  <c r="U20" i="23"/>
  <c r="T136" i="3" s="1"/>
  <c r="U28" i="23"/>
  <c r="T144" i="3" s="1"/>
  <c r="U32" i="23"/>
  <c r="T148" i="3" s="1"/>
  <c r="V45" i="23"/>
  <c r="V43" i="23"/>
  <c r="V41" i="23"/>
  <c r="V39" i="23"/>
  <c r="V42" i="23"/>
  <c r="V22" i="23"/>
  <c r="U138" i="3" s="1"/>
  <c r="V14" i="23"/>
  <c r="V36" i="23"/>
  <c r="U152" i="3" s="1"/>
  <c r="V33" i="23"/>
  <c r="U149" i="3" s="1"/>
  <c r="V30" i="23"/>
  <c r="U146" i="3" s="1"/>
  <c r="V19" i="23"/>
  <c r="U135" i="3" s="1"/>
  <c r="V27" i="23"/>
  <c r="U143" i="3" s="1"/>
  <c r="V24" i="23"/>
  <c r="U140" i="3" s="1"/>
  <c r="V16" i="23"/>
  <c r="U132" i="3" s="1"/>
  <c r="V44" i="23"/>
  <c r="V21" i="23"/>
  <c r="U137" i="3" s="1"/>
  <c r="V35" i="23"/>
  <c r="U151" i="3" s="1"/>
  <c r="V32" i="23"/>
  <c r="U148" i="3" s="1"/>
  <c r="V29" i="23"/>
  <c r="U145" i="3" s="1"/>
  <c r="V26" i="23"/>
  <c r="U142" i="3" s="1"/>
  <c r="V46" i="23"/>
  <c r="V23" i="23"/>
  <c r="U139" i="3" s="1"/>
  <c r="V15" i="23"/>
  <c r="U131" i="3" s="1"/>
  <c r="V40" i="23"/>
  <c r="V37" i="23"/>
  <c r="U153" i="3" s="1"/>
  <c r="V34" i="23"/>
  <c r="U150" i="3" s="1"/>
  <c r="V20" i="23"/>
  <c r="U136" i="3" s="1"/>
  <c r="V17" i="23"/>
  <c r="U133" i="3" s="1"/>
  <c r="V25" i="23"/>
  <c r="U141" i="3" s="1"/>
  <c r="V18" i="23"/>
  <c r="U134" i="3" s="1"/>
  <c r="V31" i="23"/>
  <c r="U147" i="3" s="1"/>
  <c r="V28" i="23"/>
  <c r="U144" i="3" s="1"/>
  <c r="U36" i="26"/>
  <c r="T214" i="3" s="1"/>
  <c r="U34" i="26"/>
  <c r="T212" i="3" s="1"/>
  <c r="U32" i="26"/>
  <c r="T210" i="3" s="1"/>
  <c r="U30" i="26"/>
  <c r="T208" i="3" s="1"/>
  <c r="U28" i="26"/>
  <c r="T206" i="3" s="1"/>
  <c r="U26" i="26"/>
  <c r="T204" i="3" s="1"/>
  <c r="U24" i="26"/>
  <c r="T202" i="3" s="1"/>
  <c r="U22" i="26"/>
  <c r="T200" i="3" s="1"/>
  <c r="U20" i="26"/>
  <c r="T198" i="3" s="1"/>
  <c r="U18" i="26"/>
  <c r="T196" i="3" s="1"/>
  <c r="U16" i="26"/>
  <c r="T194" i="3" s="1"/>
  <c r="U14" i="26"/>
  <c r="U46" i="26"/>
  <c r="U44" i="26"/>
  <c r="U42" i="26"/>
  <c r="U40" i="26"/>
  <c r="U37" i="26"/>
  <c r="T215" i="3" s="1"/>
  <c r="U35" i="26"/>
  <c r="T213" i="3" s="1"/>
  <c r="U33" i="26"/>
  <c r="T211" i="3" s="1"/>
  <c r="U31" i="26"/>
  <c r="T209" i="3" s="1"/>
  <c r="U29" i="26"/>
  <c r="T207" i="3" s="1"/>
  <c r="U27" i="26"/>
  <c r="T205" i="3" s="1"/>
  <c r="U25" i="26"/>
  <c r="T203" i="3" s="1"/>
  <c r="U23" i="26"/>
  <c r="T201" i="3" s="1"/>
  <c r="U21" i="26"/>
  <c r="T199" i="3" s="1"/>
  <c r="U19" i="26"/>
  <c r="T197" i="3" s="1"/>
  <c r="U17" i="26"/>
  <c r="T195" i="3" s="1"/>
  <c r="U15" i="26"/>
  <c r="T193" i="3" s="1"/>
  <c r="U45" i="26"/>
  <c r="U43" i="26"/>
  <c r="U41" i="26"/>
  <c r="U39" i="26"/>
  <c r="U46" i="16"/>
  <c r="U44" i="16"/>
  <c r="U42" i="16"/>
  <c r="U40" i="16"/>
  <c r="U21" i="16"/>
  <c r="AJ106" i="3" s="1"/>
  <c r="U23" i="16"/>
  <c r="AJ108" i="3" s="1"/>
  <c r="U29" i="16"/>
  <c r="AJ114" i="3" s="1"/>
  <c r="U33" i="16"/>
  <c r="AJ118" i="3" s="1"/>
  <c r="U37" i="16"/>
  <c r="AJ122" i="3" s="1"/>
  <c r="U16" i="16"/>
  <c r="AJ101" i="3" s="1"/>
  <c r="U18" i="16"/>
  <c r="AJ103" i="3" s="1"/>
  <c r="U22" i="16"/>
  <c r="AJ107" i="3" s="1"/>
  <c r="U24" i="16"/>
  <c r="AJ109" i="3" s="1"/>
  <c r="U32" i="16"/>
  <c r="AJ117" i="3" s="1"/>
  <c r="U43" i="16"/>
  <c r="U19" i="16"/>
  <c r="AJ104" i="3" s="1"/>
  <c r="U39" i="16"/>
  <c r="U35" i="16"/>
  <c r="AJ120" i="3" s="1"/>
  <c r="U15" i="16"/>
  <c r="AJ100" i="3" s="1"/>
  <c r="U25" i="16"/>
  <c r="AJ110" i="3" s="1"/>
  <c r="U31" i="16"/>
  <c r="AJ116" i="3" s="1"/>
  <c r="U34" i="16"/>
  <c r="AJ119" i="3" s="1"/>
  <c r="U14" i="16"/>
  <c r="U41" i="16"/>
  <c r="U27" i="16"/>
  <c r="AJ112" i="3" s="1"/>
  <c r="U17" i="16"/>
  <c r="AJ102" i="3" s="1"/>
  <c r="U30" i="16"/>
  <c r="AJ115" i="3" s="1"/>
  <c r="U20" i="16"/>
  <c r="AJ105" i="3" s="1"/>
  <c r="U26" i="16"/>
  <c r="AJ111" i="3" s="1"/>
  <c r="U45" i="16"/>
  <c r="U36" i="16"/>
  <c r="AJ121" i="3" s="1"/>
  <c r="U28" i="16"/>
  <c r="AJ113" i="3" s="1"/>
  <c r="T43" i="17"/>
  <c r="T27" i="17"/>
  <c r="T18" i="17"/>
  <c r="T29" i="17"/>
  <c r="T45" i="17"/>
  <c r="T31" i="17"/>
  <c r="T33" i="17"/>
  <c r="T24" i="17"/>
  <c r="T42" i="17"/>
  <c r="T35" i="17"/>
  <c r="T15" i="17"/>
  <c r="T26" i="17"/>
  <c r="T44" i="17"/>
  <c r="T28" i="17"/>
  <c r="T19" i="17"/>
  <c r="T23" i="17"/>
  <c r="T46" i="17"/>
  <c r="T14" i="17"/>
  <c r="T22" i="17"/>
  <c r="T37" i="17"/>
  <c r="T41" i="17"/>
  <c r="T25" i="17"/>
  <c r="T21" i="17"/>
  <c r="T17" i="17"/>
  <c r="T36" i="17"/>
  <c r="T32" i="17"/>
  <c r="T40" i="17"/>
  <c r="T20" i="17"/>
  <c r="T16" i="17"/>
  <c r="T39" i="17"/>
  <c r="T34" i="17"/>
  <c r="T30" i="17"/>
  <c r="S36" i="12"/>
  <c r="S34" i="12"/>
  <c r="S32" i="12"/>
  <c r="S30" i="12"/>
  <c r="S28" i="12"/>
  <c r="S26" i="12"/>
  <c r="S24" i="12"/>
  <c r="S22" i="12"/>
  <c r="S20" i="12"/>
  <c r="S18" i="12"/>
  <c r="S16" i="12"/>
  <c r="S14" i="12"/>
  <c r="S45" i="12"/>
  <c r="S15" i="12"/>
  <c r="S17" i="12"/>
  <c r="S19" i="12"/>
  <c r="S42" i="12"/>
  <c r="S23" i="12"/>
  <c r="S44" i="12"/>
  <c r="S25" i="12"/>
  <c r="S27" i="12"/>
  <c r="S46" i="12"/>
  <c r="S29" i="12"/>
  <c r="S31" i="12"/>
  <c r="S33" i="12"/>
  <c r="S35" i="12"/>
  <c r="S37" i="12"/>
  <c r="S39" i="12"/>
  <c r="S41" i="12"/>
  <c r="S40" i="12"/>
  <c r="S43" i="12"/>
  <c r="S21" i="12"/>
  <c r="S36" i="18"/>
  <c r="S46" i="18"/>
  <c r="S44" i="18"/>
  <c r="S42" i="18"/>
  <c r="S40" i="18"/>
  <c r="S39" i="18"/>
  <c r="S33" i="18"/>
  <c r="S25" i="18"/>
  <c r="S17" i="18"/>
  <c r="S30" i="18"/>
  <c r="S22" i="18"/>
  <c r="S14" i="18"/>
  <c r="S32" i="18"/>
  <c r="S24" i="18"/>
  <c r="S16" i="18"/>
  <c r="S43" i="18"/>
  <c r="S37" i="18"/>
  <c r="S31" i="18"/>
  <c r="S26" i="18"/>
  <c r="S41" i="18"/>
  <c r="S20" i="18"/>
  <c r="S15" i="18"/>
  <c r="S35" i="18"/>
  <c r="S19" i="18"/>
  <c r="S29" i="18"/>
  <c r="S45" i="18"/>
  <c r="S34" i="18"/>
  <c r="S28" i="18"/>
  <c r="S23" i="18"/>
  <c r="S18" i="18"/>
  <c r="S27" i="18"/>
  <c r="S21" i="18"/>
  <c r="T45" i="10"/>
  <c r="T43" i="10"/>
  <c r="T41" i="10"/>
  <c r="T39" i="10"/>
  <c r="T37" i="10"/>
  <c r="T35" i="10"/>
  <c r="T33" i="10"/>
  <c r="T31" i="10"/>
  <c r="T29" i="10"/>
  <c r="T27" i="10"/>
  <c r="T25" i="10"/>
  <c r="T23" i="10"/>
  <c r="T21" i="10"/>
  <c r="T19" i="10"/>
  <c r="T17" i="10"/>
  <c r="C41" i="3" s="1"/>
  <c r="T15" i="10"/>
  <c r="C39" i="3" s="1"/>
  <c r="T30" i="10"/>
  <c r="T44" i="10"/>
  <c r="T24" i="10"/>
  <c r="T32" i="10"/>
  <c r="T46" i="10"/>
  <c r="T26" i="10"/>
  <c r="T40" i="10"/>
  <c r="T20" i="10"/>
  <c r="T34" i="10"/>
  <c r="T14" i="10"/>
  <c r="C37" i="3" s="1"/>
  <c r="T28" i="10"/>
  <c r="T36" i="10"/>
  <c r="T16" i="10"/>
  <c r="C40" i="3" s="1"/>
  <c r="T22" i="10"/>
  <c r="T38" i="10"/>
  <c r="T42" i="10"/>
  <c r="T18" i="10"/>
  <c r="C43" i="3" s="1"/>
  <c r="U21" i="22"/>
  <c r="L137" i="38" s="1"/>
  <c r="U23" i="22"/>
  <c r="L139" i="38" s="1"/>
  <c r="U43" i="22"/>
  <c r="U34" i="22"/>
  <c r="L150" i="38" s="1"/>
  <c r="U14" i="22"/>
  <c r="L130" i="38" s="1"/>
  <c r="U25" i="22"/>
  <c r="L141" i="38" s="1"/>
  <c r="U36" i="22"/>
  <c r="L152" i="38" s="1"/>
  <c r="U16" i="22"/>
  <c r="L132" i="38" s="1"/>
  <c r="U45" i="22"/>
  <c r="U18" i="22"/>
  <c r="L134" i="38" s="1"/>
  <c r="U29" i="22"/>
  <c r="L145" i="38" s="1"/>
  <c r="U20" i="22"/>
  <c r="L136" i="38" s="1"/>
  <c r="U22" i="22"/>
  <c r="L138" i="38" s="1"/>
  <c r="U42" i="22"/>
  <c r="U33" i="22"/>
  <c r="L149" i="38" s="1"/>
  <c r="U24" i="22"/>
  <c r="L140" i="38" s="1"/>
  <c r="U44" i="22"/>
  <c r="U35" i="22"/>
  <c r="L151" i="38" s="1"/>
  <c r="U15" i="22"/>
  <c r="L131" i="38" s="1"/>
  <c r="U26" i="22"/>
  <c r="L142" i="38" s="1"/>
  <c r="U37" i="22"/>
  <c r="L153" i="38" s="1"/>
  <c r="U17" i="22"/>
  <c r="L133" i="38" s="1"/>
  <c r="U46" i="22"/>
  <c r="U19" i="22"/>
  <c r="L135" i="38" s="1"/>
  <c r="U39" i="22"/>
  <c r="U30" i="22"/>
  <c r="L146" i="38" s="1"/>
  <c r="U40" i="22"/>
  <c r="U28" i="22"/>
  <c r="L144" i="38" s="1"/>
  <c r="U27" i="22"/>
  <c r="L143" i="38" s="1"/>
  <c r="U32" i="22"/>
  <c r="L148" i="38" s="1"/>
  <c r="U31" i="22"/>
  <c r="L147" i="38" s="1"/>
  <c r="U41" i="22"/>
  <c r="W12" i="24"/>
  <c r="X6" i="24"/>
  <c r="V12" i="21"/>
  <c r="W6" i="21"/>
  <c r="V13" i="21"/>
  <c r="W13" i="21" s="1"/>
  <c r="X13" i="21" s="1"/>
  <c r="U32" i="19"/>
  <c r="D86" i="3" s="1"/>
  <c r="U45" i="19"/>
  <c r="U34" i="19"/>
  <c r="D88" i="3" s="1"/>
  <c r="U15" i="19"/>
  <c r="D69" i="3" s="1"/>
  <c r="U17" i="19"/>
  <c r="D71" i="3" s="1"/>
  <c r="U36" i="19"/>
  <c r="D90" i="3" s="1"/>
  <c r="U19" i="19"/>
  <c r="D73" i="3" s="1"/>
  <c r="U38" i="19"/>
  <c r="D92" i="3" s="1"/>
  <c r="U23" i="19"/>
  <c r="D77" i="3" s="1"/>
  <c r="U40" i="19"/>
  <c r="U27" i="19"/>
  <c r="D81" i="3" s="1"/>
  <c r="U33" i="19"/>
  <c r="D87" i="3" s="1"/>
  <c r="U44" i="19"/>
  <c r="U35" i="19"/>
  <c r="D89" i="3" s="1"/>
  <c r="U14" i="19"/>
  <c r="D68" i="3" s="1"/>
  <c r="U46" i="19"/>
  <c r="U37" i="19"/>
  <c r="D91" i="3" s="1"/>
  <c r="U18" i="19"/>
  <c r="D72" i="3" s="1"/>
  <c r="U24" i="19"/>
  <c r="D78" i="3" s="1"/>
  <c r="U28" i="19"/>
  <c r="D82" i="3" s="1"/>
  <c r="U43" i="19"/>
  <c r="U30" i="19"/>
  <c r="D84" i="3" s="1"/>
  <c r="U16" i="19"/>
  <c r="D70" i="3" s="1"/>
  <c r="U20" i="19"/>
  <c r="D74" i="3" s="1"/>
  <c r="U42" i="19"/>
  <c r="U26" i="19"/>
  <c r="D80" i="3" s="1"/>
  <c r="U41" i="19"/>
  <c r="U29" i="19"/>
  <c r="D83" i="3" s="1"/>
  <c r="U25" i="19"/>
  <c r="D79" i="3" s="1"/>
  <c r="U22" i="19"/>
  <c r="D76" i="3" s="1"/>
  <c r="U21" i="19"/>
  <c r="D75" i="3" s="1"/>
  <c r="U39" i="19"/>
  <c r="U31" i="19"/>
  <c r="D85" i="3" s="1"/>
  <c r="S45" i="13"/>
  <c r="S43" i="13"/>
  <c r="S41" i="13"/>
  <c r="S39" i="13"/>
  <c r="S42" i="13"/>
  <c r="S46" i="13"/>
  <c r="S40" i="13"/>
  <c r="S37" i="13"/>
  <c r="S29" i="13"/>
  <c r="S21" i="13"/>
  <c r="S34" i="13"/>
  <c r="S26" i="13"/>
  <c r="S18" i="13"/>
  <c r="S31" i="13"/>
  <c r="S23" i="13"/>
  <c r="S15" i="13"/>
  <c r="S36" i="13"/>
  <c r="S28" i="13"/>
  <c r="S20" i="13"/>
  <c r="S33" i="13"/>
  <c r="S25" i="13"/>
  <c r="S17" i="13"/>
  <c r="S30" i="13"/>
  <c r="S22" i="13"/>
  <c r="S14" i="13"/>
  <c r="S44" i="13"/>
  <c r="S35" i="13"/>
  <c r="S27" i="13"/>
  <c r="S19" i="13"/>
  <c r="S32" i="13"/>
  <c r="S24" i="13"/>
  <c r="S16" i="13"/>
  <c r="T44" i="13"/>
  <c r="T43" i="13"/>
  <c r="T45" i="13"/>
  <c r="T37" i="13"/>
  <c r="T29" i="13"/>
  <c r="T21" i="13"/>
  <c r="T34" i="13"/>
  <c r="T26" i="13"/>
  <c r="T18" i="13"/>
  <c r="T46" i="13"/>
  <c r="T42" i="13"/>
  <c r="T31" i="13"/>
  <c r="T23" i="13"/>
  <c r="T15" i="13"/>
  <c r="T39" i="13"/>
  <c r="T36" i="13"/>
  <c r="T28" i="13"/>
  <c r="T20" i="13"/>
  <c r="T33" i="13"/>
  <c r="T25" i="13"/>
  <c r="T17" i="13"/>
  <c r="T41" i="13"/>
  <c r="T30" i="13"/>
  <c r="T22" i="13"/>
  <c r="T14" i="13"/>
  <c r="T35" i="13"/>
  <c r="T27" i="13"/>
  <c r="T19" i="13"/>
  <c r="T40" i="13"/>
  <c r="T32" i="13"/>
  <c r="T24" i="13"/>
  <c r="T16" i="13"/>
  <c r="S27" i="11"/>
  <c r="S29" i="11"/>
  <c r="S31" i="11"/>
  <c r="S37" i="11"/>
  <c r="S39" i="11"/>
  <c r="S45" i="11"/>
  <c r="S26" i="11"/>
  <c r="S28" i="11"/>
  <c r="S30" i="11"/>
  <c r="S32" i="11"/>
  <c r="S34" i="11"/>
  <c r="S36" i="11"/>
  <c r="S38" i="11"/>
  <c r="S46" i="11"/>
  <c r="S42" i="11"/>
  <c r="S33" i="11"/>
  <c r="S22" i="11"/>
  <c r="S15" i="11"/>
  <c r="J39" i="3" s="1"/>
  <c r="S25" i="11"/>
  <c r="S18" i="11"/>
  <c r="J43" i="3" s="1"/>
  <c r="S41" i="11"/>
  <c r="S21" i="11"/>
  <c r="S44" i="11"/>
  <c r="S24" i="11"/>
  <c r="S14" i="11"/>
  <c r="J37" i="3" s="1"/>
  <c r="S40" i="11"/>
  <c r="S17" i="11"/>
  <c r="J41" i="3" s="1"/>
  <c r="S35" i="11"/>
  <c r="S20" i="11"/>
  <c r="S23" i="11"/>
  <c r="S43" i="11"/>
  <c r="S16" i="11"/>
  <c r="J40" i="3" s="1"/>
  <c r="S19" i="11"/>
  <c r="V6" i="12"/>
  <c r="U12" i="12"/>
  <c r="S126" i="3"/>
  <c r="S126" i="2"/>
  <c r="W12" i="8"/>
  <c r="X6" i="8"/>
  <c r="V5" i="21"/>
  <c r="E126" i="38" s="1"/>
  <c r="M126" i="38" s="1"/>
  <c r="V5" i="22"/>
  <c r="V7" i="22" s="1"/>
  <c r="V9" i="22" s="1"/>
  <c r="V5" i="20"/>
  <c r="V7" i="20" s="1"/>
  <c r="V9" i="20" s="1"/>
  <c r="V5" i="19"/>
  <c r="E64" i="38" s="1"/>
  <c r="M64" i="38" s="1"/>
  <c r="V5" i="16"/>
  <c r="V7" i="16" s="1"/>
  <c r="V5" i="14"/>
  <c r="V7" i="14" s="1"/>
  <c r="V9" i="14" s="1"/>
  <c r="V5" i="15"/>
  <c r="V7" i="15" s="1"/>
  <c r="V9" i="15" s="1"/>
  <c r="V5" i="13"/>
  <c r="V7" i="13" s="1"/>
  <c r="V9" i="13" s="1"/>
  <c r="V5" i="12"/>
  <c r="E95" i="38" s="1"/>
  <c r="M95" i="38" s="1"/>
  <c r="U95" i="38" s="1"/>
  <c r="AC95" i="38" s="1"/>
  <c r="AK95" i="38" s="1"/>
  <c r="V5" i="8"/>
  <c r="E2" i="38" s="1"/>
  <c r="M2" i="38" s="1"/>
  <c r="V5" i="11"/>
  <c r="V7" i="11" s="1"/>
  <c r="V5" i="10"/>
  <c r="E33" i="38" s="1"/>
  <c r="M33" i="38" s="1"/>
  <c r="V5" i="9"/>
  <c r="V7" i="9" s="1"/>
  <c r="V9" i="9" s="1"/>
  <c r="T36" i="26"/>
  <c r="S214" i="3" s="1"/>
  <c r="S214" i="28" s="1"/>
  <c r="T34" i="26"/>
  <c r="S212" i="3" s="1"/>
  <c r="S212" i="28" s="1"/>
  <c r="T32" i="26"/>
  <c r="S210" i="3" s="1"/>
  <c r="S210" i="28" s="1"/>
  <c r="T30" i="26"/>
  <c r="S208" i="3" s="1"/>
  <c r="S208" i="28" s="1"/>
  <c r="T28" i="26"/>
  <c r="S206" i="3" s="1"/>
  <c r="S206" i="28" s="1"/>
  <c r="T26" i="26"/>
  <c r="S204" i="3" s="1"/>
  <c r="S204" i="28" s="1"/>
  <c r="T24" i="26"/>
  <c r="S202" i="3" s="1"/>
  <c r="S202" i="28" s="1"/>
  <c r="T22" i="26"/>
  <c r="S200" i="3" s="1"/>
  <c r="S200" i="28" s="1"/>
  <c r="T20" i="26"/>
  <c r="S198" i="3" s="1"/>
  <c r="S198" i="28" s="1"/>
  <c r="T18" i="26"/>
  <c r="S196" i="3" s="1"/>
  <c r="S196" i="28" s="1"/>
  <c r="T16" i="26"/>
  <c r="S194" i="3" s="1"/>
  <c r="S194" i="28" s="1"/>
  <c r="T14" i="26"/>
  <c r="T46" i="26"/>
  <c r="T44" i="26"/>
  <c r="T42" i="26"/>
  <c r="T40" i="26"/>
  <c r="T37" i="26"/>
  <c r="S215" i="3" s="1"/>
  <c r="S215" i="28" s="1"/>
  <c r="T35" i="26"/>
  <c r="S213" i="3" s="1"/>
  <c r="S213" i="28" s="1"/>
  <c r="T33" i="26"/>
  <c r="S211" i="3" s="1"/>
  <c r="S211" i="28" s="1"/>
  <c r="T31" i="26"/>
  <c r="S209" i="3" s="1"/>
  <c r="S209" i="28" s="1"/>
  <c r="T29" i="26"/>
  <c r="S207" i="3" s="1"/>
  <c r="S207" i="28" s="1"/>
  <c r="T27" i="26"/>
  <c r="S205" i="3" s="1"/>
  <c r="S205" i="28" s="1"/>
  <c r="T25" i="26"/>
  <c r="S203" i="3" s="1"/>
  <c r="S203" i="28" s="1"/>
  <c r="T23" i="26"/>
  <c r="S201" i="3" s="1"/>
  <c r="S201" i="28" s="1"/>
  <c r="T21" i="26"/>
  <c r="S199" i="3" s="1"/>
  <c r="S199" i="28" s="1"/>
  <c r="T19" i="26"/>
  <c r="S197" i="3" s="1"/>
  <c r="S197" i="28" s="1"/>
  <c r="T17" i="26"/>
  <c r="S195" i="3" s="1"/>
  <c r="S195" i="28" s="1"/>
  <c r="T15" i="26"/>
  <c r="S193" i="3" s="1"/>
  <c r="S193" i="28" s="1"/>
  <c r="T45" i="26"/>
  <c r="T43" i="26"/>
  <c r="T41" i="26"/>
  <c r="T39" i="26"/>
  <c r="S45" i="23"/>
  <c r="S43" i="23"/>
  <c r="S41" i="23"/>
  <c r="S39" i="23"/>
  <c r="S36" i="23"/>
  <c r="R152" i="3" s="1"/>
  <c r="R152" i="28" s="1"/>
  <c r="S34" i="23"/>
  <c r="R150" i="3" s="1"/>
  <c r="R150" i="28" s="1"/>
  <c r="S32" i="23"/>
  <c r="R148" i="3" s="1"/>
  <c r="R148" i="28" s="1"/>
  <c r="S30" i="23"/>
  <c r="R146" i="3" s="1"/>
  <c r="R146" i="28" s="1"/>
  <c r="S28" i="23"/>
  <c r="R144" i="3" s="1"/>
  <c r="R144" i="28" s="1"/>
  <c r="S26" i="23"/>
  <c r="R142" i="3" s="1"/>
  <c r="R142" i="28" s="1"/>
  <c r="S24" i="23"/>
  <c r="R140" i="3" s="1"/>
  <c r="R140" i="28" s="1"/>
  <c r="S22" i="23"/>
  <c r="R138" i="3" s="1"/>
  <c r="R138" i="28" s="1"/>
  <c r="S20" i="23"/>
  <c r="R136" i="3" s="1"/>
  <c r="R136" i="28" s="1"/>
  <c r="S18" i="23"/>
  <c r="R134" i="3" s="1"/>
  <c r="R134" i="28" s="1"/>
  <c r="S16" i="23"/>
  <c r="R132" i="3" s="1"/>
  <c r="R132" i="28" s="1"/>
  <c r="S14" i="23"/>
  <c r="S46" i="23"/>
  <c r="S37" i="23"/>
  <c r="R153" i="3" s="1"/>
  <c r="R153" i="28" s="1"/>
  <c r="S35" i="23"/>
  <c r="R151" i="3" s="1"/>
  <c r="R151" i="28" s="1"/>
  <c r="S33" i="23"/>
  <c r="R149" i="3" s="1"/>
  <c r="R149" i="28" s="1"/>
  <c r="S31" i="23"/>
  <c r="R147" i="3" s="1"/>
  <c r="R147" i="28" s="1"/>
  <c r="S29" i="23"/>
  <c r="R145" i="3" s="1"/>
  <c r="R145" i="28" s="1"/>
  <c r="S27" i="23"/>
  <c r="R143" i="3" s="1"/>
  <c r="R143" i="28" s="1"/>
  <c r="S25" i="23"/>
  <c r="R141" i="3" s="1"/>
  <c r="R141" i="28" s="1"/>
  <c r="S42" i="23"/>
  <c r="S19" i="23"/>
  <c r="R135" i="3" s="1"/>
  <c r="R135" i="28" s="1"/>
  <c r="S44" i="23"/>
  <c r="S21" i="23"/>
  <c r="R137" i="3" s="1"/>
  <c r="R137" i="28" s="1"/>
  <c r="S23" i="23"/>
  <c r="R139" i="3" s="1"/>
  <c r="R139" i="28" s="1"/>
  <c r="S15" i="23"/>
  <c r="R131" i="3" s="1"/>
  <c r="R131" i="28" s="1"/>
  <c r="S40" i="23"/>
  <c r="S17" i="23"/>
  <c r="R133" i="3" s="1"/>
  <c r="R133" i="28" s="1"/>
  <c r="S41" i="20"/>
  <c r="S34" i="20"/>
  <c r="J88" i="3" s="1"/>
  <c r="S46" i="20"/>
  <c r="S15" i="20"/>
  <c r="J69" i="3" s="1"/>
  <c r="S29" i="20"/>
  <c r="J83" i="3" s="1"/>
  <c r="S22" i="20"/>
  <c r="J76" i="3" s="1"/>
  <c r="S36" i="20"/>
  <c r="J90" i="3" s="1"/>
  <c r="S31" i="20"/>
  <c r="J85" i="3" s="1"/>
  <c r="S24" i="20"/>
  <c r="J78" i="3" s="1"/>
  <c r="S38" i="20"/>
  <c r="J92" i="3" s="1"/>
  <c r="S19" i="20"/>
  <c r="J73" i="3" s="1"/>
  <c r="S40" i="20"/>
  <c r="S21" i="20"/>
  <c r="J75" i="3" s="1"/>
  <c r="S14" i="20"/>
  <c r="J68" i="3" s="1"/>
  <c r="S35" i="20"/>
  <c r="J89" i="3" s="1"/>
  <c r="S28" i="20"/>
  <c r="J82" i="3" s="1"/>
  <c r="S42" i="20"/>
  <c r="S23" i="20"/>
  <c r="J77" i="3" s="1"/>
  <c r="S16" i="20"/>
  <c r="J70" i="3" s="1"/>
  <c r="S25" i="20"/>
  <c r="J79" i="3" s="1"/>
  <c r="S18" i="20"/>
  <c r="J72" i="3" s="1"/>
  <c r="S27" i="20"/>
  <c r="J81" i="3" s="1"/>
  <c r="S20" i="20"/>
  <c r="J74" i="3" s="1"/>
  <c r="S37" i="20"/>
  <c r="J91" i="3" s="1"/>
  <c r="S32" i="20"/>
  <c r="J86" i="3" s="1"/>
  <c r="S45" i="20"/>
  <c r="S17" i="20"/>
  <c r="J71" i="3" s="1"/>
  <c r="S30" i="20"/>
  <c r="J84" i="3" s="1"/>
  <c r="S39" i="20"/>
  <c r="S44" i="20"/>
  <c r="S33" i="20"/>
  <c r="J87" i="3" s="1"/>
  <c r="S43" i="20"/>
  <c r="S26" i="20"/>
  <c r="J80" i="3" s="1"/>
  <c r="W6" i="16"/>
  <c r="V12" i="16"/>
  <c r="V13" i="16"/>
  <c r="W13" i="16" s="1"/>
  <c r="X13" i="16" s="1"/>
  <c r="V9" i="16"/>
  <c r="S36" i="14"/>
  <c r="R121" i="3" s="1"/>
  <c r="S27" i="14"/>
  <c r="R112" i="3" s="1"/>
  <c r="S43" i="14"/>
  <c r="S29" i="14"/>
  <c r="R114" i="3" s="1"/>
  <c r="S20" i="14"/>
  <c r="R105" i="3" s="1"/>
  <c r="S31" i="14"/>
  <c r="R116" i="3" s="1"/>
  <c r="S45" i="14"/>
  <c r="S33" i="14"/>
  <c r="R118" i="3" s="1"/>
  <c r="S15" i="14"/>
  <c r="R100" i="3" s="1"/>
  <c r="S35" i="14"/>
  <c r="R120" i="3" s="1"/>
  <c r="S26" i="14"/>
  <c r="R111" i="3" s="1"/>
  <c r="S42" i="14"/>
  <c r="S17" i="14"/>
  <c r="R102" i="3" s="1"/>
  <c r="S28" i="14"/>
  <c r="R113" i="3" s="1"/>
  <c r="S37" i="14"/>
  <c r="R122" i="3" s="1"/>
  <c r="S19" i="14"/>
  <c r="R104" i="3" s="1"/>
  <c r="S44" i="14"/>
  <c r="S30" i="14"/>
  <c r="R115" i="3" s="1"/>
  <c r="S21" i="14"/>
  <c r="R106" i="3" s="1"/>
  <c r="S32" i="14"/>
  <c r="R117" i="3" s="1"/>
  <c r="S39" i="14"/>
  <c r="S23" i="14"/>
  <c r="R108" i="3" s="1"/>
  <c r="S16" i="14"/>
  <c r="R101" i="3" s="1"/>
  <c r="S46" i="14"/>
  <c r="S24" i="14"/>
  <c r="R109" i="3" s="1"/>
  <c r="S41" i="14"/>
  <c r="S14" i="14"/>
  <c r="S18" i="14"/>
  <c r="R103" i="3" s="1"/>
  <c r="S40" i="14"/>
  <c r="S22" i="14"/>
  <c r="R107" i="3" s="1"/>
  <c r="S34" i="14"/>
  <c r="R119" i="3" s="1"/>
  <c r="S25" i="14"/>
  <c r="R110" i="3" s="1"/>
  <c r="D2" i="3"/>
  <c r="L2" i="3" s="1"/>
  <c r="D2" i="2"/>
  <c r="L2" i="2" s="1"/>
  <c r="B64" i="3"/>
  <c r="J64" i="3" s="1"/>
  <c r="B64" i="2"/>
  <c r="J64" i="2" s="1"/>
  <c r="T45" i="9"/>
  <c r="T43" i="9"/>
  <c r="T41" i="9"/>
  <c r="T39" i="9"/>
  <c r="T37" i="9"/>
  <c r="T35" i="9"/>
  <c r="T33" i="9"/>
  <c r="T31" i="9"/>
  <c r="T29" i="9"/>
  <c r="T27" i="9"/>
  <c r="T25" i="9"/>
  <c r="T23" i="9"/>
  <c r="T21" i="9"/>
  <c r="T19" i="9"/>
  <c r="K24" i="3" s="1"/>
  <c r="T17" i="9"/>
  <c r="K10" i="3" s="1"/>
  <c r="T15" i="9"/>
  <c r="K8" i="3" s="1"/>
  <c r="T38" i="9"/>
  <c r="T24" i="9"/>
  <c r="T16" i="9"/>
  <c r="K9" i="3" s="1"/>
  <c r="T32" i="9"/>
  <c r="T46" i="9"/>
  <c r="T40" i="9"/>
  <c r="T28" i="9"/>
  <c r="T20" i="9"/>
  <c r="T36" i="9"/>
  <c r="T44" i="9"/>
  <c r="T22" i="9"/>
  <c r="T14" i="9"/>
  <c r="K6" i="3" s="1"/>
  <c r="T30" i="9"/>
  <c r="T26" i="9"/>
  <c r="T18" i="9"/>
  <c r="K12" i="3" s="1"/>
  <c r="T34" i="9"/>
  <c r="T42" i="9"/>
  <c r="T36" i="14"/>
  <c r="S121" i="3" s="1"/>
  <c r="T34" i="14"/>
  <c r="S119" i="3" s="1"/>
  <c r="T32" i="14"/>
  <c r="S117" i="3" s="1"/>
  <c r="T30" i="14"/>
  <c r="S115" i="3" s="1"/>
  <c r="T28" i="14"/>
  <c r="S113" i="3" s="1"/>
  <c r="T26" i="14"/>
  <c r="S111" i="3" s="1"/>
  <c r="T24" i="14"/>
  <c r="S109" i="3" s="1"/>
  <c r="T22" i="14"/>
  <c r="S107" i="3" s="1"/>
  <c r="T20" i="14"/>
  <c r="S105" i="3" s="1"/>
  <c r="T18" i="14"/>
  <c r="S103" i="3" s="1"/>
  <c r="T16" i="14"/>
  <c r="S101" i="3" s="1"/>
  <c r="T14" i="14"/>
  <c r="T31" i="14"/>
  <c r="S116" i="3" s="1"/>
  <c r="T45" i="14"/>
  <c r="T40" i="14"/>
  <c r="T35" i="14"/>
  <c r="S120" i="3" s="1"/>
  <c r="T42" i="14"/>
  <c r="T17" i="14"/>
  <c r="S102" i="3" s="1"/>
  <c r="T37" i="14"/>
  <c r="S122" i="3" s="1"/>
  <c r="T19" i="14"/>
  <c r="S104" i="3" s="1"/>
  <c r="T44" i="14"/>
  <c r="T21" i="14"/>
  <c r="S106" i="3" s="1"/>
  <c r="T39" i="14"/>
  <c r="T23" i="14"/>
  <c r="S108" i="3" s="1"/>
  <c r="T46" i="14"/>
  <c r="T29" i="14"/>
  <c r="S114" i="3" s="1"/>
  <c r="T33" i="14"/>
  <c r="S118" i="3" s="1"/>
  <c r="T41" i="14"/>
  <c r="T15" i="14"/>
  <c r="S100" i="3" s="1"/>
  <c r="T27" i="14"/>
  <c r="S112" i="3" s="1"/>
  <c r="T43" i="14"/>
  <c r="T25" i="14"/>
  <c r="S110" i="3" s="1"/>
  <c r="X5" i="21"/>
  <c r="G126" i="38" s="1"/>
  <c r="O126" i="38" s="1"/>
  <c r="X5" i="20"/>
  <c r="X7" i="20" s="1"/>
  <c r="X9" i="20" s="1"/>
  <c r="X5" i="22"/>
  <c r="X7" i="22" s="1"/>
  <c r="X5" i="16"/>
  <c r="X7" i="16" s="1"/>
  <c r="X5" i="19"/>
  <c r="G64" i="38" s="1"/>
  <c r="O64" i="38" s="1"/>
  <c r="X5" i="14"/>
  <c r="X7" i="14" s="1"/>
  <c r="X9" i="14" s="1"/>
  <c r="X5" i="15"/>
  <c r="X7" i="15" s="1"/>
  <c r="X5" i="13"/>
  <c r="X7" i="13" s="1"/>
  <c r="X9" i="13" s="1"/>
  <c r="X5" i="11"/>
  <c r="X7" i="11" s="1"/>
  <c r="X5" i="9"/>
  <c r="X7" i="9" s="1"/>
  <c r="X5" i="8"/>
  <c r="X5" i="10"/>
  <c r="G33" i="38" s="1"/>
  <c r="O33" i="38" s="1"/>
  <c r="T43" i="19"/>
  <c r="T30" i="19"/>
  <c r="C84" i="3" s="1"/>
  <c r="T32" i="19"/>
  <c r="C86" i="3" s="1"/>
  <c r="T45" i="19"/>
  <c r="T34" i="19"/>
  <c r="C88" i="3" s="1"/>
  <c r="T15" i="19"/>
  <c r="C69" i="3" s="1"/>
  <c r="T17" i="19"/>
  <c r="C71" i="3" s="1"/>
  <c r="T21" i="19"/>
  <c r="C75" i="3" s="1"/>
  <c r="T25" i="19"/>
  <c r="C79" i="3" s="1"/>
  <c r="T42" i="19"/>
  <c r="T31" i="19"/>
  <c r="C85" i="3" s="1"/>
  <c r="T33" i="19"/>
  <c r="C87" i="3" s="1"/>
  <c r="T16" i="19"/>
  <c r="C70" i="3" s="1"/>
  <c r="T39" i="19"/>
  <c r="T22" i="19"/>
  <c r="C76" i="3" s="1"/>
  <c r="T41" i="19"/>
  <c r="T26" i="19"/>
  <c r="C80" i="3" s="1"/>
  <c r="T28" i="19"/>
  <c r="C82" i="3" s="1"/>
  <c r="T20" i="19"/>
  <c r="C74" i="3" s="1"/>
  <c r="T23" i="19"/>
  <c r="C77" i="3" s="1"/>
  <c r="T46" i="19"/>
  <c r="T38" i="19"/>
  <c r="C92" i="3" s="1"/>
  <c r="T29" i="19"/>
  <c r="C83" i="3" s="1"/>
  <c r="T37" i="19"/>
  <c r="C91" i="3" s="1"/>
  <c r="T14" i="19"/>
  <c r="C68" i="3" s="1"/>
  <c r="T18" i="19"/>
  <c r="C72" i="3" s="1"/>
  <c r="T40" i="19"/>
  <c r="T44" i="19"/>
  <c r="T36" i="19"/>
  <c r="C90" i="3" s="1"/>
  <c r="T24" i="19"/>
  <c r="C78" i="3" s="1"/>
  <c r="T35" i="19"/>
  <c r="C89" i="3" s="1"/>
  <c r="T27" i="19"/>
  <c r="C81" i="3" s="1"/>
  <c r="T19" i="19"/>
  <c r="C73" i="3" s="1"/>
  <c r="V12" i="22"/>
  <c r="W6" i="22"/>
  <c r="V13" i="22"/>
  <c r="W13" i="22" s="1"/>
  <c r="X13" i="22" s="1"/>
  <c r="B126" i="3"/>
  <c r="J126" i="3" s="1"/>
  <c r="B126" i="2"/>
  <c r="J126" i="2" s="1"/>
  <c r="U46" i="10"/>
  <c r="U44" i="10"/>
  <c r="U42" i="10"/>
  <c r="U40" i="10"/>
  <c r="U38" i="10"/>
  <c r="U36" i="10"/>
  <c r="U34" i="10"/>
  <c r="U32" i="10"/>
  <c r="U30" i="10"/>
  <c r="U28" i="10"/>
  <c r="U26" i="10"/>
  <c r="U24" i="10"/>
  <c r="U22" i="10"/>
  <c r="U20" i="10"/>
  <c r="U18" i="10"/>
  <c r="D43" i="3" s="1"/>
  <c r="U16" i="10"/>
  <c r="D40" i="3" s="1"/>
  <c r="U14" i="10"/>
  <c r="D37" i="3" s="1"/>
  <c r="U33" i="10"/>
  <c r="U27" i="10"/>
  <c r="U35" i="10"/>
  <c r="U15" i="10"/>
  <c r="D39" i="3" s="1"/>
  <c r="U29" i="10"/>
  <c r="U43" i="10"/>
  <c r="U23" i="10"/>
  <c r="U37" i="10"/>
  <c r="U17" i="10"/>
  <c r="D41" i="3" s="1"/>
  <c r="U31" i="10"/>
  <c r="U39" i="10"/>
  <c r="U19" i="10"/>
  <c r="U41" i="10"/>
  <c r="U45" i="10"/>
  <c r="U21" i="10"/>
  <c r="U25" i="10"/>
  <c r="T39" i="15"/>
  <c r="T45" i="15"/>
  <c r="T36" i="15"/>
  <c r="AA121" i="3" s="1"/>
  <c r="T40" i="15"/>
  <c r="T42" i="15"/>
  <c r="T31" i="15"/>
  <c r="AA116" i="3" s="1"/>
  <c r="T33" i="15"/>
  <c r="AA118" i="3" s="1"/>
  <c r="T25" i="15"/>
  <c r="AA110" i="3" s="1"/>
  <c r="T17" i="15"/>
  <c r="AA102" i="3" s="1"/>
  <c r="T22" i="15"/>
  <c r="AA107" i="3" s="1"/>
  <c r="T14" i="15"/>
  <c r="T27" i="15"/>
  <c r="AA112" i="3" s="1"/>
  <c r="T19" i="15"/>
  <c r="AA104" i="3" s="1"/>
  <c r="T35" i="15"/>
  <c r="AA120" i="3" s="1"/>
  <c r="T24" i="15"/>
  <c r="AA109" i="3" s="1"/>
  <c r="T16" i="15"/>
  <c r="AA101" i="3" s="1"/>
  <c r="T44" i="15"/>
  <c r="T41" i="15"/>
  <c r="T32" i="15"/>
  <c r="AA117" i="3" s="1"/>
  <c r="T29" i="15"/>
  <c r="AA114" i="3" s="1"/>
  <c r="T21" i="15"/>
  <c r="AA106" i="3" s="1"/>
  <c r="T26" i="15"/>
  <c r="AA111" i="3" s="1"/>
  <c r="T18" i="15"/>
  <c r="AA103" i="3" s="1"/>
  <c r="T34" i="15"/>
  <c r="AA119" i="3" s="1"/>
  <c r="T37" i="15"/>
  <c r="AA122" i="3" s="1"/>
  <c r="T43" i="15"/>
  <c r="T23" i="15"/>
  <c r="AA108" i="3" s="1"/>
  <c r="T15" i="15"/>
  <c r="AA100" i="3" s="1"/>
  <c r="T46" i="15"/>
  <c r="T28" i="15"/>
  <c r="AA113" i="3" s="1"/>
  <c r="T20" i="15"/>
  <c r="AA105" i="3" s="1"/>
  <c r="T30" i="15"/>
  <c r="AA115" i="3" s="1"/>
  <c r="S45" i="22"/>
  <c r="S36" i="22"/>
  <c r="S34" i="22"/>
  <c r="S32" i="22"/>
  <c r="S30" i="22"/>
  <c r="S28" i="22"/>
  <c r="S26" i="22"/>
  <c r="S24" i="22"/>
  <c r="S22" i="22"/>
  <c r="S20" i="22"/>
  <c r="S18" i="22"/>
  <c r="S16" i="22"/>
  <c r="S14" i="22"/>
  <c r="S46" i="22"/>
  <c r="S19" i="22"/>
  <c r="S21" i="22"/>
  <c r="S41" i="22"/>
  <c r="S23" i="22"/>
  <c r="S43" i="22"/>
  <c r="S27" i="22"/>
  <c r="S40" i="22"/>
  <c r="S31" i="22"/>
  <c r="S42" i="22"/>
  <c r="S33" i="22"/>
  <c r="S44" i="22"/>
  <c r="S35" i="22"/>
  <c r="S15" i="22"/>
  <c r="S37" i="22"/>
  <c r="S29" i="22"/>
  <c r="S39" i="22"/>
  <c r="S17" i="22"/>
  <c r="S25" i="22"/>
  <c r="T36" i="24"/>
  <c r="T34" i="24"/>
  <c r="T32" i="24"/>
  <c r="T30" i="24"/>
  <c r="T28" i="24"/>
  <c r="T26" i="24"/>
  <c r="T24" i="24"/>
  <c r="T22" i="24"/>
  <c r="T20" i="24"/>
  <c r="T18" i="24"/>
  <c r="T16" i="24"/>
  <c r="T14" i="24"/>
  <c r="T46" i="24"/>
  <c r="T44" i="24"/>
  <c r="T42" i="24"/>
  <c r="T40" i="24"/>
  <c r="T37" i="24"/>
  <c r="T35" i="24"/>
  <c r="T33" i="24"/>
  <c r="T31" i="24"/>
  <c r="T29" i="24"/>
  <c r="T27" i="24"/>
  <c r="T25" i="24"/>
  <c r="T23" i="24"/>
  <c r="T21" i="24"/>
  <c r="T19" i="24"/>
  <c r="T17" i="24"/>
  <c r="T15" i="24"/>
  <c r="T45" i="24"/>
  <c r="T43" i="24"/>
  <c r="T41" i="24"/>
  <c r="T39" i="24"/>
  <c r="S36" i="16"/>
  <c r="AH121" i="3" s="1"/>
  <c r="S17" i="16"/>
  <c r="AH102" i="3" s="1"/>
  <c r="S19" i="16"/>
  <c r="AH104" i="3" s="1"/>
  <c r="S46" i="16"/>
  <c r="S44" i="16"/>
  <c r="S42" i="16"/>
  <c r="S40" i="16"/>
  <c r="S25" i="16"/>
  <c r="AH110" i="3" s="1"/>
  <c r="S29" i="16"/>
  <c r="AH114" i="3" s="1"/>
  <c r="S33" i="16"/>
  <c r="AH118" i="3" s="1"/>
  <c r="S35" i="16"/>
  <c r="AH120" i="3" s="1"/>
  <c r="S14" i="16"/>
  <c r="S18" i="16"/>
  <c r="AH103" i="3" s="1"/>
  <c r="S45" i="16"/>
  <c r="S43" i="16"/>
  <c r="S41" i="16"/>
  <c r="S39" i="16"/>
  <c r="S20" i="16"/>
  <c r="AH105" i="3" s="1"/>
  <c r="S28" i="16"/>
  <c r="AH113" i="3" s="1"/>
  <c r="S23" i="16"/>
  <c r="AH108" i="3" s="1"/>
  <c r="S16" i="16"/>
  <c r="AH101" i="3" s="1"/>
  <c r="S22" i="16"/>
  <c r="AH107" i="3" s="1"/>
  <c r="S32" i="16"/>
  <c r="AH117" i="3" s="1"/>
  <c r="S15" i="16"/>
  <c r="AH100" i="3" s="1"/>
  <c r="S31" i="16"/>
  <c r="AH116" i="3" s="1"/>
  <c r="S21" i="16"/>
  <c r="AH106" i="3" s="1"/>
  <c r="S34" i="16"/>
  <c r="AH119" i="3" s="1"/>
  <c r="S24" i="16"/>
  <c r="AH109" i="3" s="1"/>
  <c r="S37" i="16"/>
  <c r="AH122" i="3" s="1"/>
  <c r="S27" i="16"/>
  <c r="AH112" i="3" s="1"/>
  <c r="S30" i="16"/>
  <c r="AH115" i="3" s="1"/>
  <c r="S26" i="16"/>
  <c r="AH111" i="3" s="1"/>
  <c r="X12" i="14"/>
  <c r="V13" i="10"/>
  <c r="W13" i="10" s="1"/>
  <c r="X13" i="10" s="1"/>
  <c r="W6" i="10"/>
  <c r="V12" i="10"/>
  <c r="U46" i="8"/>
  <c r="U44" i="8"/>
  <c r="U42" i="8"/>
  <c r="U40" i="8"/>
  <c r="U37" i="8"/>
  <c r="U32" i="8"/>
  <c r="U27" i="8"/>
  <c r="U22" i="8"/>
  <c r="U17" i="8"/>
  <c r="D10" i="3" s="1"/>
  <c r="U38" i="8"/>
  <c r="U33" i="8"/>
  <c r="U28" i="8"/>
  <c r="U23" i="8"/>
  <c r="U18" i="8"/>
  <c r="D12" i="3" s="1"/>
  <c r="U43" i="8"/>
  <c r="U41" i="8"/>
  <c r="U31" i="8"/>
  <c r="U15" i="8"/>
  <c r="D8" i="3" s="1"/>
  <c r="U34" i="8"/>
  <c r="U21" i="8"/>
  <c r="U24" i="8"/>
  <c r="U30" i="8"/>
  <c r="U20" i="8"/>
  <c r="U14" i="8"/>
  <c r="D6" i="3" s="1"/>
  <c r="U36" i="8"/>
  <c r="U39" i="8"/>
  <c r="U26" i="8"/>
  <c r="U29" i="8"/>
  <c r="U45" i="8"/>
  <c r="U35" i="8"/>
  <c r="U19" i="8"/>
  <c r="D24" i="3" s="1"/>
  <c r="U25" i="8"/>
  <c r="U16" i="8"/>
  <c r="D9" i="3" s="1"/>
  <c r="V6" i="11"/>
  <c r="U12" i="11"/>
  <c r="U9" i="11"/>
  <c r="S37" i="25"/>
  <c r="S35" i="25"/>
  <c r="S33" i="25"/>
  <c r="S31" i="25"/>
  <c r="S29" i="25"/>
  <c r="S27" i="25"/>
  <c r="S25" i="25"/>
  <c r="S23" i="25"/>
  <c r="S21" i="25"/>
  <c r="S19" i="25"/>
  <c r="S17" i="25"/>
  <c r="S15" i="25"/>
  <c r="S36" i="25"/>
  <c r="S34" i="25"/>
  <c r="S32" i="25"/>
  <c r="S30" i="25"/>
  <c r="S28" i="25"/>
  <c r="S26" i="25"/>
  <c r="S24" i="25"/>
  <c r="S22" i="25"/>
  <c r="S20" i="25"/>
  <c r="S18" i="25"/>
  <c r="S16" i="25"/>
  <c r="S14" i="25"/>
  <c r="S46" i="25"/>
  <c r="S44" i="25"/>
  <c r="S42" i="25"/>
  <c r="S40" i="25"/>
  <c r="S41" i="25"/>
  <c r="S45" i="25"/>
  <c r="S39" i="25"/>
  <c r="S43" i="25"/>
  <c r="S36" i="17"/>
  <c r="S16" i="17"/>
  <c r="S43" i="17"/>
  <c r="S27" i="17"/>
  <c r="S18" i="17"/>
  <c r="S45" i="17"/>
  <c r="S20" i="17"/>
  <c r="S40" i="17"/>
  <c r="S22" i="17"/>
  <c r="S33" i="17"/>
  <c r="S24" i="17"/>
  <c r="S42" i="17"/>
  <c r="S35" i="17"/>
  <c r="S15" i="17"/>
  <c r="S37" i="17"/>
  <c r="S17" i="17"/>
  <c r="S44" i="17"/>
  <c r="S28" i="17"/>
  <c r="S32" i="17"/>
  <c r="S46" i="17"/>
  <c r="S14" i="17"/>
  <c r="S29" i="17"/>
  <c r="S41" i="17"/>
  <c r="S25" i="17"/>
  <c r="S21" i="17"/>
  <c r="S31" i="17"/>
  <c r="S39" i="17"/>
  <c r="S23" i="17"/>
  <c r="S19" i="17"/>
  <c r="S34" i="17"/>
  <c r="S30" i="17"/>
  <c r="S26" i="17"/>
  <c r="S46" i="8"/>
  <c r="S44" i="8"/>
  <c r="S42" i="8"/>
  <c r="S40" i="8"/>
  <c r="S38" i="8"/>
  <c r="S36" i="8"/>
  <c r="S34" i="8"/>
  <c r="S32" i="8"/>
  <c r="S30" i="8"/>
  <c r="S28" i="8"/>
  <c r="S26" i="8"/>
  <c r="S24" i="8"/>
  <c r="S22" i="8"/>
  <c r="S20" i="8"/>
  <c r="S18" i="8"/>
  <c r="B12" i="3" s="1"/>
  <c r="S16" i="8"/>
  <c r="B9" i="3" s="1"/>
  <c r="S14" i="8"/>
  <c r="B6" i="3" s="1"/>
  <c r="S45" i="8"/>
  <c r="S31" i="8"/>
  <c r="S21" i="8"/>
  <c r="S33" i="8"/>
  <c r="S23" i="8"/>
  <c r="S41" i="8"/>
  <c r="S25" i="8"/>
  <c r="S37" i="8"/>
  <c r="S27" i="8"/>
  <c r="S43" i="8"/>
  <c r="S17" i="8"/>
  <c r="B10" i="3" s="1"/>
  <c r="S39" i="8"/>
  <c r="S19" i="8"/>
  <c r="B24" i="3" s="1"/>
  <c r="S35" i="8"/>
  <c r="S15" i="8"/>
  <c r="B8" i="3" s="1"/>
  <c r="S29" i="8"/>
  <c r="X6" i="9"/>
  <c r="W12" i="9"/>
  <c r="U7" i="12"/>
  <c r="U9" i="12" s="1"/>
  <c r="D95" i="3"/>
  <c r="L95" i="3" s="1"/>
  <c r="T95" i="3" s="1"/>
  <c r="AB95" i="3" s="1"/>
  <c r="AJ95" i="3" s="1"/>
  <c r="D95" i="2"/>
  <c r="L95" i="2" s="1"/>
  <c r="T95" i="2" s="1"/>
  <c r="AB95" i="2" s="1"/>
  <c r="AJ95" i="2" s="1"/>
  <c r="C126" i="3"/>
  <c r="K126" i="3" s="1"/>
  <c r="C126" i="2"/>
  <c r="K126" i="2" s="1"/>
  <c r="U39" i="15"/>
  <c r="U41" i="15"/>
  <c r="U42" i="15"/>
  <c r="U44" i="15"/>
  <c r="U33" i="15"/>
  <c r="AB118" i="3" s="1"/>
  <c r="U45" i="15"/>
  <c r="U30" i="15"/>
  <c r="AB115" i="3" s="1"/>
  <c r="U27" i="15"/>
  <c r="AB112" i="3" s="1"/>
  <c r="U19" i="15"/>
  <c r="AB104" i="3" s="1"/>
  <c r="U35" i="15"/>
  <c r="AB120" i="3" s="1"/>
  <c r="U24" i="15"/>
  <c r="AB109" i="3" s="1"/>
  <c r="U16" i="15"/>
  <c r="AB101" i="3" s="1"/>
  <c r="U32" i="15"/>
  <c r="AB117" i="3" s="1"/>
  <c r="U26" i="15"/>
  <c r="AB111" i="3" s="1"/>
  <c r="U18" i="15"/>
  <c r="AB103" i="3" s="1"/>
  <c r="U34" i="15"/>
  <c r="AB119" i="3" s="1"/>
  <c r="U37" i="15"/>
  <c r="AB122" i="3" s="1"/>
  <c r="U43" i="15"/>
  <c r="U40" i="15"/>
  <c r="U31" i="15"/>
  <c r="AB116" i="3" s="1"/>
  <c r="U23" i="15"/>
  <c r="AB108" i="3" s="1"/>
  <c r="U15" i="15"/>
  <c r="AB100" i="3" s="1"/>
  <c r="U46" i="15"/>
  <c r="U28" i="15"/>
  <c r="AB113" i="3" s="1"/>
  <c r="U20" i="15"/>
  <c r="AB105" i="3" s="1"/>
  <c r="U17" i="15"/>
  <c r="AB102" i="3" s="1"/>
  <c r="U29" i="15"/>
  <c r="AB114" i="3" s="1"/>
  <c r="U22" i="15"/>
  <c r="AB107" i="3" s="1"/>
  <c r="U21" i="15"/>
  <c r="AB106" i="3" s="1"/>
  <c r="U14" i="15"/>
  <c r="U25" i="15"/>
  <c r="AB110" i="3" s="1"/>
  <c r="U36" i="15"/>
  <c r="AB121" i="3" s="1"/>
  <c r="T45" i="20"/>
  <c r="T43" i="20"/>
  <c r="T41" i="20"/>
  <c r="T39" i="20"/>
  <c r="T37" i="20"/>
  <c r="K91" i="3" s="1"/>
  <c r="T35" i="20"/>
  <c r="K89" i="3" s="1"/>
  <c r="T33" i="20"/>
  <c r="K87" i="3" s="1"/>
  <c r="T31" i="20"/>
  <c r="K85" i="3" s="1"/>
  <c r="T29" i="20"/>
  <c r="K83" i="3" s="1"/>
  <c r="T27" i="20"/>
  <c r="K81" i="3" s="1"/>
  <c r="T25" i="20"/>
  <c r="K79" i="3" s="1"/>
  <c r="T23" i="20"/>
  <c r="K77" i="3" s="1"/>
  <c r="T21" i="20"/>
  <c r="K75" i="3" s="1"/>
  <c r="T19" i="20"/>
  <c r="K73" i="3" s="1"/>
  <c r="T17" i="20"/>
  <c r="K71" i="3" s="1"/>
  <c r="T15" i="20"/>
  <c r="K69" i="3" s="1"/>
  <c r="T46" i="20"/>
  <c r="T22" i="20"/>
  <c r="K76" i="3" s="1"/>
  <c r="T36" i="20"/>
  <c r="K90" i="3" s="1"/>
  <c r="T38" i="20"/>
  <c r="K92" i="3" s="1"/>
  <c r="T26" i="20"/>
  <c r="K80" i="3" s="1"/>
  <c r="T28" i="20"/>
  <c r="K82" i="3" s="1"/>
  <c r="T30" i="20"/>
  <c r="K84" i="3" s="1"/>
  <c r="T44" i="20"/>
  <c r="T32" i="20"/>
  <c r="K86" i="3" s="1"/>
  <c r="T20" i="20"/>
  <c r="K74" i="3" s="1"/>
  <c r="T34" i="20"/>
  <c r="K88" i="3" s="1"/>
  <c r="T42" i="20"/>
  <c r="T14" i="20"/>
  <c r="K68" i="3" s="1"/>
  <c r="T18" i="20"/>
  <c r="K72" i="3" s="1"/>
  <c r="T40" i="20"/>
  <c r="T16" i="20"/>
  <c r="K70" i="3" s="1"/>
  <c r="T24" i="20"/>
  <c r="K78" i="3" s="1"/>
  <c r="T37" i="25"/>
  <c r="T35" i="25"/>
  <c r="T33" i="25"/>
  <c r="T31" i="25"/>
  <c r="T29" i="25"/>
  <c r="T27" i="25"/>
  <c r="T25" i="25"/>
  <c r="T23" i="25"/>
  <c r="T21" i="25"/>
  <c r="T19" i="25"/>
  <c r="T17" i="25"/>
  <c r="T15" i="25"/>
  <c r="T45" i="25"/>
  <c r="T43" i="25"/>
  <c r="T41" i="25"/>
  <c r="T39" i="25"/>
  <c r="T36" i="25"/>
  <c r="T34" i="25"/>
  <c r="T32" i="25"/>
  <c r="T30" i="25"/>
  <c r="T28" i="25"/>
  <c r="T26" i="25"/>
  <c r="T24" i="25"/>
  <c r="T22" i="25"/>
  <c r="T20" i="25"/>
  <c r="T18" i="25"/>
  <c r="T16" i="25"/>
  <c r="T14" i="25"/>
  <c r="T46" i="25"/>
  <c r="T44" i="25"/>
  <c r="T42" i="25"/>
  <c r="T40" i="25"/>
  <c r="T19" i="16"/>
  <c r="AI104" i="3" s="1"/>
  <c r="T46" i="16"/>
  <c r="T44" i="16"/>
  <c r="T42" i="16"/>
  <c r="T40" i="16"/>
  <c r="T21" i="16"/>
  <c r="AI106" i="3" s="1"/>
  <c r="T27" i="16"/>
  <c r="AI112" i="3" s="1"/>
  <c r="T31" i="16"/>
  <c r="AI116" i="3" s="1"/>
  <c r="T35" i="16"/>
  <c r="AI120" i="3" s="1"/>
  <c r="T14" i="16"/>
  <c r="T37" i="16"/>
  <c r="AI122" i="3" s="1"/>
  <c r="T16" i="16"/>
  <c r="AI101" i="3" s="1"/>
  <c r="T45" i="16"/>
  <c r="T43" i="16"/>
  <c r="T41" i="16"/>
  <c r="T39" i="16"/>
  <c r="T20" i="16"/>
  <c r="AI105" i="3" s="1"/>
  <c r="T22" i="16"/>
  <c r="AI107" i="3" s="1"/>
  <c r="T30" i="16"/>
  <c r="AI115" i="3" s="1"/>
  <c r="T36" i="16"/>
  <c r="AI121" i="3" s="1"/>
  <c r="T26" i="16"/>
  <c r="AI111" i="3" s="1"/>
  <c r="T29" i="16"/>
  <c r="AI114" i="3" s="1"/>
  <c r="T32" i="16"/>
  <c r="AI117" i="3" s="1"/>
  <c r="T15" i="16"/>
  <c r="AI100" i="3" s="1"/>
  <c r="T25" i="16"/>
  <c r="AI110" i="3" s="1"/>
  <c r="T28" i="16"/>
  <c r="AI113" i="3" s="1"/>
  <c r="T18" i="16"/>
  <c r="AI103" i="3" s="1"/>
  <c r="T34" i="16"/>
  <c r="AI119" i="3" s="1"/>
  <c r="T24" i="16"/>
  <c r="AI109" i="3" s="1"/>
  <c r="T17" i="16"/>
  <c r="AI102" i="3" s="1"/>
  <c r="T33" i="16"/>
  <c r="AI118" i="3" s="1"/>
  <c r="T23" i="16"/>
  <c r="AI108" i="3" s="1"/>
  <c r="V6" i="17"/>
  <c r="U9" i="17"/>
  <c r="U12" i="17"/>
  <c r="X5" i="25"/>
  <c r="X7" i="25" s="1"/>
  <c r="X9" i="25" s="1"/>
  <c r="X5" i="24"/>
  <c r="G188" i="38" s="1"/>
  <c r="O188" i="38" s="1"/>
  <c r="X5" i="17"/>
  <c r="G157" i="38" s="1"/>
  <c r="O157" i="38" s="1"/>
  <c r="X5" i="18"/>
  <c r="X7" i="18" s="1"/>
  <c r="D64" i="3"/>
  <c r="L64" i="3" s="1"/>
  <c r="D64" i="2"/>
  <c r="L64" i="2" s="1"/>
  <c r="C64" i="3"/>
  <c r="K64" i="3" s="1"/>
  <c r="C64" i="2"/>
  <c r="K64" i="2" s="1"/>
  <c r="D157" i="3"/>
  <c r="L157" i="3" s="1"/>
  <c r="D157" i="2"/>
  <c r="L157" i="2" s="1"/>
  <c r="U46" i="14"/>
  <c r="U44" i="14"/>
  <c r="U42" i="14"/>
  <c r="U40" i="14"/>
  <c r="U43" i="14"/>
  <c r="U29" i="14"/>
  <c r="T114" i="3" s="1"/>
  <c r="U18" i="14"/>
  <c r="T103" i="3" s="1"/>
  <c r="U31" i="14"/>
  <c r="T116" i="3" s="1"/>
  <c r="U20" i="14"/>
  <c r="T105" i="3" s="1"/>
  <c r="U45" i="14"/>
  <c r="U33" i="14"/>
  <c r="T118" i="3" s="1"/>
  <c r="U22" i="14"/>
  <c r="T107" i="3" s="1"/>
  <c r="U24" i="14"/>
  <c r="T109" i="3" s="1"/>
  <c r="U15" i="14"/>
  <c r="T100" i="3" s="1"/>
  <c r="U26" i="14"/>
  <c r="T111" i="3" s="1"/>
  <c r="U17" i="14"/>
  <c r="T102" i="3" s="1"/>
  <c r="U37" i="14"/>
  <c r="T122" i="3" s="1"/>
  <c r="U28" i="14"/>
  <c r="T113" i="3" s="1"/>
  <c r="U19" i="14"/>
  <c r="T104" i="3" s="1"/>
  <c r="U30" i="14"/>
  <c r="T115" i="3" s="1"/>
  <c r="U21" i="14"/>
  <c r="T106" i="3" s="1"/>
  <c r="U39" i="14"/>
  <c r="U32" i="14"/>
  <c r="T117" i="3" s="1"/>
  <c r="U23" i="14"/>
  <c r="T108" i="3" s="1"/>
  <c r="U34" i="14"/>
  <c r="T119" i="3" s="1"/>
  <c r="U25" i="14"/>
  <c r="T110" i="3" s="1"/>
  <c r="U14" i="14"/>
  <c r="U16" i="14"/>
  <c r="T101" i="3" s="1"/>
  <c r="U41" i="14"/>
  <c r="U27" i="14"/>
  <c r="T112" i="3" s="1"/>
  <c r="U36" i="14"/>
  <c r="T121" i="3" s="1"/>
  <c r="U35" i="14"/>
  <c r="T120" i="3" s="1"/>
  <c r="X12" i="13"/>
  <c r="V5" i="24"/>
  <c r="E188" i="38" s="1"/>
  <c r="M188" i="38" s="1"/>
  <c r="V5" i="25"/>
  <c r="V7" i="25" s="1"/>
  <c r="V9" i="25" s="1"/>
  <c r="V5" i="18"/>
  <c r="V7" i="18" s="1"/>
  <c r="V9" i="18" s="1"/>
  <c r="V5" i="17"/>
  <c r="E157" i="38" s="1"/>
  <c r="M157" i="38" s="1"/>
  <c r="U7" i="21"/>
  <c r="U9" i="21" s="1"/>
  <c r="D126" i="3"/>
  <c r="L126" i="3" s="1"/>
  <c r="D126" i="2"/>
  <c r="L126" i="2" s="1"/>
  <c r="C157" i="3"/>
  <c r="K157" i="3" s="1"/>
  <c r="C157" i="2"/>
  <c r="K157" i="2" s="1"/>
  <c r="U37" i="25"/>
  <c r="L215" i="38" s="1"/>
  <c r="U35" i="25"/>
  <c r="L213" i="38" s="1"/>
  <c r="U33" i="25"/>
  <c r="L211" i="38" s="1"/>
  <c r="U31" i="25"/>
  <c r="L209" i="38" s="1"/>
  <c r="U29" i="25"/>
  <c r="L207" i="38" s="1"/>
  <c r="U27" i="25"/>
  <c r="L205" i="38" s="1"/>
  <c r="U25" i="25"/>
  <c r="L203" i="38" s="1"/>
  <c r="U23" i="25"/>
  <c r="L201" i="38" s="1"/>
  <c r="U21" i="25"/>
  <c r="L199" i="38" s="1"/>
  <c r="U19" i="25"/>
  <c r="L197" i="38" s="1"/>
  <c r="U17" i="25"/>
  <c r="L195" i="38" s="1"/>
  <c r="U15" i="25"/>
  <c r="L193" i="38" s="1"/>
  <c r="U45" i="25"/>
  <c r="U43" i="25"/>
  <c r="U41" i="25"/>
  <c r="U39" i="25"/>
  <c r="U36" i="25"/>
  <c r="L214" i="38" s="1"/>
  <c r="U34" i="25"/>
  <c r="L212" i="38" s="1"/>
  <c r="U32" i="25"/>
  <c r="L210" i="38" s="1"/>
  <c r="U30" i="25"/>
  <c r="L208" i="38" s="1"/>
  <c r="U28" i="25"/>
  <c r="L206" i="38" s="1"/>
  <c r="U26" i="25"/>
  <c r="L204" i="38" s="1"/>
  <c r="U24" i="25"/>
  <c r="L202" i="38" s="1"/>
  <c r="U22" i="25"/>
  <c r="L200" i="38" s="1"/>
  <c r="U20" i="25"/>
  <c r="L198" i="38" s="1"/>
  <c r="U18" i="25"/>
  <c r="L196" i="38" s="1"/>
  <c r="U16" i="25"/>
  <c r="L194" i="38" s="1"/>
  <c r="U14" i="25"/>
  <c r="L192" i="38" s="1"/>
  <c r="U46" i="25"/>
  <c r="U44" i="25"/>
  <c r="U42" i="25"/>
  <c r="U40" i="25"/>
  <c r="S46" i="19"/>
  <c r="S44" i="19"/>
  <c r="S42" i="19"/>
  <c r="S40" i="19"/>
  <c r="S38" i="19"/>
  <c r="B92" i="3" s="1"/>
  <c r="S36" i="19"/>
  <c r="B90" i="3" s="1"/>
  <c r="S34" i="19"/>
  <c r="B88" i="3" s="1"/>
  <c r="S32" i="19"/>
  <c r="B86" i="3" s="1"/>
  <c r="S30" i="19"/>
  <c r="B84" i="3" s="1"/>
  <c r="S28" i="19"/>
  <c r="B82" i="3" s="1"/>
  <c r="S26" i="19"/>
  <c r="B80" i="3" s="1"/>
  <c r="S24" i="19"/>
  <c r="B78" i="3" s="1"/>
  <c r="S22" i="19"/>
  <c r="B76" i="3" s="1"/>
  <c r="S20" i="19"/>
  <c r="B74" i="3" s="1"/>
  <c r="S18" i="19"/>
  <c r="B72" i="3" s="1"/>
  <c r="S16" i="19"/>
  <c r="B70" i="3" s="1"/>
  <c r="S14" i="19"/>
  <c r="B68" i="3" s="1"/>
  <c r="S43" i="19"/>
  <c r="S45" i="19"/>
  <c r="S15" i="19"/>
  <c r="B69" i="3" s="1"/>
  <c r="S19" i="19"/>
  <c r="B73" i="3" s="1"/>
  <c r="S23" i="19"/>
  <c r="B77" i="3" s="1"/>
  <c r="S29" i="19"/>
  <c r="B83" i="3" s="1"/>
  <c r="S31" i="19"/>
  <c r="B85" i="3" s="1"/>
  <c r="S35" i="19"/>
  <c r="B89" i="3" s="1"/>
  <c r="S41" i="19"/>
  <c r="S37" i="19"/>
  <c r="B91" i="3" s="1"/>
  <c r="S33" i="19"/>
  <c r="B87" i="3" s="1"/>
  <c r="S25" i="19"/>
  <c r="B79" i="3" s="1"/>
  <c r="S17" i="19"/>
  <c r="B71" i="3" s="1"/>
  <c r="S39" i="19"/>
  <c r="S27" i="19"/>
  <c r="B81" i="3" s="1"/>
  <c r="S21" i="19"/>
  <c r="B75" i="3" s="1"/>
  <c r="T46" i="18"/>
  <c r="T44" i="18"/>
  <c r="T42" i="18"/>
  <c r="T40" i="18"/>
  <c r="T36" i="18"/>
  <c r="T34" i="18"/>
  <c r="T32" i="18"/>
  <c r="T30" i="18"/>
  <c r="T28" i="18"/>
  <c r="T26" i="18"/>
  <c r="T24" i="18"/>
  <c r="T22" i="18"/>
  <c r="T20" i="18"/>
  <c r="T18" i="18"/>
  <c r="T16" i="18"/>
  <c r="T14" i="18"/>
  <c r="T33" i="18"/>
  <c r="T25" i="18"/>
  <c r="T17" i="18"/>
  <c r="T41" i="18"/>
  <c r="T35" i="18"/>
  <c r="T27" i="18"/>
  <c r="T19" i="18"/>
  <c r="T29" i="18"/>
  <c r="T21" i="18"/>
  <c r="T31" i="18"/>
  <c r="T23" i="18"/>
  <c r="T15" i="18"/>
  <c r="T45" i="18"/>
  <c r="T39" i="18"/>
  <c r="T43" i="18"/>
  <c r="T37" i="18"/>
  <c r="D188" i="3"/>
  <c r="L188" i="3" s="1"/>
  <c r="D188" i="2"/>
  <c r="L188" i="2" s="1"/>
  <c r="V9" i="26"/>
  <c r="V12" i="26"/>
  <c r="V13" i="26"/>
  <c r="W13" i="26" s="1"/>
  <c r="X13" i="26" s="1"/>
  <c r="W6" i="26"/>
  <c r="W12" i="23"/>
  <c r="X6" i="23"/>
  <c r="W9" i="23"/>
  <c r="W6" i="18"/>
  <c r="V13" i="18"/>
  <c r="W13" i="18" s="1"/>
  <c r="X13" i="18" s="1"/>
  <c r="V12" i="18"/>
  <c r="C188" i="3"/>
  <c r="K188" i="3" s="1"/>
  <c r="C188" i="2"/>
  <c r="K188" i="2" s="1"/>
  <c r="B2" i="3"/>
  <c r="J2" i="3" s="1"/>
  <c r="B2" i="2"/>
  <c r="J2" i="2" s="1"/>
  <c r="U46" i="18"/>
  <c r="U44" i="18"/>
  <c r="U42" i="18"/>
  <c r="U40" i="18"/>
  <c r="U30" i="18"/>
  <c r="L177" i="38" s="1"/>
  <c r="U22" i="18"/>
  <c r="L169" i="38" s="1"/>
  <c r="U14" i="18"/>
  <c r="L161" i="38" s="1"/>
  <c r="U41" i="18"/>
  <c r="U35" i="18"/>
  <c r="L182" i="38" s="1"/>
  <c r="U27" i="18"/>
  <c r="L174" i="38" s="1"/>
  <c r="U19" i="18"/>
  <c r="L166" i="38" s="1"/>
  <c r="U32" i="18"/>
  <c r="L179" i="38" s="1"/>
  <c r="U24" i="18"/>
  <c r="L171" i="38" s="1"/>
  <c r="U16" i="18"/>
  <c r="L163" i="38" s="1"/>
  <c r="U29" i="18"/>
  <c r="L176" i="38" s="1"/>
  <c r="U21" i="18"/>
  <c r="L168" i="38" s="1"/>
  <c r="U43" i="18"/>
  <c r="U37" i="18"/>
  <c r="L184" i="38" s="1"/>
  <c r="U34" i="18"/>
  <c r="L181" i="38" s="1"/>
  <c r="U26" i="18"/>
  <c r="L173" i="38" s="1"/>
  <c r="U18" i="18"/>
  <c r="L165" i="38" s="1"/>
  <c r="U31" i="18"/>
  <c r="L178" i="38" s="1"/>
  <c r="U36" i="18"/>
  <c r="L183" i="38" s="1"/>
  <c r="U20" i="18"/>
  <c r="L167" i="38" s="1"/>
  <c r="U15" i="18"/>
  <c r="L162" i="38" s="1"/>
  <c r="U25" i="18"/>
  <c r="L172" i="38" s="1"/>
  <c r="U45" i="18"/>
  <c r="U39" i="18"/>
  <c r="U28" i="18"/>
  <c r="L175" i="38" s="1"/>
  <c r="U23" i="18"/>
  <c r="L170" i="38" s="1"/>
  <c r="U33" i="18"/>
  <c r="L180" i="38" s="1"/>
  <c r="U17" i="18"/>
  <c r="L164" i="38" s="1"/>
  <c r="W5" i="21"/>
  <c r="F126" i="38" s="1"/>
  <c r="N126" i="38" s="1"/>
  <c r="W5" i="19"/>
  <c r="F64" i="38" s="1"/>
  <c r="N64" i="38" s="1"/>
  <c r="W5" i="22"/>
  <c r="W7" i="22" s="1"/>
  <c r="W5" i="20"/>
  <c r="W7" i="20" s="1"/>
  <c r="W9" i="20" s="1"/>
  <c r="W5" i="15"/>
  <c r="W7" i="15" s="1"/>
  <c r="W9" i="15" s="1"/>
  <c r="W5" i="16"/>
  <c r="W7" i="16" s="1"/>
  <c r="W5" i="14"/>
  <c r="W7" i="14" s="1"/>
  <c r="W9" i="14" s="1"/>
  <c r="W5" i="13"/>
  <c r="W7" i="13" s="1"/>
  <c r="W9" i="13" s="1"/>
  <c r="W5" i="11"/>
  <c r="W7" i="11" s="1"/>
  <c r="W5" i="12"/>
  <c r="F95" i="38" s="1"/>
  <c r="N95" i="38" s="1"/>
  <c r="V95" i="38" s="1"/>
  <c r="AD95" i="38" s="1"/>
  <c r="AL95" i="38" s="1"/>
  <c r="W5" i="10"/>
  <c r="F33" i="38" s="1"/>
  <c r="N33" i="38" s="1"/>
  <c r="W5" i="9"/>
  <c r="W7" i="9" s="1"/>
  <c r="W9" i="9" s="1"/>
  <c r="W5" i="8"/>
  <c r="F2" i="38" s="1"/>
  <c r="N2" i="38" s="1"/>
  <c r="W5" i="25"/>
  <c r="W7" i="25" s="1"/>
  <c r="W9" i="25" s="1"/>
  <c r="W5" i="24"/>
  <c r="F188" i="38" s="1"/>
  <c r="N188" i="38" s="1"/>
  <c r="W5" i="18"/>
  <c r="W7" i="18" s="1"/>
  <c r="W5" i="17"/>
  <c r="F157" i="38" s="1"/>
  <c r="N157" i="38" s="1"/>
  <c r="S32" i="21"/>
  <c r="S36" i="21"/>
  <c r="S40" i="21"/>
  <c r="S46" i="21"/>
  <c r="S27" i="21"/>
  <c r="S33" i="21"/>
  <c r="S37" i="21"/>
  <c r="S39" i="21"/>
  <c r="S41" i="21"/>
  <c r="S34" i="21"/>
  <c r="S31" i="21"/>
  <c r="S45" i="21"/>
  <c r="S18" i="21"/>
  <c r="S24" i="21"/>
  <c r="S15" i="21"/>
  <c r="S21" i="21"/>
  <c r="S30" i="21"/>
  <c r="S44" i="21"/>
  <c r="S14" i="21"/>
  <c r="S20" i="21"/>
  <c r="S26" i="21"/>
  <c r="S17" i="21"/>
  <c r="S43" i="21"/>
  <c r="S23" i="21"/>
  <c r="S35" i="21"/>
  <c r="S16" i="21"/>
  <c r="S19" i="21"/>
  <c r="S42" i="21"/>
  <c r="S28" i="21"/>
  <c r="S25" i="21"/>
  <c r="S29" i="21"/>
  <c r="S22" i="21"/>
  <c r="W7" i="26"/>
  <c r="T45" i="8"/>
  <c r="T37" i="8"/>
  <c r="T32" i="8"/>
  <c r="T27" i="8"/>
  <c r="T22" i="8"/>
  <c r="T17" i="8"/>
  <c r="C10" i="3" s="1"/>
  <c r="T41" i="8"/>
  <c r="T16" i="8"/>
  <c r="C9" i="3" s="1"/>
  <c r="T46" i="8"/>
  <c r="T38" i="8"/>
  <c r="T25" i="8"/>
  <c r="T44" i="8"/>
  <c r="T31" i="8"/>
  <c r="T28" i="8"/>
  <c r="T15" i="8"/>
  <c r="C8" i="3" s="1"/>
  <c r="T34" i="8"/>
  <c r="T40" i="8"/>
  <c r="T24" i="8"/>
  <c r="T43" i="8"/>
  <c r="T30" i="8"/>
  <c r="T33" i="8"/>
  <c r="T20" i="8"/>
  <c r="T14" i="8"/>
  <c r="C6" i="3" s="1"/>
  <c r="T36" i="8"/>
  <c r="T23" i="8"/>
  <c r="T39" i="8"/>
  <c r="T42" i="8"/>
  <c r="T26" i="8"/>
  <c r="T29" i="8"/>
  <c r="T19" i="8"/>
  <c r="C24" i="3" s="1"/>
  <c r="T35" i="8"/>
  <c r="T18" i="8"/>
  <c r="C12" i="3" s="1"/>
  <c r="T21" i="8"/>
  <c r="B33" i="3"/>
  <c r="J33" i="3" s="1"/>
  <c r="B33" i="2"/>
  <c r="J33" i="2" s="1"/>
  <c r="B157" i="3"/>
  <c r="J157" i="3" s="1"/>
  <c r="B157" i="2"/>
  <c r="J157" i="2" s="1"/>
  <c r="B95" i="3"/>
  <c r="J95" i="3" s="1"/>
  <c r="R95" i="3" s="1"/>
  <c r="Z95" i="3" s="1"/>
  <c r="AH95" i="3" s="1"/>
  <c r="B95" i="2"/>
  <c r="J95" i="2" s="1"/>
  <c r="R95" i="2" s="1"/>
  <c r="Z95" i="2" s="1"/>
  <c r="AH95" i="2" s="1"/>
  <c r="U46" i="24"/>
  <c r="U44" i="24"/>
  <c r="U42" i="24"/>
  <c r="U40" i="24"/>
  <c r="U37" i="24"/>
  <c r="D215" i="38" s="1"/>
  <c r="U35" i="24"/>
  <c r="D213" i="38" s="1"/>
  <c r="U33" i="24"/>
  <c r="D211" i="38" s="1"/>
  <c r="U31" i="24"/>
  <c r="D209" i="38" s="1"/>
  <c r="U29" i="24"/>
  <c r="D207" i="38" s="1"/>
  <c r="U27" i="24"/>
  <c r="D205" i="38" s="1"/>
  <c r="U25" i="24"/>
  <c r="D203" i="38" s="1"/>
  <c r="U23" i="24"/>
  <c r="D201" i="38" s="1"/>
  <c r="U21" i="24"/>
  <c r="D199" i="38" s="1"/>
  <c r="U19" i="24"/>
  <c r="D197" i="38" s="1"/>
  <c r="U17" i="24"/>
  <c r="D195" i="38" s="1"/>
  <c r="U15" i="24"/>
  <c r="D193" i="38" s="1"/>
  <c r="U45" i="24"/>
  <c r="U43" i="24"/>
  <c r="U41" i="24"/>
  <c r="U39" i="24"/>
  <c r="U36" i="24"/>
  <c r="D214" i="38" s="1"/>
  <c r="U34" i="24"/>
  <c r="D212" i="38" s="1"/>
  <c r="U32" i="24"/>
  <c r="D210" i="38" s="1"/>
  <c r="U30" i="24"/>
  <c r="D208" i="38" s="1"/>
  <c r="U28" i="24"/>
  <c r="D206" i="38" s="1"/>
  <c r="U26" i="24"/>
  <c r="D204" i="38" s="1"/>
  <c r="U24" i="24"/>
  <c r="D202" i="38" s="1"/>
  <c r="U22" i="24"/>
  <c r="D200" i="38" s="1"/>
  <c r="U20" i="24"/>
  <c r="D198" i="38" s="1"/>
  <c r="U18" i="24"/>
  <c r="D196" i="38" s="1"/>
  <c r="U16" i="24"/>
  <c r="D194" i="38" s="1"/>
  <c r="U14" i="24"/>
  <c r="D192" i="38" s="1"/>
  <c r="S39" i="10"/>
  <c r="S36" i="10"/>
  <c r="S19" i="10"/>
  <c r="S16" i="10"/>
  <c r="B40" i="3" s="1"/>
  <c r="S33" i="10"/>
  <c r="S30" i="10"/>
  <c r="S44" i="10"/>
  <c r="S27" i="10"/>
  <c r="S24" i="10"/>
  <c r="S41" i="10"/>
  <c r="S38" i="10"/>
  <c r="S21" i="10"/>
  <c r="S18" i="10"/>
  <c r="B43" i="3" s="1"/>
  <c r="S35" i="10"/>
  <c r="S32" i="10"/>
  <c r="S15" i="10"/>
  <c r="B39" i="3" s="1"/>
  <c r="S46" i="10"/>
  <c r="S43" i="10"/>
  <c r="S40" i="10"/>
  <c r="S23" i="10"/>
  <c r="S20" i="10"/>
  <c r="S37" i="10"/>
  <c r="S34" i="10"/>
  <c r="S17" i="10"/>
  <c r="B41" i="3" s="1"/>
  <c r="S14" i="10"/>
  <c r="B37" i="3" s="1"/>
  <c r="S31" i="10"/>
  <c r="S28" i="10"/>
  <c r="S45" i="10"/>
  <c r="S42" i="10"/>
  <c r="S25" i="10"/>
  <c r="S22" i="10"/>
  <c r="S26" i="10"/>
  <c r="S29" i="10"/>
  <c r="V126" i="3"/>
  <c r="V126" i="2"/>
  <c r="T29" i="11"/>
  <c r="T31" i="11"/>
  <c r="T33" i="11"/>
  <c r="T39" i="11"/>
  <c r="T41" i="11"/>
  <c r="T28" i="11"/>
  <c r="T30" i="11"/>
  <c r="T32" i="11"/>
  <c r="T34" i="11"/>
  <c r="T36" i="11"/>
  <c r="T38" i="11"/>
  <c r="T40" i="11"/>
  <c r="T22" i="11"/>
  <c r="T15" i="11"/>
  <c r="K39" i="3" s="1"/>
  <c r="T25" i="11"/>
  <c r="T45" i="11"/>
  <c r="T37" i="11"/>
  <c r="T21" i="11"/>
  <c r="T44" i="11"/>
  <c r="T24" i="11"/>
  <c r="T14" i="11"/>
  <c r="K37" i="3" s="1"/>
  <c r="T17" i="11"/>
  <c r="K41" i="3" s="1"/>
  <c r="T35" i="11"/>
  <c r="T27" i="11"/>
  <c r="T20" i="11"/>
  <c r="T23" i="11"/>
  <c r="T43" i="11"/>
  <c r="T26" i="11"/>
  <c r="T19" i="11"/>
  <c r="T46" i="11"/>
  <c r="T42" i="11"/>
  <c r="T18" i="11"/>
  <c r="K43" i="3" s="1"/>
  <c r="T16" i="11"/>
  <c r="K40" i="3" s="1"/>
  <c r="R126" i="3"/>
  <c r="R126" i="2"/>
  <c r="C2" i="3"/>
  <c r="K2" i="3" s="1"/>
  <c r="C2" i="2"/>
  <c r="K2" i="2" s="1"/>
  <c r="B188" i="3"/>
  <c r="J188" i="3" s="1"/>
  <c r="B188" i="2"/>
  <c r="J188" i="2" s="1"/>
  <c r="T46" i="22"/>
  <c r="T44" i="22"/>
  <c r="T42" i="22"/>
  <c r="T40" i="22"/>
  <c r="T39" i="22"/>
  <c r="T30" i="22"/>
  <c r="T41" i="22"/>
  <c r="T32" i="22"/>
  <c r="T23" i="22"/>
  <c r="T43" i="22"/>
  <c r="T34" i="22"/>
  <c r="T25" i="22"/>
  <c r="T45" i="22"/>
  <c r="T27" i="22"/>
  <c r="T18" i="22"/>
  <c r="T29" i="22"/>
  <c r="T31" i="22"/>
  <c r="T22" i="22"/>
  <c r="T33" i="22"/>
  <c r="T24" i="22"/>
  <c r="T35" i="22"/>
  <c r="T15" i="22"/>
  <c r="T26" i="22"/>
  <c r="T28" i="22"/>
  <c r="T19" i="22"/>
  <c r="T17" i="22"/>
  <c r="T21" i="22"/>
  <c r="T16" i="22"/>
  <c r="T37" i="22"/>
  <c r="T20" i="22"/>
  <c r="T14" i="22"/>
  <c r="T36" i="22"/>
  <c r="W12" i="19"/>
  <c r="X6" i="19"/>
  <c r="S46" i="9"/>
  <c r="S44" i="9"/>
  <c r="S42" i="9"/>
  <c r="S40" i="9"/>
  <c r="S38" i="9"/>
  <c r="S36" i="9"/>
  <c r="S34" i="9"/>
  <c r="S32" i="9"/>
  <c r="S30" i="9"/>
  <c r="S35" i="9"/>
  <c r="S29" i="9"/>
  <c r="S21" i="9"/>
  <c r="S43" i="9"/>
  <c r="S37" i="9"/>
  <c r="S26" i="9"/>
  <c r="S18" i="9"/>
  <c r="J12" i="3" s="1"/>
  <c r="S23" i="9"/>
  <c r="S15" i="9"/>
  <c r="J8" i="3" s="1"/>
  <c r="S45" i="9"/>
  <c r="S28" i="9"/>
  <c r="S20" i="9"/>
  <c r="S41" i="9"/>
  <c r="S24" i="9"/>
  <c r="S16" i="9"/>
  <c r="J9" i="3" s="1"/>
  <c r="S31" i="9"/>
  <c r="S27" i="9"/>
  <c r="S19" i="9"/>
  <c r="J24" i="3" s="1"/>
  <c r="S39" i="9"/>
  <c r="S22" i="9"/>
  <c r="S14" i="9"/>
  <c r="J6" i="3" s="1"/>
  <c r="S25" i="9"/>
  <c r="S17" i="9"/>
  <c r="J10" i="3" s="1"/>
  <c r="S33" i="9"/>
  <c r="D33" i="3"/>
  <c r="L33" i="3" s="1"/>
  <c r="D33" i="2"/>
  <c r="L33" i="2" s="1"/>
  <c r="C33" i="3"/>
  <c r="K33" i="3" s="1"/>
  <c r="C33" i="2"/>
  <c r="K33" i="2" s="1"/>
  <c r="S37" i="15"/>
  <c r="Z122" i="3" s="1"/>
  <c r="S34" i="15"/>
  <c r="Z119" i="3" s="1"/>
  <c r="S36" i="15"/>
  <c r="Z121" i="3" s="1"/>
  <c r="S40" i="15"/>
  <c r="S29" i="15"/>
  <c r="Z114" i="3" s="1"/>
  <c r="S39" i="15"/>
  <c r="S30" i="15"/>
  <c r="Z115" i="3" s="1"/>
  <c r="S27" i="15"/>
  <c r="Z112" i="3" s="1"/>
  <c r="S19" i="15"/>
  <c r="Z104" i="3" s="1"/>
  <c r="S35" i="15"/>
  <c r="Z120" i="3" s="1"/>
  <c r="S24" i="15"/>
  <c r="Z109" i="3" s="1"/>
  <c r="S16" i="15"/>
  <c r="Z101" i="3" s="1"/>
  <c r="S21" i="15"/>
  <c r="Z106" i="3" s="1"/>
  <c r="S26" i="15"/>
  <c r="Z111" i="3" s="1"/>
  <c r="S18" i="15"/>
  <c r="Z103" i="3" s="1"/>
  <c r="S31" i="15"/>
  <c r="Z116" i="3" s="1"/>
  <c r="S43" i="15"/>
  <c r="S23" i="15"/>
  <c r="Z108" i="3" s="1"/>
  <c r="S15" i="15"/>
  <c r="Z100" i="3" s="1"/>
  <c r="S46" i="15"/>
  <c r="S28" i="15"/>
  <c r="Z113" i="3" s="1"/>
  <c r="S20" i="15"/>
  <c r="Z105" i="3" s="1"/>
  <c r="S42" i="15"/>
  <c r="S17" i="15"/>
  <c r="Z102" i="3" s="1"/>
  <c r="S41" i="15"/>
  <c r="S22" i="15"/>
  <c r="Z107" i="3" s="1"/>
  <c r="S33" i="15"/>
  <c r="Z118" i="3" s="1"/>
  <c r="S45" i="15"/>
  <c r="S32" i="15"/>
  <c r="Z117" i="3" s="1"/>
  <c r="S14" i="15"/>
  <c r="S44" i="15"/>
  <c r="S25" i="15"/>
  <c r="Z110" i="3" s="1"/>
  <c r="S36" i="26"/>
  <c r="R214" i="3" s="1"/>
  <c r="R214" i="28" s="1"/>
  <c r="S34" i="26"/>
  <c r="R212" i="3" s="1"/>
  <c r="R212" i="28" s="1"/>
  <c r="S32" i="26"/>
  <c r="R210" i="3" s="1"/>
  <c r="R210" i="28" s="1"/>
  <c r="S30" i="26"/>
  <c r="R208" i="3" s="1"/>
  <c r="R208" i="28" s="1"/>
  <c r="S28" i="26"/>
  <c r="R206" i="3" s="1"/>
  <c r="R206" i="28" s="1"/>
  <c r="S26" i="26"/>
  <c r="R204" i="3" s="1"/>
  <c r="R204" i="28" s="1"/>
  <c r="S24" i="26"/>
  <c r="R202" i="3" s="1"/>
  <c r="R202" i="28" s="1"/>
  <c r="S22" i="26"/>
  <c r="R200" i="3" s="1"/>
  <c r="R200" i="28" s="1"/>
  <c r="S20" i="26"/>
  <c r="R198" i="3" s="1"/>
  <c r="R198" i="28" s="1"/>
  <c r="S18" i="26"/>
  <c r="R196" i="3" s="1"/>
  <c r="R196" i="28" s="1"/>
  <c r="S16" i="26"/>
  <c r="R194" i="3" s="1"/>
  <c r="R194" i="28" s="1"/>
  <c r="S14" i="26"/>
  <c r="S46" i="26"/>
  <c r="S44" i="26"/>
  <c r="S42" i="26"/>
  <c r="S40" i="26"/>
  <c r="S37" i="26"/>
  <c r="R215" i="3" s="1"/>
  <c r="R215" i="28" s="1"/>
  <c r="S35" i="26"/>
  <c r="R213" i="3" s="1"/>
  <c r="R213" i="28" s="1"/>
  <c r="S33" i="26"/>
  <c r="R211" i="3" s="1"/>
  <c r="R211" i="28" s="1"/>
  <c r="S31" i="26"/>
  <c r="R209" i="3" s="1"/>
  <c r="R209" i="28" s="1"/>
  <c r="S29" i="26"/>
  <c r="R207" i="3" s="1"/>
  <c r="R207" i="28" s="1"/>
  <c r="S27" i="26"/>
  <c r="R205" i="3" s="1"/>
  <c r="R205" i="28" s="1"/>
  <c r="S25" i="26"/>
  <c r="R203" i="3" s="1"/>
  <c r="R203" i="28" s="1"/>
  <c r="S23" i="26"/>
  <c r="R201" i="3" s="1"/>
  <c r="R201" i="28" s="1"/>
  <c r="S21" i="26"/>
  <c r="R199" i="3" s="1"/>
  <c r="R199" i="28" s="1"/>
  <c r="S19" i="26"/>
  <c r="R197" i="3" s="1"/>
  <c r="R197" i="28" s="1"/>
  <c r="S17" i="26"/>
  <c r="R195" i="3" s="1"/>
  <c r="R195" i="28" s="1"/>
  <c r="S15" i="26"/>
  <c r="R193" i="3" s="1"/>
  <c r="R193" i="28" s="1"/>
  <c r="S45" i="26"/>
  <c r="S43" i="26"/>
  <c r="S41" i="26"/>
  <c r="S39" i="26"/>
  <c r="T36" i="23"/>
  <c r="S152" i="3" s="1"/>
  <c r="S152" i="28" s="1"/>
  <c r="T34" i="23"/>
  <c r="S150" i="3" s="1"/>
  <c r="S150" i="28" s="1"/>
  <c r="T32" i="23"/>
  <c r="S148" i="3" s="1"/>
  <c r="S148" i="28" s="1"/>
  <c r="T30" i="23"/>
  <c r="S146" i="3" s="1"/>
  <c r="S146" i="28" s="1"/>
  <c r="T28" i="23"/>
  <c r="S144" i="3" s="1"/>
  <c r="S144" i="28" s="1"/>
  <c r="T26" i="23"/>
  <c r="S142" i="3" s="1"/>
  <c r="S142" i="28" s="1"/>
  <c r="T24" i="23"/>
  <c r="S140" i="3" s="1"/>
  <c r="S140" i="28" s="1"/>
  <c r="T22" i="23"/>
  <c r="S138" i="3" s="1"/>
  <c r="S138" i="28" s="1"/>
  <c r="T20" i="23"/>
  <c r="S136" i="3" s="1"/>
  <c r="S136" i="28" s="1"/>
  <c r="T18" i="23"/>
  <c r="S134" i="3" s="1"/>
  <c r="S134" i="28" s="1"/>
  <c r="T16" i="23"/>
  <c r="S132" i="3" s="1"/>
  <c r="S132" i="28" s="1"/>
  <c r="T14" i="23"/>
  <c r="T46" i="23"/>
  <c r="T44" i="23"/>
  <c r="T42" i="23"/>
  <c r="T40" i="23"/>
  <c r="T37" i="23"/>
  <c r="S153" i="3" s="1"/>
  <c r="S153" i="28" s="1"/>
  <c r="T35" i="23"/>
  <c r="S151" i="3" s="1"/>
  <c r="S151" i="28" s="1"/>
  <c r="T33" i="23"/>
  <c r="S149" i="3" s="1"/>
  <c r="S149" i="28" s="1"/>
  <c r="T31" i="23"/>
  <c r="S147" i="3" s="1"/>
  <c r="S147" i="28" s="1"/>
  <c r="T29" i="23"/>
  <c r="S145" i="3" s="1"/>
  <c r="S145" i="28" s="1"/>
  <c r="T27" i="23"/>
  <c r="S143" i="3" s="1"/>
  <c r="S143" i="28" s="1"/>
  <c r="T25" i="23"/>
  <c r="S141" i="3" s="1"/>
  <c r="S141" i="28" s="1"/>
  <c r="T23" i="23"/>
  <c r="S139" i="3" s="1"/>
  <c r="S139" i="28" s="1"/>
  <c r="T21" i="23"/>
  <c r="S137" i="3" s="1"/>
  <c r="S137" i="28" s="1"/>
  <c r="T19" i="23"/>
  <c r="S135" i="3" s="1"/>
  <c r="S135" i="28" s="1"/>
  <c r="T17" i="23"/>
  <c r="S133" i="3" s="1"/>
  <c r="S133" i="28" s="1"/>
  <c r="T15" i="23"/>
  <c r="S131" i="3" s="1"/>
  <c r="S131" i="28" s="1"/>
  <c r="T45" i="23"/>
  <c r="T43" i="23"/>
  <c r="T41" i="23"/>
  <c r="T39" i="23"/>
  <c r="S36" i="24"/>
  <c r="S34" i="24"/>
  <c r="S32" i="24"/>
  <c r="S30" i="24"/>
  <c r="S28" i="24"/>
  <c r="S26" i="24"/>
  <c r="S24" i="24"/>
  <c r="S22" i="24"/>
  <c r="S20" i="24"/>
  <c r="S18" i="24"/>
  <c r="S16" i="24"/>
  <c r="S14" i="24"/>
  <c r="S46" i="24"/>
  <c r="S37" i="24"/>
  <c r="S35" i="24"/>
  <c r="S33" i="24"/>
  <c r="S31" i="24"/>
  <c r="S29" i="24"/>
  <c r="S27" i="24"/>
  <c r="S25" i="24"/>
  <c r="S23" i="24"/>
  <c r="S21" i="24"/>
  <c r="S19" i="24"/>
  <c r="S17" i="24"/>
  <c r="S15" i="24"/>
  <c r="S45" i="24"/>
  <c r="S44" i="24"/>
  <c r="S40" i="24"/>
  <c r="S43" i="24"/>
  <c r="S39" i="24"/>
  <c r="S42" i="24"/>
  <c r="S41" i="24"/>
  <c r="X6" i="15"/>
  <c r="W12" i="15"/>
  <c r="X7" i="23"/>
  <c r="W126" i="2"/>
  <c r="W126" i="3"/>
  <c r="U38" i="9"/>
  <c r="U35" i="9"/>
  <c r="U24" i="9"/>
  <c r="U16" i="9"/>
  <c r="L9" i="3" s="1"/>
  <c r="U26" i="9"/>
  <c r="U18" i="9"/>
  <c r="L12" i="3" s="1"/>
  <c r="U23" i="9"/>
  <c r="U15" i="9"/>
  <c r="L8" i="3" s="1"/>
  <c r="U34" i="9"/>
  <c r="U31" i="9"/>
  <c r="U45" i="9"/>
  <c r="U28" i="9"/>
  <c r="U20" i="9"/>
  <c r="U42" i="9"/>
  <c r="U39" i="9"/>
  <c r="U25" i="9"/>
  <c r="U17" i="9"/>
  <c r="L10" i="3" s="1"/>
  <c r="U36" i="9"/>
  <c r="U33" i="9"/>
  <c r="U44" i="9"/>
  <c r="U32" i="9"/>
  <c r="U46" i="9"/>
  <c r="U40" i="9"/>
  <c r="U27" i="9"/>
  <c r="U19" i="9"/>
  <c r="L24" i="3" s="1"/>
  <c r="U22" i="9"/>
  <c r="U14" i="9"/>
  <c r="L6" i="3" s="1"/>
  <c r="U30" i="9"/>
  <c r="U43" i="9"/>
  <c r="U29" i="9"/>
  <c r="U21" i="9"/>
  <c r="U37" i="9"/>
  <c r="U41" i="9"/>
  <c r="T7" i="12"/>
  <c r="T9" i="12" s="1"/>
  <c r="C95" i="3"/>
  <c r="K95" i="3" s="1"/>
  <c r="S95" i="3" s="1"/>
  <c r="AA95" i="3" s="1"/>
  <c r="AI95" i="3" s="1"/>
  <c r="C95" i="2"/>
  <c r="K95" i="2" s="1"/>
  <c r="S95" i="2" s="1"/>
  <c r="AA95" i="2" s="1"/>
  <c r="AI95" i="2" s="1"/>
  <c r="G2" i="2" l="1"/>
  <c r="G2" i="38"/>
  <c r="O2" i="38" s="1"/>
  <c r="S95" i="28"/>
  <c r="Y95" i="28" s="1"/>
  <c r="AG95" i="28" s="1"/>
  <c r="R95" i="28"/>
  <c r="AF95" i="28" s="1"/>
  <c r="N157" i="28"/>
  <c r="V95" i="28"/>
  <c r="AB95" i="28" s="1"/>
  <c r="AJ95" i="28" s="1"/>
  <c r="F64" i="28"/>
  <c r="N64" i="28" s="1"/>
  <c r="M157" i="28"/>
  <c r="W95" i="28"/>
  <c r="AC95" i="28" s="1"/>
  <c r="AK95" i="28" s="1"/>
  <c r="U95" i="28"/>
  <c r="AA95" i="28" s="1"/>
  <c r="AI95" i="28" s="1"/>
  <c r="O33" i="28"/>
  <c r="G64" i="28"/>
  <c r="O64" i="28" s="1"/>
  <c r="M33" i="28"/>
  <c r="E64" i="28"/>
  <c r="M64" i="28" s="1"/>
  <c r="N2" i="28"/>
  <c r="O188" i="28"/>
  <c r="O2" i="28"/>
  <c r="O157" i="28"/>
  <c r="N188" i="28"/>
  <c r="N33" i="28"/>
  <c r="M188" i="28"/>
  <c r="M2" i="28"/>
  <c r="U30" i="12"/>
  <c r="D115" i="38" s="1"/>
  <c r="U32" i="12"/>
  <c r="D117" i="38" s="1"/>
  <c r="U34" i="12"/>
  <c r="D119" i="38" s="1"/>
  <c r="U15" i="12"/>
  <c r="D100" i="38" s="1"/>
  <c r="U19" i="12"/>
  <c r="D104" i="38" s="1"/>
  <c r="U21" i="12"/>
  <c r="D106" i="38" s="1"/>
  <c r="U40" i="12"/>
  <c r="U23" i="12"/>
  <c r="D108" i="38" s="1"/>
  <c r="U44" i="12"/>
  <c r="U27" i="12"/>
  <c r="D112" i="38" s="1"/>
  <c r="U29" i="12"/>
  <c r="D114" i="38" s="1"/>
  <c r="U46" i="12"/>
  <c r="U31" i="12"/>
  <c r="D116" i="38" s="1"/>
  <c r="U33" i="12"/>
  <c r="D118" i="38" s="1"/>
  <c r="U35" i="12"/>
  <c r="D120" i="38" s="1"/>
  <c r="U14" i="12"/>
  <c r="D99" i="38" s="1"/>
  <c r="U37" i="12"/>
  <c r="D122" i="38" s="1"/>
  <c r="U16" i="12"/>
  <c r="D101" i="38" s="1"/>
  <c r="U18" i="12"/>
  <c r="D103" i="38" s="1"/>
  <c r="U39" i="12"/>
  <c r="U20" i="12"/>
  <c r="D105" i="38" s="1"/>
  <c r="U43" i="12"/>
  <c r="U24" i="12"/>
  <c r="D109" i="38" s="1"/>
  <c r="U45" i="12"/>
  <c r="U42" i="12"/>
  <c r="U28" i="12"/>
  <c r="D113" i="38" s="1"/>
  <c r="U41" i="12"/>
  <c r="U36" i="12"/>
  <c r="D121" i="38" s="1"/>
  <c r="U22" i="12"/>
  <c r="D107" i="38" s="1"/>
  <c r="U26" i="12"/>
  <c r="D111" i="38" s="1"/>
  <c r="U17" i="12"/>
  <c r="D102" i="38" s="1"/>
  <c r="U25" i="12"/>
  <c r="D110" i="38" s="1"/>
  <c r="V46" i="18"/>
  <c r="V30" i="18"/>
  <c r="M177" i="38" s="1"/>
  <c r="V22" i="18"/>
  <c r="M169" i="38" s="1"/>
  <c r="V14" i="18"/>
  <c r="M161" i="38" s="1"/>
  <c r="V44" i="18"/>
  <c r="V41" i="18"/>
  <c r="V35" i="18"/>
  <c r="M182" i="38" s="1"/>
  <c r="V27" i="18"/>
  <c r="M174" i="38" s="1"/>
  <c r="V19" i="18"/>
  <c r="M166" i="38" s="1"/>
  <c r="V32" i="18"/>
  <c r="M179" i="38" s="1"/>
  <c r="V24" i="18"/>
  <c r="M171" i="38" s="1"/>
  <c r="V16" i="18"/>
  <c r="M163" i="38" s="1"/>
  <c r="V29" i="18"/>
  <c r="M176" i="38" s="1"/>
  <c r="V21" i="18"/>
  <c r="M168" i="38" s="1"/>
  <c r="V43" i="18"/>
  <c r="V37" i="18"/>
  <c r="M184" i="38" s="1"/>
  <c r="V34" i="18"/>
  <c r="M181" i="38" s="1"/>
  <c r="V26" i="18"/>
  <c r="M173" i="38" s="1"/>
  <c r="V18" i="18"/>
  <c r="M165" i="38" s="1"/>
  <c r="V31" i="18"/>
  <c r="M178" i="38" s="1"/>
  <c r="V23" i="18"/>
  <c r="M170" i="38" s="1"/>
  <c r="V15" i="18"/>
  <c r="M162" i="38" s="1"/>
  <c r="V45" i="18"/>
  <c r="V42" i="18"/>
  <c r="V39" i="18"/>
  <c r="V28" i="18"/>
  <c r="M175" i="38" s="1"/>
  <c r="V20" i="18"/>
  <c r="M167" i="38" s="1"/>
  <c r="V36" i="18"/>
  <c r="M183" i="38" s="1"/>
  <c r="V25" i="18"/>
  <c r="M172" i="38" s="1"/>
  <c r="V40" i="18"/>
  <c r="V33" i="18"/>
  <c r="M180" i="38" s="1"/>
  <c r="V17" i="18"/>
  <c r="M164" i="38" s="1"/>
  <c r="W45" i="9"/>
  <c r="W43" i="9"/>
  <c r="W41" i="9"/>
  <c r="W39" i="9"/>
  <c r="W37" i="9"/>
  <c r="W35" i="9"/>
  <c r="W33" i="9"/>
  <c r="W31" i="9"/>
  <c r="W29" i="9"/>
  <c r="W27" i="9"/>
  <c r="W25" i="9"/>
  <c r="W23" i="9"/>
  <c r="W21" i="9"/>
  <c r="W19" i="9"/>
  <c r="N24" i="3" s="1"/>
  <c r="W17" i="9"/>
  <c r="N10" i="3" s="1"/>
  <c r="W15" i="9"/>
  <c r="N8" i="3" s="1"/>
  <c r="W32" i="9"/>
  <c r="W46" i="9"/>
  <c r="W26" i="9"/>
  <c r="W18" i="9"/>
  <c r="N12" i="3" s="1"/>
  <c r="W28" i="9"/>
  <c r="W20" i="9"/>
  <c r="W42" i="9"/>
  <c r="W36" i="9"/>
  <c r="W30" i="9"/>
  <c r="W40" i="9"/>
  <c r="W44" i="9"/>
  <c r="W22" i="9"/>
  <c r="W14" i="9"/>
  <c r="N6" i="3" s="1"/>
  <c r="W34" i="9"/>
  <c r="W38" i="9"/>
  <c r="W24" i="9"/>
  <c r="W16" i="9"/>
  <c r="N9" i="3" s="1"/>
  <c r="K136" i="3"/>
  <c r="B214" i="3"/>
  <c r="K132" i="3"/>
  <c r="K148" i="3"/>
  <c r="D197" i="3"/>
  <c r="B132" i="3"/>
  <c r="B149" i="3"/>
  <c r="L176" i="3"/>
  <c r="K176" i="3"/>
  <c r="L199" i="3"/>
  <c r="X7" i="24"/>
  <c r="G188" i="3"/>
  <c r="O188" i="3" s="1"/>
  <c r="G188" i="2"/>
  <c r="O188" i="2" s="1"/>
  <c r="K199" i="3"/>
  <c r="B167" i="3"/>
  <c r="J202" i="3"/>
  <c r="X46" i="14"/>
  <c r="X44" i="14"/>
  <c r="X42" i="14"/>
  <c r="X40" i="14"/>
  <c r="X31" i="14"/>
  <c r="W116" i="3" s="1"/>
  <c r="X45" i="14"/>
  <c r="X33" i="14"/>
  <c r="W118" i="3" s="1"/>
  <c r="X24" i="14"/>
  <c r="W109" i="3" s="1"/>
  <c r="X15" i="14"/>
  <c r="W100" i="3" s="1"/>
  <c r="X17" i="14"/>
  <c r="W102" i="3" s="1"/>
  <c r="X37" i="14"/>
  <c r="W122" i="3" s="1"/>
  <c r="X19" i="14"/>
  <c r="W104" i="3" s="1"/>
  <c r="X30" i="14"/>
  <c r="W115" i="3" s="1"/>
  <c r="X21" i="14"/>
  <c r="W106" i="3" s="1"/>
  <c r="X32" i="14"/>
  <c r="W117" i="3" s="1"/>
  <c r="X39" i="14"/>
  <c r="X23" i="14"/>
  <c r="W108" i="3" s="1"/>
  <c r="X14" i="14"/>
  <c r="X34" i="14"/>
  <c r="W119" i="3" s="1"/>
  <c r="X25" i="14"/>
  <c r="W110" i="3" s="1"/>
  <c r="X41" i="14"/>
  <c r="X16" i="14"/>
  <c r="W101" i="3" s="1"/>
  <c r="X27" i="14"/>
  <c r="W112" i="3" s="1"/>
  <c r="X28" i="14"/>
  <c r="W113" i="3" s="1"/>
  <c r="X36" i="14"/>
  <c r="W121" i="3" s="1"/>
  <c r="X18" i="14"/>
  <c r="W103" i="3" s="1"/>
  <c r="X22" i="14"/>
  <c r="W107" i="3" s="1"/>
  <c r="X35" i="14"/>
  <c r="W120" i="3" s="1"/>
  <c r="X26" i="14"/>
  <c r="W111" i="3" s="1"/>
  <c r="X43" i="14"/>
  <c r="X29" i="14"/>
  <c r="W114" i="3" s="1"/>
  <c r="X20" i="14"/>
  <c r="W105" i="3" s="1"/>
  <c r="C199" i="3"/>
  <c r="C206" i="3"/>
  <c r="V7" i="12"/>
  <c r="E95" i="3"/>
  <c r="M95" i="3" s="1"/>
  <c r="U95" i="3" s="1"/>
  <c r="AC95" i="3" s="1"/>
  <c r="AK95" i="3" s="1"/>
  <c r="E95" i="2"/>
  <c r="M95" i="2" s="1"/>
  <c r="U95" i="2" s="1"/>
  <c r="AC95" i="2" s="1"/>
  <c r="AK95" i="2" s="1"/>
  <c r="J116" i="3"/>
  <c r="L146" i="3"/>
  <c r="L141" i="3"/>
  <c r="J174" i="3"/>
  <c r="J169" i="3"/>
  <c r="B114" i="3"/>
  <c r="B117" i="3"/>
  <c r="C166" i="3"/>
  <c r="L110" i="3"/>
  <c r="C137" i="3"/>
  <c r="D193" i="3"/>
  <c r="B201" i="3"/>
  <c r="B203" i="3"/>
  <c r="T38" i="23"/>
  <c r="S154" i="3" s="1"/>
  <c r="S130" i="3"/>
  <c r="S130" i="28" s="1"/>
  <c r="B205" i="3"/>
  <c r="K137" i="3"/>
  <c r="D199" i="3"/>
  <c r="B151" i="3"/>
  <c r="B143" i="3"/>
  <c r="W7" i="19"/>
  <c r="W9" i="19" s="1"/>
  <c r="F64" i="3"/>
  <c r="N64" i="3" s="1"/>
  <c r="F64" i="2"/>
  <c r="N64" i="2" s="1"/>
  <c r="L163" i="3"/>
  <c r="K166" i="3"/>
  <c r="U38" i="25"/>
  <c r="L216" i="38" s="1"/>
  <c r="L192" i="3"/>
  <c r="L201" i="3"/>
  <c r="X36" i="25"/>
  <c r="X34" i="25"/>
  <c r="X32" i="25"/>
  <c r="X30" i="25"/>
  <c r="X28" i="25"/>
  <c r="X26" i="25"/>
  <c r="X24" i="25"/>
  <c r="X22" i="25"/>
  <c r="X20" i="25"/>
  <c r="X18" i="25"/>
  <c r="X16" i="25"/>
  <c r="X14" i="25"/>
  <c r="X46" i="25"/>
  <c r="X44" i="25"/>
  <c r="X42" i="25"/>
  <c r="X40" i="25"/>
  <c r="X37" i="25"/>
  <c r="X35" i="25"/>
  <c r="X33" i="25"/>
  <c r="X31" i="25"/>
  <c r="X29" i="25"/>
  <c r="X27" i="25"/>
  <c r="X25" i="25"/>
  <c r="X23" i="25"/>
  <c r="X21" i="25"/>
  <c r="X19" i="25"/>
  <c r="X17" i="25"/>
  <c r="X15" i="25"/>
  <c r="X45" i="25"/>
  <c r="X43" i="25"/>
  <c r="X41" i="25"/>
  <c r="X39" i="25"/>
  <c r="T38" i="25"/>
  <c r="K192" i="3"/>
  <c r="K201" i="3"/>
  <c r="X12" i="9"/>
  <c r="X9" i="9"/>
  <c r="B178" i="3"/>
  <c r="J204" i="3"/>
  <c r="W6" i="11"/>
  <c r="V13" i="11"/>
  <c r="W13" i="11" s="1"/>
  <c r="X13" i="11" s="1"/>
  <c r="V12" i="11"/>
  <c r="V9" i="11"/>
  <c r="S38" i="16"/>
  <c r="AH123" i="3" s="1"/>
  <c r="AH99" i="3"/>
  <c r="C201" i="3"/>
  <c r="C208" i="3"/>
  <c r="J137" i="3"/>
  <c r="G33" i="3"/>
  <c r="O33" i="3" s="1"/>
  <c r="G33" i="2"/>
  <c r="O33" i="2" s="1"/>
  <c r="X7" i="10"/>
  <c r="V39" i="13"/>
  <c r="V45" i="13"/>
  <c r="V36" i="13"/>
  <c r="M121" i="38" s="1"/>
  <c r="V34" i="13"/>
  <c r="M119" i="38" s="1"/>
  <c r="V32" i="13"/>
  <c r="M117" i="38" s="1"/>
  <c r="V30" i="13"/>
  <c r="M115" i="38" s="1"/>
  <c r="V28" i="13"/>
  <c r="M113" i="38" s="1"/>
  <c r="V26" i="13"/>
  <c r="M111" i="38" s="1"/>
  <c r="V24" i="13"/>
  <c r="M109" i="38" s="1"/>
  <c r="V22" i="13"/>
  <c r="M107" i="38" s="1"/>
  <c r="V20" i="13"/>
  <c r="M105" i="38" s="1"/>
  <c r="V18" i="13"/>
  <c r="M103" i="38" s="1"/>
  <c r="V16" i="13"/>
  <c r="M101" i="38" s="1"/>
  <c r="V14" i="13"/>
  <c r="M99" i="38" s="1"/>
  <c r="V40" i="13"/>
  <c r="V43" i="13"/>
  <c r="V37" i="13"/>
  <c r="M122" i="38" s="1"/>
  <c r="V29" i="13"/>
  <c r="M114" i="38" s="1"/>
  <c r="V21" i="13"/>
  <c r="M106" i="38" s="1"/>
  <c r="V42" i="13"/>
  <c r="V46" i="13"/>
  <c r="V31" i="13"/>
  <c r="M116" i="38" s="1"/>
  <c r="V23" i="13"/>
  <c r="M108" i="38" s="1"/>
  <c r="V15" i="13"/>
  <c r="M100" i="38" s="1"/>
  <c r="V33" i="13"/>
  <c r="M118" i="38" s="1"/>
  <c r="V25" i="13"/>
  <c r="M110" i="38" s="1"/>
  <c r="V17" i="13"/>
  <c r="M102" i="38" s="1"/>
  <c r="V41" i="13"/>
  <c r="V44" i="13"/>
  <c r="V35" i="13"/>
  <c r="M120" i="38" s="1"/>
  <c r="V27" i="13"/>
  <c r="M112" i="38" s="1"/>
  <c r="V19" i="13"/>
  <c r="M104" i="38" s="1"/>
  <c r="K102" i="3"/>
  <c r="K9" i="38" s="1"/>
  <c r="K195" i="38" s="1"/>
  <c r="J103" i="3"/>
  <c r="J10" i="38" s="1"/>
  <c r="U38" i="22"/>
  <c r="L154" i="38" s="1"/>
  <c r="L130" i="3"/>
  <c r="J165" i="3"/>
  <c r="J177" i="3"/>
  <c r="B119" i="3"/>
  <c r="C175" i="3"/>
  <c r="U38" i="23"/>
  <c r="T154" i="3" s="1"/>
  <c r="T130" i="3"/>
  <c r="L112" i="3"/>
  <c r="C131" i="3"/>
  <c r="B199" i="3"/>
  <c r="K133" i="3"/>
  <c r="K146" i="3"/>
  <c r="U38" i="24"/>
  <c r="D216" i="38" s="1"/>
  <c r="D192" i="3"/>
  <c r="D201" i="3"/>
  <c r="B139" i="3"/>
  <c r="F126" i="3"/>
  <c r="N126" i="3" s="1"/>
  <c r="F126" i="2"/>
  <c r="N126" i="2" s="1"/>
  <c r="W7" i="21"/>
  <c r="W9" i="21" s="1"/>
  <c r="L171" i="3"/>
  <c r="W12" i="18"/>
  <c r="X6" i="18"/>
  <c r="W9" i="18"/>
  <c r="K174" i="3"/>
  <c r="L194" i="3"/>
  <c r="L203" i="3"/>
  <c r="K194" i="3"/>
  <c r="K203" i="3"/>
  <c r="B168" i="3"/>
  <c r="B165" i="3"/>
  <c r="J206" i="3"/>
  <c r="C203" i="3"/>
  <c r="C210" i="3"/>
  <c r="J135" i="3"/>
  <c r="G2" i="3"/>
  <c r="O2" i="3" s="1"/>
  <c r="O2" i="2"/>
  <c r="X7" i="8"/>
  <c r="V36" i="15"/>
  <c r="AC121" i="3" s="1"/>
  <c r="V34" i="15"/>
  <c r="AC119" i="3" s="1"/>
  <c r="V32" i="15"/>
  <c r="AC117" i="3" s="1"/>
  <c r="V30" i="15"/>
  <c r="AC115" i="3" s="1"/>
  <c r="V28" i="15"/>
  <c r="AC113" i="3" s="1"/>
  <c r="V41" i="15"/>
  <c r="V43" i="15"/>
  <c r="V40" i="15"/>
  <c r="V44" i="15"/>
  <c r="V46" i="15"/>
  <c r="V27" i="15"/>
  <c r="AC112" i="3" s="1"/>
  <c r="V25" i="15"/>
  <c r="AC110" i="3" s="1"/>
  <c r="V23" i="15"/>
  <c r="AC108" i="3" s="1"/>
  <c r="V21" i="15"/>
  <c r="AC106" i="3" s="1"/>
  <c r="V19" i="15"/>
  <c r="AC104" i="3" s="1"/>
  <c r="V17" i="15"/>
  <c r="AC102" i="3" s="1"/>
  <c r="V15" i="15"/>
  <c r="AC100" i="3" s="1"/>
  <c r="V35" i="15"/>
  <c r="AC120" i="3" s="1"/>
  <c r="V42" i="15"/>
  <c r="V22" i="15"/>
  <c r="AC107" i="3" s="1"/>
  <c r="V14" i="15"/>
  <c r="V24" i="15"/>
  <c r="AC109" i="3" s="1"/>
  <c r="V16" i="15"/>
  <c r="AC101" i="3" s="1"/>
  <c r="V29" i="15"/>
  <c r="AC114" i="3" s="1"/>
  <c r="V26" i="15"/>
  <c r="AC111" i="3" s="1"/>
  <c r="V18" i="15"/>
  <c r="AC103" i="3" s="1"/>
  <c r="V37" i="15"/>
  <c r="AC122" i="3" s="1"/>
  <c r="V31" i="15"/>
  <c r="AC116" i="3" s="1"/>
  <c r="V20" i="15"/>
  <c r="AC105" i="3" s="1"/>
  <c r="V33" i="15"/>
  <c r="AC118" i="3" s="1"/>
  <c r="V45" i="15"/>
  <c r="V39" i="15"/>
  <c r="K110" i="3"/>
  <c r="J101" i="3"/>
  <c r="J8" i="38" s="1"/>
  <c r="J111" i="3"/>
  <c r="L135" i="3"/>
  <c r="L150" i="3"/>
  <c r="J170" i="3"/>
  <c r="J164" i="3"/>
  <c r="B112" i="3"/>
  <c r="B121" i="3"/>
  <c r="U38" i="13"/>
  <c r="L123" i="38" s="1"/>
  <c r="L99" i="3"/>
  <c r="L114" i="3"/>
  <c r="C153" i="3"/>
  <c r="K135" i="3"/>
  <c r="D194" i="3"/>
  <c r="D203" i="3"/>
  <c r="L164" i="3"/>
  <c r="L179" i="3"/>
  <c r="W36" i="23"/>
  <c r="V152" i="3" s="1"/>
  <c r="W39" i="23"/>
  <c r="W33" i="23"/>
  <c r="V149" i="3" s="1"/>
  <c r="W30" i="23"/>
  <c r="V146" i="3" s="1"/>
  <c r="W19" i="23"/>
  <c r="V135" i="3" s="1"/>
  <c r="W27" i="23"/>
  <c r="V143" i="3" s="1"/>
  <c r="W24" i="23"/>
  <c r="V140" i="3" s="1"/>
  <c r="W16" i="23"/>
  <c r="V132" i="3" s="1"/>
  <c r="W44" i="23"/>
  <c r="W41" i="23"/>
  <c r="W21" i="23"/>
  <c r="V137" i="3" s="1"/>
  <c r="W35" i="23"/>
  <c r="V151" i="3" s="1"/>
  <c r="W32" i="23"/>
  <c r="V148" i="3" s="1"/>
  <c r="W18" i="23"/>
  <c r="V134" i="3" s="1"/>
  <c r="W46" i="23"/>
  <c r="W23" i="23"/>
  <c r="V139" i="3" s="1"/>
  <c r="W15" i="23"/>
  <c r="V131" i="3" s="1"/>
  <c r="W43" i="23"/>
  <c r="W40" i="23"/>
  <c r="W37" i="23"/>
  <c r="V153" i="3" s="1"/>
  <c r="W34" i="23"/>
  <c r="V150" i="3" s="1"/>
  <c r="W20" i="23"/>
  <c r="V136" i="3" s="1"/>
  <c r="W31" i="23"/>
  <c r="V147" i="3" s="1"/>
  <c r="W28" i="23"/>
  <c r="V144" i="3" s="1"/>
  <c r="W25" i="23"/>
  <c r="V141" i="3" s="1"/>
  <c r="W45" i="23"/>
  <c r="W42" i="23"/>
  <c r="W22" i="23"/>
  <c r="V138" i="3" s="1"/>
  <c r="W14" i="23"/>
  <c r="W26" i="23"/>
  <c r="V142" i="3" s="1"/>
  <c r="W17" i="23"/>
  <c r="V133" i="3" s="1"/>
  <c r="W29" i="23"/>
  <c r="V145" i="3" s="1"/>
  <c r="K182" i="3"/>
  <c r="L196" i="3"/>
  <c r="L205" i="3"/>
  <c r="U37" i="17"/>
  <c r="D184" i="38" s="1"/>
  <c r="U35" i="17"/>
  <c r="D182" i="38" s="1"/>
  <c r="U33" i="17"/>
  <c r="D180" i="38" s="1"/>
  <c r="U31" i="17"/>
  <c r="D178" i="38" s="1"/>
  <c r="U29" i="17"/>
  <c r="D176" i="38" s="1"/>
  <c r="U27" i="17"/>
  <c r="D174" i="38" s="1"/>
  <c r="U25" i="17"/>
  <c r="D172" i="38" s="1"/>
  <c r="U23" i="17"/>
  <c r="D170" i="38" s="1"/>
  <c r="U21" i="17"/>
  <c r="D168" i="38" s="1"/>
  <c r="U19" i="17"/>
  <c r="D166" i="38" s="1"/>
  <c r="U17" i="17"/>
  <c r="D164" i="38" s="1"/>
  <c r="U15" i="17"/>
  <c r="D162" i="38" s="1"/>
  <c r="U18" i="17"/>
  <c r="D165" i="38" s="1"/>
  <c r="U45" i="17"/>
  <c r="U20" i="17"/>
  <c r="D167" i="38" s="1"/>
  <c r="U40" i="17"/>
  <c r="U22" i="17"/>
  <c r="D169" i="38" s="1"/>
  <c r="U24" i="17"/>
  <c r="D171" i="38" s="1"/>
  <c r="U42" i="17"/>
  <c r="U26" i="17"/>
  <c r="D173" i="38" s="1"/>
  <c r="U30" i="17"/>
  <c r="D177" i="38" s="1"/>
  <c r="U41" i="17"/>
  <c r="U34" i="17"/>
  <c r="D181" i="38" s="1"/>
  <c r="U14" i="17"/>
  <c r="D161" i="38" s="1"/>
  <c r="U36" i="17"/>
  <c r="D183" i="38" s="1"/>
  <c r="U32" i="17"/>
  <c r="D179" i="38" s="1"/>
  <c r="U44" i="17"/>
  <c r="U28" i="17"/>
  <c r="D175" i="38" s="1"/>
  <c r="U16" i="17"/>
  <c r="D163" i="38" s="1"/>
  <c r="U39" i="17"/>
  <c r="U43" i="17"/>
  <c r="U46" i="17"/>
  <c r="K196" i="3"/>
  <c r="K205" i="3"/>
  <c r="B172" i="3"/>
  <c r="B174" i="3"/>
  <c r="J208" i="3"/>
  <c r="C205" i="3"/>
  <c r="C212" i="3"/>
  <c r="V37" i="14"/>
  <c r="U122" i="3" s="1"/>
  <c r="V35" i="14"/>
  <c r="U120" i="3" s="1"/>
  <c r="V33" i="14"/>
  <c r="U118" i="3" s="1"/>
  <c r="V31" i="14"/>
  <c r="U116" i="3" s="1"/>
  <c r="V29" i="14"/>
  <c r="U114" i="3" s="1"/>
  <c r="V27" i="14"/>
  <c r="U112" i="3" s="1"/>
  <c r="V25" i="14"/>
  <c r="U110" i="3" s="1"/>
  <c r="V23" i="14"/>
  <c r="U108" i="3" s="1"/>
  <c r="V21" i="14"/>
  <c r="U106" i="3" s="1"/>
  <c r="V19" i="14"/>
  <c r="U104" i="3" s="1"/>
  <c r="V17" i="14"/>
  <c r="U102" i="3" s="1"/>
  <c r="V15" i="14"/>
  <c r="U100" i="3" s="1"/>
  <c r="V45" i="14"/>
  <c r="V22" i="14"/>
  <c r="U107" i="3" s="1"/>
  <c r="V42" i="14"/>
  <c r="V28" i="14"/>
  <c r="U113" i="3" s="1"/>
  <c r="V44" i="14"/>
  <c r="V30" i="14"/>
  <c r="U115" i="3" s="1"/>
  <c r="V39" i="14"/>
  <c r="V32" i="14"/>
  <c r="U117" i="3" s="1"/>
  <c r="V46" i="14"/>
  <c r="V34" i="14"/>
  <c r="U119" i="3" s="1"/>
  <c r="V14" i="14"/>
  <c r="V41" i="14"/>
  <c r="V20" i="14"/>
  <c r="U105" i="3" s="1"/>
  <c r="V24" i="14"/>
  <c r="U109" i="3" s="1"/>
  <c r="V36" i="14"/>
  <c r="U121" i="3" s="1"/>
  <c r="V18" i="14"/>
  <c r="U103" i="3" s="1"/>
  <c r="V40" i="14"/>
  <c r="V26" i="14"/>
  <c r="U111" i="3" s="1"/>
  <c r="V43" i="14"/>
  <c r="V16" i="14"/>
  <c r="U101" i="3" s="1"/>
  <c r="K118" i="3"/>
  <c r="J109" i="3"/>
  <c r="J119" i="3"/>
  <c r="J175" i="3"/>
  <c r="J172" i="3"/>
  <c r="B110" i="3"/>
  <c r="C177" i="3"/>
  <c r="C173" i="3"/>
  <c r="L101" i="3"/>
  <c r="L116" i="3"/>
  <c r="B209" i="3"/>
  <c r="B211" i="3"/>
  <c r="K144" i="3"/>
  <c r="D196" i="3"/>
  <c r="D205" i="3"/>
  <c r="B133" i="3"/>
  <c r="B152" i="3"/>
  <c r="L180" i="3"/>
  <c r="L166" i="3"/>
  <c r="X12" i="23"/>
  <c r="X9" i="23"/>
  <c r="L198" i="3"/>
  <c r="L207" i="3"/>
  <c r="W6" i="17"/>
  <c r="V13" i="17"/>
  <c r="W13" i="17" s="1"/>
  <c r="X13" i="17" s="1"/>
  <c r="V12" i="17"/>
  <c r="K198" i="3"/>
  <c r="K207" i="3"/>
  <c r="U38" i="15"/>
  <c r="AB123" i="3" s="1"/>
  <c r="AB99" i="3"/>
  <c r="J210" i="3"/>
  <c r="C207" i="3"/>
  <c r="C214" i="3"/>
  <c r="S38" i="22"/>
  <c r="J130" i="3"/>
  <c r="V41" i="22"/>
  <c r="V32" i="22"/>
  <c r="M148" i="38" s="1"/>
  <c r="V43" i="22"/>
  <c r="V34" i="22"/>
  <c r="M150" i="38" s="1"/>
  <c r="V14" i="22"/>
  <c r="M130" i="38" s="1"/>
  <c r="V25" i="22"/>
  <c r="M141" i="38" s="1"/>
  <c r="V36" i="22"/>
  <c r="M152" i="38" s="1"/>
  <c r="V45" i="22"/>
  <c r="V27" i="22"/>
  <c r="M143" i="38" s="1"/>
  <c r="V29" i="22"/>
  <c r="M145" i="38" s="1"/>
  <c r="V20" i="22"/>
  <c r="M136" i="38" s="1"/>
  <c r="V40" i="22"/>
  <c r="V31" i="22"/>
  <c r="M147" i="38" s="1"/>
  <c r="V42" i="22"/>
  <c r="V33" i="22"/>
  <c r="M149" i="38" s="1"/>
  <c r="V24" i="22"/>
  <c r="M140" i="38" s="1"/>
  <c r="V44" i="22"/>
  <c r="V35" i="22"/>
  <c r="M151" i="38" s="1"/>
  <c r="V15" i="22"/>
  <c r="M131" i="38" s="1"/>
  <c r="V26" i="22"/>
  <c r="M142" i="38" s="1"/>
  <c r="V37" i="22"/>
  <c r="M153" i="38" s="1"/>
  <c r="V17" i="22"/>
  <c r="M133" i="38" s="1"/>
  <c r="V28" i="22"/>
  <c r="M144" i="38" s="1"/>
  <c r="V39" i="22"/>
  <c r="V30" i="22"/>
  <c r="M146" i="38" s="1"/>
  <c r="V21" i="22"/>
  <c r="M137" i="38" s="1"/>
  <c r="V18" i="22"/>
  <c r="M134" i="38" s="1"/>
  <c r="V23" i="22"/>
  <c r="M139" i="38" s="1"/>
  <c r="V46" i="22"/>
  <c r="V22" i="22"/>
  <c r="M138" i="38" s="1"/>
  <c r="V16" i="22"/>
  <c r="M132" i="38" s="1"/>
  <c r="V19" i="22"/>
  <c r="M135" i="38" s="1"/>
  <c r="G95" i="3"/>
  <c r="O95" i="3" s="1"/>
  <c r="W95" i="3" s="1"/>
  <c r="AE95" i="3" s="1"/>
  <c r="AM95" i="3" s="1"/>
  <c r="G95" i="2"/>
  <c r="O95" i="2" s="1"/>
  <c r="W95" i="2" s="1"/>
  <c r="AE95" i="2" s="1"/>
  <c r="AM95" i="2" s="1"/>
  <c r="T38" i="26"/>
  <c r="S216" i="3" s="1"/>
  <c r="S192" i="3"/>
  <c r="S192" i="28" s="1"/>
  <c r="K105" i="3"/>
  <c r="K12" i="38" s="1"/>
  <c r="K24" i="38" s="1"/>
  <c r="K117" i="38" s="1"/>
  <c r="J117" i="3"/>
  <c r="J106" i="3"/>
  <c r="L133" i="3"/>
  <c r="L139" i="3"/>
  <c r="J181" i="3"/>
  <c r="J180" i="3"/>
  <c r="C181" i="3"/>
  <c r="C162" i="3"/>
  <c r="U38" i="16"/>
  <c r="AJ123" i="3" s="1"/>
  <c r="AJ99" i="3"/>
  <c r="V38" i="23"/>
  <c r="U154" i="3" s="1"/>
  <c r="U130" i="3"/>
  <c r="L103" i="3"/>
  <c r="L118" i="3"/>
  <c r="C147" i="3"/>
  <c r="D198" i="3"/>
  <c r="D207" i="3"/>
  <c r="B142" i="3"/>
  <c r="B148" i="3"/>
  <c r="L170" i="3"/>
  <c r="L174" i="3"/>
  <c r="K164" i="3"/>
  <c r="L200" i="3"/>
  <c r="L209" i="3"/>
  <c r="U38" i="14"/>
  <c r="T123" i="3" s="1"/>
  <c r="T99" i="3"/>
  <c r="K200" i="3"/>
  <c r="K209" i="3"/>
  <c r="B176" i="3"/>
  <c r="B163" i="3"/>
  <c r="J212" i="3"/>
  <c r="C209" i="3"/>
  <c r="J141" i="3"/>
  <c r="J132" i="3"/>
  <c r="E64" i="3"/>
  <c r="M64" i="3" s="1"/>
  <c r="E64" i="2"/>
  <c r="M64" i="2" s="1"/>
  <c r="V7" i="19"/>
  <c r="V9" i="19" s="1"/>
  <c r="K113" i="3"/>
  <c r="J104" i="3"/>
  <c r="J114" i="3"/>
  <c r="L153" i="3"/>
  <c r="L137" i="3"/>
  <c r="B108" i="3"/>
  <c r="C182" i="3"/>
  <c r="L105" i="3"/>
  <c r="L120" i="3"/>
  <c r="T38" i="21"/>
  <c r="C130" i="3"/>
  <c r="K131" i="3"/>
  <c r="D200" i="3"/>
  <c r="D209" i="3"/>
  <c r="B136" i="3"/>
  <c r="F157" i="3"/>
  <c r="N157" i="3" s="1"/>
  <c r="F157" i="2"/>
  <c r="N157" i="2" s="1"/>
  <c r="W7" i="17"/>
  <c r="L175" i="3"/>
  <c r="L182" i="3"/>
  <c r="W12" i="26"/>
  <c r="X6" i="26"/>
  <c r="W9" i="26"/>
  <c r="K172" i="3"/>
  <c r="L202" i="3"/>
  <c r="L211" i="3"/>
  <c r="K202" i="3"/>
  <c r="K211" i="3"/>
  <c r="S38" i="17"/>
  <c r="B161" i="3"/>
  <c r="B183" i="3"/>
  <c r="J214" i="3"/>
  <c r="C211" i="3"/>
  <c r="J133" i="3"/>
  <c r="J134" i="3"/>
  <c r="X6" i="22"/>
  <c r="W12" i="22"/>
  <c r="W9" i="22"/>
  <c r="V45" i="20"/>
  <c r="V43" i="20"/>
  <c r="V41" i="20"/>
  <c r="V39" i="20"/>
  <c r="V37" i="20"/>
  <c r="M91" i="3" s="1"/>
  <c r="V35" i="20"/>
  <c r="M89" i="3" s="1"/>
  <c r="V33" i="20"/>
  <c r="M87" i="3" s="1"/>
  <c r="V31" i="20"/>
  <c r="M85" i="3" s="1"/>
  <c r="V29" i="20"/>
  <c r="M83" i="3" s="1"/>
  <c r="V27" i="20"/>
  <c r="M81" i="3" s="1"/>
  <c r="V25" i="20"/>
  <c r="M79" i="3" s="1"/>
  <c r="V23" i="20"/>
  <c r="M77" i="3" s="1"/>
  <c r="V21" i="20"/>
  <c r="M75" i="3" s="1"/>
  <c r="V19" i="20"/>
  <c r="M73" i="3" s="1"/>
  <c r="V17" i="20"/>
  <c r="M71" i="3" s="1"/>
  <c r="V15" i="20"/>
  <c r="M69" i="3" s="1"/>
  <c r="V36" i="20"/>
  <c r="M90" i="3" s="1"/>
  <c r="V24" i="20"/>
  <c r="M78" i="3" s="1"/>
  <c r="V38" i="20"/>
  <c r="M92" i="3" s="1"/>
  <c r="V26" i="20"/>
  <c r="M80" i="3" s="1"/>
  <c r="V40" i="20"/>
  <c r="V14" i="20"/>
  <c r="M68" i="3" s="1"/>
  <c r="V42" i="20"/>
  <c r="V16" i="20"/>
  <c r="M70" i="3" s="1"/>
  <c r="V30" i="20"/>
  <c r="M84" i="3" s="1"/>
  <c r="V18" i="20"/>
  <c r="M72" i="3" s="1"/>
  <c r="V20" i="20"/>
  <c r="M74" i="3" s="1"/>
  <c r="V46" i="20"/>
  <c r="V22" i="20"/>
  <c r="M76" i="3" s="1"/>
  <c r="V32" i="20"/>
  <c r="M86" i="3" s="1"/>
  <c r="V44" i="20"/>
  <c r="V34" i="20"/>
  <c r="M88" i="3" s="1"/>
  <c r="V28" i="20"/>
  <c r="M82" i="3" s="1"/>
  <c r="K121" i="3"/>
  <c r="J112" i="3"/>
  <c r="J122" i="3"/>
  <c r="L142" i="3"/>
  <c r="J176" i="3"/>
  <c r="C163" i="3"/>
  <c r="L107" i="3"/>
  <c r="L122" i="3"/>
  <c r="C132" i="3"/>
  <c r="W46" i="15"/>
  <c r="W44" i="15"/>
  <c r="W42" i="15"/>
  <c r="W40" i="15"/>
  <c r="W43" i="15"/>
  <c r="W45" i="15"/>
  <c r="W26" i="15"/>
  <c r="AD111" i="3" s="1"/>
  <c r="W24" i="15"/>
  <c r="AD109" i="3" s="1"/>
  <c r="W22" i="15"/>
  <c r="AD107" i="3" s="1"/>
  <c r="W20" i="15"/>
  <c r="AD105" i="3" s="1"/>
  <c r="W18" i="15"/>
  <c r="AD103" i="3" s="1"/>
  <c r="W16" i="15"/>
  <c r="AD101" i="3" s="1"/>
  <c r="W14" i="15"/>
  <c r="W36" i="15"/>
  <c r="AD121" i="3" s="1"/>
  <c r="W27" i="15"/>
  <c r="AD112" i="3" s="1"/>
  <c r="W25" i="15"/>
  <c r="AD110" i="3" s="1"/>
  <c r="W23" i="15"/>
  <c r="AD108" i="3" s="1"/>
  <c r="W21" i="15"/>
  <c r="AD106" i="3" s="1"/>
  <c r="W19" i="15"/>
  <c r="AD104" i="3" s="1"/>
  <c r="W17" i="15"/>
  <c r="AD102" i="3" s="1"/>
  <c r="W15" i="15"/>
  <c r="AD100" i="3" s="1"/>
  <c r="W29" i="15"/>
  <c r="AD114" i="3" s="1"/>
  <c r="W37" i="15"/>
  <c r="AD122" i="3" s="1"/>
  <c r="W39" i="15"/>
  <c r="W35" i="15"/>
  <c r="AD120" i="3" s="1"/>
  <c r="W32" i="15"/>
  <c r="AD117" i="3" s="1"/>
  <c r="W41" i="15"/>
  <c r="W34" i="15"/>
  <c r="AD119" i="3" s="1"/>
  <c r="W31" i="15"/>
  <c r="AD116" i="3" s="1"/>
  <c r="W28" i="15"/>
  <c r="AD113" i="3" s="1"/>
  <c r="W33" i="15"/>
  <c r="AD118" i="3" s="1"/>
  <c r="W30" i="15"/>
  <c r="AD115" i="3" s="1"/>
  <c r="X12" i="15"/>
  <c r="X9" i="15"/>
  <c r="K151" i="3"/>
  <c r="D211" i="3"/>
  <c r="K180" i="3"/>
  <c r="L204" i="3"/>
  <c r="L213" i="3"/>
  <c r="T38" i="16"/>
  <c r="AI123" i="3" s="1"/>
  <c r="AI99" i="3"/>
  <c r="K204" i="3"/>
  <c r="K213" i="3"/>
  <c r="J193" i="3"/>
  <c r="C213" i="3"/>
  <c r="J136" i="3"/>
  <c r="J120" i="3"/>
  <c r="L131" i="3"/>
  <c r="J166" i="3"/>
  <c r="B104" i="3"/>
  <c r="C167" i="3"/>
  <c r="C171" i="3"/>
  <c r="U38" i="26"/>
  <c r="T216" i="3" s="1"/>
  <c r="T192" i="3"/>
  <c r="L109" i="3"/>
  <c r="C134" i="3"/>
  <c r="B215" i="3"/>
  <c r="D202" i="3"/>
  <c r="S38" i="21"/>
  <c r="B130" i="3"/>
  <c r="T46" i="12"/>
  <c r="T44" i="12"/>
  <c r="T42" i="12"/>
  <c r="T40" i="12"/>
  <c r="T45" i="12"/>
  <c r="T28" i="12"/>
  <c r="T30" i="12"/>
  <c r="T32" i="12"/>
  <c r="T36" i="12"/>
  <c r="T17" i="12"/>
  <c r="T19" i="12"/>
  <c r="T21" i="12"/>
  <c r="T25" i="12"/>
  <c r="T27" i="12"/>
  <c r="T29" i="12"/>
  <c r="T31" i="12"/>
  <c r="T33" i="12"/>
  <c r="T35" i="12"/>
  <c r="T14" i="12"/>
  <c r="T37" i="12"/>
  <c r="T16" i="12"/>
  <c r="T18" i="12"/>
  <c r="T41" i="12"/>
  <c r="T22" i="12"/>
  <c r="T20" i="12"/>
  <c r="T15" i="12"/>
  <c r="T24" i="12"/>
  <c r="T23" i="12"/>
  <c r="T26" i="12"/>
  <c r="T34" i="12"/>
  <c r="T43" i="12"/>
  <c r="T39" i="12"/>
  <c r="S38" i="24"/>
  <c r="B192" i="3"/>
  <c r="K140" i="3"/>
  <c r="D204" i="3"/>
  <c r="D213" i="3"/>
  <c r="W7" i="24"/>
  <c r="W9" i="24" s="1"/>
  <c r="F188" i="3"/>
  <c r="N188" i="3" s="1"/>
  <c r="F188" i="2"/>
  <c r="N188" i="2" s="1"/>
  <c r="U38" i="18"/>
  <c r="L185" i="38" s="1"/>
  <c r="L161" i="3"/>
  <c r="T38" i="18"/>
  <c r="K161" i="3"/>
  <c r="L206" i="3"/>
  <c r="L215" i="3"/>
  <c r="K206" i="3"/>
  <c r="K215" i="3"/>
  <c r="B179" i="3"/>
  <c r="J195" i="3"/>
  <c r="C215" i="3"/>
  <c r="J145" i="3"/>
  <c r="J138" i="3"/>
  <c r="S38" i="14"/>
  <c r="R123" i="3" s="1"/>
  <c r="R99" i="3"/>
  <c r="S38" i="23"/>
  <c r="R154" i="3" s="1"/>
  <c r="R130" i="3"/>
  <c r="R130" i="28" s="1"/>
  <c r="E126" i="3"/>
  <c r="M126" i="3" s="1"/>
  <c r="E126" i="2"/>
  <c r="M126" i="2" s="1"/>
  <c r="V7" i="21"/>
  <c r="V9" i="21" s="1"/>
  <c r="K100" i="3"/>
  <c r="L151" i="3"/>
  <c r="J182" i="3"/>
  <c r="B102" i="3"/>
  <c r="B9" i="38" s="1"/>
  <c r="B102" i="38" s="1"/>
  <c r="C180" i="3"/>
  <c r="L111" i="3"/>
  <c r="C136" i="3"/>
  <c r="B194" i="3"/>
  <c r="K149" i="3"/>
  <c r="D206" i="3"/>
  <c r="D215" i="3"/>
  <c r="B146" i="3"/>
  <c r="W45" i="25"/>
  <c r="W43" i="25"/>
  <c r="W41" i="25"/>
  <c r="W39" i="25"/>
  <c r="W36" i="25"/>
  <c r="N214" i="38" s="1"/>
  <c r="W34" i="25"/>
  <c r="N212" i="38" s="1"/>
  <c r="W32" i="25"/>
  <c r="N210" i="38" s="1"/>
  <c r="W30" i="25"/>
  <c r="N208" i="38" s="1"/>
  <c r="W28" i="25"/>
  <c r="N206" i="38" s="1"/>
  <c r="W26" i="25"/>
  <c r="N204" i="38" s="1"/>
  <c r="W24" i="25"/>
  <c r="N202" i="38" s="1"/>
  <c r="W22" i="25"/>
  <c r="N200" i="38" s="1"/>
  <c r="W20" i="25"/>
  <c r="N198" i="38" s="1"/>
  <c r="W18" i="25"/>
  <c r="N196" i="38" s="1"/>
  <c r="W16" i="25"/>
  <c r="N194" i="38" s="1"/>
  <c r="W14" i="25"/>
  <c r="N192" i="38" s="1"/>
  <c r="W46" i="25"/>
  <c r="W44" i="25"/>
  <c r="W42" i="25"/>
  <c r="W40" i="25"/>
  <c r="W37" i="25"/>
  <c r="N215" i="38" s="1"/>
  <c r="W35" i="25"/>
  <c r="N213" i="38" s="1"/>
  <c r="W33" i="25"/>
  <c r="N211" i="38" s="1"/>
  <c r="W31" i="25"/>
  <c r="N209" i="38" s="1"/>
  <c r="W29" i="25"/>
  <c r="N207" i="38" s="1"/>
  <c r="W27" i="25"/>
  <c r="N205" i="38" s="1"/>
  <c r="W25" i="25"/>
  <c r="N203" i="38" s="1"/>
  <c r="W23" i="25"/>
  <c r="N201" i="38" s="1"/>
  <c r="W21" i="25"/>
  <c r="N199" i="38" s="1"/>
  <c r="W19" i="25"/>
  <c r="N197" i="38" s="1"/>
  <c r="W17" i="25"/>
  <c r="N195" i="38" s="1"/>
  <c r="W15" i="25"/>
  <c r="N193" i="38" s="1"/>
  <c r="L172" i="3"/>
  <c r="L169" i="3"/>
  <c r="V36" i="26"/>
  <c r="U214" i="3" s="1"/>
  <c r="V34" i="26"/>
  <c r="U212" i="3" s="1"/>
  <c r="V32" i="26"/>
  <c r="U210" i="3" s="1"/>
  <c r="V30" i="26"/>
  <c r="U208" i="3" s="1"/>
  <c r="V28" i="26"/>
  <c r="U206" i="3" s="1"/>
  <c r="V26" i="26"/>
  <c r="U204" i="3" s="1"/>
  <c r="V24" i="26"/>
  <c r="U202" i="3" s="1"/>
  <c r="V22" i="26"/>
  <c r="U200" i="3" s="1"/>
  <c r="V20" i="26"/>
  <c r="U198" i="3" s="1"/>
  <c r="V18" i="26"/>
  <c r="U196" i="3" s="1"/>
  <c r="V16" i="26"/>
  <c r="U194" i="3" s="1"/>
  <c r="V14" i="26"/>
  <c r="V46" i="26"/>
  <c r="V44" i="26"/>
  <c r="V42" i="26"/>
  <c r="V40" i="26"/>
  <c r="V37" i="26"/>
  <c r="U215" i="3" s="1"/>
  <c r="V35" i="26"/>
  <c r="U213" i="3" s="1"/>
  <c r="V33" i="26"/>
  <c r="U211" i="3" s="1"/>
  <c r="V31" i="26"/>
  <c r="U209" i="3" s="1"/>
  <c r="V29" i="26"/>
  <c r="U207" i="3" s="1"/>
  <c r="V27" i="26"/>
  <c r="U205" i="3" s="1"/>
  <c r="V25" i="26"/>
  <c r="U203" i="3" s="1"/>
  <c r="V23" i="26"/>
  <c r="U201" i="3" s="1"/>
  <c r="V21" i="26"/>
  <c r="U199" i="3" s="1"/>
  <c r="V19" i="26"/>
  <c r="U197" i="3" s="1"/>
  <c r="V17" i="26"/>
  <c r="U195" i="3" s="1"/>
  <c r="V15" i="26"/>
  <c r="U193" i="3" s="1"/>
  <c r="V45" i="26"/>
  <c r="V43" i="26"/>
  <c r="V41" i="26"/>
  <c r="V39" i="26"/>
  <c r="K163" i="3"/>
  <c r="L208" i="3"/>
  <c r="K208" i="3"/>
  <c r="B175" i="3"/>
  <c r="J197" i="3"/>
  <c r="J153" i="3"/>
  <c r="J140" i="3"/>
  <c r="G64" i="3"/>
  <c r="O64" i="3" s="1"/>
  <c r="G64" i="2"/>
  <c r="O64" i="2" s="1"/>
  <c r="X7" i="19"/>
  <c r="X12" i="8"/>
  <c r="X9" i="8"/>
  <c r="K108" i="3"/>
  <c r="S38" i="13"/>
  <c r="J99" i="3"/>
  <c r="J6" i="38" s="1"/>
  <c r="W12" i="21"/>
  <c r="X6" i="21"/>
  <c r="J162" i="3"/>
  <c r="B100" i="3"/>
  <c r="C179" i="3"/>
  <c r="C178" i="3"/>
  <c r="L113" i="3"/>
  <c r="C135" i="3"/>
  <c r="C138" i="3"/>
  <c r="K142" i="3"/>
  <c r="K138" i="3"/>
  <c r="D208" i="3"/>
  <c r="B137" i="3"/>
  <c r="F2" i="3"/>
  <c r="N2" i="3" s="1"/>
  <c r="F2" i="2"/>
  <c r="N2" i="2" s="1"/>
  <c r="W7" i="8"/>
  <c r="W9" i="8" s="1"/>
  <c r="L162" i="3"/>
  <c r="L177" i="3"/>
  <c r="K165" i="3"/>
  <c r="L210" i="3"/>
  <c r="K210" i="3"/>
  <c r="J199" i="3"/>
  <c r="J131" i="3"/>
  <c r="J142" i="3"/>
  <c r="K101" i="3"/>
  <c r="K8" i="38" s="1"/>
  <c r="K132" i="38" s="1"/>
  <c r="K116" i="3"/>
  <c r="J107" i="3"/>
  <c r="L140" i="3"/>
  <c r="J167" i="3"/>
  <c r="J183" i="3"/>
  <c r="C183" i="3"/>
  <c r="L115" i="3"/>
  <c r="C140" i="3"/>
  <c r="K147" i="3"/>
  <c r="D210" i="3"/>
  <c r="B131" i="3"/>
  <c r="L167" i="3"/>
  <c r="K167" i="3"/>
  <c r="L212" i="3"/>
  <c r="K212" i="3"/>
  <c r="B164" i="3"/>
  <c r="J201" i="3"/>
  <c r="J151" i="3"/>
  <c r="J144" i="3"/>
  <c r="K109" i="3"/>
  <c r="J115" i="3"/>
  <c r="L149" i="3"/>
  <c r="B106" i="3"/>
  <c r="S38" i="12"/>
  <c r="B99" i="3"/>
  <c r="B6" i="38" s="1"/>
  <c r="B192" i="38" s="1"/>
  <c r="C164" i="3"/>
  <c r="C176" i="3"/>
  <c r="L117" i="3"/>
  <c r="C141" i="3"/>
  <c r="C142" i="3"/>
  <c r="B212" i="3"/>
  <c r="B213" i="3"/>
  <c r="S38" i="15"/>
  <c r="Z123" i="3" s="1"/>
  <c r="Z99" i="3"/>
  <c r="B196" i="3"/>
  <c r="B198" i="3"/>
  <c r="B200" i="3"/>
  <c r="S38" i="26"/>
  <c r="R216" i="3" s="1"/>
  <c r="R192" i="3"/>
  <c r="R192" i="28" s="1"/>
  <c r="K145" i="3"/>
  <c r="D212" i="3"/>
  <c r="B140" i="3"/>
  <c r="F33" i="3"/>
  <c r="N33" i="3" s="1"/>
  <c r="F33" i="2"/>
  <c r="N33" i="2" s="1"/>
  <c r="W7" i="10"/>
  <c r="L183" i="3"/>
  <c r="K184" i="3"/>
  <c r="K169" i="3"/>
  <c r="L214" i="3"/>
  <c r="K214" i="3"/>
  <c r="B184" i="3"/>
  <c r="J203" i="3"/>
  <c r="J146" i="3"/>
  <c r="X45" i="20"/>
  <c r="X43" i="20"/>
  <c r="X41" i="20"/>
  <c r="X24" i="20"/>
  <c r="O78" i="3" s="1"/>
  <c r="X17" i="20"/>
  <c r="O71" i="3" s="1"/>
  <c r="X38" i="20"/>
  <c r="O92" i="3" s="1"/>
  <c r="X31" i="20"/>
  <c r="O85" i="3" s="1"/>
  <c r="X40" i="20"/>
  <c r="X33" i="20"/>
  <c r="O87" i="3" s="1"/>
  <c r="X14" i="20"/>
  <c r="O68" i="3" s="1"/>
  <c r="X28" i="20"/>
  <c r="O82" i="3" s="1"/>
  <c r="X21" i="20"/>
  <c r="O75" i="3" s="1"/>
  <c r="X42" i="20"/>
  <c r="X30" i="20"/>
  <c r="O84" i="3" s="1"/>
  <c r="X23" i="20"/>
  <c r="O77" i="3" s="1"/>
  <c r="X37" i="20"/>
  <c r="O91" i="3" s="1"/>
  <c r="X44" i="20"/>
  <c r="X32" i="20"/>
  <c r="O86" i="3" s="1"/>
  <c r="X25" i="20"/>
  <c r="O79" i="3" s="1"/>
  <c r="X34" i="20"/>
  <c r="O88" i="3" s="1"/>
  <c r="X27" i="20"/>
  <c r="O81" i="3" s="1"/>
  <c r="X22" i="20"/>
  <c r="O76" i="3" s="1"/>
  <c r="X15" i="20"/>
  <c r="O69" i="3" s="1"/>
  <c r="X36" i="20"/>
  <c r="O90" i="3" s="1"/>
  <c r="X29" i="20"/>
  <c r="O83" i="3" s="1"/>
  <c r="X18" i="20"/>
  <c r="O72" i="3" s="1"/>
  <c r="X46" i="20"/>
  <c r="X26" i="20"/>
  <c r="O80" i="3" s="1"/>
  <c r="X35" i="20"/>
  <c r="O89" i="3" s="1"/>
  <c r="X39" i="20"/>
  <c r="X16" i="20"/>
  <c r="O70" i="3" s="1"/>
  <c r="X20" i="20"/>
  <c r="O74" i="3" s="1"/>
  <c r="X19" i="20"/>
  <c r="O73" i="3" s="1"/>
  <c r="K117" i="3"/>
  <c r="J102" i="3"/>
  <c r="J9" i="38" s="1"/>
  <c r="J195" i="38" s="1"/>
  <c r="X12" i="24"/>
  <c r="X9" i="24"/>
  <c r="J173" i="3"/>
  <c r="B101" i="3"/>
  <c r="B8" i="38" s="1"/>
  <c r="C168" i="3"/>
  <c r="C165" i="3"/>
  <c r="L119" i="3"/>
  <c r="C144" i="3"/>
  <c r="K134" i="3"/>
  <c r="D214" i="3"/>
  <c r="B134" i="3"/>
  <c r="W7" i="12"/>
  <c r="F95" i="3"/>
  <c r="N95" i="3" s="1"/>
  <c r="V95" i="3" s="1"/>
  <c r="AD95" i="3" s="1"/>
  <c r="AL95" i="3" s="1"/>
  <c r="F95" i="2"/>
  <c r="N95" i="2" s="1"/>
  <c r="V95" i="2" s="1"/>
  <c r="AD95" i="2" s="1"/>
  <c r="AL95" i="2" s="1"/>
  <c r="L178" i="3"/>
  <c r="K171" i="3"/>
  <c r="U36" i="21"/>
  <c r="D152" i="38" s="1"/>
  <c r="U44" i="21"/>
  <c r="U25" i="21"/>
  <c r="D141" i="38" s="1"/>
  <c r="U23" i="21"/>
  <c r="D139" i="38" s="1"/>
  <c r="U21" i="21"/>
  <c r="D137" i="38" s="1"/>
  <c r="U19" i="21"/>
  <c r="D135" i="38" s="1"/>
  <c r="U17" i="21"/>
  <c r="D133" i="38" s="1"/>
  <c r="U15" i="21"/>
  <c r="D131" i="38" s="1"/>
  <c r="U31" i="21"/>
  <c r="D147" i="38" s="1"/>
  <c r="U37" i="21"/>
  <c r="D153" i="38" s="1"/>
  <c r="U39" i="21"/>
  <c r="U41" i="21"/>
  <c r="U43" i="21"/>
  <c r="U26" i="21"/>
  <c r="D142" i="38" s="1"/>
  <c r="U24" i="21"/>
  <c r="D140" i="38" s="1"/>
  <c r="U22" i="21"/>
  <c r="D138" i="38" s="1"/>
  <c r="U20" i="21"/>
  <c r="D136" i="38" s="1"/>
  <c r="U18" i="21"/>
  <c r="D134" i="38" s="1"/>
  <c r="U16" i="21"/>
  <c r="D132" i="38" s="1"/>
  <c r="U14" i="21"/>
  <c r="D130" i="38" s="1"/>
  <c r="U45" i="21"/>
  <c r="U28" i="21"/>
  <c r="D144" i="38" s="1"/>
  <c r="U34" i="21"/>
  <c r="D150" i="38" s="1"/>
  <c r="U30" i="21"/>
  <c r="D146" i="38" s="1"/>
  <c r="U27" i="21"/>
  <c r="D143" i="38" s="1"/>
  <c r="U40" i="21"/>
  <c r="U29" i="21"/>
  <c r="D145" i="38" s="1"/>
  <c r="U35" i="21"/>
  <c r="D151" i="38" s="1"/>
  <c r="U46" i="21"/>
  <c r="U42" i="21"/>
  <c r="U32" i="21"/>
  <c r="D148" i="38" s="1"/>
  <c r="U33" i="21"/>
  <c r="D149" i="38" s="1"/>
  <c r="B162" i="3"/>
  <c r="J205" i="3"/>
  <c r="T38" i="24"/>
  <c r="C192" i="3"/>
  <c r="J149" i="3"/>
  <c r="J148" i="3"/>
  <c r="G126" i="3"/>
  <c r="O126" i="3" s="1"/>
  <c r="G126" i="2"/>
  <c r="O126" i="2" s="1"/>
  <c r="X7" i="21"/>
  <c r="K103" i="3"/>
  <c r="K10" i="38" s="1"/>
  <c r="J110" i="3"/>
  <c r="L138" i="3"/>
  <c r="J178" i="3"/>
  <c r="B103" i="3"/>
  <c r="B10" i="38" s="1"/>
  <c r="B134" i="38" s="1"/>
  <c r="C172" i="3"/>
  <c r="C174" i="3"/>
  <c r="L121" i="3"/>
  <c r="C148" i="3"/>
  <c r="B204" i="3"/>
  <c r="X9" i="19"/>
  <c r="X12" i="19"/>
  <c r="K143" i="3"/>
  <c r="B138" i="3"/>
  <c r="L165" i="3"/>
  <c r="K173" i="3"/>
  <c r="E157" i="3"/>
  <c r="M157" i="3" s="1"/>
  <c r="E157" i="2"/>
  <c r="M157" i="2" s="1"/>
  <c r="V7" i="17"/>
  <c r="V9" i="17" s="1"/>
  <c r="B182" i="3"/>
  <c r="J207" i="3"/>
  <c r="C194" i="3"/>
  <c r="J150" i="3"/>
  <c r="T38" i="14"/>
  <c r="S123" i="3" s="1"/>
  <c r="S99" i="3"/>
  <c r="K104" i="3"/>
  <c r="K111" i="3"/>
  <c r="J118" i="3"/>
  <c r="L136" i="3"/>
  <c r="J184" i="3"/>
  <c r="B105" i="3"/>
  <c r="B12" i="38" s="1"/>
  <c r="B24" i="38" s="1"/>
  <c r="B148" i="38" s="1"/>
  <c r="C139" i="3"/>
  <c r="B207" i="3"/>
  <c r="B145" i="3"/>
  <c r="B147" i="3"/>
  <c r="W41" i="13"/>
  <c r="W45" i="13"/>
  <c r="W40" i="13"/>
  <c r="W42" i="13"/>
  <c r="W34" i="13"/>
  <c r="N119" i="38" s="1"/>
  <c r="W26" i="13"/>
  <c r="N111" i="38" s="1"/>
  <c r="W18" i="13"/>
  <c r="N103" i="38" s="1"/>
  <c r="W46" i="13"/>
  <c r="W31" i="13"/>
  <c r="N116" i="38" s="1"/>
  <c r="W23" i="13"/>
  <c r="N108" i="38" s="1"/>
  <c r="W15" i="13"/>
  <c r="N100" i="38" s="1"/>
  <c r="W39" i="13"/>
  <c r="W36" i="13"/>
  <c r="N121" i="38" s="1"/>
  <c r="W28" i="13"/>
  <c r="N113" i="38" s="1"/>
  <c r="W20" i="13"/>
  <c r="N105" i="38" s="1"/>
  <c r="W33" i="13"/>
  <c r="N118" i="38" s="1"/>
  <c r="W25" i="13"/>
  <c r="N110" i="38" s="1"/>
  <c r="W17" i="13"/>
  <c r="N102" i="38" s="1"/>
  <c r="W30" i="13"/>
  <c r="N115" i="38" s="1"/>
  <c r="W22" i="13"/>
  <c r="N107" i="38" s="1"/>
  <c r="W14" i="13"/>
  <c r="N99" i="38" s="1"/>
  <c r="W44" i="13"/>
  <c r="W35" i="13"/>
  <c r="N120" i="38" s="1"/>
  <c r="W27" i="13"/>
  <c r="N112" i="38" s="1"/>
  <c r="W19" i="13"/>
  <c r="N104" i="38" s="1"/>
  <c r="W32" i="13"/>
  <c r="N117" i="38" s="1"/>
  <c r="W24" i="13"/>
  <c r="N109" i="38" s="1"/>
  <c r="W16" i="13"/>
  <c r="N101" i="38" s="1"/>
  <c r="W43" i="13"/>
  <c r="W37" i="13"/>
  <c r="N122" i="38" s="1"/>
  <c r="W29" i="13"/>
  <c r="N114" i="38" s="1"/>
  <c r="W21" i="13"/>
  <c r="N106" i="38" s="1"/>
  <c r="L173" i="3"/>
  <c r="K175" i="3"/>
  <c r="B173" i="3"/>
  <c r="S38" i="25"/>
  <c r="J192" i="3"/>
  <c r="J209" i="3"/>
  <c r="C196" i="3"/>
  <c r="J147" i="3"/>
  <c r="J152" i="3"/>
  <c r="V23" i="16"/>
  <c r="AK108" i="3" s="1"/>
  <c r="V25" i="16"/>
  <c r="AK110" i="3" s="1"/>
  <c r="V27" i="16"/>
  <c r="AK112" i="3" s="1"/>
  <c r="V31" i="16"/>
  <c r="AK116" i="3" s="1"/>
  <c r="V35" i="16"/>
  <c r="AK120" i="3" s="1"/>
  <c r="V14" i="16"/>
  <c r="V18" i="16"/>
  <c r="AK103" i="3" s="1"/>
  <c r="V45" i="16"/>
  <c r="V43" i="16"/>
  <c r="V41" i="16"/>
  <c r="V39" i="16"/>
  <c r="V20" i="16"/>
  <c r="AK105" i="3" s="1"/>
  <c r="V24" i="16"/>
  <c r="AK109" i="3" s="1"/>
  <c r="V26" i="16"/>
  <c r="AK111" i="3" s="1"/>
  <c r="V34" i="16"/>
  <c r="AK119" i="3" s="1"/>
  <c r="V15" i="16"/>
  <c r="AK100" i="3" s="1"/>
  <c r="V40" i="16"/>
  <c r="V36" i="16"/>
  <c r="AK121" i="3" s="1"/>
  <c r="V32" i="16"/>
  <c r="AK117" i="3" s="1"/>
  <c r="V22" i="16"/>
  <c r="AK107" i="3" s="1"/>
  <c r="V46" i="16"/>
  <c r="V42" i="16"/>
  <c r="V28" i="16"/>
  <c r="AK113" i="3" s="1"/>
  <c r="V21" i="16"/>
  <c r="AK106" i="3" s="1"/>
  <c r="V17" i="16"/>
  <c r="AK102" i="3" s="1"/>
  <c r="V37" i="16"/>
  <c r="AK122" i="3" s="1"/>
  <c r="V44" i="16"/>
  <c r="V30" i="16"/>
  <c r="AK115" i="3" s="1"/>
  <c r="V33" i="16"/>
  <c r="AK118" i="3" s="1"/>
  <c r="V19" i="16"/>
  <c r="AK104" i="3" s="1"/>
  <c r="V16" i="16"/>
  <c r="AK101" i="3" s="1"/>
  <c r="V29" i="16"/>
  <c r="AK114" i="3" s="1"/>
  <c r="K112" i="3"/>
  <c r="K119" i="3"/>
  <c r="J105" i="3"/>
  <c r="J12" i="38" s="1"/>
  <c r="J24" i="38" s="1"/>
  <c r="J210" i="38" s="1"/>
  <c r="L147" i="3"/>
  <c r="L145" i="3"/>
  <c r="B107" i="3"/>
  <c r="C184" i="3"/>
  <c r="L100" i="3"/>
  <c r="C133" i="3"/>
  <c r="C151" i="3"/>
  <c r="B206" i="3"/>
  <c r="B195" i="3"/>
  <c r="K152" i="3"/>
  <c r="K141" i="3"/>
  <c r="W45" i="14"/>
  <c r="W43" i="14"/>
  <c r="W41" i="14"/>
  <c r="W39" i="14"/>
  <c r="W36" i="14"/>
  <c r="V121" i="3" s="1"/>
  <c r="W34" i="14"/>
  <c r="V119" i="3" s="1"/>
  <c r="W20" i="14"/>
  <c r="V105" i="3" s="1"/>
  <c r="W22" i="14"/>
  <c r="V107" i="3" s="1"/>
  <c r="W33" i="14"/>
  <c r="V118" i="3" s="1"/>
  <c r="W40" i="14"/>
  <c r="W24" i="14"/>
  <c r="V109" i="3" s="1"/>
  <c r="W35" i="14"/>
  <c r="V120" i="3" s="1"/>
  <c r="W26" i="14"/>
  <c r="V111" i="3" s="1"/>
  <c r="W28" i="14"/>
  <c r="V113" i="3" s="1"/>
  <c r="W37" i="14"/>
  <c r="V122" i="3" s="1"/>
  <c r="W19" i="14"/>
  <c r="V104" i="3" s="1"/>
  <c r="W44" i="14"/>
  <c r="W30" i="14"/>
  <c r="V115" i="3" s="1"/>
  <c r="W21" i="14"/>
  <c r="V106" i="3" s="1"/>
  <c r="W32" i="14"/>
  <c r="V117" i="3" s="1"/>
  <c r="W23" i="14"/>
  <c r="V108" i="3" s="1"/>
  <c r="W46" i="14"/>
  <c r="W14" i="14"/>
  <c r="W25" i="14"/>
  <c r="V110" i="3" s="1"/>
  <c r="W16" i="14"/>
  <c r="V101" i="3" s="1"/>
  <c r="W15" i="14"/>
  <c r="V100" i="3" s="1"/>
  <c r="W27" i="14"/>
  <c r="V112" i="3" s="1"/>
  <c r="W18" i="14"/>
  <c r="V103" i="3" s="1"/>
  <c r="W31" i="14"/>
  <c r="V116" i="3" s="1"/>
  <c r="W17" i="14"/>
  <c r="V102" i="3" s="1"/>
  <c r="W42" i="14"/>
  <c r="W29" i="14"/>
  <c r="V114" i="3" s="1"/>
  <c r="L181" i="3"/>
  <c r="K162" i="3"/>
  <c r="K177" i="3"/>
  <c r="V37" i="25"/>
  <c r="M215" i="38" s="1"/>
  <c r="V35" i="25"/>
  <c r="M213" i="38" s="1"/>
  <c r="V33" i="25"/>
  <c r="M211" i="38" s="1"/>
  <c r="V31" i="25"/>
  <c r="M209" i="38" s="1"/>
  <c r="V29" i="25"/>
  <c r="M207" i="38" s="1"/>
  <c r="V27" i="25"/>
  <c r="M205" i="38" s="1"/>
  <c r="V25" i="25"/>
  <c r="M203" i="38" s="1"/>
  <c r="V23" i="25"/>
  <c r="M201" i="38" s="1"/>
  <c r="V21" i="25"/>
  <c r="M199" i="38" s="1"/>
  <c r="V19" i="25"/>
  <c r="M197" i="38" s="1"/>
  <c r="V17" i="25"/>
  <c r="M195" i="38" s="1"/>
  <c r="V15" i="25"/>
  <c r="M193" i="38" s="1"/>
  <c r="V45" i="25"/>
  <c r="V43" i="25"/>
  <c r="V41" i="25"/>
  <c r="V39" i="25"/>
  <c r="V36" i="25"/>
  <c r="M214" i="38" s="1"/>
  <c r="V34" i="25"/>
  <c r="M212" i="38" s="1"/>
  <c r="V32" i="25"/>
  <c r="M210" i="38" s="1"/>
  <c r="V30" i="25"/>
  <c r="M208" i="38" s="1"/>
  <c r="V28" i="25"/>
  <c r="M206" i="38" s="1"/>
  <c r="V26" i="25"/>
  <c r="M204" i="38" s="1"/>
  <c r="V24" i="25"/>
  <c r="M202" i="38" s="1"/>
  <c r="V22" i="25"/>
  <c r="M200" i="38" s="1"/>
  <c r="V20" i="25"/>
  <c r="M198" i="38" s="1"/>
  <c r="V18" i="25"/>
  <c r="M196" i="38" s="1"/>
  <c r="V16" i="25"/>
  <c r="M194" i="38" s="1"/>
  <c r="V14" i="25"/>
  <c r="M192" i="38" s="1"/>
  <c r="V46" i="25"/>
  <c r="V44" i="25"/>
  <c r="V42" i="25"/>
  <c r="V40" i="25"/>
  <c r="B177" i="3"/>
  <c r="B171" i="3"/>
  <c r="J194" i="3"/>
  <c r="J211" i="3"/>
  <c r="X6" i="10"/>
  <c r="W9" i="10"/>
  <c r="W12" i="10"/>
  <c r="C198" i="3"/>
  <c r="V45" i="9"/>
  <c r="V43" i="9"/>
  <c r="V41" i="9"/>
  <c r="V39" i="9"/>
  <c r="V37" i="9"/>
  <c r="V35" i="9"/>
  <c r="V33" i="9"/>
  <c r="V31" i="9"/>
  <c r="V29" i="9"/>
  <c r="V27" i="9"/>
  <c r="V25" i="9"/>
  <c r="V23" i="9"/>
  <c r="V21" i="9"/>
  <c r="V19" i="9"/>
  <c r="M24" i="3" s="1"/>
  <c r="V17" i="9"/>
  <c r="M10" i="3" s="1"/>
  <c r="V15" i="9"/>
  <c r="M8" i="3" s="1"/>
  <c r="V32" i="9"/>
  <c r="V46" i="9"/>
  <c r="V40" i="9"/>
  <c r="V34" i="9"/>
  <c r="V42" i="9"/>
  <c r="V22" i="9"/>
  <c r="V14" i="9"/>
  <c r="M6" i="3" s="1"/>
  <c r="V36" i="9"/>
  <c r="V44" i="9"/>
  <c r="V30" i="9"/>
  <c r="V26" i="9"/>
  <c r="V18" i="9"/>
  <c r="M12" i="3" s="1"/>
  <c r="V38" i="9"/>
  <c r="V24" i="9"/>
  <c r="V16" i="9"/>
  <c r="M9" i="3" s="1"/>
  <c r="V28" i="9"/>
  <c r="V20" i="9"/>
  <c r="V12" i="12"/>
  <c r="W6" i="12"/>
  <c r="V9" i="12"/>
  <c r="V13" i="12"/>
  <c r="W13" i="12" s="1"/>
  <c r="X13" i="12" s="1"/>
  <c r="K120" i="3"/>
  <c r="K106" i="3"/>
  <c r="J113" i="3"/>
  <c r="L148" i="3"/>
  <c r="L134" i="3"/>
  <c r="J163" i="3"/>
  <c r="B122" i="3"/>
  <c r="B109" i="3"/>
  <c r="C169" i="3"/>
  <c r="L102" i="3"/>
  <c r="C149" i="3"/>
  <c r="C145" i="3"/>
  <c r="B202" i="3"/>
  <c r="B193" i="3"/>
  <c r="B208" i="3"/>
  <c r="B141" i="3"/>
  <c r="B150" i="3"/>
  <c r="B197" i="3"/>
  <c r="B210" i="3"/>
  <c r="T38" i="22"/>
  <c r="K130" i="3"/>
  <c r="K150" i="3"/>
  <c r="B144" i="3"/>
  <c r="L184" i="3"/>
  <c r="K170" i="3"/>
  <c r="K179" i="3"/>
  <c r="L193" i="3"/>
  <c r="E188" i="3"/>
  <c r="M188" i="3" s="1"/>
  <c r="E188" i="2"/>
  <c r="M188" i="2" s="1"/>
  <c r="V7" i="24"/>
  <c r="V9" i="24" s="1"/>
  <c r="K193" i="3"/>
  <c r="B181" i="3"/>
  <c r="B180" i="3"/>
  <c r="J196" i="3"/>
  <c r="J213" i="3"/>
  <c r="C193" i="3"/>
  <c r="C200" i="3"/>
  <c r="J143" i="3"/>
  <c r="V7" i="10"/>
  <c r="V9" i="10" s="1"/>
  <c r="E33" i="3"/>
  <c r="M33" i="3" s="1"/>
  <c r="E33" i="2"/>
  <c r="M33" i="2" s="1"/>
  <c r="T38" i="13"/>
  <c r="K99" i="3"/>
  <c r="K6" i="38" s="1"/>
  <c r="K114" i="3"/>
  <c r="J121" i="3"/>
  <c r="L143" i="3"/>
  <c r="J171" i="3"/>
  <c r="B120" i="3"/>
  <c r="B111" i="3"/>
  <c r="T38" i="17"/>
  <c r="C161" i="3"/>
  <c r="L104" i="3"/>
  <c r="C152" i="3"/>
  <c r="K178" i="3"/>
  <c r="K181" i="3"/>
  <c r="L195" i="3"/>
  <c r="X43" i="13"/>
  <c r="X42" i="13"/>
  <c r="X44" i="13"/>
  <c r="X34" i="13"/>
  <c r="X26" i="13"/>
  <c r="X18" i="13"/>
  <c r="X46" i="13"/>
  <c r="X31" i="13"/>
  <c r="X23" i="13"/>
  <c r="X15" i="13"/>
  <c r="X39" i="13"/>
  <c r="X36" i="13"/>
  <c r="X28" i="13"/>
  <c r="X20" i="13"/>
  <c r="X33" i="13"/>
  <c r="X25" i="13"/>
  <c r="X17" i="13"/>
  <c r="X45" i="13"/>
  <c r="X41" i="13"/>
  <c r="X30" i="13"/>
  <c r="X22" i="13"/>
  <c r="X14" i="13"/>
  <c r="X35" i="13"/>
  <c r="X27" i="13"/>
  <c r="X19" i="13"/>
  <c r="X32" i="13"/>
  <c r="X24" i="13"/>
  <c r="X16" i="13"/>
  <c r="X40" i="13"/>
  <c r="X37" i="13"/>
  <c r="X29" i="13"/>
  <c r="X21" i="13"/>
  <c r="K195" i="3"/>
  <c r="B166" i="3"/>
  <c r="B169" i="3"/>
  <c r="J198" i="3"/>
  <c r="J215" i="3"/>
  <c r="C195" i="3"/>
  <c r="C202" i="3"/>
  <c r="T38" i="15"/>
  <c r="AA123" i="3" s="1"/>
  <c r="AA99" i="3"/>
  <c r="W12" i="16"/>
  <c r="W9" i="16"/>
  <c r="X6" i="16"/>
  <c r="K107" i="3"/>
  <c r="K122" i="3"/>
  <c r="J100" i="3"/>
  <c r="L144" i="3"/>
  <c r="L132" i="3"/>
  <c r="J179" i="3"/>
  <c r="B118" i="3"/>
  <c r="B113" i="3"/>
  <c r="L106" i="3"/>
  <c r="C143" i="3"/>
  <c r="K153" i="3"/>
  <c r="K139" i="3"/>
  <c r="D195" i="3"/>
  <c r="B135" i="3"/>
  <c r="B153" i="3"/>
  <c r="W46" i="20"/>
  <c r="W44" i="20"/>
  <c r="W42" i="20"/>
  <c r="W40" i="20"/>
  <c r="W38" i="20"/>
  <c r="N92" i="3" s="1"/>
  <c r="W36" i="20"/>
  <c r="N90" i="3" s="1"/>
  <c r="W34" i="20"/>
  <c r="N88" i="3" s="1"/>
  <c r="W32" i="20"/>
  <c r="N86" i="3" s="1"/>
  <c r="W30" i="20"/>
  <c r="N84" i="3" s="1"/>
  <c r="W28" i="20"/>
  <c r="N82" i="3" s="1"/>
  <c r="W26" i="20"/>
  <c r="N80" i="3" s="1"/>
  <c r="W24" i="20"/>
  <c r="N78" i="3" s="1"/>
  <c r="W22" i="20"/>
  <c r="N76" i="3" s="1"/>
  <c r="W20" i="20"/>
  <c r="N74" i="3" s="1"/>
  <c r="W18" i="20"/>
  <c r="N72" i="3" s="1"/>
  <c r="W16" i="20"/>
  <c r="N70" i="3" s="1"/>
  <c r="W14" i="20"/>
  <c r="N68" i="3" s="1"/>
  <c r="W29" i="20"/>
  <c r="N83" i="3" s="1"/>
  <c r="W43" i="20"/>
  <c r="W17" i="20"/>
  <c r="N71" i="3" s="1"/>
  <c r="W31" i="20"/>
  <c r="N85" i="3" s="1"/>
  <c r="W19" i="20"/>
  <c r="N73" i="3" s="1"/>
  <c r="W45" i="20"/>
  <c r="W33" i="20"/>
  <c r="N87" i="3" s="1"/>
  <c r="W23" i="20"/>
  <c r="N77" i="3" s="1"/>
  <c r="W41" i="20"/>
  <c r="W15" i="20"/>
  <c r="N69" i="3" s="1"/>
  <c r="W37" i="20"/>
  <c r="N91" i="3" s="1"/>
  <c r="W27" i="20"/>
  <c r="N81" i="3" s="1"/>
  <c r="W21" i="20"/>
  <c r="N75" i="3" s="1"/>
  <c r="W35" i="20"/>
  <c r="N89" i="3" s="1"/>
  <c r="W25" i="20"/>
  <c r="N79" i="3" s="1"/>
  <c r="W39" i="20"/>
  <c r="L168" i="3"/>
  <c r="K168" i="3"/>
  <c r="K183" i="3"/>
  <c r="L197" i="3"/>
  <c r="G157" i="3"/>
  <c r="O157" i="3" s="1"/>
  <c r="G157" i="2"/>
  <c r="O157" i="2" s="1"/>
  <c r="X7" i="17"/>
  <c r="K197" i="3"/>
  <c r="B170" i="3"/>
  <c r="J200" i="3"/>
  <c r="U31" i="11"/>
  <c r="U33" i="11"/>
  <c r="U35" i="11"/>
  <c r="U41" i="11"/>
  <c r="U43" i="11"/>
  <c r="U24" i="11"/>
  <c r="U22" i="11"/>
  <c r="U20" i="11"/>
  <c r="U18" i="11"/>
  <c r="L43" i="3" s="1"/>
  <c r="U16" i="11"/>
  <c r="L40" i="3" s="1"/>
  <c r="U14" i="11"/>
  <c r="L37" i="3" s="1"/>
  <c r="U30" i="11"/>
  <c r="U32" i="11"/>
  <c r="U34" i="11"/>
  <c r="U36" i="11"/>
  <c r="U38" i="11"/>
  <c r="U40" i="11"/>
  <c r="U42" i="11"/>
  <c r="U46" i="11"/>
  <c r="U15" i="11"/>
  <c r="L39" i="3" s="1"/>
  <c r="U25" i="11"/>
  <c r="U45" i="11"/>
  <c r="U29" i="11"/>
  <c r="U44" i="11"/>
  <c r="U28" i="11"/>
  <c r="U17" i="11"/>
  <c r="L41" i="3" s="1"/>
  <c r="U27" i="11"/>
  <c r="U23" i="11"/>
  <c r="U39" i="11"/>
  <c r="U19" i="11"/>
  <c r="U26" i="11"/>
  <c r="U21" i="11"/>
  <c r="U37" i="11"/>
  <c r="C197" i="3"/>
  <c r="C204" i="3"/>
  <c r="J139" i="3"/>
  <c r="E2" i="3"/>
  <c r="M2" i="3" s="1"/>
  <c r="E2" i="2"/>
  <c r="M2" i="2" s="1"/>
  <c r="V7" i="8"/>
  <c r="V9" i="8" s="1"/>
  <c r="K115" i="3"/>
  <c r="J108" i="3"/>
  <c r="L152" i="3"/>
  <c r="J168" i="3"/>
  <c r="S38" i="18"/>
  <c r="J161" i="3"/>
  <c r="B116" i="3"/>
  <c r="B115" i="3"/>
  <c r="C170" i="3"/>
  <c r="L108" i="3"/>
  <c r="C146" i="3"/>
  <c r="C150" i="3"/>
  <c r="J7" i="38" l="1"/>
  <c r="J18" i="38"/>
  <c r="J20" i="38"/>
  <c r="J16" i="38"/>
  <c r="J11" i="38"/>
  <c r="J22" i="38"/>
  <c r="J14" i="38"/>
  <c r="B99" i="38"/>
  <c r="K102" i="38"/>
  <c r="J192" i="38"/>
  <c r="K179" i="38"/>
  <c r="B105" i="38"/>
  <c r="J164" i="38"/>
  <c r="B165" i="38"/>
  <c r="B103" i="38"/>
  <c r="J165" i="38"/>
  <c r="J101" i="38"/>
  <c r="K101" i="38"/>
  <c r="J133" i="38"/>
  <c r="J194" i="38"/>
  <c r="B179" i="38"/>
  <c r="K7" i="38"/>
  <c r="K18" i="38"/>
  <c r="B11" i="38"/>
  <c r="B22" i="38"/>
  <c r="B14" i="38"/>
  <c r="K11" i="38"/>
  <c r="K22" i="38"/>
  <c r="K14" i="38"/>
  <c r="B21" i="38"/>
  <c r="B15" i="38"/>
  <c r="K21" i="38"/>
  <c r="K15" i="38"/>
  <c r="K103" i="38"/>
  <c r="K99" i="38"/>
  <c r="J148" i="38"/>
  <c r="K210" i="38"/>
  <c r="K148" i="38"/>
  <c r="J179" i="38"/>
  <c r="J102" i="38"/>
  <c r="K105" i="38"/>
  <c r="J130" i="38"/>
  <c r="B130" i="38"/>
  <c r="B196" i="38"/>
  <c r="B210" i="38"/>
  <c r="B117" i="38"/>
  <c r="J163" i="38"/>
  <c r="J134" i="38"/>
  <c r="B167" i="38"/>
  <c r="B7" i="38"/>
  <c r="B18" i="38"/>
  <c r="J161" i="38"/>
  <c r="J99" i="38"/>
  <c r="B164" i="38"/>
  <c r="K163" i="38"/>
  <c r="B133" i="38"/>
  <c r="J117" i="38"/>
  <c r="J198" i="38"/>
  <c r="K161" i="38"/>
  <c r="J196" i="38"/>
  <c r="K167" i="38"/>
  <c r="K133" i="38"/>
  <c r="K165" i="38"/>
  <c r="K134" i="38"/>
  <c r="K130" i="38"/>
  <c r="B195" i="38"/>
  <c r="B198" i="38"/>
  <c r="B20" i="38"/>
  <c r="B16" i="38"/>
  <c r="J21" i="38"/>
  <c r="J15" i="38"/>
  <c r="K20" i="38"/>
  <c r="K16" i="38"/>
  <c r="J103" i="38"/>
  <c r="J132" i="38"/>
  <c r="K194" i="38"/>
  <c r="K164" i="38"/>
  <c r="B132" i="38"/>
  <c r="J167" i="38"/>
  <c r="B161" i="38"/>
  <c r="K192" i="38"/>
  <c r="J105" i="38"/>
  <c r="J136" i="38"/>
  <c r="B163" i="38"/>
  <c r="K198" i="38"/>
  <c r="B136" i="38"/>
  <c r="K136" i="38"/>
  <c r="B194" i="38"/>
  <c r="B101" i="38"/>
  <c r="K196" i="38"/>
  <c r="J12" i="2"/>
  <c r="B6" i="2"/>
  <c r="K8" i="2"/>
  <c r="K101" i="2" s="1"/>
  <c r="J6" i="2"/>
  <c r="J18" i="2" s="1"/>
  <c r="K6" i="2"/>
  <c r="K161" i="2" s="1"/>
  <c r="K7" i="30" s="1"/>
  <c r="B12" i="2"/>
  <c r="B10" i="2"/>
  <c r="B8" i="2"/>
  <c r="J9" i="2"/>
  <c r="J102" i="2" s="1"/>
  <c r="K10" i="2"/>
  <c r="K14" i="2" s="1"/>
  <c r="B9" i="2"/>
  <c r="B10" i="30" s="1"/>
  <c r="R10" i="30" s="1"/>
  <c r="AG10" i="30" s="1"/>
  <c r="J8" i="2"/>
  <c r="J10" i="2"/>
  <c r="J22" i="2" s="1"/>
  <c r="K12" i="2"/>
  <c r="L130" i="2"/>
  <c r="K9" i="2"/>
  <c r="K133" i="2" s="1"/>
  <c r="V36" i="17"/>
  <c r="E183" i="38" s="1"/>
  <c r="V34" i="17"/>
  <c r="E181" i="38" s="1"/>
  <c r="V32" i="17"/>
  <c r="E179" i="38" s="1"/>
  <c r="V30" i="17"/>
  <c r="E177" i="38" s="1"/>
  <c r="V28" i="17"/>
  <c r="E175" i="38" s="1"/>
  <c r="V26" i="17"/>
  <c r="E173" i="38" s="1"/>
  <c r="V24" i="17"/>
  <c r="E171" i="38" s="1"/>
  <c r="V22" i="17"/>
  <c r="E169" i="38" s="1"/>
  <c r="V20" i="17"/>
  <c r="E167" i="38" s="1"/>
  <c r="V18" i="17"/>
  <c r="E165" i="38" s="1"/>
  <c r="V16" i="17"/>
  <c r="E163" i="38" s="1"/>
  <c r="V14" i="17"/>
  <c r="E161" i="38" s="1"/>
  <c r="V45" i="17"/>
  <c r="V43" i="17"/>
  <c r="V41" i="17"/>
  <c r="V39" i="17"/>
  <c r="V29" i="17"/>
  <c r="E176" i="38" s="1"/>
  <c r="V42" i="17"/>
  <c r="V35" i="17"/>
  <c r="E182" i="38" s="1"/>
  <c r="V15" i="17"/>
  <c r="E162" i="38" s="1"/>
  <c r="V44" i="17"/>
  <c r="V37" i="17"/>
  <c r="E184" i="38" s="1"/>
  <c r="V17" i="17"/>
  <c r="E164" i="38" s="1"/>
  <c r="V19" i="17"/>
  <c r="E166" i="38" s="1"/>
  <c r="V46" i="17"/>
  <c r="V33" i="17"/>
  <c r="E180" i="38" s="1"/>
  <c r="V25" i="17"/>
  <c r="E172" i="38" s="1"/>
  <c r="V21" i="17"/>
  <c r="E168" i="38" s="1"/>
  <c r="V31" i="17"/>
  <c r="E178" i="38" s="1"/>
  <c r="V23" i="17"/>
  <c r="E170" i="38" s="1"/>
  <c r="V27" i="17"/>
  <c r="E174" i="38" s="1"/>
  <c r="V40" i="17"/>
  <c r="M194" i="3"/>
  <c r="M203" i="3"/>
  <c r="O107" i="3"/>
  <c r="M196" i="3"/>
  <c r="M205" i="3"/>
  <c r="N121" i="3"/>
  <c r="D144" i="3"/>
  <c r="N213" i="3"/>
  <c r="C101" i="3"/>
  <c r="C8" i="38" s="1"/>
  <c r="X12" i="26"/>
  <c r="X9" i="26"/>
  <c r="M133" i="3"/>
  <c r="M148" i="3"/>
  <c r="X6" i="17"/>
  <c r="W12" i="17"/>
  <c r="W9" i="17"/>
  <c r="D181" i="3"/>
  <c r="D180" i="3"/>
  <c r="M102" i="3"/>
  <c r="M113" i="3"/>
  <c r="O199" i="3"/>
  <c r="O206" i="3"/>
  <c r="M183" i="3"/>
  <c r="M174" i="3"/>
  <c r="M198" i="3"/>
  <c r="M207" i="3"/>
  <c r="W38" i="14"/>
  <c r="V123" i="3" s="1"/>
  <c r="V99" i="3"/>
  <c r="N106" i="3"/>
  <c r="N215" i="3"/>
  <c r="C122" i="3"/>
  <c r="M153" i="3"/>
  <c r="D182" i="3"/>
  <c r="M110" i="3"/>
  <c r="M115" i="3"/>
  <c r="X6" i="11"/>
  <c r="W9" i="11"/>
  <c r="W12" i="11"/>
  <c r="O201" i="3"/>
  <c r="O208" i="3"/>
  <c r="K136" i="2"/>
  <c r="M167" i="3"/>
  <c r="M182" i="3"/>
  <c r="D103" i="3"/>
  <c r="D152" i="3"/>
  <c r="M200" i="3"/>
  <c r="M209" i="3"/>
  <c r="N114" i="3"/>
  <c r="N100" i="3"/>
  <c r="U38" i="21"/>
  <c r="D154" i="38" s="1"/>
  <c r="D130" i="3"/>
  <c r="W45" i="8"/>
  <c r="W43" i="8"/>
  <c r="W41" i="8"/>
  <c r="W39" i="8"/>
  <c r="W37" i="8"/>
  <c r="W35" i="8"/>
  <c r="W33" i="8"/>
  <c r="W31" i="8"/>
  <c r="W29" i="8"/>
  <c r="W27" i="8"/>
  <c r="W25" i="8"/>
  <c r="W23" i="8"/>
  <c r="W21" i="8"/>
  <c r="W19" i="8"/>
  <c r="F24" i="3" s="1"/>
  <c r="W17" i="8"/>
  <c r="F10" i="3" s="1"/>
  <c r="W15" i="8"/>
  <c r="F8" i="3" s="1"/>
  <c r="W46" i="8"/>
  <c r="W44" i="8"/>
  <c r="W42" i="8"/>
  <c r="W40" i="8"/>
  <c r="W38" i="8"/>
  <c r="W36" i="8"/>
  <c r="W34" i="8"/>
  <c r="W32" i="8"/>
  <c r="W30" i="8"/>
  <c r="W28" i="8"/>
  <c r="W26" i="8"/>
  <c r="W24" i="8"/>
  <c r="W22" i="8"/>
  <c r="W20" i="8"/>
  <c r="W18" i="8"/>
  <c r="F12" i="3" s="1"/>
  <c r="W16" i="8"/>
  <c r="F9" i="3" s="1"/>
  <c r="W14" i="8"/>
  <c r="F6" i="3" s="1"/>
  <c r="T38" i="12"/>
  <c r="C99" i="3"/>
  <c r="C6" i="38" s="1"/>
  <c r="C99" i="38" s="1"/>
  <c r="M142" i="3"/>
  <c r="D177" i="3"/>
  <c r="D184" i="3"/>
  <c r="J164" i="2"/>
  <c r="J10" i="30" s="1"/>
  <c r="Y10" i="30" s="1"/>
  <c r="AI10" i="30" s="1"/>
  <c r="M118" i="3"/>
  <c r="M117" i="3"/>
  <c r="O203" i="3"/>
  <c r="O210" i="3"/>
  <c r="M175" i="3"/>
  <c r="D101" i="3"/>
  <c r="D146" i="3"/>
  <c r="D132" i="3"/>
  <c r="C120" i="3"/>
  <c r="B154" i="3"/>
  <c r="K105" i="2"/>
  <c r="M131" i="3"/>
  <c r="D173" i="3"/>
  <c r="L164" i="2"/>
  <c r="M100" i="3"/>
  <c r="M119" i="3"/>
  <c r="O205" i="3"/>
  <c r="O212" i="3"/>
  <c r="D122" i="3"/>
  <c r="O112" i="3"/>
  <c r="N105" i="3"/>
  <c r="K130" i="2"/>
  <c r="O102" i="3"/>
  <c r="W46" i="10"/>
  <c r="W44" i="10"/>
  <c r="W42" i="10"/>
  <c r="W40" i="10"/>
  <c r="W38" i="10"/>
  <c r="W36" i="10"/>
  <c r="W34" i="10"/>
  <c r="W32" i="10"/>
  <c r="W30" i="10"/>
  <c r="W28" i="10"/>
  <c r="W26" i="10"/>
  <c r="W24" i="10"/>
  <c r="W22" i="10"/>
  <c r="W20" i="10"/>
  <c r="W18" i="10"/>
  <c r="F43" i="3" s="1"/>
  <c r="W16" i="10"/>
  <c r="F40" i="3" s="1"/>
  <c r="W14" i="10"/>
  <c r="F37" i="3" s="1"/>
  <c r="W27" i="10"/>
  <c r="W41" i="10"/>
  <c r="W21" i="10"/>
  <c r="W15" i="10"/>
  <c r="F39" i="3" s="1"/>
  <c r="W29" i="10"/>
  <c r="W43" i="10"/>
  <c r="W23" i="10"/>
  <c r="W37" i="10"/>
  <c r="W17" i="10"/>
  <c r="F41" i="3" s="1"/>
  <c r="W31" i="10"/>
  <c r="W45" i="10"/>
  <c r="W25" i="10"/>
  <c r="W33" i="10"/>
  <c r="W35" i="10"/>
  <c r="W39" i="10"/>
  <c r="W19" i="10"/>
  <c r="M204" i="3"/>
  <c r="M213" i="3"/>
  <c r="N116" i="3"/>
  <c r="D134" i="3"/>
  <c r="B16" i="2"/>
  <c r="C118" i="3"/>
  <c r="M151" i="3"/>
  <c r="J154" i="3"/>
  <c r="M108" i="3"/>
  <c r="M121" i="3"/>
  <c r="O207" i="3"/>
  <c r="O214" i="3"/>
  <c r="V38" i="18"/>
  <c r="M185" i="38" s="1"/>
  <c r="M161" i="3"/>
  <c r="U38" i="12"/>
  <c r="D123" i="38" s="1"/>
  <c r="D99" i="3"/>
  <c r="O119" i="3"/>
  <c r="V32" i="12"/>
  <c r="E117" i="38" s="1"/>
  <c r="V34" i="12"/>
  <c r="E119" i="38" s="1"/>
  <c r="V15" i="12"/>
  <c r="E100" i="38" s="1"/>
  <c r="V36" i="12"/>
  <c r="E121" i="38" s="1"/>
  <c r="V17" i="12"/>
  <c r="E102" i="38" s="1"/>
  <c r="V21" i="12"/>
  <c r="E106" i="38" s="1"/>
  <c r="V40" i="12"/>
  <c r="V23" i="12"/>
  <c r="E108" i="38" s="1"/>
  <c r="V42" i="12"/>
  <c r="V25" i="12"/>
  <c r="E110" i="38" s="1"/>
  <c r="V29" i="12"/>
  <c r="E114" i="38" s="1"/>
  <c r="V46" i="12"/>
  <c r="V31" i="12"/>
  <c r="E116" i="38" s="1"/>
  <c r="V33" i="12"/>
  <c r="E118" i="38" s="1"/>
  <c r="V35" i="12"/>
  <c r="E120" i="38" s="1"/>
  <c r="V14" i="12"/>
  <c r="E99" i="38" s="1"/>
  <c r="V37" i="12"/>
  <c r="E122" i="38" s="1"/>
  <c r="V16" i="12"/>
  <c r="E101" i="38" s="1"/>
  <c r="V18" i="12"/>
  <c r="E103" i="38" s="1"/>
  <c r="V39" i="12"/>
  <c r="V20" i="12"/>
  <c r="E105" i="38" s="1"/>
  <c r="V41" i="12"/>
  <c r="V22" i="12"/>
  <c r="E107" i="38" s="1"/>
  <c r="V26" i="12"/>
  <c r="E111" i="38" s="1"/>
  <c r="V24" i="12"/>
  <c r="E109" i="38" s="1"/>
  <c r="V28" i="12"/>
  <c r="E113" i="38" s="1"/>
  <c r="V19" i="12"/>
  <c r="E104" i="38" s="1"/>
  <c r="V45" i="12"/>
  <c r="V27" i="12"/>
  <c r="E112" i="38" s="1"/>
  <c r="V44" i="12"/>
  <c r="V30" i="12"/>
  <c r="E115" i="38" s="1"/>
  <c r="V43" i="12"/>
  <c r="C216" i="3"/>
  <c r="D136" i="3"/>
  <c r="K16" i="2"/>
  <c r="C116" i="3"/>
  <c r="X39" i="23"/>
  <c r="X33" i="23"/>
  <c r="W149" i="3" s="1"/>
  <c r="W149" i="28" s="1"/>
  <c r="X149" i="28" s="1"/>
  <c r="X30" i="23"/>
  <c r="W146" i="3" s="1"/>
  <c r="W146" i="28" s="1"/>
  <c r="X146" i="28" s="1"/>
  <c r="X19" i="23"/>
  <c r="W135" i="3" s="1"/>
  <c r="W135" i="28" s="1"/>
  <c r="X135" i="28" s="1"/>
  <c r="X27" i="23"/>
  <c r="W143" i="3" s="1"/>
  <c r="W143" i="28" s="1"/>
  <c r="X143" i="28" s="1"/>
  <c r="X24" i="23"/>
  <c r="W140" i="3" s="1"/>
  <c r="W140" i="28" s="1"/>
  <c r="X140" i="28" s="1"/>
  <c r="X16" i="23"/>
  <c r="W132" i="3" s="1"/>
  <c r="W132" i="28" s="1"/>
  <c r="X132" i="28" s="1"/>
  <c r="X44" i="23"/>
  <c r="X41" i="23"/>
  <c r="X21" i="23"/>
  <c r="W137" i="3" s="1"/>
  <c r="W137" i="28" s="1"/>
  <c r="X137" i="28" s="1"/>
  <c r="X35" i="23"/>
  <c r="W151" i="3" s="1"/>
  <c r="W151" i="28" s="1"/>
  <c r="X151" i="28" s="1"/>
  <c r="X32" i="23"/>
  <c r="W148" i="3" s="1"/>
  <c r="W148" i="28" s="1"/>
  <c r="X148" i="28" s="1"/>
  <c r="X18" i="23"/>
  <c r="W134" i="3" s="1"/>
  <c r="W134" i="28" s="1"/>
  <c r="X134" i="28" s="1"/>
  <c r="X29" i="23"/>
  <c r="W145" i="3" s="1"/>
  <c r="W145" i="28" s="1"/>
  <c r="X145" i="28" s="1"/>
  <c r="X26" i="23"/>
  <c r="W142" i="3" s="1"/>
  <c r="W142" i="28" s="1"/>
  <c r="X142" i="28" s="1"/>
  <c r="X46" i="23"/>
  <c r="X23" i="23"/>
  <c r="W139" i="3" s="1"/>
  <c r="W139" i="28" s="1"/>
  <c r="X139" i="28" s="1"/>
  <c r="X15" i="23"/>
  <c r="W131" i="3" s="1"/>
  <c r="W131" i="28" s="1"/>
  <c r="X131" i="28" s="1"/>
  <c r="X43" i="23"/>
  <c r="X40" i="23"/>
  <c r="X37" i="23"/>
  <c r="W153" i="3" s="1"/>
  <c r="W153" i="28" s="1"/>
  <c r="X153" i="28" s="1"/>
  <c r="X34" i="23"/>
  <c r="W150" i="3" s="1"/>
  <c r="W150" i="28" s="1"/>
  <c r="X150" i="28" s="1"/>
  <c r="X20" i="23"/>
  <c r="W136" i="3" s="1"/>
  <c r="W136" i="28" s="1"/>
  <c r="X136" i="28" s="1"/>
  <c r="X31" i="23"/>
  <c r="W147" i="3" s="1"/>
  <c r="W147" i="28" s="1"/>
  <c r="X147" i="28" s="1"/>
  <c r="X28" i="23"/>
  <c r="W144" i="3" s="1"/>
  <c r="W144" i="28" s="1"/>
  <c r="X144" i="28" s="1"/>
  <c r="X17" i="23"/>
  <c r="W133" i="3" s="1"/>
  <c r="W133" i="28" s="1"/>
  <c r="X133" i="28" s="1"/>
  <c r="X45" i="23"/>
  <c r="X42" i="23"/>
  <c r="X22" i="23"/>
  <c r="W138" i="3" s="1"/>
  <c r="W138" i="28" s="1"/>
  <c r="X138" i="28" s="1"/>
  <c r="X14" i="23"/>
  <c r="X36" i="23"/>
  <c r="W152" i="3" s="1"/>
  <c r="W152" i="28" s="1"/>
  <c r="X152" i="28" s="1"/>
  <c r="X25" i="23"/>
  <c r="W141" i="3" s="1"/>
  <c r="W141" i="28" s="1"/>
  <c r="X141" i="28" s="1"/>
  <c r="D171" i="3"/>
  <c r="M116" i="3"/>
  <c r="O209" i="3"/>
  <c r="M169" i="3"/>
  <c r="D120" i="3"/>
  <c r="O115" i="3"/>
  <c r="M202" i="3"/>
  <c r="M211" i="3"/>
  <c r="N122" i="3"/>
  <c r="N108" i="3"/>
  <c r="O110" i="3"/>
  <c r="K154" i="3"/>
  <c r="X12" i="10"/>
  <c r="X9" i="10"/>
  <c r="M206" i="3"/>
  <c r="M215" i="3"/>
  <c r="N101" i="3"/>
  <c r="O118" i="3"/>
  <c r="K99" i="2"/>
  <c r="W9" i="12"/>
  <c r="W14" i="12" s="1"/>
  <c r="F99" i="38" s="1"/>
  <c r="W12" i="12"/>
  <c r="X6" i="12"/>
  <c r="M208" i="3"/>
  <c r="J105" i="2"/>
  <c r="N109" i="3"/>
  <c r="N103" i="3"/>
  <c r="D138" i="3"/>
  <c r="W38" i="25"/>
  <c r="N216" i="38" s="1"/>
  <c r="N192" i="3"/>
  <c r="V40" i="21"/>
  <c r="V46" i="21"/>
  <c r="V27" i="21"/>
  <c r="E143" i="38" s="1"/>
  <c r="V33" i="21"/>
  <c r="E149" i="38" s="1"/>
  <c r="V35" i="21"/>
  <c r="E151" i="38" s="1"/>
  <c r="V39" i="21"/>
  <c r="V41" i="21"/>
  <c r="V43" i="21"/>
  <c r="V26" i="21"/>
  <c r="E142" i="38" s="1"/>
  <c r="V24" i="21"/>
  <c r="E140" i="38" s="1"/>
  <c r="V22" i="21"/>
  <c r="E138" i="38" s="1"/>
  <c r="V20" i="21"/>
  <c r="E136" i="38" s="1"/>
  <c r="V18" i="21"/>
  <c r="E134" i="38" s="1"/>
  <c r="V16" i="21"/>
  <c r="E132" i="38" s="1"/>
  <c r="V14" i="21"/>
  <c r="E130" i="38" s="1"/>
  <c r="V45" i="21"/>
  <c r="V28" i="21"/>
  <c r="E144" i="38" s="1"/>
  <c r="V30" i="21"/>
  <c r="E146" i="38" s="1"/>
  <c r="V34" i="21"/>
  <c r="E150" i="38" s="1"/>
  <c r="V31" i="21"/>
  <c r="E147" i="38" s="1"/>
  <c r="V37" i="21"/>
  <c r="E153" i="38" s="1"/>
  <c r="V15" i="21"/>
  <c r="E131" i="38" s="1"/>
  <c r="V21" i="21"/>
  <c r="E137" i="38" s="1"/>
  <c r="V44" i="21"/>
  <c r="V17" i="21"/>
  <c r="E133" i="38" s="1"/>
  <c r="V23" i="21"/>
  <c r="E139" i="38" s="1"/>
  <c r="V29" i="21"/>
  <c r="E145" i="38" s="1"/>
  <c r="V32" i="21"/>
  <c r="E148" i="38" s="1"/>
  <c r="V19" i="21"/>
  <c r="E135" i="38" s="1"/>
  <c r="V36" i="21"/>
  <c r="E152" i="38" s="1"/>
  <c r="V42" i="21"/>
  <c r="V25" i="21"/>
  <c r="E141" i="38" s="1"/>
  <c r="C114" i="3"/>
  <c r="J136" i="2"/>
  <c r="M140" i="3"/>
  <c r="D169" i="3"/>
  <c r="X46" i="9"/>
  <c r="X44" i="9"/>
  <c r="X42" i="9"/>
  <c r="X40" i="9"/>
  <c r="X38" i="9"/>
  <c r="X36" i="9"/>
  <c r="X34" i="9"/>
  <c r="X32" i="9"/>
  <c r="X30" i="9"/>
  <c r="X28" i="9"/>
  <c r="X26" i="9"/>
  <c r="X24" i="9"/>
  <c r="X22" i="9"/>
  <c r="X20" i="9"/>
  <c r="X18" i="9"/>
  <c r="O12" i="3" s="1"/>
  <c r="E13" i="36" s="1"/>
  <c r="X16" i="9"/>
  <c r="O9" i="3" s="1"/>
  <c r="X14" i="9"/>
  <c r="O6" i="3" s="1"/>
  <c r="E7" i="36" s="1"/>
  <c r="X45" i="9"/>
  <c r="X43" i="9"/>
  <c r="X41" i="9"/>
  <c r="X39" i="9"/>
  <c r="X37" i="9"/>
  <c r="X35" i="9"/>
  <c r="X33" i="9"/>
  <c r="X31" i="9"/>
  <c r="X29" i="9"/>
  <c r="X27" i="9"/>
  <c r="X25" i="9"/>
  <c r="X23" i="9"/>
  <c r="X21" i="9"/>
  <c r="X19" i="9"/>
  <c r="O24" i="3" s="1"/>
  <c r="E25" i="36" s="1"/>
  <c r="X17" i="9"/>
  <c r="O10" i="3" s="1"/>
  <c r="X15" i="9"/>
  <c r="O8" i="3" s="1"/>
  <c r="O211" i="3"/>
  <c r="M162" i="3"/>
  <c r="M177" i="3"/>
  <c r="D118" i="3"/>
  <c r="D139" i="3"/>
  <c r="M210" i="3"/>
  <c r="N117" i="3"/>
  <c r="N111" i="3"/>
  <c r="D140" i="3"/>
  <c r="X45" i="24"/>
  <c r="X46" i="24"/>
  <c r="X44" i="24"/>
  <c r="X42" i="24"/>
  <c r="X40" i="24"/>
  <c r="X22" i="24"/>
  <c r="X29" i="24"/>
  <c r="X18" i="24"/>
  <c r="X36" i="24"/>
  <c r="X25" i="24"/>
  <c r="X14" i="24"/>
  <c r="X43" i="24"/>
  <c r="X32" i="24"/>
  <c r="X21" i="24"/>
  <c r="X39" i="24"/>
  <c r="X28" i="24"/>
  <c r="X17" i="24"/>
  <c r="X35" i="24"/>
  <c r="X24" i="24"/>
  <c r="X31" i="24"/>
  <c r="X20" i="24"/>
  <c r="X27" i="24"/>
  <c r="X16" i="24"/>
  <c r="X34" i="24"/>
  <c r="X23" i="24"/>
  <c r="X41" i="24"/>
  <c r="X30" i="24"/>
  <c r="X19" i="24"/>
  <c r="X26" i="24"/>
  <c r="X15" i="24"/>
  <c r="X33" i="24"/>
  <c r="X37" i="24"/>
  <c r="X12" i="21"/>
  <c r="X9" i="21"/>
  <c r="N194" i="3"/>
  <c r="C112" i="3"/>
  <c r="M149" i="3"/>
  <c r="V38" i="15"/>
  <c r="AC123" i="3" s="1"/>
  <c r="AC99" i="3"/>
  <c r="D216" i="3"/>
  <c r="O213" i="3"/>
  <c r="L192" i="2"/>
  <c r="M170" i="3"/>
  <c r="D116" i="3"/>
  <c r="M201" i="3"/>
  <c r="N196" i="3"/>
  <c r="B216" i="3"/>
  <c r="C110" i="3"/>
  <c r="X45" i="15"/>
  <c r="X26" i="15"/>
  <c r="AE111" i="3" s="1"/>
  <c r="X24" i="15"/>
  <c r="AE109" i="3" s="1"/>
  <c r="X22" i="15"/>
  <c r="AE107" i="3" s="1"/>
  <c r="X20" i="15"/>
  <c r="AE105" i="3" s="1"/>
  <c r="X18" i="15"/>
  <c r="AE103" i="3" s="1"/>
  <c r="X16" i="15"/>
  <c r="AE101" i="3" s="1"/>
  <c r="X14" i="15"/>
  <c r="X28" i="15"/>
  <c r="AE113" i="3" s="1"/>
  <c r="X40" i="15"/>
  <c r="X42" i="15"/>
  <c r="X46" i="15"/>
  <c r="X29" i="15"/>
  <c r="AE114" i="3" s="1"/>
  <c r="X31" i="15"/>
  <c r="AE116" i="3" s="1"/>
  <c r="X30" i="15"/>
  <c r="AE115" i="3" s="1"/>
  <c r="X32" i="15"/>
  <c r="AE117" i="3" s="1"/>
  <c r="X41" i="15"/>
  <c r="X44" i="15"/>
  <c r="X21" i="15"/>
  <c r="AE106" i="3" s="1"/>
  <c r="X34" i="15"/>
  <c r="AE119" i="3" s="1"/>
  <c r="X37" i="15"/>
  <c r="AE122" i="3" s="1"/>
  <c r="X43" i="15"/>
  <c r="X23" i="15"/>
  <c r="AE108" i="3" s="1"/>
  <c r="X15" i="15"/>
  <c r="AE100" i="3" s="1"/>
  <c r="X33" i="15"/>
  <c r="AE118" i="3" s="1"/>
  <c r="X36" i="15"/>
  <c r="AE121" i="3" s="1"/>
  <c r="X25" i="15"/>
  <c r="AE110" i="3" s="1"/>
  <c r="X17" i="15"/>
  <c r="AE102" i="3" s="1"/>
  <c r="X35" i="15"/>
  <c r="AE120" i="3" s="1"/>
  <c r="X39" i="15"/>
  <c r="X27" i="15"/>
  <c r="AE112" i="3" s="1"/>
  <c r="X19" i="15"/>
  <c r="AE104" i="3" s="1"/>
  <c r="B185" i="3"/>
  <c r="D167" i="3"/>
  <c r="M106" i="3"/>
  <c r="O215" i="3"/>
  <c r="M178" i="3"/>
  <c r="D110" i="3"/>
  <c r="V38" i="16"/>
  <c r="AK123" i="3" s="1"/>
  <c r="AK99" i="3"/>
  <c r="V46" i="8"/>
  <c r="V44" i="8"/>
  <c r="V42" i="8"/>
  <c r="V40" i="8"/>
  <c r="V38" i="8"/>
  <c r="V36" i="8"/>
  <c r="V34" i="8"/>
  <c r="V32" i="8"/>
  <c r="V30" i="8"/>
  <c r="V28" i="8"/>
  <c r="V26" i="8"/>
  <c r="V24" i="8"/>
  <c r="V22" i="8"/>
  <c r="V20" i="8"/>
  <c r="V18" i="8"/>
  <c r="E12" i="3" s="1"/>
  <c r="V39" i="8"/>
  <c r="V29" i="8"/>
  <c r="V19" i="8"/>
  <c r="E24" i="3" s="1"/>
  <c r="V31" i="8"/>
  <c r="V15" i="8"/>
  <c r="E8" i="3" s="1"/>
  <c r="V21" i="8"/>
  <c r="V37" i="8"/>
  <c r="V43" i="8"/>
  <c r="V27" i="8"/>
  <c r="V33" i="8"/>
  <c r="V17" i="8"/>
  <c r="E10" i="3" s="1"/>
  <c r="V23" i="8"/>
  <c r="V16" i="8"/>
  <c r="E9" i="3" s="1"/>
  <c r="V25" i="8"/>
  <c r="V35" i="8"/>
  <c r="V41" i="8"/>
  <c r="V45" i="8"/>
  <c r="V14" i="8"/>
  <c r="E6" i="3" s="1"/>
  <c r="N104" i="3"/>
  <c r="N119" i="3"/>
  <c r="D142" i="3"/>
  <c r="O106" i="3"/>
  <c r="O121" i="3"/>
  <c r="M214" i="3"/>
  <c r="N112" i="3"/>
  <c r="W42" i="21"/>
  <c r="W44" i="21"/>
  <c r="W29" i="21"/>
  <c r="F145" i="38" s="1"/>
  <c r="W35" i="21"/>
  <c r="F151" i="38" s="1"/>
  <c r="W37" i="21"/>
  <c r="F153" i="38" s="1"/>
  <c r="W39" i="21"/>
  <c r="W41" i="21"/>
  <c r="W43" i="21"/>
  <c r="W26" i="21"/>
  <c r="F142" i="38" s="1"/>
  <c r="W24" i="21"/>
  <c r="F140" i="38" s="1"/>
  <c r="W22" i="21"/>
  <c r="F138" i="38" s="1"/>
  <c r="W20" i="21"/>
  <c r="F136" i="38" s="1"/>
  <c r="W18" i="21"/>
  <c r="F134" i="38" s="1"/>
  <c r="W16" i="21"/>
  <c r="F132" i="38" s="1"/>
  <c r="W14" i="21"/>
  <c r="F130" i="38" s="1"/>
  <c r="W45" i="21"/>
  <c r="W28" i="21"/>
  <c r="F144" i="38" s="1"/>
  <c r="W30" i="21"/>
  <c r="F146" i="38" s="1"/>
  <c r="W32" i="21"/>
  <c r="F148" i="38" s="1"/>
  <c r="W15" i="21"/>
  <c r="F131" i="38" s="1"/>
  <c r="W21" i="21"/>
  <c r="F137" i="38" s="1"/>
  <c r="W27" i="21"/>
  <c r="F143" i="38" s="1"/>
  <c r="W40" i="21"/>
  <c r="W36" i="21"/>
  <c r="F152" i="38" s="1"/>
  <c r="W33" i="21"/>
  <c r="F149" i="38" s="1"/>
  <c r="W23" i="21"/>
  <c r="F139" i="38" s="1"/>
  <c r="W19" i="21"/>
  <c r="F135" i="38" s="1"/>
  <c r="W25" i="21"/>
  <c r="F141" i="38" s="1"/>
  <c r="W34" i="21"/>
  <c r="F150" i="38" s="1"/>
  <c r="W31" i="21"/>
  <c r="F147" i="38" s="1"/>
  <c r="W46" i="21"/>
  <c r="W17" i="21"/>
  <c r="F133" i="38" s="1"/>
  <c r="N198" i="3"/>
  <c r="C106" i="3"/>
  <c r="W38" i="15"/>
  <c r="AD123" i="3" s="1"/>
  <c r="AD99" i="3"/>
  <c r="B9" i="30"/>
  <c r="R9" i="30" s="1"/>
  <c r="AG9" i="30" s="1"/>
  <c r="M147" i="3"/>
  <c r="K196" i="2"/>
  <c r="L194" i="2"/>
  <c r="M114" i="3"/>
  <c r="L216" i="3"/>
  <c r="M165" i="3"/>
  <c r="D102" i="3"/>
  <c r="D114" i="3"/>
  <c r="J185" i="3"/>
  <c r="D149" i="3"/>
  <c r="J15" i="2"/>
  <c r="J21" i="2"/>
  <c r="N193" i="3"/>
  <c r="N200" i="3"/>
  <c r="C104" i="3"/>
  <c r="M135" i="3"/>
  <c r="D165" i="3"/>
  <c r="L154" i="3"/>
  <c r="M122" i="3"/>
  <c r="K192" i="2"/>
  <c r="M173" i="3"/>
  <c r="D111" i="3"/>
  <c r="D112" i="3"/>
  <c r="N120" i="3"/>
  <c r="W25" i="16"/>
  <c r="AL110" i="3" s="1"/>
  <c r="W27" i="16"/>
  <c r="AL112" i="3" s="1"/>
  <c r="W29" i="16"/>
  <c r="AL114" i="3" s="1"/>
  <c r="W33" i="16"/>
  <c r="AL118" i="3" s="1"/>
  <c r="W37" i="16"/>
  <c r="AL122" i="3" s="1"/>
  <c r="W16" i="16"/>
  <c r="AL101" i="3" s="1"/>
  <c r="W45" i="16"/>
  <c r="W43" i="16"/>
  <c r="W41" i="16"/>
  <c r="W39" i="16"/>
  <c r="W20" i="16"/>
  <c r="AL105" i="3" s="1"/>
  <c r="W22" i="16"/>
  <c r="AL107" i="3" s="1"/>
  <c r="W26" i="16"/>
  <c r="AL111" i="3" s="1"/>
  <c r="W28" i="16"/>
  <c r="AL113" i="3" s="1"/>
  <c r="W36" i="16"/>
  <c r="AL121" i="3" s="1"/>
  <c r="W17" i="16"/>
  <c r="AL102" i="3" s="1"/>
  <c r="W19" i="16"/>
  <c r="AL104" i="3" s="1"/>
  <c r="W46" i="16"/>
  <c r="W35" i="16"/>
  <c r="AL120" i="3" s="1"/>
  <c r="W15" i="16"/>
  <c r="AL100" i="3" s="1"/>
  <c r="W42" i="16"/>
  <c r="W31" i="16"/>
  <c r="AL116" i="3" s="1"/>
  <c r="W21" i="16"/>
  <c r="AL106" i="3" s="1"/>
  <c r="W34" i="16"/>
  <c r="AL119" i="3" s="1"/>
  <c r="W14" i="16"/>
  <c r="W24" i="16"/>
  <c r="AL109" i="3" s="1"/>
  <c r="W44" i="16"/>
  <c r="W30" i="16"/>
  <c r="AL115" i="3" s="1"/>
  <c r="W23" i="16"/>
  <c r="AL108" i="3" s="1"/>
  <c r="W40" i="16"/>
  <c r="W32" i="16"/>
  <c r="AL117" i="3" s="1"/>
  <c r="W18" i="16"/>
  <c r="AL103" i="3" s="1"/>
  <c r="O122" i="3"/>
  <c r="O100" i="3"/>
  <c r="V46" i="10"/>
  <c r="V33" i="10"/>
  <c r="V30" i="10"/>
  <c r="V44" i="10"/>
  <c r="V27" i="10"/>
  <c r="V24" i="10"/>
  <c r="V41" i="10"/>
  <c r="V38" i="10"/>
  <c r="V21" i="10"/>
  <c r="V18" i="10"/>
  <c r="E43" i="3" s="1"/>
  <c r="V35" i="10"/>
  <c r="V32" i="10"/>
  <c r="V15" i="10"/>
  <c r="E39" i="3" s="1"/>
  <c r="V29" i="10"/>
  <c r="V26" i="10"/>
  <c r="V37" i="10"/>
  <c r="V34" i="10"/>
  <c r="V17" i="10"/>
  <c r="E41" i="3" s="1"/>
  <c r="V14" i="10"/>
  <c r="E37" i="3" s="1"/>
  <c r="V31" i="10"/>
  <c r="V28" i="10"/>
  <c r="V45" i="10"/>
  <c r="V42" i="10"/>
  <c r="V25" i="10"/>
  <c r="V22" i="10"/>
  <c r="V39" i="10"/>
  <c r="V36" i="10"/>
  <c r="V19" i="10"/>
  <c r="V16" i="10"/>
  <c r="E40" i="3" s="1"/>
  <c r="V40" i="10"/>
  <c r="V20" i="10"/>
  <c r="V43" i="10"/>
  <c r="V23" i="10"/>
  <c r="D148" i="3"/>
  <c r="N195" i="3"/>
  <c r="N202" i="3"/>
  <c r="C119" i="3"/>
  <c r="C102" i="3"/>
  <c r="C9" i="38" s="1"/>
  <c r="M132" i="3"/>
  <c r="M136" i="3"/>
  <c r="D162" i="3"/>
  <c r="M181" i="3"/>
  <c r="D107" i="3"/>
  <c r="O105" i="3"/>
  <c r="K18" i="2"/>
  <c r="K7" i="2"/>
  <c r="O113" i="3"/>
  <c r="K123" i="3"/>
  <c r="V37" i="24"/>
  <c r="E215" i="38" s="1"/>
  <c r="V35" i="24"/>
  <c r="E213" i="38" s="1"/>
  <c r="V33" i="24"/>
  <c r="E211" i="38" s="1"/>
  <c r="V31" i="24"/>
  <c r="E209" i="38" s="1"/>
  <c r="V29" i="24"/>
  <c r="E207" i="38" s="1"/>
  <c r="V27" i="24"/>
  <c r="E205" i="38" s="1"/>
  <c r="V25" i="24"/>
  <c r="E203" i="38" s="1"/>
  <c r="V23" i="24"/>
  <c r="E201" i="38" s="1"/>
  <c r="V21" i="24"/>
  <c r="E199" i="38" s="1"/>
  <c r="V19" i="24"/>
  <c r="E197" i="38" s="1"/>
  <c r="V17" i="24"/>
  <c r="E195" i="38" s="1"/>
  <c r="V15" i="24"/>
  <c r="E193" i="38" s="1"/>
  <c r="V45" i="24"/>
  <c r="V43" i="24"/>
  <c r="V41" i="24"/>
  <c r="V39" i="24"/>
  <c r="V36" i="24"/>
  <c r="E214" i="38" s="1"/>
  <c r="V34" i="24"/>
  <c r="E212" i="38" s="1"/>
  <c r="V32" i="24"/>
  <c r="E210" i="38" s="1"/>
  <c r="V30" i="24"/>
  <c r="E208" i="38" s="1"/>
  <c r="V28" i="24"/>
  <c r="E206" i="38" s="1"/>
  <c r="V26" i="24"/>
  <c r="E204" i="38" s="1"/>
  <c r="V24" i="24"/>
  <c r="E202" i="38" s="1"/>
  <c r="V22" i="24"/>
  <c r="E200" i="38" s="1"/>
  <c r="V20" i="24"/>
  <c r="E198" i="38" s="1"/>
  <c r="V18" i="24"/>
  <c r="E196" i="38" s="1"/>
  <c r="V16" i="24"/>
  <c r="E194" i="38" s="1"/>
  <c r="V14" i="24"/>
  <c r="E192" i="38" s="1"/>
  <c r="V46" i="24"/>
  <c r="V44" i="24"/>
  <c r="V42" i="24"/>
  <c r="V40" i="24"/>
  <c r="X9" i="16"/>
  <c r="X12" i="16"/>
  <c r="O108" i="3"/>
  <c r="W38" i="13"/>
  <c r="N123" i="38" s="1"/>
  <c r="N99" i="3"/>
  <c r="D153" i="3"/>
  <c r="J123" i="3"/>
  <c r="N197" i="3"/>
  <c r="N204" i="3"/>
  <c r="C111" i="3"/>
  <c r="C121" i="3"/>
  <c r="M138" i="3"/>
  <c r="M145" i="3"/>
  <c r="D164" i="3"/>
  <c r="W38" i="23"/>
  <c r="V154" i="3" s="1"/>
  <c r="V130" i="3"/>
  <c r="J14" i="2"/>
  <c r="K216" i="3"/>
  <c r="L163" i="2"/>
  <c r="M184" i="3"/>
  <c r="D121" i="3"/>
  <c r="D108" i="3"/>
  <c r="M212" i="3"/>
  <c r="O114" i="3"/>
  <c r="O101" i="3"/>
  <c r="O116" i="3"/>
  <c r="C185" i="3"/>
  <c r="N107" i="3"/>
  <c r="D147" i="3"/>
  <c r="N199" i="3"/>
  <c r="N206" i="3"/>
  <c r="K185" i="3"/>
  <c r="C108" i="3"/>
  <c r="C117" i="3"/>
  <c r="W23" i="22"/>
  <c r="N139" i="38" s="1"/>
  <c r="W25" i="22"/>
  <c r="N141" i="38" s="1"/>
  <c r="W36" i="22"/>
  <c r="N152" i="38" s="1"/>
  <c r="W16" i="22"/>
  <c r="N132" i="38" s="1"/>
  <c r="W45" i="22"/>
  <c r="W27" i="22"/>
  <c r="N143" i="38" s="1"/>
  <c r="W18" i="22"/>
  <c r="N134" i="38" s="1"/>
  <c r="W20" i="22"/>
  <c r="N136" i="38" s="1"/>
  <c r="W40" i="22"/>
  <c r="W31" i="22"/>
  <c r="N147" i="38" s="1"/>
  <c r="W22" i="22"/>
  <c r="N138" i="38" s="1"/>
  <c r="W24" i="22"/>
  <c r="N140" i="38" s="1"/>
  <c r="W44" i="22"/>
  <c r="W35" i="22"/>
  <c r="N151" i="38" s="1"/>
  <c r="W15" i="22"/>
  <c r="N131" i="38" s="1"/>
  <c r="W26" i="22"/>
  <c r="N142" i="38" s="1"/>
  <c r="W37" i="22"/>
  <c r="N153" i="38" s="1"/>
  <c r="W17" i="22"/>
  <c r="N133" i="38" s="1"/>
  <c r="W28" i="22"/>
  <c r="N144" i="38" s="1"/>
  <c r="W46" i="22"/>
  <c r="W19" i="22"/>
  <c r="N135" i="38" s="1"/>
  <c r="W21" i="22"/>
  <c r="N137" i="38" s="1"/>
  <c r="W41" i="22"/>
  <c r="W32" i="22"/>
  <c r="N148" i="38" s="1"/>
  <c r="W29" i="22"/>
  <c r="N145" i="38" s="1"/>
  <c r="W34" i="22"/>
  <c r="N150" i="38" s="1"/>
  <c r="W39" i="22"/>
  <c r="W33" i="22"/>
  <c r="N149" i="38" s="1"/>
  <c r="W43" i="22"/>
  <c r="W42" i="22"/>
  <c r="W30" i="22"/>
  <c r="N146" i="38" s="1"/>
  <c r="W14" i="22"/>
  <c r="N130" i="38" s="1"/>
  <c r="M143" i="3"/>
  <c r="D166" i="3"/>
  <c r="J20" i="2"/>
  <c r="J16" i="2"/>
  <c r="W45" i="18"/>
  <c r="W36" i="18"/>
  <c r="N183" i="38" s="1"/>
  <c r="W34" i="18"/>
  <c r="N181" i="38" s="1"/>
  <c r="W32" i="18"/>
  <c r="N179" i="38" s="1"/>
  <c r="W30" i="18"/>
  <c r="N177" i="38" s="1"/>
  <c r="W28" i="18"/>
  <c r="N175" i="38" s="1"/>
  <c r="W26" i="18"/>
  <c r="N173" i="38" s="1"/>
  <c r="W24" i="18"/>
  <c r="N171" i="38" s="1"/>
  <c r="W22" i="18"/>
  <c r="N169" i="38" s="1"/>
  <c r="W20" i="18"/>
  <c r="N167" i="38" s="1"/>
  <c r="W18" i="18"/>
  <c r="N165" i="38" s="1"/>
  <c r="W16" i="18"/>
  <c r="N163" i="38" s="1"/>
  <c r="W14" i="18"/>
  <c r="N161" i="38" s="1"/>
  <c r="W44" i="18"/>
  <c r="W41" i="18"/>
  <c r="W35" i="18"/>
  <c r="N182" i="38" s="1"/>
  <c r="W27" i="18"/>
  <c r="N174" i="38" s="1"/>
  <c r="W19" i="18"/>
  <c r="N166" i="38" s="1"/>
  <c r="W29" i="18"/>
  <c r="N176" i="38" s="1"/>
  <c r="W21" i="18"/>
  <c r="N168" i="38" s="1"/>
  <c r="W43" i="18"/>
  <c r="W37" i="18"/>
  <c r="N184" i="38" s="1"/>
  <c r="W46" i="18"/>
  <c r="W40" i="18"/>
  <c r="W31" i="18"/>
  <c r="N178" i="38" s="1"/>
  <c r="W23" i="18"/>
  <c r="N170" i="38" s="1"/>
  <c r="W15" i="18"/>
  <c r="N162" i="38" s="1"/>
  <c r="W33" i="18"/>
  <c r="N180" i="38" s="1"/>
  <c r="W25" i="18"/>
  <c r="N172" i="38" s="1"/>
  <c r="W17" i="18"/>
  <c r="N164" i="38" s="1"/>
  <c r="W42" i="18"/>
  <c r="W39" i="18"/>
  <c r="V38" i="13"/>
  <c r="M123" i="38" s="1"/>
  <c r="M99" i="3"/>
  <c r="X38" i="25"/>
  <c r="O192" i="3"/>
  <c r="O120" i="3"/>
  <c r="V38" i="25"/>
  <c r="M216" i="38" s="1"/>
  <c r="M192" i="3"/>
  <c r="M193" i="3"/>
  <c r="J216" i="3"/>
  <c r="N115" i="3"/>
  <c r="D151" i="3"/>
  <c r="D131" i="3"/>
  <c r="V38" i="26"/>
  <c r="U216" i="3" s="1"/>
  <c r="U192" i="3"/>
  <c r="N201" i="3"/>
  <c r="N208" i="3"/>
  <c r="C109" i="3"/>
  <c r="C115" i="3"/>
  <c r="M139" i="3"/>
  <c r="V38" i="14"/>
  <c r="U123" i="3" s="1"/>
  <c r="U99" i="3"/>
  <c r="D163" i="3"/>
  <c r="D168" i="3"/>
  <c r="X9" i="18"/>
  <c r="X12" i="18"/>
  <c r="M101" i="3"/>
  <c r="O194" i="3"/>
  <c r="M168" i="3"/>
  <c r="D113" i="3"/>
  <c r="D106" i="3"/>
  <c r="M195" i="3"/>
  <c r="N102" i="3"/>
  <c r="X36" i="19"/>
  <c r="G90" i="3" s="1"/>
  <c r="X19" i="19"/>
  <c r="G73" i="3" s="1"/>
  <c r="X21" i="19"/>
  <c r="G75" i="3" s="1"/>
  <c r="X38" i="19"/>
  <c r="G92" i="3" s="1"/>
  <c r="X23" i="19"/>
  <c r="G77" i="3" s="1"/>
  <c r="X25" i="19"/>
  <c r="G79" i="3" s="1"/>
  <c r="X29" i="19"/>
  <c r="G83" i="3" s="1"/>
  <c r="X33" i="19"/>
  <c r="G87" i="3" s="1"/>
  <c r="X46" i="19"/>
  <c r="X18" i="19"/>
  <c r="G72" i="3" s="1"/>
  <c r="X37" i="19"/>
  <c r="G91" i="3" s="1"/>
  <c r="X20" i="19"/>
  <c r="G74" i="3" s="1"/>
  <c r="X39" i="19"/>
  <c r="X24" i="19"/>
  <c r="G78" i="3" s="1"/>
  <c r="X30" i="19"/>
  <c r="G84" i="3" s="1"/>
  <c r="X34" i="19"/>
  <c r="G88" i="3" s="1"/>
  <c r="X15" i="19"/>
  <c r="G69" i="3" s="1"/>
  <c r="X45" i="19"/>
  <c r="X17" i="19"/>
  <c r="G71" i="3" s="1"/>
  <c r="X42" i="19"/>
  <c r="X26" i="19"/>
  <c r="G80" i="3" s="1"/>
  <c r="X22" i="19"/>
  <c r="G76" i="3" s="1"/>
  <c r="X14" i="19"/>
  <c r="G68" i="3" s="1"/>
  <c r="X40" i="19"/>
  <c r="X44" i="19"/>
  <c r="X28" i="19"/>
  <c r="G82" i="3" s="1"/>
  <c r="X32" i="19"/>
  <c r="G86" i="3" s="1"/>
  <c r="X27" i="19"/>
  <c r="G81" i="3" s="1"/>
  <c r="X43" i="19"/>
  <c r="X31" i="19"/>
  <c r="G85" i="3" s="1"/>
  <c r="X35" i="19"/>
  <c r="G89" i="3" s="1"/>
  <c r="X41" i="19"/>
  <c r="X16" i="19"/>
  <c r="G70" i="3" s="1"/>
  <c r="K22" i="2"/>
  <c r="D145" i="3"/>
  <c r="D133" i="3"/>
  <c r="X42" i="8"/>
  <c r="X34" i="8"/>
  <c r="X24" i="8"/>
  <c r="X33" i="8"/>
  <c r="X23" i="8"/>
  <c r="X43" i="8"/>
  <c r="X35" i="8"/>
  <c r="X25" i="8"/>
  <c r="X15" i="8"/>
  <c r="G8" i="3" s="1"/>
  <c r="X44" i="8"/>
  <c r="X28" i="8"/>
  <c r="X21" i="8"/>
  <c r="X18" i="8"/>
  <c r="G12" i="3" s="1"/>
  <c r="D13" i="36" s="1"/>
  <c r="X37" i="8"/>
  <c r="X40" i="8"/>
  <c r="X30" i="8"/>
  <c r="X27" i="8"/>
  <c r="X14" i="8"/>
  <c r="G6" i="3" s="1"/>
  <c r="D7" i="36" s="1"/>
  <c r="X36" i="8"/>
  <c r="X46" i="8"/>
  <c r="X39" i="8"/>
  <c r="X26" i="8"/>
  <c r="X29" i="8"/>
  <c r="X16" i="8"/>
  <c r="G9" i="3" s="1"/>
  <c r="X45" i="8"/>
  <c r="X32" i="8"/>
  <c r="X19" i="8"/>
  <c r="G24" i="3" s="1"/>
  <c r="D25" i="36" s="1"/>
  <c r="X22" i="8"/>
  <c r="X41" i="8"/>
  <c r="X17" i="8"/>
  <c r="G10" i="3" s="1"/>
  <c r="X31" i="8"/>
  <c r="X20" i="8"/>
  <c r="X38" i="8"/>
  <c r="N203" i="3"/>
  <c r="N210" i="3"/>
  <c r="C100" i="3"/>
  <c r="C113" i="3"/>
  <c r="X9" i="22"/>
  <c r="X12" i="22"/>
  <c r="M134" i="3"/>
  <c r="M152" i="3"/>
  <c r="K198" i="2"/>
  <c r="D175" i="3"/>
  <c r="D170" i="3"/>
  <c r="M104" i="3"/>
  <c r="M103" i="3"/>
  <c r="O196" i="3"/>
  <c r="M176" i="3"/>
  <c r="D104" i="3"/>
  <c r="O109" i="3"/>
  <c r="O117" i="3"/>
  <c r="O103" i="3"/>
  <c r="O104" i="3"/>
  <c r="O111" i="3"/>
  <c r="M197" i="3"/>
  <c r="N110" i="3"/>
  <c r="D135" i="3"/>
  <c r="B18" i="2"/>
  <c r="B7" i="2"/>
  <c r="J167" i="2"/>
  <c r="J13" i="30" s="1"/>
  <c r="Y13" i="30" s="1"/>
  <c r="AI13" i="30" s="1"/>
  <c r="K165" i="2"/>
  <c r="K11" i="30" s="1"/>
  <c r="Z11" i="30" s="1"/>
  <c r="AJ11" i="30" s="1"/>
  <c r="N205" i="3"/>
  <c r="N212" i="3"/>
  <c r="L185" i="3"/>
  <c r="C105" i="3"/>
  <c r="C12" i="38" s="1"/>
  <c r="M137" i="3"/>
  <c r="M141" i="3"/>
  <c r="D172" i="3"/>
  <c r="M112" i="3"/>
  <c r="M105" i="3"/>
  <c r="O198" i="3"/>
  <c r="W45" i="19"/>
  <c r="W17" i="19"/>
  <c r="F71" i="3" s="1"/>
  <c r="W36" i="19"/>
  <c r="F90" i="3" s="1"/>
  <c r="W19" i="19"/>
  <c r="F73" i="3" s="1"/>
  <c r="W21" i="19"/>
  <c r="F75" i="3" s="1"/>
  <c r="W38" i="19"/>
  <c r="F92" i="3" s="1"/>
  <c r="W23" i="19"/>
  <c r="F77" i="3" s="1"/>
  <c r="W40" i="19"/>
  <c r="W27" i="19"/>
  <c r="F81" i="3" s="1"/>
  <c r="W42" i="19"/>
  <c r="W31" i="19"/>
  <c r="F85" i="3" s="1"/>
  <c r="W35" i="19"/>
  <c r="F89" i="3" s="1"/>
  <c r="W16" i="19"/>
  <c r="F70" i="3" s="1"/>
  <c r="W46" i="19"/>
  <c r="W18" i="19"/>
  <c r="F72" i="3" s="1"/>
  <c r="W22" i="19"/>
  <c r="F76" i="3" s="1"/>
  <c r="W41" i="19"/>
  <c r="W28" i="19"/>
  <c r="F82" i="3" s="1"/>
  <c r="W43" i="19"/>
  <c r="W32" i="19"/>
  <c r="F86" i="3" s="1"/>
  <c r="W34" i="19"/>
  <c r="F88" i="3" s="1"/>
  <c r="W15" i="19"/>
  <c r="F69" i="3" s="1"/>
  <c r="W20" i="19"/>
  <c r="F74" i="3" s="1"/>
  <c r="W30" i="19"/>
  <c r="F84" i="3" s="1"/>
  <c r="W26" i="19"/>
  <c r="F80" i="3" s="1"/>
  <c r="W37" i="19"/>
  <c r="F91" i="3" s="1"/>
  <c r="W33" i="19"/>
  <c r="F87" i="3" s="1"/>
  <c r="W25" i="19"/>
  <c r="F79" i="3" s="1"/>
  <c r="W14" i="19"/>
  <c r="F68" i="3" s="1"/>
  <c r="W44" i="19"/>
  <c r="W24" i="19"/>
  <c r="F78" i="3" s="1"/>
  <c r="W39" i="19"/>
  <c r="W29" i="19"/>
  <c r="F83" i="3" s="1"/>
  <c r="X38" i="14"/>
  <c r="W123" i="3" s="1"/>
  <c r="W99" i="3"/>
  <c r="B13" i="30"/>
  <c r="R13" i="30" s="1"/>
  <c r="AG13" i="30" s="1"/>
  <c r="M164" i="3"/>
  <c r="M163" i="3"/>
  <c r="D100" i="3"/>
  <c r="M199" i="3"/>
  <c r="N118" i="3"/>
  <c r="D143" i="3"/>
  <c r="D137" i="3"/>
  <c r="B123" i="3"/>
  <c r="N207" i="3"/>
  <c r="N214" i="3"/>
  <c r="C107" i="3"/>
  <c r="L133" i="2"/>
  <c r="M146" i="3"/>
  <c r="V38" i="22"/>
  <c r="M154" i="38" s="1"/>
  <c r="M130" i="3"/>
  <c r="D179" i="3"/>
  <c r="D174" i="3"/>
  <c r="L123" i="3"/>
  <c r="M120" i="3"/>
  <c r="M107" i="3"/>
  <c r="O193" i="3"/>
  <c r="O200" i="3"/>
  <c r="M180" i="3"/>
  <c r="M171" i="3"/>
  <c r="D109" i="3"/>
  <c r="D119" i="3"/>
  <c r="N209" i="3"/>
  <c r="J133" i="2"/>
  <c r="V45" i="19"/>
  <c r="V43" i="19"/>
  <c r="V41" i="19"/>
  <c r="V39" i="19"/>
  <c r="V37" i="19"/>
  <c r="E91" i="3" s="1"/>
  <c r="V35" i="19"/>
  <c r="E89" i="3" s="1"/>
  <c r="V34" i="19"/>
  <c r="E88" i="3" s="1"/>
  <c r="V15" i="19"/>
  <c r="E69" i="3" s="1"/>
  <c r="V17" i="19"/>
  <c r="E71" i="3" s="1"/>
  <c r="V36" i="19"/>
  <c r="E90" i="3" s="1"/>
  <c r="V19" i="19"/>
  <c r="E73" i="3" s="1"/>
  <c r="V21" i="19"/>
  <c r="E75" i="3" s="1"/>
  <c r="V25" i="19"/>
  <c r="E79" i="3" s="1"/>
  <c r="V29" i="19"/>
  <c r="E83" i="3" s="1"/>
  <c r="V44" i="19"/>
  <c r="V14" i="19"/>
  <c r="E68" i="3" s="1"/>
  <c r="V16" i="19"/>
  <c r="E70" i="3" s="1"/>
  <c r="V20" i="19"/>
  <c r="E74" i="3" s="1"/>
  <c r="V26" i="19"/>
  <c r="E80" i="3" s="1"/>
  <c r="V30" i="19"/>
  <c r="E84" i="3" s="1"/>
  <c r="V32" i="19"/>
  <c r="E86" i="3" s="1"/>
  <c r="V42" i="19"/>
  <c r="V23" i="19"/>
  <c r="E77" i="3" s="1"/>
  <c r="V46" i="19"/>
  <c r="V38" i="19"/>
  <c r="E92" i="3" s="1"/>
  <c r="V33" i="19"/>
  <c r="E87" i="3" s="1"/>
  <c r="V22" i="19"/>
  <c r="E76" i="3" s="1"/>
  <c r="V18" i="19"/>
  <c r="E72" i="3" s="1"/>
  <c r="V40" i="19"/>
  <c r="V28" i="19"/>
  <c r="E82" i="3" s="1"/>
  <c r="V27" i="19"/>
  <c r="E81" i="3" s="1"/>
  <c r="V24" i="19"/>
  <c r="E78" i="3" s="1"/>
  <c r="V31" i="19"/>
  <c r="E85" i="3" s="1"/>
  <c r="M150" i="3"/>
  <c r="D183" i="3"/>
  <c r="D176" i="3"/>
  <c r="M109" i="3"/>
  <c r="V33" i="11"/>
  <c r="V35" i="11"/>
  <c r="V37" i="11"/>
  <c r="V43" i="11"/>
  <c r="V24" i="11"/>
  <c r="V22" i="11"/>
  <c r="V20" i="11"/>
  <c r="V18" i="11"/>
  <c r="M43" i="3" s="1"/>
  <c r="V16" i="11"/>
  <c r="M40" i="3" s="1"/>
  <c r="V14" i="11"/>
  <c r="M37" i="3" s="1"/>
  <c r="V45" i="11"/>
  <c r="V26" i="11"/>
  <c r="V32" i="11"/>
  <c r="V34" i="11"/>
  <c r="V36" i="11"/>
  <c r="V38" i="11"/>
  <c r="V40" i="11"/>
  <c r="V42" i="11"/>
  <c r="V44" i="11"/>
  <c r="V23" i="11"/>
  <c r="V21" i="11"/>
  <c r="V19" i="11"/>
  <c r="V17" i="11"/>
  <c r="M41" i="3" s="1"/>
  <c r="V15" i="11"/>
  <c r="M39" i="3" s="1"/>
  <c r="V25" i="11"/>
  <c r="V29" i="11"/>
  <c r="V41" i="11"/>
  <c r="V28" i="11"/>
  <c r="V27" i="11"/>
  <c r="V31" i="11"/>
  <c r="V39" i="11"/>
  <c r="V46" i="11"/>
  <c r="V30" i="11"/>
  <c r="O195" i="3"/>
  <c r="O202" i="3"/>
  <c r="M179" i="3"/>
  <c r="D117" i="3"/>
  <c r="X38" i="13"/>
  <c r="O99" i="3"/>
  <c r="N113" i="3"/>
  <c r="D150" i="3"/>
  <c r="D141" i="3"/>
  <c r="N211" i="3"/>
  <c r="J195" i="2"/>
  <c r="W45" i="24"/>
  <c r="W43" i="24"/>
  <c r="W41" i="24"/>
  <c r="W39" i="24"/>
  <c r="W36" i="24"/>
  <c r="F214" i="38" s="1"/>
  <c r="W34" i="24"/>
  <c r="F212" i="38" s="1"/>
  <c r="W32" i="24"/>
  <c r="F210" i="38" s="1"/>
  <c r="W30" i="24"/>
  <c r="F208" i="38" s="1"/>
  <c r="W28" i="24"/>
  <c r="F206" i="38" s="1"/>
  <c r="W26" i="24"/>
  <c r="F204" i="38" s="1"/>
  <c r="W24" i="24"/>
  <c r="F202" i="38" s="1"/>
  <c r="W22" i="24"/>
  <c r="F200" i="38" s="1"/>
  <c r="W20" i="24"/>
  <c r="F198" i="38" s="1"/>
  <c r="W18" i="24"/>
  <c r="F196" i="38" s="1"/>
  <c r="W16" i="24"/>
  <c r="F194" i="38" s="1"/>
  <c r="W14" i="24"/>
  <c r="F192" i="38" s="1"/>
  <c r="W46" i="24"/>
  <c r="W44" i="24"/>
  <c r="W42" i="24"/>
  <c r="W40" i="24"/>
  <c r="W33" i="24"/>
  <c r="F211" i="38" s="1"/>
  <c r="W29" i="24"/>
  <c r="F207" i="38" s="1"/>
  <c r="W25" i="24"/>
  <c r="F203" i="38" s="1"/>
  <c r="W21" i="24"/>
  <c r="F199" i="38" s="1"/>
  <c r="W17" i="24"/>
  <c r="F195" i="38" s="1"/>
  <c r="W35" i="24"/>
  <c r="F213" i="38" s="1"/>
  <c r="W31" i="24"/>
  <c r="F209" i="38" s="1"/>
  <c r="W27" i="24"/>
  <c r="F205" i="38" s="1"/>
  <c r="W23" i="24"/>
  <c r="F201" i="38" s="1"/>
  <c r="W37" i="24"/>
  <c r="F215" i="38" s="1"/>
  <c r="W15" i="24"/>
  <c r="F193" i="38" s="1"/>
  <c r="W19" i="24"/>
  <c r="F197" i="38" s="1"/>
  <c r="C103" i="3"/>
  <c r="C10" i="38" s="1"/>
  <c r="C103" i="38" s="1"/>
  <c r="W36" i="26"/>
  <c r="V214" i="3" s="1"/>
  <c r="W34" i="26"/>
  <c r="V212" i="3" s="1"/>
  <c r="W32" i="26"/>
  <c r="V210" i="3" s="1"/>
  <c r="W30" i="26"/>
  <c r="V208" i="3" s="1"/>
  <c r="W28" i="26"/>
  <c r="V206" i="3" s="1"/>
  <c r="W26" i="26"/>
  <c r="V204" i="3" s="1"/>
  <c r="W24" i="26"/>
  <c r="V202" i="3" s="1"/>
  <c r="W22" i="26"/>
  <c r="V200" i="3" s="1"/>
  <c r="W20" i="26"/>
  <c r="V198" i="3" s="1"/>
  <c r="W18" i="26"/>
  <c r="V196" i="3" s="1"/>
  <c r="W16" i="26"/>
  <c r="V194" i="3" s="1"/>
  <c r="W14" i="26"/>
  <c r="W46" i="26"/>
  <c r="W44" i="26"/>
  <c r="W42" i="26"/>
  <c r="W40" i="26"/>
  <c r="W37" i="26"/>
  <c r="V215" i="3" s="1"/>
  <c r="W35" i="26"/>
  <c r="V213" i="3" s="1"/>
  <c r="W33" i="26"/>
  <c r="V211" i="3" s="1"/>
  <c r="W31" i="26"/>
  <c r="V209" i="3" s="1"/>
  <c r="W29" i="26"/>
  <c r="V207" i="3" s="1"/>
  <c r="W27" i="26"/>
  <c r="V205" i="3" s="1"/>
  <c r="W25" i="26"/>
  <c r="V203" i="3" s="1"/>
  <c r="W23" i="26"/>
  <c r="V201" i="3" s="1"/>
  <c r="W21" i="26"/>
  <c r="V199" i="3" s="1"/>
  <c r="W19" i="26"/>
  <c r="V197" i="3" s="1"/>
  <c r="W17" i="26"/>
  <c r="V195" i="3" s="1"/>
  <c r="W15" i="26"/>
  <c r="V193" i="3" s="1"/>
  <c r="W45" i="26"/>
  <c r="W43" i="26"/>
  <c r="W41" i="26"/>
  <c r="W39" i="26"/>
  <c r="C154" i="3"/>
  <c r="M144" i="3"/>
  <c r="U38" i="17"/>
  <c r="D185" i="38" s="1"/>
  <c r="D161" i="3"/>
  <c r="D178" i="3"/>
  <c r="M111" i="3"/>
  <c r="O197" i="3"/>
  <c r="O204" i="3"/>
  <c r="M172" i="3"/>
  <c r="M166" i="3"/>
  <c r="D105" i="3"/>
  <c r="D115" i="3"/>
  <c r="C21" i="38" l="1"/>
  <c r="C15" i="38"/>
  <c r="C164" i="38"/>
  <c r="C195" i="38"/>
  <c r="C133" i="38"/>
  <c r="O10" i="38"/>
  <c r="O10" i="2"/>
  <c r="E11" i="36"/>
  <c r="O9" i="38"/>
  <c r="O9" i="2"/>
  <c r="E10" i="36"/>
  <c r="C20" i="38"/>
  <c r="C16" i="38"/>
  <c r="C194" i="38"/>
  <c r="C163" i="38"/>
  <c r="C132" i="38"/>
  <c r="K28" i="38"/>
  <c r="K109" i="38"/>
  <c r="K202" i="38"/>
  <c r="K171" i="38"/>
  <c r="K140" i="38"/>
  <c r="J207" i="38"/>
  <c r="J145" i="38"/>
  <c r="J114" i="38"/>
  <c r="J176" i="38"/>
  <c r="B19" i="38"/>
  <c r="B17" i="38"/>
  <c r="B193" i="38"/>
  <c r="B162" i="38"/>
  <c r="B100" i="38"/>
  <c r="B131" i="38"/>
  <c r="K27" i="38"/>
  <c r="K201" i="38"/>
  <c r="K108" i="38"/>
  <c r="K170" i="38"/>
  <c r="K139" i="38"/>
  <c r="B27" i="38"/>
  <c r="B108" i="38"/>
  <c r="B139" i="38"/>
  <c r="B201" i="38"/>
  <c r="B170" i="38"/>
  <c r="K146" i="38"/>
  <c r="K115" i="38"/>
  <c r="K208" i="38"/>
  <c r="K177" i="38"/>
  <c r="B23" i="38"/>
  <c r="B13" i="38"/>
  <c r="B135" i="38"/>
  <c r="B197" i="38"/>
  <c r="B166" i="38"/>
  <c r="B104" i="38"/>
  <c r="J26" i="38"/>
  <c r="J200" i="38"/>
  <c r="J107" i="38"/>
  <c r="J169" i="38"/>
  <c r="J138" i="38"/>
  <c r="J144" i="38"/>
  <c r="J206" i="38"/>
  <c r="J113" i="38"/>
  <c r="J175" i="38"/>
  <c r="J19" i="38"/>
  <c r="J17" i="38"/>
  <c r="J131" i="38"/>
  <c r="J162" i="38"/>
  <c r="J193" i="38"/>
  <c r="J100" i="38"/>
  <c r="D11" i="36"/>
  <c r="K113" i="38"/>
  <c r="K206" i="38"/>
  <c r="K175" i="38"/>
  <c r="K144" i="38"/>
  <c r="B28" i="38"/>
  <c r="B171" i="38"/>
  <c r="B109" i="38"/>
  <c r="B202" i="38"/>
  <c r="B140" i="38"/>
  <c r="K207" i="38"/>
  <c r="K176" i="38"/>
  <c r="K145" i="38"/>
  <c r="K114" i="38"/>
  <c r="B176" i="38"/>
  <c r="B207" i="38"/>
  <c r="B145" i="38"/>
  <c r="B114" i="38"/>
  <c r="K23" i="38"/>
  <c r="K13" i="38"/>
  <c r="K104" i="38"/>
  <c r="K135" i="38"/>
  <c r="K197" i="38"/>
  <c r="K166" i="38"/>
  <c r="K30" i="38"/>
  <c r="K204" i="38"/>
  <c r="K111" i="38"/>
  <c r="K173" i="38"/>
  <c r="K142" i="38"/>
  <c r="J146" i="38"/>
  <c r="J208" i="38"/>
  <c r="J115" i="38"/>
  <c r="J177" i="38"/>
  <c r="C22" i="38"/>
  <c r="C14" i="38"/>
  <c r="C11" i="38"/>
  <c r="C165" i="38"/>
  <c r="C134" i="38"/>
  <c r="C196" i="38"/>
  <c r="C24" i="38"/>
  <c r="C136" i="38"/>
  <c r="C198" i="38"/>
  <c r="C167" i="38"/>
  <c r="D9" i="36"/>
  <c r="C102" i="38"/>
  <c r="B206" i="38"/>
  <c r="B113" i="38"/>
  <c r="B175" i="38"/>
  <c r="B144" i="38"/>
  <c r="B26" i="38"/>
  <c r="B200" i="38"/>
  <c r="B107" i="38"/>
  <c r="B138" i="38"/>
  <c r="B169" i="38"/>
  <c r="K19" i="38"/>
  <c r="K17" i="38"/>
  <c r="K131" i="38"/>
  <c r="K162" i="38"/>
  <c r="K193" i="38"/>
  <c r="K100" i="38"/>
  <c r="J23" i="38"/>
  <c r="J13" i="38"/>
  <c r="J197" i="38"/>
  <c r="J104" i="38"/>
  <c r="J166" i="38"/>
  <c r="J135" i="38"/>
  <c r="C101" i="38"/>
  <c r="D10" i="36"/>
  <c r="O8" i="38"/>
  <c r="O8" i="2"/>
  <c r="O6" i="2" s="1"/>
  <c r="O7" i="2" s="1"/>
  <c r="E9" i="36"/>
  <c r="C18" i="38"/>
  <c r="C7" i="38"/>
  <c r="C161" i="38"/>
  <c r="C192" i="38"/>
  <c r="C130" i="38"/>
  <c r="J27" i="38"/>
  <c r="J108" i="38"/>
  <c r="J170" i="38"/>
  <c r="J139" i="38"/>
  <c r="J201" i="38"/>
  <c r="B30" i="38"/>
  <c r="B111" i="38"/>
  <c r="B142" i="38"/>
  <c r="B173" i="38"/>
  <c r="B204" i="38"/>
  <c r="K26" i="38"/>
  <c r="K107" i="38"/>
  <c r="K200" i="38"/>
  <c r="K169" i="38"/>
  <c r="K138" i="38"/>
  <c r="B115" i="38"/>
  <c r="B146" i="38"/>
  <c r="B177" i="38"/>
  <c r="B208" i="38"/>
  <c r="J28" i="38"/>
  <c r="J202" i="38"/>
  <c r="J109" i="38"/>
  <c r="J140" i="38"/>
  <c r="J171" i="38"/>
  <c r="C105" i="38"/>
  <c r="J30" i="38"/>
  <c r="J111" i="38"/>
  <c r="J173" i="38"/>
  <c r="J204" i="38"/>
  <c r="J142" i="38"/>
  <c r="Z7" i="30"/>
  <c r="AJ7" i="30" s="1"/>
  <c r="K31" i="30"/>
  <c r="Z31" i="30" s="1"/>
  <c r="AJ31" i="30" s="1"/>
  <c r="K132" i="2"/>
  <c r="K11" i="2"/>
  <c r="J11" i="2"/>
  <c r="J135" i="2" s="1"/>
  <c r="K163" i="2"/>
  <c r="K9" i="30" s="1"/>
  <c r="Z9" i="30" s="1"/>
  <c r="AJ9" i="30" s="1"/>
  <c r="K194" i="2"/>
  <c r="K20" i="2"/>
  <c r="K144" i="2" s="1"/>
  <c r="B11" i="2"/>
  <c r="L198" i="2"/>
  <c r="J130" i="2"/>
  <c r="B20" i="2"/>
  <c r="B15" i="2"/>
  <c r="K21" i="2"/>
  <c r="K207" i="2" s="1"/>
  <c r="J7" i="2"/>
  <c r="B22" i="2"/>
  <c r="L105" i="2"/>
  <c r="K15" i="2"/>
  <c r="B14" i="2"/>
  <c r="B15" i="30" s="1"/>
  <c r="R15" i="30" s="1"/>
  <c r="AG15" i="30" s="1"/>
  <c r="B11" i="30"/>
  <c r="R11" i="30" s="1"/>
  <c r="AG11" i="30" s="1"/>
  <c r="B21" i="2"/>
  <c r="B22" i="30" s="1"/>
  <c r="R22" i="30" s="1"/>
  <c r="AG22" i="30" s="1"/>
  <c r="C10" i="2"/>
  <c r="O16" i="2"/>
  <c r="L167" i="2"/>
  <c r="L136" i="2"/>
  <c r="J103" i="2"/>
  <c r="J134" i="2"/>
  <c r="J165" i="2"/>
  <c r="J11" i="30" s="1"/>
  <c r="Y11" i="30" s="1"/>
  <c r="AI11" i="30" s="1"/>
  <c r="J196" i="2"/>
  <c r="O103" i="2"/>
  <c r="N195" i="2"/>
  <c r="O21" i="2"/>
  <c r="C6" i="2"/>
  <c r="L99" i="2"/>
  <c r="L161" i="2"/>
  <c r="L101" i="2"/>
  <c r="L132" i="2"/>
  <c r="D105" i="2"/>
  <c r="C9" i="2"/>
  <c r="K102" i="2"/>
  <c r="K164" i="2"/>
  <c r="K10" i="30" s="1"/>
  <c r="Z10" i="30" s="1"/>
  <c r="AJ10" i="30" s="1"/>
  <c r="K195" i="2"/>
  <c r="K24" i="2"/>
  <c r="K167" i="2"/>
  <c r="K13" i="30" s="1"/>
  <c r="Z13" i="30" s="1"/>
  <c r="AJ13" i="30" s="1"/>
  <c r="L196" i="2"/>
  <c r="L103" i="2"/>
  <c r="L165" i="2"/>
  <c r="L134" i="2"/>
  <c r="K134" i="2"/>
  <c r="K103" i="2"/>
  <c r="L102" i="2"/>
  <c r="L195" i="2"/>
  <c r="J24" i="2"/>
  <c r="J198" i="2"/>
  <c r="C12" i="2"/>
  <c r="N175" i="2"/>
  <c r="C8" i="2"/>
  <c r="J101" i="2"/>
  <c r="J132" i="2"/>
  <c r="J163" i="2"/>
  <c r="J9" i="30" s="1"/>
  <c r="Y9" i="30" s="1"/>
  <c r="AI9" i="30" s="1"/>
  <c r="J194" i="2"/>
  <c r="B24" i="2"/>
  <c r="J99" i="2"/>
  <c r="J192" i="2"/>
  <c r="J161" i="2"/>
  <c r="J7" i="30" s="1"/>
  <c r="B7" i="30"/>
  <c r="K26" i="2"/>
  <c r="K169" i="2"/>
  <c r="K15" i="30" s="1"/>
  <c r="Z15" i="30" s="1"/>
  <c r="AJ15" i="30" s="1"/>
  <c r="K200" i="2"/>
  <c r="K107" i="2"/>
  <c r="K138" i="2"/>
  <c r="N181" i="3"/>
  <c r="N135" i="3"/>
  <c r="N139" i="3"/>
  <c r="E212" i="3"/>
  <c r="F152" i="3"/>
  <c r="F151" i="3"/>
  <c r="G209" i="3"/>
  <c r="E132" i="3"/>
  <c r="N135" i="2"/>
  <c r="N138" i="2"/>
  <c r="K113" i="2"/>
  <c r="K206" i="2"/>
  <c r="E122" i="3"/>
  <c r="M196" i="2"/>
  <c r="E162" i="3"/>
  <c r="F207" i="3"/>
  <c r="N184" i="3"/>
  <c r="N183" i="3"/>
  <c r="N123" i="3"/>
  <c r="E214" i="3"/>
  <c r="F145" i="3"/>
  <c r="G202" i="3"/>
  <c r="E134" i="3"/>
  <c r="V38" i="12"/>
  <c r="E123" i="38" s="1"/>
  <c r="E99" i="3"/>
  <c r="B28" i="2"/>
  <c r="B17" i="30"/>
  <c r="R17" i="30" s="1"/>
  <c r="AG17" i="30" s="1"/>
  <c r="C18" i="2"/>
  <c r="W46" i="17"/>
  <c r="W44" i="17"/>
  <c r="W42" i="17"/>
  <c r="W40" i="17"/>
  <c r="W29" i="17"/>
  <c r="F176" i="38" s="1"/>
  <c r="W45" i="17"/>
  <c r="W20" i="17"/>
  <c r="F167" i="38" s="1"/>
  <c r="W31" i="17"/>
  <c r="F178" i="38" s="1"/>
  <c r="W33" i="17"/>
  <c r="F180" i="38" s="1"/>
  <c r="W35" i="17"/>
  <c r="F182" i="38" s="1"/>
  <c r="W15" i="17"/>
  <c r="F162" i="38" s="1"/>
  <c r="W26" i="17"/>
  <c r="F173" i="38" s="1"/>
  <c r="W37" i="17"/>
  <c r="F184" i="38" s="1"/>
  <c r="W17" i="17"/>
  <c r="F164" i="38" s="1"/>
  <c r="W28" i="17"/>
  <c r="F175" i="38" s="1"/>
  <c r="W30" i="17"/>
  <c r="F177" i="38" s="1"/>
  <c r="W39" i="17"/>
  <c r="W21" i="17"/>
  <c r="F168" i="38" s="1"/>
  <c r="W25" i="17"/>
  <c r="F172" i="38" s="1"/>
  <c r="W22" i="17"/>
  <c r="F169" i="38" s="1"/>
  <c r="W18" i="17"/>
  <c r="F165" i="38" s="1"/>
  <c r="W41" i="17"/>
  <c r="W36" i="17"/>
  <c r="F183" i="38" s="1"/>
  <c r="W32" i="17"/>
  <c r="F179" i="38" s="1"/>
  <c r="W24" i="17"/>
  <c r="F171" i="38" s="1"/>
  <c r="W23" i="17"/>
  <c r="F170" i="38" s="1"/>
  <c r="W43" i="17"/>
  <c r="W27" i="17"/>
  <c r="F174" i="38" s="1"/>
  <c r="W19" i="17"/>
  <c r="F166" i="38" s="1"/>
  <c r="W34" i="17"/>
  <c r="F181" i="38" s="1"/>
  <c r="W14" i="17"/>
  <c r="F161" i="38" s="1"/>
  <c r="W16" i="17"/>
  <c r="F163" i="38" s="1"/>
  <c r="E182" i="3"/>
  <c r="F211" i="3"/>
  <c r="M216" i="3"/>
  <c r="N144" i="3"/>
  <c r="K19" i="2"/>
  <c r="K17" i="2"/>
  <c r="K131" i="2"/>
  <c r="K162" i="2"/>
  <c r="K8" i="30" s="1"/>
  <c r="Z8" i="30" s="1"/>
  <c r="AJ8" i="30" s="1"/>
  <c r="K193" i="2"/>
  <c r="K100" i="2"/>
  <c r="F143" i="3"/>
  <c r="G213" i="3"/>
  <c r="B13" i="2"/>
  <c r="E141" i="3"/>
  <c r="E136" i="3"/>
  <c r="E120" i="3"/>
  <c r="D192" i="2"/>
  <c r="C123" i="3"/>
  <c r="W35" i="11"/>
  <c r="W37" i="11"/>
  <c r="W39" i="11"/>
  <c r="W45" i="11"/>
  <c r="W26" i="11"/>
  <c r="W28" i="11"/>
  <c r="W34" i="11"/>
  <c r="W36" i="11"/>
  <c r="W38" i="11"/>
  <c r="W40" i="11"/>
  <c r="W42" i="11"/>
  <c r="W44" i="11"/>
  <c r="W23" i="11"/>
  <c r="W21" i="11"/>
  <c r="W19" i="11"/>
  <c r="W17" i="11"/>
  <c r="N41" i="3" s="1"/>
  <c r="W15" i="11"/>
  <c r="N39" i="3" s="1"/>
  <c r="W46" i="11"/>
  <c r="W25" i="11"/>
  <c r="W22" i="11"/>
  <c r="W33" i="11"/>
  <c r="W29" i="11"/>
  <c r="W18" i="11"/>
  <c r="N43" i="3" s="1"/>
  <c r="W41" i="11"/>
  <c r="W32" i="11"/>
  <c r="W24" i="11"/>
  <c r="W14" i="11"/>
  <c r="N37" i="3" s="1"/>
  <c r="W27" i="11"/>
  <c r="W31" i="11"/>
  <c r="W20" i="11"/>
  <c r="W43" i="11"/>
  <c r="W30" i="11"/>
  <c r="W16" i="11"/>
  <c r="N40" i="3" s="1"/>
  <c r="N168" i="3"/>
  <c r="J28" i="2"/>
  <c r="J202" i="2"/>
  <c r="J171" i="2"/>
  <c r="J17" i="30" s="1"/>
  <c r="Y17" i="30" s="1"/>
  <c r="AI17" i="30" s="1"/>
  <c r="J109" i="2"/>
  <c r="J140" i="2"/>
  <c r="N133" i="3"/>
  <c r="N133" i="2"/>
  <c r="K30" i="2"/>
  <c r="K204" i="2"/>
  <c r="K142" i="2"/>
  <c r="K111" i="2"/>
  <c r="K173" i="2"/>
  <c r="K19" i="30" s="1"/>
  <c r="Z19" i="30" s="1"/>
  <c r="AJ19" i="30" s="1"/>
  <c r="J207" i="2"/>
  <c r="J145" i="2"/>
  <c r="J114" i="2"/>
  <c r="J176" i="2"/>
  <c r="J22" i="30" s="1"/>
  <c r="Y22" i="30" s="1"/>
  <c r="AI22" i="30" s="1"/>
  <c r="F137" i="3"/>
  <c r="D167" i="2"/>
  <c r="G195" i="3"/>
  <c r="E138" i="3"/>
  <c r="E118" i="3"/>
  <c r="D123" i="3"/>
  <c r="X9" i="11"/>
  <c r="X12" i="11"/>
  <c r="M198" i="2"/>
  <c r="X9" i="17"/>
  <c r="X12" i="17"/>
  <c r="E176" i="3"/>
  <c r="F203" i="3"/>
  <c r="C24" i="2"/>
  <c r="C13" i="30"/>
  <c r="S13" i="30" s="1"/>
  <c r="AH13" i="30" s="1"/>
  <c r="N176" i="3"/>
  <c r="J206" i="2"/>
  <c r="J175" i="2"/>
  <c r="J21" i="30" s="1"/>
  <c r="Y21" i="30" s="1"/>
  <c r="AI21" i="30" s="1"/>
  <c r="J144" i="2"/>
  <c r="J113" i="2"/>
  <c r="N153" i="3"/>
  <c r="J27" i="2"/>
  <c r="J139" i="2"/>
  <c r="J201" i="2"/>
  <c r="J108" i="2"/>
  <c r="J170" i="2"/>
  <c r="J16" i="30" s="1"/>
  <c r="Y16" i="30" s="1"/>
  <c r="AI16" i="30" s="1"/>
  <c r="F131" i="3"/>
  <c r="G206" i="3"/>
  <c r="E152" i="3"/>
  <c r="E140" i="3"/>
  <c r="E116" i="3"/>
  <c r="O15" i="2"/>
  <c r="M117" i="2"/>
  <c r="M148" i="2"/>
  <c r="N166" i="3"/>
  <c r="N166" i="2"/>
  <c r="N142" i="3"/>
  <c r="X37" i="16"/>
  <c r="AM122" i="3" s="1"/>
  <c r="X35" i="16"/>
  <c r="AM120" i="3" s="1"/>
  <c r="X33" i="16"/>
  <c r="AM118" i="3" s="1"/>
  <c r="X31" i="16"/>
  <c r="AM116" i="3" s="1"/>
  <c r="X29" i="16"/>
  <c r="AM114" i="3" s="1"/>
  <c r="X27" i="16"/>
  <c r="AM112" i="3" s="1"/>
  <c r="X25" i="16"/>
  <c r="AM110" i="3" s="1"/>
  <c r="X23" i="16"/>
  <c r="AM108" i="3" s="1"/>
  <c r="X21" i="16"/>
  <c r="AM106" i="3" s="1"/>
  <c r="X19" i="16"/>
  <c r="AM104" i="3" s="1"/>
  <c r="X17" i="16"/>
  <c r="AM102" i="3" s="1"/>
  <c r="X15" i="16"/>
  <c r="AM100" i="3" s="1"/>
  <c r="X14" i="16"/>
  <c r="X18" i="16"/>
  <c r="AM103" i="3" s="1"/>
  <c r="X45" i="16"/>
  <c r="X22" i="16"/>
  <c r="AM107" i="3" s="1"/>
  <c r="X24" i="16"/>
  <c r="AM109" i="3" s="1"/>
  <c r="X28" i="16"/>
  <c r="AM113" i="3" s="1"/>
  <c r="X30" i="16"/>
  <c r="AM115" i="3" s="1"/>
  <c r="X43" i="16"/>
  <c r="X26" i="16"/>
  <c r="AM111" i="3" s="1"/>
  <c r="X16" i="16"/>
  <c r="AM101" i="3" s="1"/>
  <c r="X32" i="16"/>
  <c r="AM117" i="3" s="1"/>
  <c r="X46" i="16"/>
  <c r="X39" i="16"/>
  <c r="X42" i="16"/>
  <c r="X34" i="16"/>
  <c r="AM119" i="3" s="1"/>
  <c r="X41" i="16"/>
  <c r="X44" i="16"/>
  <c r="X20" i="16"/>
  <c r="AM105" i="3" s="1"/>
  <c r="X40" i="16"/>
  <c r="X36" i="16"/>
  <c r="AM121" i="3" s="1"/>
  <c r="J19" i="2"/>
  <c r="J17" i="2"/>
  <c r="J193" i="2"/>
  <c r="J131" i="2"/>
  <c r="J162" i="2"/>
  <c r="J8" i="30" s="1"/>
  <c r="Y8" i="30" s="1"/>
  <c r="AI8" i="30" s="1"/>
  <c r="J100" i="2"/>
  <c r="F148" i="3"/>
  <c r="L171" i="2"/>
  <c r="L202" i="2"/>
  <c r="L109" i="2"/>
  <c r="L140" i="2"/>
  <c r="N196" i="2"/>
  <c r="E135" i="3"/>
  <c r="E142" i="3"/>
  <c r="M101" i="2"/>
  <c r="N174" i="3"/>
  <c r="N131" i="3"/>
  <c r="E193" i="3"/>
  <c r="J30" i="2"/>
  <c r="J111" i="2"/>
  <c r="J142" i="2"/>
  <c r="J173" i="2"/>
  <c r="J19" i="30" s="1"/>
  <c r="Y19" i="30" s="1"/>
  <c r="AI19" i="30" s="1"/>
  <c r="J204" i="2"/>
  <c r="F146" i="3"/>
  <c r="L113" i="2"/>
  <c r="L206" i="2"/>
  <c r="L175" i="2"/>
  <c r="L144" i="2"/>
  <c r="X40" i="21"/>
  <c r="X44" i="21"/>
  <c r="X25" i="21"/>
  <c r="X23" i="21"/>
  <c r="X21" i="21"/>
  <c r="X19" i="21"/>
  <c r="X17" i="21"/>
  <c r="X15" i="21"/>
  <c r="X46" i="21"/>
  <c r="X31" i="21"/>
  <c r="X37" i="21"/>
  <c r="X41" i="21"/>
  <c r="X43" i="21"/>
  <c r="X45" i="21"/>
  <c r="X28" i="21"/>
  <c r="X30" i="21"/>
  <c r="X32" i="21"/>
  <c r="X34" i="21"/>
  <c r="X18" i="21"/>
  <c r="X27" i="21"/>
  <c r="X24" i="21"/>
  <c r="X36" i="21"/>
  <c r="X33" i="21"/>
  <c r="X20" i="21"/>
  <c r="X26" i="21"/>
  <c r="X29" i="21"/>
  <c r="X39" i="21"/>
  <c r="X16" i="21"/>
  <c r="X42" i="21"/>
  <c r="X22" i="21"/>
  <c r="X35" i="21"/>
  <c r="X14" i="21"/>
  <c r="G199" i="3"/>
  <c r="E148" i="3"/>
  <c r="X12" i="12"/>
  <c r="E115" i="3"/>
  <c r="E114" i="3"/>
  <c r="M185" i="3"/>
  <c r="N182" i="3"/>
  <c r="N151" i="3"/>
  <c r="E195" i="3"/>
  <c r="F144" i="3"/>
  <c r="G210" i="3"/>
  <c r="E145" i="3"/>
  <c r="X38" i="23"/>
  <c r="W154" i="3" s="1"/>
  <c r="W130" i="3"/>
  <c r="W130" i="28" s="1"/>
  <c r="E110" i="3"/>
  <c r="O216" i="3"/>
  <c r="F194" i="3"/>
  <c r="K176" i="2"/>
  <c r="K22" i="30" s="1"/>
  <c r="Z22" i="30" s="1"/>
  <c r="AJ22" i="30" s="1"/>
  <c r="K114" i="2"/>
  <c r="E197" i="3"/>
  <c r="G215" i="3"/>
  <c r="E139" i="3"/>
  <c r="W34" i="12"/>
  <c r="F119" i="38" s="1"/>
  <c r="W15" i="12"/>
  <c r="F100" i="38" s="1"/>
  <c r="W36" i="12"/>
  <c r="F121" i="38" s="1"/>
  <c r="W17" i="12"/>
  <c r="F102" i="38" s="1"/>
  <c r="W19" i="12"/>
  <c r="F104" i="38" s="1"/>
  <c r="W40" i="12"/>
  <c r="W23" i="12"/>
  <c r="F108" i="38" s="1"/>
  <c r="W42" i="12"/>
  <c r="W25" i="12"/>
  <c r="F110" i="38" s="1"/>
  <c r="W44" i="12"/>
  <c r="W27" i="12"/>
  <c r="F112" i="38" s="1"/>
  <c r="W46" i="12"/>
  <c r="W31" i="12"/>
  <c r="F116" i="38" s="1"/>
  <c r="W33" i="12"/>
  <c r="F118" i="38" s="1"/>
  <c r="W35" i="12"/>
  <c r="F120" i="38" s="1"/>
  <c r="W37" i="12"/>
  <c r="F122" i="38" s="1"/>
  <c r="W16" i="12"/>
  <c r="F101" i="38" s="1"/>
  <c r="W18" i="12"/>
  <c r="F103" i="38" s="1"/>
  <c r="W39" i="12"/>
  <c r="W20" i="12"/>
  <c r="F105" i="38" s="1"/>
  <c r="W41" i="12"/>
  <c r="W22" i="12"/>
  <c r="F107" i="38" s="1"/>
  <c r="W43" i="12"/>
  <c r="W24" i="12"/>
  <c r="F109" i="38" s="1"/>
  <c r="W45" i="12"/>
  <c r="W28" i="12"/>
  <c r="F113" i="38" s="1"/>
  <c r="W32" i="12"/>
  <c r="F117" i="38" s="1"/>
  <c r="W30" i="12"/>
  <c r="F115" i="38" s="1"/>
  <c r="W26" i="12"/>
  <c r="F111" i="38" s="1"/>
  <c r="W21" i="12"/>
  <c r="F106" i="38" s="1"/>
  <c r="W29" i="12"/>
  <c r="F114" i="38" s="1"/>
  <c r="E112" i="3"/>
  <c r="N105" i="2"/>
  <c r="X36" i="26"/>
  <c r="W214" i="3" s="1"/>
  <c r="W214" i="28" s="1"/>
  <c r="X34" i="26"/>
  <c r="W212" i="3" s="1"/>
  <c r="W212" i="28" s="1"/>
  <c r="X32" i="26"/>
  <c r="W210" i="3" s="1"/>
  <c r="W210" i="28" s="1"/>
  <c r="X30" i="26"/>
  <c r="W208" i="3" s="1"/>
  <c r="W208" i="28" s="1"/>
  <c r="X28" i="26"/>
  <c r="W206" i="3" s="1"/>
  <c r="W206" i="28" s="1"/>
  <c r="X26" i="26"/>
  <c r="W204" i="3" s="1"/>
  <c r="W204" i="28" s="1"/>
  <c r="X24" i="26"/>
  <c r="W202" i="3" s="1"/>
  <c r="W202" i="28" s="1"/>
  <c r="X22" i="26"/>
  <c r="W200" i="3" s="1"/>
  <c r="W200" i="28" s="1"/>
  <c r="X20" i="26"/>
  <c r="W198" i="3" s="1"/>
  <c r="W198" i="28" s="1"/>
  <c r="X18" i="26"/>
  <c r="W196" i="3" s="1"/>
  <c r="W196" i="28" s="1"/>
  <c r="X16" i="26"/>
  <c r="W194" i="3" s="1"/>
  <c r="W194" i="28" s="1"/>
  <c r="X14" i="26"/>
  <c r="X46" i="26"/>
  <c r="X44" i="26"/>
  <c r="X42" i="26"/>
  <c r="X40" i="26"/>
  <c r="X37" i="26"/>
  <c r="W215" i="3" s="1"/>
  <c r="W215" i="28" s="1"/>
  <c r="X35" i="26"/>
  <c r="W213" i="3" s="1"/>
  <c r="W213" i="28" s="1"/>
  <c r="X33" i="26"/>
  <c r="W211" i="3" s="1"/>
  <c r="W211" i="28" s="1"/>
  <c r="X31" i="26"/>
  <c r="W209" i="3" s="1"/>
  <c r="W209" i="28" s="1"/>
  <c r="X29" i="26"/>
  <c r="W207" i="3" s="1"/>
  <c r="W207" i="28" s="1"/>
  <c r="X27" i="26"/>
  <c r="W205" i="3" s="1"/>
  <c r="W205" i="28" s="1"/>
  <c r="X25" i="26"/>
  <c r="W203" i="3" s="1"/>
  <c r="W203" i="28" s="1"/>
  <c r="X23" i="26"/>
  <c r="W201" i="3" s="1"/>
  <c r="W201" i="28" s="1"/>
  <c r="X21" i="26"/>
  <c r="W199" i="3" s="1"/>
  <c r="W199" i="28" s="1"/>
  <c r="X19" i="26"/>
  <c r="W197" i="3" s="1"/>
  <c r="W197" i="28" s="1"/>
  <c r="X17" i="26"/>
  <c r="W195" i="3" s="1"/>
  <c r="W195" i="28" s="1"/>
  <c r="X15" i="26"/>
  <c r="W193" i="3" s="1"/>
  <c r="W193" i="28" s="1"/>
  <c r="X45" i="26"/>
  <c r="X43" i="26"/>
  <c r="X41" i="26"/>
  <c r="X39" i="26"/>
  <c r="V38" i="17"/>
  <c r="E185" i="38" s="1"/>
  <c r="E161" i="3"/>
  <c r="K27" i="2"/>
  <c r="K170" i="2"/>
  <c r="K16" i="30" s="1"/>
  <c r="Z16" i="30" s="1"/>
  <c r="AJ16" i="30" s="1"/>
  <c r="K108" i="2"/>
  <c r="K201" i="2"/>
  <c r="K139" i="2"/>
  <c r="W38" i="22"/>
  <c r="N154" i="38" s="1"/>
  <c r="N130" i="3"/>
  <c r="N130" i="2"/>
  <c r="N140" i="3"/>
  <c r="E199" i="3"/>
  <c r="W38" i="21"/>
  <c r="F154" i="38" s="1"/>
  <c r="F130" i="3"/>
  <c r="G211" i="3"/>
  <c r="X38" i="24"/>
  <c r="G192" i="3"/>
  <c r="E133" i="3"/>
  <c r="E151" i="3"/>
  <c r="E108" i="3"/>
  <c r="E174" i="3"/>
  <c r="E163" i="3"/>
  <c r="C11" i="2"/>
  <c r="C14" i="2"/>
  <c r="C22" i="2"/>
  <c r="C11" i="30"/>
  <c r="S11" i="30" s="1"/>
  <c r="AH11" i="30" s="1"/>
  <c r="F198" i="3"/>
  <c r="M123" i="3"/>
  <c r="W38" i="18"/>
  <c r="N185" i="38" s="1"/>
  <c r="N161" i="3"/>
  <c r="N146" i="3"/>
  <c r="N146" i="2"/>
  <c r="N138" i="3"/>
  <c r="V38" i="24"/>
  <c r="E216" i="38" s="1"/>
  <c r="E192" i="3"/>
  <c r="E201" i="3"/>
  <c r="N198" i="2"/>
  <c r="F132" i="3"/>
  <c r="G193" i="3"/>
  <c r="G203" i="3"/>
  <c r="E149" i="3"/>
  <c r="E104" i="3"/>
  <c r="D196" i="2"/>
  <c r="E170" i="3"/>
  <c r="E165" i="3"/>
  <c r="B16" i="30"/>
  <c r="R16" i="30" s="1"/>
  <c r="AG16" i="30" s="1"/>
  <c r="W38" i="24"/>
  <c r="F216" i="38" s="1"/>
  <c r="F192" i="3"/>
  <c r="F197" i="3"/>
  <c r="F200" i="3"/>
  <c r="M105" i="2"/>
  <c r="X43" i="22"/>
  <c r="X34" i="22"/>
  <c r="X14" i="22"/>
  <c r="X36" i="22"/>
  <c r="X16" i="22"/>
  <c r="O132" i="38" s="1"/>
  <c r="X45" i="22"/>
  <c r="X27" i="22"/>
  <c r="X18" i="22"/>
  <c r="O134" i="38" s="1"/>
  <c r="X29" i="22"/>
  <c r="X40" i="22"/>
  <c r="X31" i="22"/>
  <c r="X22" i="22"/>
  <c r="X42" i="22"/>
  <c r="X33" i="22"/>
  <c r="X44" i="22"/>
  <c r="X35" i="22"/>
  <c r="X15" i="22"/>
  <c r="X26" i="22"/>
  <c r="X37" i="22"/>
  <c r="X17" i="22"/>
  <c r="O133" i="38" s="1"/>
  <c r="X28" i="22"/>
  <c r="X46" i="22"/>
  <c r="X19" i="22"/>
  <c r="X39" i="22"/>
  <c r="X30" i="22"/>
  <c r="X41" i="22"/>
  <c r="X32" i="22"/>
  <c r="X23" i="22"/>
  <c r="X24" i="22"/>
  <c r="X21" i="22"/>
  <c r="X20" i="22"/>
  <c r="X25" i="22"/>
  <c r="X37" i="18"/>
  <c r="X35" i="18"/>
  <c r="X33" i="18"/>
  <c r="X31" i="18"/>
  <c r="X29" i="18"/>
  <c r="X27" i="18"/>
  <c r="X25" i="18"/>
  <c r="X23" i="18"/>
  <c r="X21" i="18"/>
  <c r="X19" i="18"/>
  <c r="X17" i="18"/>
  <c r="O164" i="38" s="1"/>
  <c r="X15" i="18"/>
  <c r="X46" i="18"/>
  <c r="X44" i="18"/>
  <c r="X42" i="18"/>
  <c r="X40" i="18"/>
  <c r="X41" i="18"/>
  <c r="X30" i="18"/>
  <c r="X22" i="18"/>
  <c r="X14" i="18"/>
  <c r="X43" i="18"/>
  <c r="X39" i="18"/>
  <c r="X36" i="18"/>
  <c r="X26" i="18"/>
  <c r="X20" i="18"/>
  <c r="X45" i="18"/>
  <c r="X24" i="18"/>
  <c r="X28" i="18"/>
  <c r="X18" i="18"/>
  <c r="O165" i="38" s="1"/>
  <c r="X32" i="18"/>
  <c r="X16" i="18"/>
  <c r="O163" i="38" s="1"/>
  <c r="X34" i="18"/>
  <c r="N163" i="3"/>
  <c r="N147" i="3"/>
  <c r="E194" i="3"/>
  <c r="E203" i="3"/>
  <c r="F134" i="3"/>
  <c r="G204" i="3"/>
  <c r="G214" i="3"/>
  <c r="E137" i="3"/>
  <c r="E143" i="3"/>
  <c r="E113" i="3"/>
  <c r="E106" i="3"/>
  <c r="C9" i="30"/>
  <c r="S9" i="30" s="1"/>
  <c r="AH9" i="30" s="1"/>
  <c r="E178" i="3"/>
  <c r="E167" i="3"/>
  <c r="N165" i="3"/>
  <c r="N165" i="2"/>
  <c r="E196" i="3"/>
  <c r="E205" i="3"/>
  <c r="D195" i="2"/>
  <c r="F133" i="3"/>
  <c r="F136" i="3"/>
  <c r="G197" i="3"/>
  <c r="G196" i="3"/>
  <c r="E131" i="3"/>
  <c r="E109" i="3"/>
  <c r="E102" i="3"/>
  <c r="E168" i="3"/>
  <c r="E169" i="3"/>
  <c r="B19" i="2"/>
  <c r="B17" i="2"/>
  <c r="B8" i="30"/>
  <c r="R8" i="30" s="1"/>
  <c r="AG8" i="30" s="1"/>
  <c r="N164" i="3"/>
  <c r="N164" i="2"/>
  <c r="N167" i="3"/>
  <c r="N167" i="2"/>
  <c r="N149" i="3"/>
  <c r="N136" i="3"/>
  <c r="N136" i="2"/>
  <c r="E198" i="3"/>
  <c r="E207" i="3"/>
  <c r="M136" i="2"/>
  <c r="W38" i="16"/>
  <c r="AL123" i="3" s="1"/>
  <c r="AL99" i="3"/>
  <c r="F138" i="3"/>
  <c r="X38" i="15"/>
  <c r="AE123" i="3" s="1"/>
  <c r="AE99" i="3"/>
  <c r="G208" i="3"/>
  <c r="G207" i="3"/>
  <c r="E153" i="3"/>
  <c r="E111" i="3"/>
  <c r="E121" i="3"/>
  <c r="M167" i="2"/>
  <c r="E172" i="3"/>
  <c r="E171" i="3"/>
  <c r="F196" i="3"/>
  <c r="D185" i="3"/>
  <c r="F193" i="3"/>
  <c r="F215" i="3"/>
  <c r="F204" i="3"/>
  <c r="F201" i="3"/>
  <c r="F206" i="3"/>
  <c r="B30" i="2"/>
  <c r="B19" i="30"/>
  <c r="R19" i="30" s="1"/>
  <c r="AG19" i="30" s="1"/>
  <c r="N139" i="2"/>
  <c r="N145" i="2"/>
  <c r="N172" i="3"/>
  <c r="N169" i="3"/>
  <c r="N134" i="3"/>
  <c r="N134" i="2"/>
  <c r="J104" i="2"/>
  <c r="E200" i="3"/>
  <c r="E209" i="3"/>
  <c r="F147" i="3"/>
  <c r="F140" i="3"/>
  <c r="G200" i="3"/>
  <c r="E147" i="3"/>
  <c r="E107" i="3"/>
  <c r="E100" i="3"/>
  <c r="E180" i="3"/>
  <c r="E173" i="3"/>
  <c r="M154" i="3"/>
  <c r="F202" i="3"/>
  <c r="F205" i="3"/>
  <c r="F208" i="3"/>
  <c r="O18" i="2"/>
  <c r="L100" i="2"/>
  <c r="L193" i="2"/>
  <c r="L131" i="2"/>
  <c r="L162" i="2"/>
  <c r="N102" i="2"/>
  <c r="N180" i="3"/>
  <c r="N171" i="3"/>
  <c r="N150" i="3"/>
  <c r="N143" i="3"/>
  <c r="J146" i="2"/>
  <c r="J177" i="2"/>
  <c r="J23" i="30" s="1"/>
  <c r="Y23" i="30" s="1"/>
  <c r="AI23" i="30" s="1"/>
  <c r="J115" i="2"/>
  <c r="J208" i="2"/>
  <c r="E202" i="3"/>
  <c r="E211" i="3"/>
  <c r="F150" i="3"/>
  <c r="F142" i="3"/>
  <c r="G201" i="3"/>
  <c r="E150" i="3"/>
  <c r="E119" i="3"/>
  <c r="E175" i="3"/>
  <c r="O123" i="3"/>
  <c r="L173" i="2"/>
  <c r="L111" i="2"/>
  <c r="L142" i="2"/>
  <c r="L204" i="2"/>
  <c r="N162" i="3"/>
  <c r="N173" i="3"/>
  <c r="N145" i="3"/>
  <c r="J26" i="2"/>
  <c r="J138" i="2"/>
  <c r="J200" i="2"/>
  <c r="J169" i="2"/>
  <c r="J15" i="30" s="1"/>
  <c r="Y15" i="30" s="1"/>
  <c r="AI15" i="30" s="1"/>
  <c r="J107" i="2"/>
  <c r="E204" i="3"/>
  <c r="E213" i="3"/>
  <c r="F141" i="3"/>
  <c r="G212" i="3"/>
  <c r="E146" i="3"/>
  <c r="N216" i="3"/>
  <c r="E105" i="3"/>
  <c r="E117" i="3"/>
  <c r="L146" i="2"/>
  <c r="L208" i="2"/>
  <c r="L115" i="2"/>
  <c r="L177" i="2"/>
  <c r="E166" i="3"/>
  <c r="E177" i="3"/>
  <c r="N170" i="3"/>
  <c r="N175" i="3"/>
  <c r="N148" i="3"/>
  <c r="N148" i="2"/>
  <c r="N132" i="3"/>
  <c r="N132" i="2"/>
  <c r="E206" i="3"/>
  <c r="E215" i="3"/>
  <c r="F135" i="3"/>
  <c r="G194" i="3"/>
  <c r="E144" i="3"/>
  <c r="L114" i="2"/>
  <c r="L176" i="2"/>
  <c r="L145" i="2"/>
  <c r="L207" i="2"/>
  <c r="D194" i="2"/>
  <c r="L104" i="2"/>
  <c r="L135" i="2"/>
  <c r="L166" i="2"/>
  <c r="L197" i="2"/>
  <c r="E164" i="3"/>
  <c r="E179" i="3"/>
  <c r="W38" i="26"/>
  <c r="V216" i="3" s="1"/>
  <c r="V192" i="3"/>
  <c r="F213" i="3"/>
  <c r="F212" i="3"/>
  <c r="F195" i="3"/>
  <c r="F214" i="3"/>
  <c r="K146" i="2"/>
  <c r="K208" i="2"/>
  <c r="K177" i="2"/>
  <c r="K23" i="30" s="1"/>
  <c r="Z23" i="30" s="1"/>
  <c r="AJ23" i="30" s="1"/>
  <c r="K115" i="2"/>
  <c r="N178" i="3"/>
  <c r="N177" i="3"/>
  <c r="N177" i="2"/>
  <c r="N152" i="3"/>
  <c r="E208" i="3"/>
  <c r="C15" i="2"/>
  <c r="F139" i="3"/>
  <c r="G205" i="3"/>
  <c r="X45" i="10"/>
  <c r="X43" i="10"/>
  <c r="X41" i="10"/>
  <c r="X39" i="10"/>
  <c r="X37" i="10"/>
  <c r="X35" i="10"/>
  <c r="X33" i="10"/>
  <c r="X31" i="10"/>
  <c r="X29" i="10"/>
  <c r="X27" i="10"/>
  <c r="X25" i="10"/>
  <c r="X23" i="10"/>
  <c r="X21" i="10"/>
  <c r="X19" i="10"/>
  <c r="X17" i="10"/>
  <c r="G41" i="3" s="1"/>
  <c r="X46" i="10"/>
  <c r="X44" i="10"/>
  <c r="X42" i="10"/>
  <c r="X40" i="10"/>
  <c r="X38" i="10"/>
  <c r="X36" i="10"/>
  <c r="X34" i="10"/>
  <c r="X32" i="10"/>
  <c r="X30" i="10"/>
  <c r="X28" i="10"/>
  <c r="X26" i="10"/>
  <c r="X24" i="10"/>
  <c r="X22" i="10"/>
  <c r="X20" i="10"/>
  <c r="X18" i="10"/>
  <c r="G43" i="3" s="1"/>
  <c r="X16" i="10"/>
  <c r="G40" i="3" s="1"/>
  <c r="X14" i="10"/>
  <c r="G37" i="3" s="1"/>
  <c r="X15" i="10"/>
  <c r="G39" i="3" s="1"/>
  <c r="E103" i="3"/>
  <c r="L139" i="2"/>
  <c r="L108" i="2"/>
  <c r="L170" i="2"/>
  <c r="L201" i="2"/>
  <c r="L138" i="2"/>
  <c r="L107" i="2"/>
  <c r="L169" i="2"/>
  <c r="L200" i="2"/>
  <c r="D154" i="3"/>
  <c r="E184" i="3"/>
  <c r="E181" i="3"/>
  <c r="D198" i="2"/>
  <c r="F209" i="3"/>
  <c r="F210" i="3"/>
  <c r="F199" i="3"/>
  <c r="K23" i="2"/>
  <c r="K13" i="2"/>
  <c r="K197" i="2"/>
  <c r="K104" i="2"/>
  <c r="K166" i="2"/>
  <c r="K12" i="30" s="1"/>
  <c r="Z12" i="30" s="1"/>
  <c r="AJ12" i="30" s="1"/>
  <c r="K135" i="2"/>
  <c r="N179" i="3"/>
  <c r="N179" i="2"/>
  <c r="N137" i="3"/>
  <c r="N141" i="3"/>
  <c r="N99" i="2"/>
  <c r="E210" i="3"/>
  <c r="F149" i="3"/>
  <c r="F153" i="3"/>
  <c r="G198" i="3"/>
  <c r="V38" i="21"/>
  <c r="E154" i="38" s="1"/>
  <c r="E130" i="3"/>
  <c r="N103" i="2"/>
  <c r="K28" i="2"/>
  <c r="K202" i="2"/>
  <c r="K140" i="2"/>
  <c r="K109" i="2"/>
  <c r="K171" i="2"/>
  <c r="K17" i="30" s="1"/>
  <c r="Z17" i="30" s="1"/>
  <c r="AJ17" i="30" s="1"/>
  <c r="E101" i="3"/>
  <c r="E183" i="3"/>
  <c r="X207" i="28" l="1"/>
  <c r="Z207" i="28"/>
  <c r="X215" i="28"/>
  <c r="Z215" i="28"/>
  <c r="X198" i="28"/>
  <c r="Z198" i="28"/>
  <c r="X206" i="28"/>
  <c r="Z206" i="28"/>
  <c r="X193" i="28"/>
  <c r="Z193" i="28"/>
  <c r="X200" i="28"/>
  <c r="Z200" i="28"/>
  <c r="X195" i="28"/>
  <c r="Z195" i="28"/>
  <c r="X203" i="28"/>
  <c r="Z203" i="28"/>
  <c r="X211" i="28"/>
  <c r="Z211" i="28"/>
  <c r="X194" i="28"/>
  <c r="Z194" i="28"/>
  <c r="X202" i="28"/>
  <c r="Z202" i="28"/>
  <c r="X210" i="28"/>
  <c r="Z210" i="28"/>
  <c r="X199" i="28"/>
  <c r="Z199" i="28"/>
  <c r="X214" i="28"/>
  <c r="Z214" i="28"/>
  <c r="X201" i="28"/>
  <c r="Z201" i="28"/>
  <c r="X209" i="28"/>
  <c r="Z209" i="28"/>
  <c r="X208" i="28"/>
  <c r="Z208" i="28"/>
  <c r="X197" i="28"/>
  <c r="Z197" i="28"/>
  <c r="X205" i="28"/>
  <c r="Z205" i="28"/>
  <c r="X213" i="28"/>
  <c r="Z213" i="28"/>
  <c r="X196" i="28"/>
  <c r="Z196" i="28"/>
  <c r="X204" i="28"/>
  <c r="Z204" i="28"/>
  <c r="X212" i="28"/>
  <c r="Z212" i="28"/>
  <c r="O144" i="38"/>
  <c r="R7" i="30"/>
  <c r="AG7" i="30" s="1"/>
  <c r="B31" i="30"/>
  <c r="R31" i="30" s="1"/>
  <c r="AG31" i="30" s="1"/>
  <c r="J183" i="38"/>
  <c r="J152" i="38"/>
  <c r="J214" i="38"/>
  <c r="J121" i="38"/>
  <c r="C19" i="38"/>
  <c r="C17" i="38"/>
  <c r="C131" i="38"/>
  <c r="C193" i="38"/>
  <c r="C162" i="38"/>
  <c r="C100" i="38"/>
  <c r="O20" i="38"/>
  <c r="O16" i="38"/>
  <c r="O140" i="38" s="1"/>
  <c r="O6" i="38"/>
  <c r="O101" i="38"/>
  <c r="O194" i="38"/>
  <c r="J116" i="38"/>
  <c r="J209" i="38"/>
  <c r="J178" i="38"/>
  <c r="J147" i="38"/>
  <c r="C26" i="38"/>
  <c r="C169" i="38"/>
  <c r="C200" i="38"/>
  <c r="C138" i="38"/>
  <c r="C107" i="38"/>
  <c r="K25" i="38"/>
  <c r="K106" i="38"/>
  <c r="K137" i="38"/>
  <c r="K168" i="38"/>
  <c r="K199" i="38"/>
  <c r="J29" i="38"/>
  <c r="J110" i="38"/>
  <c r="J172" i="38"/>
  <c r="J203" i="38"/>
  <c r="J141" i="38"/>
  <c r="B147" i="38"/>
  <c r="B116" i="38"/>
  <c r="B209" i="38"/>
  <c r="B178" i="38"/>
  <c r="B143" i="38"/>
  <c r="B205" i="38"/>
  <c r="B112" i="38"/>
  <c r="B174" i="38"/>
  <c r="O12" i="2"/>
  <c r="O24" i="2" s="1"/>
  <c r="O11" i="2"/>
  <c r="C207" i="38"/>
  <c r="C176" i="38"/>
  <c r="C145" i="38"/>
  <c r="C114" i="38"/>
  <c r="O175" i="38"/>
  <c r="O161" i="38"/>
  <c r="Y7" i="30"/>
  <c r="AI7" i="30" s="1"/>
  <c r="J31" i="30"/>
  <c r="Y31" i="30" s="1"/>
  <c r="AI31" i="30" s="1"/>
  <c r="K119" i="38"/>
  <c r="K150" i="38"/>
  <c r="K212" i="38"/>
  <c r="K181" i="38"/>
  <c r="C30" i="38"/>
  <c r="C142" i="38"/>
  <c r="C204" i="38"/>
  <c r="C173" i="38"/>
  <c r="C111" i="38"/>
  <c r="K29" i="38"/>
  <c r="K172" i="38"/>
  <c r="K203" i="38"/>
  <c r="K141" i="38"/>
  <c r="K110" i="38"/>
  <c r="C146" i="38"/>
  <c r="C208" i="38"/>
  <c r="C177" i="38"/>
  <c r="C115" i="38"/>
  <c r="K116" i="38"/>
  <c r="K209" i="38"/>
  <c r="K178" i="38"/>
  <c r="K147" i="38"/>
  <c r="J112" i="38"/>
  <c r="J205" i="38"/>
  <c r="J174" i="38"/>
  <c r="J143" i="38"/>
  <c r="B151" i="38"/>
  <c r="B120" i="38"/>
  <c r="B182" i="38"/>
  <c r="B213" i="38"/>
  <c r="K152" i="38"/>
  <c r="K214" i="38"/>
  <c r="K121" i="38"/>
  <c r="K183" i="38"/>
  <c r="C28" i="38"/>
  <c r="C140" i="38"/>
  <c r="C171" i="38"/>
  <c r="C202" i="38"/>
  <c r="C109" i="38"/>
  <c r="O22" i="38"/>
  <c r="O177" i="38" s="1"/>
  <c r="O14" i="38"/>
  <c r="O12" i="38"/>
  <c r="O167" i="38" s="1"/>
  <c r="O11" i="38"/>
  <c r="O103" i="38"/>
  <c r="O196" i="38"/>
  <c r="O171" i="38"/>
  <c r="O169" i="38"/>
  <c r="O136" i="38"/>
  <c r="O135" i="38"/>
  <c r="O130" i="38"/>
  <c r="J216" i="38"/>
  <c r="J123" i="38"/>
  <c r="J154" i="38"/>
  <c r="J185" i="38"/>
  <c r="B185" i="38"/>
  <c r="B123" i="38"/>
  <c r="B216" i="38"/>
  <c r="B154" i="38"/>
  <c r="K205" i="38"/>
  <c r="K143" i="38"/>
  <c r="K112" i="38"/>
  <c r="K174" i="38"/>
  <c r="B183" i="38"/>
  <c r="B121" i="38"/>
  <c r="B152" i="38"/>
  <c r="B214" i="38"/>
  <c r="J150" i="38"/>
  <c r="J119" i="38"/>
  <c r="J181" i="38"/>
  <c r="J212" i="38"/>
  <c r="K213" i="38"/>
  <c r="K151" i="38"/>
  <c r="K120" i="38"/>
  <c r="K182" i="38"/>
  <c r="C175" i="38"/>
  <c r="C144" i="38"/>
  <c r="C206" i="38"/>
  <c r="C113" i="38"/>
  <c r="O21" i="38"/>
  <c r="O176" i="38" s="1"/>
  <c r="O15" i="38"/>
  <c r="O170" i="38" s="1"/>
  <c r="O195" i="38"/>
  <c r="O102" i="38"/>
  <c r="O166" i="38"/>
  <c r="P103" i="28"/>
  <c r="J182" i="38"/>
  <c r="J151" i="38"/>
  <c r="J213" i="38"/>
  <c r="J120" i="38"/>
  <c r="J25" i="38"/>
  <c r="J199" i="38"/>
  <c r="J106" i="38"/>
  <c r="J168" i="38"/>
  <c r="J137" i="38"/>
  <c r="B212" i="38"/>
  <c r="B119" i="38"/>
  <c r="B181" i="38"/>
  <c r="B150" i="38"/>
  <c r="C210" i="38"/>
  <c r="C179" i="38"/>
  <c r="C148" i="38"/>
  <c r="C117" i="38"/>
  <c r="C23" i="38"/>
  <c r="C13" i="38"/>
  <c r="C135" i="38"/>
  <c r="C166" i="38"/>
  <c r="C197" i="38"/>
  <c r="C104" i="38"/>
  <c r="K154" i="38"/>
  <c r="K216" i="38"/>
  <c r="K185" i="38"/>
  <c r="K123" i="38"/>
  <c r="B25" i="38"/>
  <c r="B137" i="38"/>
  <c r="B199" i="38"/>
  <c r="B168" i="38"/>
  <c r="B106" i="38"/>
  <c r="B29" i="38"/>
  <c r="B172" i="38"/>
  <c r="B203" i="38"/>
  <c r="B110" i="38"/>
  <c r="B141" i="38"/>
  <c r="C27" i="38"/>
  <c r="C139" i="38"/>
  <c r="C201" i="38"/>
  <c r="C170" i="38"/>
  <c r="C108" i="38"/>
  <c r="J166" i="2"/>
  <c r="J12" i="30" s="1"/>
  <c r="Y12" i="30" s="1"/>
  <c r="AI12" i="30" s="1"/>
  <c r="N169" i="2"/>
  <c r="B23" i="30"/>
  <c r="R23" i="30" s="1"/>
  <c r="AG23" i="30" s="1"/>
  <c r="B23" i="2"/>
  <c r="B27" i="2"/>
  <c r="C10" i="30"/>
  <c r="S10" i="30" s="1"/>
  <c r="AH10" i="30" s="1"/>
  <c r="N192" i="2"/>
  <c r="J197" i="2"/>
  <c r="J23" i="2"/>
  <c r="C20" i="2"/>
  <c r="N163" i="2"/>
  <c r="K145" i="2"/>
  <c r="M161" i="2"/>
  <c r="B26" i="2"/>
  <c r="K175" i="2"/>
  <c r="K21" i="30" s="1"/>
  <c r="Z21" i="30" s="1"/>
  <c r="AJ21" i="30" s="1"/>
  <c r="C21" i="2"/>
  <c r="J13" i="2"/>
  <c r="N161" i="2"/>
  <c r="B12" i="30"/>
  <c r="R12" i="30" s="1"/>
  <c r="AG12" i="30" s="1"/>
  <c r="M132" i="2"/>
  <c r="N140" i="2"/>
  <c r="C16" i="2"/>
  <c r="N173" i="2"/>
  <c r="N142" i="2"/>
  <c r="C7" i="2"/>
  <c r="B21" i="30"/>
  <c r="R21" i="30" s="1"/>
  <c r="AG21" i="30" s="1"/>
  <c r="C7" i="30"/>
  <c r="O101" i="2"/>
  <c r="O14" i="2"/>
  <c r="O138" i="2" s="1"/>
  <c r="O19" i="2"/>
  <c r="O143" i="2" s="1"/>
  <c r="O22" i="2"/>
  <c r="O146" i="2" s="1"/>
  <c r="O196" i="2"/>
  <c r="O20" i="2"/>
  <c r="O206" i="2" s="1"/>
  <c r="O105" i="2"/>
  <c r="O13" i="2"/>
  <c r="O198" i="2"/>
  <c r="O194" i="2"/>
  <c r="E101" i="2"/>
  <c r="B25" i="30"/>
  <c r="R25" i="30" s="1"/>
  <c r="AG25" i="30" s="1"/>
  <c r="L179" i="2"/>
  <c r="L210" i="2"/>
  <c r="L148" i="2"/>
  <c r="L117" i="2"/>
  <c r="M133" i="2"/>
  <c r="M102" i="2"/>
  <c r="M195" i="2"/>
  <c r="M164" i="2"/>
  <c r="N210" i="2"/>
  <c r="N117" i="2"/>
  <c r="E195" i="2"/>
  <c r="N194" i="2"/>
  <c r="N101" i="2"/>
  <c r="O102" i="2"/>
  <c r="O195" i="2"/>
  <c r="M194" i="2"/>
  <c r="M163" i="2"/>
  <c r="M210" i="2"/>
  <c r="M179" i="2"/>
  <c r="K148" i="2"/>
  <c r="K117" i="2"/>
  <c r="K210" i="2"/>
  <c r="K179" i="2"/>
  <c r="K25" i="30" s="1"/>
  <c r="Z25" i="30" s="1"/>
  <c r="AJ25" i="30" s="1"/>
  <c r="D99" i="2"/>
  <c r="D161" i="2"/>
  <c r="D103" i="2"/>
  <c r="D165" i="2"/>
  <c r="D102" i="2"/>
  <c r="D164" i="2"/>
  <c r="J148" i="2"/>
  <c r="J179" i="2"/>
  <c r="J25" i="30" s="1"/>
  <c r="Y25" i="30" s="1"/>
  <c r="AI25" i="30" s="1"/>
  <c r="J117" i="2"/>
  <c r="J210" i="2"/>
  <c r="O210" i="2"/>
  <c r="O117" i="2"/>
  <c r="D101" i="2"/>
  <c r="D163" i="2"/>
  <c r="M99" i="2"/>
  <c r="M192" i="2"/>
  <c r="M130" i="2"/>
  <c r="M165" i="2"/>
  <c r="M134" i="2"/>
  <c r="M103" i="2"/>
  <c r="O99" i="2"/>
  <c r="O192" i="2"/>
  <c r="O153" i="3"/>
  <c r="L213" i="2"/>
  <c r="L182" i="2"/>
  <c r="L151" i="2"/>
  <c r="L120" i="2"/>
  <c r="N109" i="2"/>
  <c r="N202" i="2"/>
  <c r="O173" i="3"/>
  <c r="O173" i="2"/>
  <c r="O178" i="3"/>
  <c r="O151" i="3"/>
  <c r="F116" i="3"/>
  <c r="X38" i="21"/>
  <c r="G130" i="3"/>
  <c r="H130" i="3" s="1"/>
  <c r="F184" i="3"/>
  <c r="F114" i="3"/>
  <c r="B25" i="2"/>
  <c r="B14" i="30"/>
  <c r="R14" i="30" s="1"/>
  <c r="AG14" i="30" s="1"/>
  <c r="F163" i="3"/>
  <c r="F173" i="3"/>
  <c r="N113" i="2"/>
  <c r="N206" i="2"/>
  <c r="O183" i="3"/>
  <c r="O180" i="3"/>
  <c r="G153" i="3"/>
  <c r="H153" i="3" s="1"/>
  <c r="J25" i="2"/>
  <c r="J106" i="2"/>
  <c r="J137" i="2"/>
  <c r="J199" i="2"/>
  <c r="J168" i="2"/>
  <c r="J14" i="30" s="1"/>
  <c r="Y14" i="30" s="1"/>
  <c r="AI14" i="30" s="1"/>
  <c r="O182" i="3"/>
  <c r="O149" i="3"/>
  <c r="G216" i="3"/>
  <c r="F106" i="3"/>
  <c r="F112" i="3"/>
  <c r="G138" i="3"/>
  <c r="H138" i="3" s="1"/>
  <c r="G147" i="3"/>
  <c r="H147" i="3" s="1"/>
  <c r="J216" i="2"/>
  <c r="J154" i="2"/>
  <c r="J123" i="2"/>
  <c r="J185" i="2"/>
  <c r="C25" i="30"/>
  <c r="S25" i="30" s="1"/>
  <c r="AH25" i="30" s="1"/>
  <c r="W38" i="17"/>
  <c r="F185" i="38" s="1"/>
  <c r="F161" i="3"/>
  <c r="F162" i="3"/>
  <c r="B29" i="30"/>
  <c r="R29" i="30" s="1"/>
  <c r="AG29" i="30" s="1"/>
  <c r="K213" i="2"/>
  <c r="K182" i="2"/>
  <c r="K28" i="30" s="1"/>
  <c r="Z28" i="30" s="1"/>
  <c r="AJ28" i="30" s="1"/>
  <c r="K151" i="2"/>
  <c r="K120" i="2"/>
  <c r="G151" i="3"/>
  <c r="H151" i="3" s="1"/>
  <c r="D202" i="2"/>
  <c r="D109" i="2"/>
  <c r="D171" i="2"/>
  <c r="C27" i="2"/>
  <c r="C16" i="30"/>
  <c r="S16" i="30" s="1"/>
  <c r="AH16" i="30" s="1"/>
  <c r="N170" i="2"/>
  <c r="J116" i="2"/>
  <c r="J209" i="2"/>
  <c r="J178" i="2"/>
  <c r="J24" i="30" s="1"/>
  <c r="Y24" i="30" s="1"/>
  <c r="AI24" i="30" s="1"/>
  <c r="J147" i="2"/>
  <c r="O184" i="3"/>
  <c r="F216" i="3"/>
  <c r="F111" i="3"/>
  <c r="M109" i="2"/>
  <c r="M140" i="2"/>
  <c r="M171" i="2"/>
  <c r="M202" i="2"/>
  <c r="F181" i="3"/>
  <c r="F182" i="3"/>
  <c r="D206" i="2"/>
  <c r="D175" i="2"/>
  <c r="D113" i="2"/>
  <c r="D210" i="2"/>
  <c r="D117" i="2"/>
  <c r="D179" i="2"/>
  <c r="C22" i="30"/>
  <c r="S22" i="30" s="1"/>
  <c r="AH22" i="30" s="1"/>
  <c r="X38" i="18"/>
  <c r="O161" i="3"/>
  <c r="O161" i="2"/>
  <c r="O141" i="3"/>
  <c r="O138" i="3"/>
  <c r="F115" i="3"/>
  <c r="F110" i="3"/>
  <c r="M175" i="2"/>
  <c r="M206" i="2"/>
  <c r="M144" i="2"/>
  <c r="M113" i="2"/>
  <c r="G132" i="3"/>
  <c r="H132" i="3" s="1"/>
  <c r="G131" i="3"/>
  <c r="H131" i="3" s="1"/>
  <c r="F166" i="3"/>
  <c r="F180" i="3"/>
  <c r="L110" i="2"/>
  <c r="L141" i="2"/>
  <c r="L172" i="2"/>
  <c r="L203" i="2"/>
  <c r="O169" i="3"/>
  <c r="O136" i="3"/>
  <c r="O136" i="2"/>
  <c r="O147" i="3"/>
  <c r="E185" i="3"/>
  <c r="F117" i="3"/>
  <c r="O200" i="2"/>
  <c r="G133" i="3"/>
  <c r="H133" i="3" s="1"/>
  <c r="F174" i="3"/>
  <c r="F178" i="3"/>
  <c r="E123" i="3"/>
  <c r="N100" i="2"/>
  <c r="N193" i="2"/>
  <c r="E194" i="2"/>
  <c r="O177" i="3"/>
  <c r="O137" i="3"/>
  <c r="X38" i="26"/>
  <c r="W216" i="3" s="1"/>
  <c r="W192" i="3"/>
  <c r="W192" i="28" s="1"/>
  <c r="F113" i="3"/>
  <c r="F108" i="3"/>
  <c r="G145" i="3"/>
  <c r="H145" i="3" s="1"/>
  <c r="G135" i="3"/>
  <c r="H135" i="3" s="1"/>
  <c r="J29" i="2"/>
  <c r="J172" i="2"/>
  <c r="J18" i="30" s="1"/>
  <c r="Y18" i="30" s="1"/>
  <c r="AI18" i="30" s="1"/>
  <c r="J110" i="2"/>
  <c r="J203" i="2"/>
  <c r="J141" i="2"/>
  <c r="O27" i="2"/>
  <c r="O151" i="2" s="1"/>
  <c r="O201" i="2"/>
  <c r="O108" i="2"/>
  <c r="J183" i="2"/>
  <c r="J29" i="30" s="1"/>
  <c r="Y29" i="30" s="1"/>
  <c r="AI29" i="30" s="1"/>
  <c r="J152" i="2"/>
  <c r="J214" i="2"/>
  <c r="J121" i="2"/>
  <c r="F167" i="3"/>
  <c r="N204" i="2"/>
  <c r="N111" i="2"/>
  <c r="L123" i="2"/>
  <c r="L216" i="2"/>
  <c r="L154" i="2"/>
  <c r="L185" i="2"/>
  <c r="O17" i="2"/>
  <c r="O141" i="2" s="1"/>
  <c r="O140" i="3"/>
  <c r="O140" i="2"/>
  <c r="O145" i="3"/>
  <c r="O145" i="2"/>
  <c r="C23" i="30"/>
  <c r="S23" i="30" s="1"/>
  <c r="AH23" i="30" s="1"/>
  <c r="F154" i="3"/>
  <c r="G142" i="3"/>
  <c r="H142" i="3" s="1"/>
  <c r="G137" i="3"/>
  <c r="H137" i="3" s="1"/>
  <c r="J112" i="2"/>
  <c r="J143" i="2"/>
  <c r="J174" i="2"/>
  <c r="J20" i="30" s="1"/>
  <c r="Y20" i="30" s="1"/>
  <c r="AI20" i="30" s="1"/>
  <c r="J205" i="2"/>
  <c r="X38" i="16"/>
  <c r="AM123" i="3" s="1"/>
  <c r="AM99" i="3"/>
  <c r="O207" i="2"/>
  <c r="O114" i="2"/>
  <c r="F170" i="3"/>
  <c r="L112" i="2"/>
  <c r="L174" i="2"/>
  <c r="L205" i="2"/>
  <c r="L143" i="2"/>
  <c r="O30" i="2"/>
  <c r="O111" i="2"/>
  <c r="O204" i="2"/>
  <c r="C21" i="30"/>
  <c r="S21" i="30" s="1"/>
  <c r="AH21" i="30" s="1"/>
  <c r="O139" i="3"/>
  <c r="O139" i="2"/>
  <c r="O134" i="3"/>
  <c r="O134" i="2"/>
  <c r="B28" i="30"/>
  <c r="R28" i="30" s="1"/>
  <c r="AG28" i="30" s="1"/>
  <c r="C26" i="2"/>
  <c r="C15" i="30"/>
  <c r="S15" i="30" s="1"/>
  <c r="AH15" i="30" s="1"/>
  <c r="F109" i="3"/>
  <c r="F104" i="3"/>
  <c r="G136" i="3"/>
  <c r="H136" i="3" s="1"/>
  <c r="G139" i="3"/>
  <c r="H139" i="3" s="1"/>
  <c r="J151" i="2"/>
  <c r="J120" i="2"/>
  <c r="J182" i="2"/>
  <c r="J28" i="30" s="1"/>
  <c r="Y28" i="30" s="1"/>
  <c r="AI28" i="30" s="1"/>
  <c r="J213" i="2"/>
  <c r="F171" i="3"/>
  <c r="F176" i="3"/>
  <c r="O28" i="2"/>
  <c r="O183" i="2" s="1"/>
  <c r="O109" i="2"/>
  <c r="O202" i="2"/>
  <c r="O143" i="3"/>
  <c r="E165" i="2"/>
  <c r="C13" i="2"/>
  <c r="C23" i="2"/>
  <c r="C12" i="30"/>
  <c r="S12" i="30" s="1"/>
  <c r="AH12" i="30" s="1"/>
  <c r="F102" i="3"/>
  <c r="G149" i="3"/>
  <c r="H149" i="3" s="1"/>
  <c r="G141" i="3"/>
  <c r="H141" i="3" s="1"/>
  <c r="D204" i="2"/>
  <c r="D173" i="2"/>
  <c r="D111" i="2"/>
  <c r="F179" i="3"/>
  <c r="C28" i="2"/>
  <c r="C17" i="30"/>
  <c r="S17" i="30" s="1"/>
  <c r="AH17" i="30" s="1"/>
  <c r="M139" i="2"/>
  <c r="M108" i="2"/>
  <c r="M170" i="2"/>
  <c r="M201" i="2"/>
  <c r="G152" i="3"/>
  <c r="H152" i="3" s="1"/>
  <c r="D193" i="2"/>
  <c r="D100" i="2"/>
  <c r="D162" i="2"/>
  <c r="F183" i="3"/>
  <c r="B29" i="2"/>
  <c r="B18" i="30"/>
  <c r="R18" i="30" s="1"/>
  <c r="AG18" i="30" s="1"/>
  <c r="O146" i="3"/>
  <c r="O132" i="3"/>
  <c r="O132" i="2"/>
  <c r="E163" i="2"/>
  <c r="F100" i="3"/>
  <c r="G140" i="3"/>
  <c r="H140" i="3" s="1"/>
  <c r="K29" i="2"/>
  <c r="K172" i="2"/>
  <c r="K18" i="30" s="1"/>
  <c r="Z18" i="30" s="1"/>
  <c r="AJ18" i="30" s="1"/>
  <c r="K110" i="2"/>
  <c r="K141" i="2"/>
  <c r="K203" i="2"/>
  <c r="O148" i="3"/>
  <c r="O148" i="2"/>
  <c r="N207" i="2"/>
  <c r="N114" i="2"/>
  <c r="B20" i="30"/>
  <c r="R20" i="30" s="1"/>
  <c r="AG20" i="30" s="1"/>
  <c r="F105" i="3"/>
  <c r="F119" i="3"/>
  <c r="G143" i="3"/>
  <c r="H143" i="3" s="1"/>
  <c r="X45" i="17"/>
  <c r="X20" i="17"/>
  <c r="X31" i="17"/>
  <c r="X40" i="17"/>
  <c r="X22" i="17"/>
  <c r="X24" i="17"/>
  <c r="X26" i="17"/>
  <c r="X37" i="17"/>
  <c r="X17" i="17"/>
  <c r="X44" i="17"/>
  <c r="X28" i="17"/>
  <c r="X19" i="17"/>
  <c r="X46" i="17"/>
  <c r="X39" i="17"/>
  <c r="X21" i="17"/>
  <c r="X32" i="17"/>
  <c r="X36" i="17"/>
  <c r="X16" i="17"/>
  <c r="X18" i="17"/>
  <c r="X41" i="17"/>
  <c r="X33" i="17"/>
  <c r="X25" i="17"/>
  <c r="X29" i="17"/>
  <c r="X35" i="17"/>
  <c r="X23" i="17"/>
  <c r="X43" i="17"/>
  <c r="X27" i="17"/>
  <c r="X15" i="17"/>
  <c r="X34" i="17"/>
  <c r="X30" i="17"/>
  <c r="X42" i="17"/>
  <c r="X14" i="17"/>
  <c r="K143" i="2"/>
  <c r="K174" i="2"/>
  <c r="K20" i="30" s="1"/>
  <c r="Z20" i="30" s="1"/>
  <c r="AJ20" i="30" s="1"/>
  <c r="K112" i="2"/>
  <c r="K205" i="2"/>
  <c r="F165" i="3"/>
  <c r="N200" i="2"/>
  <c r="N107" i="2"/>
  <c r="F107" i="3"/>
  <c r="E216" i="3"/>
  <c r="D201" i="2"/>
  <c r="D108" i="2"/>
  <c r="D170" i="2"/>
  <c r="O163" i="3"/>
  <c r="O163" i="2"/>
  <c r="O164" i="3"/>
  <c r="O164" i="2"/>
  <c r="O135" i="3"/>
  <c r="X38" i="22"/>
  <c r="O130" i="3"/>
  <c r="O130" i="2"/>
  <c r="G134" i="3"/>
  <c r="H134" i="3" s="1"/>
  <c r="N144" i="2"/>
  <c r="F169" i="3"/>
  <c r="N104" i="2"/>
  <c r="N197" i="2"/>
  <c r="O162" i="3"/>
  <c r="E154" i="3"/>
  <c r="D207" i="2"/>
  <c r="D114" i="2"/>
  <c r="D176" i="2"/>
  <c r="O179" i="3"/>
  <c r="O179" i="2"/>
  <c r="O166" i="3"/>
  <c r="O150" i="3"/>
  <c r="D208" i="2"/>
  <c r="D115" i="2"/>
  <c r="D177" i="2"/>
  <c r="N154" i="3"/>
  <c r="N154" i="2"/>
  <c r="F103" i="3"/>
  <c r="G150" i="3"/>
  <c r="H150" i="3" s="1"/>
  <c r="F172" i="3"/>
  <c r="N115" i="2"/>
  <c r="N208" i="2"/>
  <c r="K121" i="2"/>
  <c r="K214" i="2"/>
  <c r="K152" i="2"/>
  <c r="K183" i="2"/>
  <c r="K29" i="30" s="1"/>
  <c r="Z29" i="30" s="1"/>
  <c r="AJ29" i="30" s="1"/>
  <c r="N201" i="2"/>
  <c r="N108" i="2"/>
  <c r="O181" i="3"/>
  <c r="O152" i="3"/>
  <c r="O152" i="2"/>
  <c r="K25" i="2"/>
  <c r="K199" i="2"/>
  <c r="K168" i="2"/>
  <c r="K14" i="30" s="1"/>
  <c r="Z14" i="30" s="1"/>
  <c r="AJ14" i="30" s="1"/>
  <c r="K137" i="2"/>
  <c r="K106" i="2"/>
  <c r="L119" i="2"/>
  <c r="L212" i="2"/>
  <c r="L181" i="2"/>
  <c r="L150" i="2"/>
  <c r="O165" i="3"/>
  <c r="O165" i="2"/>
  <c r="O168" i="3"/>
  <c r="O144" i="3"/>
  <c r="D200" i="2"/>
  <c r="D169" i="2"/>
  <c r="D107" i="2"/>
  <c r="M100" i="2"/>
  <c r="M193" i="2"/>
  <c r="M162" i="2"/>
  <c r="M131" i="2"/>
  <c r="F101" i="3"/>
  <c r="X36" i="12"/>
  <c r="X19" i="12"/>
  <c r="X21" i="12"/>
  <c r="X42" i="12"/>
  <c r="X25" i="12"/>
  <c r="X44" i="12"/>
  <c r="X27" i="12"/>
  <c r="X29" i="12"/>
  <c r="X46" i="12"/>
  <c r="X33" i="12"/>
  <c r="X35" i="12"/>
  <c r="X14" i="12"/>
  <c r="X37" i="12"/>
  <c r="X16" i="12"/>
  <c r="X18" i="12"/>
  <c r="X39" i="12"/>
  <c r="X20" i="12"/>
  <c r="X41" i="12"/>
  <c r="X22" i="12"/>
  <c r="X43" i="12"/>
  <c r="X24" i="12"/>
  <c r="X26" i="12"/>
  <c r="X45" i="12"/>
  <c r="X30" i="12"/>
  <c r="X15" i="12"/>
  <c r="X32" i="12"/>
  <c r="X28" i="12"/>
  <c r="X23" i="12"/>
  <c r="X31" i="12"/>
  <c r="X40" i="12"/>
  <c r="X34" i="12"/>
  <c r="G148" i="3"/>
  <c r="H148" i="3" s="1"/>
  <c r="X37" i="11"/>
  <c r="X39" i="11"/>
  <c r="X41" i="11"/>
  <c r="X45" i="11"/>
  <c r="X28" i="11"/>
  <c r="X30" i="11"/>
  <c r="X36" i="11"/>
  <c r="X38" i="11"/>
  <c r="X40" i="11"/>
  <c r="X42" i="11"/>
  <c r="X44" i="11"/>
  <c r="X23" i="11"/>
  <c r="X21" i="11"/>
  <c r="X19" i="11"/>
  <c r="X17" i="11"/>
  <c r="O41" i="3" s="1"/>
  <c r="X15" i="11"/>
  <c r="O39" i="3" s="1"/>
  <c r="X46" i="11"/>
  <c r="X25" i="11"/>
  <c r="X27" i="11"/>
  <c r="X33" i="11"/>
  <c r="X29" i="11"/>
  <c r="X18" i="11"/>
  <c r="O43" i="3" s="1"/>
  <c r="X32" i="11"/>
  <c r="X24" i="11"/>
  <c r="X14" i="11"/>
  <c r="O37" i="3" s="1"/>
  <c r="X31" i="11"/>
  <c r="X20" i="11"/>
  <c r="X35" i="11"/>
  <c r="X43" i="11"/>
  <c r="X16" i="11"/>
  <c r="O40" i="3" s="1"/>
  <c r="X26" i="11"/>
  <c r="X22" i="11"/>
  <c r="X34" i="11"/>
  <c r="F168" i="3"/>
  <c r="F121" i="3"/>
  <c r="K209" i="2"/>
  <c r="K147" i="2"/>
  <c r="K178" i="2"/>
  <c r="K24" i="30" s="1"/>
  <c r="Z24" i="30" s="1"/>
  <c r="AJ24" i="30" s="1"/>
  <c r="K116" i="2"/>
  <c r="J119" i="2"/>
  <c r="J150" i="2"/>
  <c r="J181" i="2"/>
  <c r="J27" i="30" s="1"/>
  <c r="Y27" i="30" s="1"/>
  <c r="AI27" i="30" s="1"/>
  <c r="J212" i="2"/>
  <c r="O175" i="3"/>
  <c r="O170" i="3"/>
  <c r="O170" i="2"/>
  <c r="O133" i="3"/>
  <c r="O133" i="2"/>
  <c r="D197" i="2"/>
  <c r="D104" i="2"/>
  <c r="D166" i="2"/>
  <c r="M142" i="2"/>
  <c r="M204" i="2"/>
  <c r="M111" i="2"/>
  <c r="M173" i="2"/>
  <c r="F122" i="3"/>
  <c r="G146" i="3"/>
  <c r="H146" i="3" s="1"/>
  <c r="N176" i="2"/>
  <c r="C30" i="2"/>
  <c r="C19" i="30"/>
  <c r="S19" i="30" s="1"/>
  <c r="AH19" i="30" s="1"/>
  <c r="M169" i="2"/>
  <c r="M107" i="2"/>
  <c r="M200" i="2"/>
  <c r="M138" i="2"/>
  <c r="O171" i="3"/>
  <c r="O171" i="2"/>
  <c r="W38" i="12"/>
  <c r="F123" i="38" s="1"/>
  <c r="F99" i="3"/>
  <c r="G144" i="3"/>
  <c r="H144" i="3" s="1"/>
  <c r="F177" i="3"/>
  <c r="C19" i="2"/>
  <c r="C17" i="2"/>
  <c r="C8" i="30"/>
  <c r="S8" i="30" s="1"/>
  <c r="AH8" i="30" s="1"/>
  <c r="M114" i="2"/>
  <c r="M176" i="2"/>
  <c r="M207" i="2"/>
  <c r="M145" i="2"/>
  <c r="O172" i="3"/>
  <c r="L106" i="2"/>
  <c r="L137" i="2"/>
  <c r="L168" i="2"/>
  <c r="L199" i="2"/>
  <c r="O174" i="3"/>
  <c r="O142" i="3"/>
  <c r="O142" i="2"/>
  <c r="F120" i="3"/>
  <c r="F175" i="3"/>
  <c r="M104" i="2"/>
  <c r="M197" i="2"/>
  <c r="M166" i="2"/>
  <c r="M135" i="2"/>
  <c r="M177" i="2"/>
  <c r="M146" i="2"/>
  <c r="M115" i="2"/>
  <c r="M208" i="2"/>
  <c r="L209" i="2"/>
  <c r="L116" i="2"/>
  <c r="L178" i="2"/>
  <c r="L147" i="2"/>
  <c r="O167" i="3"/>
  <c r="O167" i="2"/>
  <c r="O176" i="3"/>
  <c r="O176" i="2"/>
  <c r="O131" i="3"/>
  <c r="N185" i="3"/>
  <c r="N185" i="2"/>
  <c r="F118" i="3"/>
  <c r="L214" i="2"/>
  <c r="L152" i="2"/>
  <c r="L183" i="2"/>
  <c r="L121" i="2"/>
  <c r="B27" i="30"/>
  <c r="R27" i="30" s="1"/>
  <c r="AG27" i="30" s="1"/>
  <c r="K123" i="2"/>
  <c r="K216" i="2"/>
  <c r="K185" i="2"/>
  <c r="K154" i="2"/>
  <c r="F164" i="3"/>
  <c r="K212" i="2"/>
  <c r="K119" i="2"/>
  <c r="K181" i="2"/>
  <c r="K27" i="30" s="1"/>
  <c r="Z27" i="30" s="1"/>
  <c r="AJ27" i="30" s="1"/>
  <c r="K150" i="2"/>
  <c r="X192" i="28" l="1"/>
  <c r="Z192" i="28"/>
  <c r="C29" i="36"/>
  <c r="P109" i="28"/>
  <c r="P102" i="28"/>
  <c r="P101" i="28"/>
  <c r="B184" i="38"/>
  <c r="B122" i="38"/>
  <c r="B215" i="38"/>
  <c r="B153" i="38"/>
  <c r="J211" i="38"/>
  <c r="J180" i="38"/>
  <c r="J149" i="38"/>
  <c r="J118" i="38"/>
  <c r="O26" i="38"/>
  <c r="O200" i="38"/>
  <c r="O107" i="38"/>
  <c r="C216" i="38"/>
  <c r="C185" i="38"/>
  <c r="C154" i="38"/>
  <c r="C123" i="38"/>
  <c r="O138" i="38"/>
  <c r="O206" i="38"/>
  <c r="O113" i="38"/>
  <c r="O145" i="38"/>
  <c r="C18" i="36"/>
  <c r="P108" i="28"/>
  <c r="P117" i="28"/>
  <c r="B149" i="38"/>
  <c r="B118" i="38"/>
  <c r="B180" i="38"/>
  <c r="B211" i="38"/>
  <c r="O115" i="38"/>
  <c r="O208" i="38"/>
  <c r="J153" i="38"/>
  <c r="J122" i="38"/>
  <c r="J184" i="38"/>
  <c r="J215" i="38"/>
  <c r="C29" i="38"/>
  <c r="C203" i="38"/>
  <c r="C141" i="38"/>
  <c r="C172" i="38"/>
  <c r="C110" i="38"/>
  <c r="P111" i="28"/>
  <c r="P114" i="28"/>
  <c r="P105" i="28"/>
  <c r="C20" i="36"/>
  <c r="C25" i="38"/>
  <c r="C168" i="38"/>
  <c r="C137" i="38"/>
  <c r="C199" i="38"/>
  <c r="C106" i="38"/>
  <c r="O27" i="38"/>
  <c r="O201" i="38"/>
  <c r="O108" i="38"/>
  <c r="O23" i="38"/>
  <c r="O13" i="38"/>
  <c r="O197" i="38"/>
  <c r="O104" i="38"/>
  <c r="C214" i="38"/>
  <c r="C152" i="38"/>
  <c r="C183" i="38"/>
  <c r="C121" i="38"/>
  <c r="O139" i="38"/>
  <c r="K149" i="38"/>
  <c r="K180" i="38"/>
  <c r="K211" i="38"/>
  <c r="K118" i="38"/>
  <c r="O18" i="38"/>
  <c r="O7" i="38"/>
  <c r="O99" i="38"/>
  <c r="O192" i="38"/>
  <c r="C205" i="38"/>
  <c r="C174" i="38"/>
  <c r="C143" i="38"/>
  <c r="C112" i="38"/>
  <c r="C28" i="36"/>
  <c r="C213" i="38"/>
  <c r="C182" i="38"/>
  <c r="C151" i="38"/>
  <c r="C120" i="38"/>
  <c r="C147" i="38"/>
  <c r="C178" i="38"/>
  <c r="C209" i="38"/>
  <c r="C116" i="38"/>
  <c r="O114" i="38"/>
  <c r="O207" i="38"/>
  <c r="O24" i="38"/>
  <c r="O198" i="38"/>
  <c r="O105" i="38"/>
  <c r="K215" i="38"/>
  <c r="K122" i="38"/>
  <c r="K184" i="38"/>
  <c r="K153" i="38"/>
  <c r="C212" i="38"/>
  <c r="C150" i="38"/>
  <c r="C181" i="38"/>
  <c r="C119" i="38"/>
  <c r="O28" i="38"/>
  <c r="O202" i="38"/>
  <c r="O109" i="38"/>
  <c r="O146" i="38"/>
  <c r="S7" i="30"/>
  <c r="AH7" i="30" s="1"/>
  <c r="C31" i="30"/>
  <c r="S31" i="30" s="1"/>
  <c r="AH31" i="30" s="1"/>
  <c r="C15" i="36"/>
  <c r="C19" i="36"/>
  <c r="P99" i="28"/>
  <c r="C7" i="36"/>
  <c r="C31" i="36" s="1"/>
  <c r="C25" i="36"/>
  <c r="O26" i="2"/>
  <c r="O181" i="2" s="1"/>
  <c r="O11" i="30"/>
  <c r="AD11" i="30" s="1"/>
  <c r="AP11" i="30" s="1"/>
  <c r="O9" i="30"/>
  <c r="AD9" i="30" s="1"/>
  <c r="AP9" i="30" s="1"/>
  <c r="C9" i="36"/>
  <c r="O113" i="2"/>
  <c r="O7" i="30"/>
  <c r="C23" i="36"/>
  <c r="O25" i="30"/>
  <c r="AD25" i="30" s="1"/>
  <c r="AP25" i="30" s="1"/>
  <c r="O10" i="30"/>
  <c r="AD10" i="30" s="1"/>
  <c r="AP10" i="30" s="1"/>
  <c r="O13" i="30"/>
  <c r="AD13" i="30" s="1"/>
  <c r="AP13" i="30" s="1"/>
  <c r="C10" i="36"/>
  <c r="O175" i="2"/>
  <c r="C16" i="36"/>
  <c r="C22" i="36"/>
  <c r="C13" i="36"/>
  <c r="O19" i="30"/>
  <c r="AD19" i="30" s="1"/>
  <c r="AP19" i="30" s="1"/>
  <c r="O22" i="30"/>
  <c r="AD22" i="30" s="1"/>
  <c r="AP22" i="30" s="1"/>
  <c r="O17" i="30"/>
  <c r="AD17" i="30" s="1"/>
  <c r="AP17" i="30" s="1"/>
  <c r="O16" i="30"/>
  <c r="AD16" i="30" s="1"/>
  <c r="AP16" i="30" s="1"/>
  <c r="O144" i="2"/>
  <c r="O29" i="30"/>
  <c r="AD29" i="30" s="1"/>
  <c r="AP29" i="30" s="1"/>
  <c r="C11" i="36"/>
  <c r="C17" i="36"/>
  <c r="O107" i="2"/>
  <c r="O169" i="2"/>
  <c r="N171" i="2"/>
  <c r="O131" i="2"/>
  <c r="O172" i="2"/>
  <c r="O100" i="2"/>
  <c r="O162" i="2"/>
  <c r="O193" i="2"/>
  <c r="B24" i="30"/>
  <c r="R24" i="30" s="1"/>
  <c r="AG24" i="30" s="1"/>
  <c r="E170" i="2"/>
  <c r="N162" i="2"/>
  <c r="N131" i="2"/>
  <c r="O115" i="2"/>
  <c r="O23" i="2"/>
  <c r="O147" i="2" s="1"/>
  <c r="O166" i="2"/>
  <c r="O137" i="2"/>
  <c r="O168" i="2"/>
  <c r="O135" i="2"/>
  <c r="O208" i="2"/>
  <c r="O104" i="2"/>
  <c r="O197" i="2"/>
  <c r="O177" i="2"/>
  <c r="F105" i="2"/>
  <c r="F164" i="2"/>
  <c r="E103" i="2"/>
  <c r="E196" i="2"/>
  <c r="E198" i="2"/>
  <c r="E167" i="2"/>
  <c r="E105" i="2"/>
  <c r="E99" i="2"/>
  <c r="E192" i="2"/>
  <c r="E161" i="2"/>
  <c r="F161" i="2"/>
  <c r="E164" i="2"/>
  <c r="E102" i="2"/>
  <c r="L153" i="2"/>
  <c r="L215" i="2"/>
  <c r="L122" i="2"/>
  <c r="L184" i="2"/>
  <c r="G168" i="3"/>
  <c r="G106" i="3"/>
  <c r="D205" i="2"/>
  <c r="D174" i="2"/>
  <c r="D112" i="2"/>
  <c r="G111" i="3"/>
  <c r="G104" i="3"/>
  <c r="N119" i="2"/>
  <c r="N212" i="2"/>
  <c r="N181" i="2"/>
  <c r="N150" i="2"/>
  <c r="G165" i="3"/>
  <c r="E206" i="2"/>
  <c r="E113" i="2"/>
  <c r="E175" i="2"/>
  <c r="G109" i="3"/>
  <c r="G102" i="3"/>
  <c r="G163" i="3"/>
  <c r="E171" i="2"/>
  <c r="E202" i="2"/>
  <c r="E109" i="2"/>
  <c r="G154" i="3"/>
  <c r="H154" i="3" s="1"/>
  <c r="E162" i="2"/>
  <c r="E193" i="2"/>
  <c r="E100" i="2"/>
  <c r="G121" i="3"/>
  <c r="O154" i="3"/>
  <c r="O154" i="2"/>
  <c r="G183" i="3"/>
  <c r="L118" i="2"/>
  <c r="L211" i="2"/>
  <c r="L180" i="2"/>
  <c r="L149" i="2"/>
  <c r="F123" i="3"/>
  <c r="G107" i="3"/>
  <c r="G179" i="3"/>
  <c r="F102" i="2"/>
  <c r="E111" i="2"/>
  <c r="E173" i="2"/>
  <c r="E204" i="2"/>
  <c r="C28" i="30"/>
  <c r="S28" i="30" s="1"/>
  <c r="AH28" i="30" s="1"/>
  <c r="F198" i="2"/>
  <c r="O119" i="2"/>
  <c r="O212" i="2"/>
  <c r="G105" i="3"/>
  <c r="O213" i="2"/>
  <c r="O120" i="2"/>
  <c r="M151" i="2"/>
  <c r="M120" i="2"/>
  <c r="M182" i="2"/>
  <c r="M213" i="2"/>
  <c r="O185" i="3"/>
  <c r="O185" i="2"/>
  <c r="F185" i="3"/>
  <c r="M121" i="2"/>
  <c r="M183" i="2"/>
  <c r="M214" i="2"/>
  <c r="M152" i="2"/>
  <c r="D214" i="2"/>
  <c r="D121" i="2"/>
  <c r="D183" i="2"/>
  <c r="F163" i="2"/>
  <c r="X38" i="17"/>
  <c r="G161" i="3"/>
  <c r="G122" i="3"/>
  <c r="M205" i="2"/>
  <c r="M112" i="2"/>
  <c r="M143" i="2"/>
  <c r="M174" i="2"/>
  <c r="F196" i="2"/>
  <c r="G177" i="3"/>
  <c r="C24" i="30"/>
  <c r="S24" i="30" s="1"/>
  <c r="AH24" i="30" s="1"/>
  <c r="O29" i="2"/>
  <c r="O203" i="2"/>
  <c r="O110" i="2"/>
  <c r="E200" i="2"/>
  <c r="E169" i="2"/>
  <c r="E107" i="2"/>
  <c r="G103" i="3"/>
  <c r="X38" i="12"/>
  <c r="G99" i="3"/>
  <c r="M141" i="2"/>
  <c r="M172" i="2"/>
  <c r="M110" i="2"/>
  <c r="M203" i="2"/>
  <c r="K211" i="2"/>
  <c r="K149" i="2"/>
  <c r="K118" i="2"/>
  <c r="K180" i="2"/>
  <c r="K26" i="30" s="1"/>
  <c r="Z26" i="30" s="1"/>
  <c r="AJ26" i="30" s="1"/>
  <c r="G181" i="3"/>
  <c r="G164" i="3"/>
  <c r="C25" i="2"/>
  <c r="C14" i="30"/>
  <c r="S14" i="30" s="1"/>
  <c r="AH14" i="30" s="1"/>
  <c r="J122" i="2"/>
  <c r="J184" i="2"/>
  <c r="J30" i="30" s="1"/>
  <c r="Y30" i="30" s="1"/>
  <c r="AI30" i="30" s="1"/>
  <c r="J153" i="2"/>
  <c r="J215" i="2"/>
  <c r="E115" i="2"/>
  <c r="E177" i="2"/>
  <c r="E208" i="2"/>
  <c r="G184" i="3"/>
  <c r="B30" i="30"/>
  <c r="R30" i="30" s="1"/>
  <c r="AG30" i="30" s="1"/>
  <c r="C29" i="30"/>
  <c r="S29" i="30" s="1"/>
  <c r="AH29" i="30" s="1"/>
  <c r="E197" i="2"/>
  <c r="E166" i="2"/>
  <c r="E104" i="2"/>
  <c r="O182" i="2"/>
  <c r="M199" i="2"/>
  <c r="M168" i="2"/>
  <c r="M137" i="2"/>
  <c r="M106" i="2"/>
  <c r="M119" i="2"/>
  <c r="M181" i="2"/>
  <c r="M150" i="2"/>
  <c r="M212" i="2"/>
  <c r="D209" i="2"/>
  <c r="D116" i="2"/>
  <c r="D178" i="2"/>
  <c r="G120" i="3"/>
  <c r="G162" i="3"/>
  <c r="G118" i="3"/>
  <c r="N106" i="2"/>
  <c r="N199" i="2"/>
  <c r="N137" i="2"/>
  <c r="N168" i="2"/>
  <c r="G174" i="3"/>
  <c r="G173" i="3"/>
  <c r="O123" i="2"/>
  <c r="O216" i="2"/>
  <c r="N205" i="2"/>
  <c r="N112" i="2"/>
  <c r="N143" i="2"/>
  <c r="N174" i="2"/>
  <c r="N121" i="2"/>
  <c r="N214" i="2"/>
  <c r="N183" i="2"/>
  <c r="N152" i="2"/>
  <c r="G175" i="3"/>
  <c r="G171" i="3"/>
  <c r="N203" i="2"/>
  <c r="N110" i="2"/>
  <c r="N172" i="2"/>
  <c r="N141" i="2"/>
  <c r="M216" i="2"/>
  <c r="M154" i="2"/>
  <c r="M185" i="2"/>
  <c r="M123" i="2"/>
  <c r="G166" i="3"/>
  <c r="G101" i="3"/>
  <c r="M178" i="2"/>
  <c r="M209" i="2"/>
  <c r="M147" i="2"/>
  <c r="M116" i="2"/>
  <c r="N116" i="2"/>
  <c r="N209" i="2"/>
  <c r="N178" i="2"/>
  <c r="N147" i="2"/>
  <c r="C29" i="2"/>
  <c r="C18" i="30"/>
  <c r="S18" i="30" s="1"/>
  <c r="AH18" i="30" s="1"/>
  <c r="G108" i="3"/>
  <c r="G114" i="3"/>
  <c r="G170" i="3"/>
  <c r="G169" i="3"/>
  <c r="B26" i="30"/>
  <c r="R26" i="30" s="1"/>
  <c r="AG26" i="30" s="1"/>
  <c r="O205" i="2"/>
  <c r="O112" i="2"/>
  <c r="G113" i="3"/>
  <c r="G112" i="3"/>
  <c r="D212" i="2"/>
  <c r="D181" i="2"/>
  <c r="D119" i="2"/>
  <c r="G182" i="3"/>
  <c r="G119" i="3"/>
  <c r="E207" i="2"/>
  <c r="E114" i="2"/>
  <c r="E176" i="2"/>
  <c r="G117" i="3"/>
  <c r="O150" i="2"/>
  <c r="G176" i="3"/>
  <c r="G178" i="3"/>
  <c r="O121" i="2"/>
  <c r="O214" i="2"/>
  <c r="N123" i="2"/>
  <c r="N216" i="2"/>
  <c r="F195" i="2"/>
  <c r="D199" i="2"/>
  <c r="D106" i="2"/>
  <c r="D168" i="2"/>
  <c r="G116" i="3"/>
  <c r="D213" i="2"/>
  <c r="D120" i="2"/>
  <c r="D182" i="2"/>
  <c r="C20" i="30"/>
  <c r="S20" i="30" s="1"/>
  <c r="AH20" i="30" s="1"/>
  <c r="O174" i="2"/>
  <c r="G100" i="3"/>
  <c r="N120" i="2"/>
  <c r="N213" i="2"/>
  <c r="N151" i="2"/>
  <c r="N182" i="2"/>
  <c r="G172" i="3"/>
  <c r="G167" i="3"/>
  <c r="K184" i="2"/>
  <c r="K30" i="30" s="1"/>
  <c r="Z30" i="30" s="1"/>
  <c r="AJ30" i="30" s="1"/>
  <c r="K153" i="2"/>
  <c r="K122" i="2"/>
  <c r="K215" i="2"/>
  <c r="C27" i="30"/>
  <c r="S27" i="30" s="1"/>
  <c r="AH27" i="30" s="1"/>
  <c r="F167" i="2"/>
  <c r="O25" i="2"/>
  <c r="O199" i="2"/>
  <c r="O106" i="2"/>
  <c r="J180" i="2"/>
  <c r="J26" i="30" s="1"/>
  <c r="Y26" i="30" s="1"/>
  <c r="AI26" i="30" s="1"/>
  <c r="J118" i="2"/>
  <c r="J211" i="2"/>
  <c r="J149" i="2"/>
  <c r="G110" i="3"/>
  <c r="G115" i="3"/>
  <c r="G180" i="3"/>
  <c r="D203" i="2"/>
  <c r="D172" i="2"/>
  <c r="D110" i="2"/>
  <c r="D216" i="2"/>
  <c r="D123" i="2"/>
  <c r="D185" i="2"/>
  <c r="O209" i="2"/>
  <c r="O116" i="2"/>
  <c r="P106" i="28" l="1"/>
  <c r="P112" i="28"/>
  <c r="G9" i="38"/>
  <c r="G9" i="2"/>
  <c r="P104" i="28"/>
  <c r="P113" i="28"/>
  <c r="O117" i="38"/>
  <c r="O210" i="38"/>
  <c r="O179" i="38"/>
  <c r="O148" i="38"/>
  <c r="O209" i="38"/>
  <c r="O116" i="38"/>
  <c r="O147" i="38"/>
  <c r="O178" i="38"/>
  <c r="C180" i="38"/>
  <c r="C211" i="38"/>
  <c r="C149" i="38"/>
  <c r="C118" i="38"/>
  <c r="G10" i="38"/>
  <c r="G10" i="2"/>
  <c r="G12" i="2" s="1"/>
  <c r="G24" i="2" s="1"/>
  <c r="P107" i="28"/>
  <c r="O121" i="38"/>
  <c r="O214" i="38"/>
  <c r="O152" i="38"/>
  <c r="O183" i="38"/>
  <c r="P110" i="28"/>
  <c r="O19" i="38"/>
  <c r="O17" i="38"/>
  <c r="O193" i="38"/>
  <c r="O100" i="38"/>
  <c r="O162" i="38"/>
  <c r="O131" i="38"/>
  <c r="C215" i="38"/>
  <c r="C184" i="38"/>
  <c r="C153" i="38"/>
  <c r="C122" i="38"/>
  <c r="P116" i="28"/>
  <c r="P121" i="28"/>
  <c r="G8" i="38"/>
  <c r="G8" i="2"/>
  <c r="G6" i="2" s="1"/>
  <c r="G18" i="2" s="1"/>
  <c r="P120" i="28"/>
  <c r="P119" i="28"/>
  <c r="P115" i="28"/>
  <c r="P100" i="28"/>
  <c r="O30" i="38"/>
  <c r="O204" i="38"/>
  <c r="O111" i="38"/>
  <c r="O142" i="38"/>
  <c r="O173" i="38"/>
  <c r="O25" i="38"/>
  <c r="O199" i="38"/>
  <c r="O106" i="38"/>
  <c r="O168" i="38"/>
  <c r="O137" i="38"/>
  <c r="O213" i="38"/>
  <c r="O120" i="38"/>
  <c r="O151" i="38"/>
  <c r="O182" i="38"/>
  <c r="O119" i="38"/>
  <c r="O212" i="38"/>
  <c r="O181" i="38"/>
  <c r="O150" i="38"/>
  <c r="O23" i="30"/>
  <c r="AD23" i="30" s="1"/>
  <c r="AP23" i="30" s="1"/>
  <c r="O18" i="30"/>
  <c r="AD18" i="30" s="1"/>
  <c r="AP18" i="30" s="1"/>
  <c r="C12" i="36"/>
  <c r="C24" i="36"/>
  <c r="C8" i="36"/>
  <c r="O21" i="30"/>
  <c r="AD21" i="30" s="1"/>
  <c r="AP21" i="30" s="1"/>
  <c r="O27" i="30"/>
  <c r="AD27" i="30" s="1"/>
  <c r="AP27" i="30" s="1"/>
  <c r="C27" i="36"/>
  <c r="O12" i="30"/>
  <c r="AD12" i="30" s="1"/>
  <c r="AP12" i="30" s="1"/>
  <c r="AD7" i="30"/>
  <c r="AP7" i="30" s="1"/>
  <c r="O31" i="30"/>
  <c r="AD31" i="30" s="1"/>
  <c r="AP31" i="30" s="1"/>
  <c r="O20" i="30"/>
  <c r="AD20" i="30" s="1"/>
  <c r="AP20" i="30" s="1"/>
  <c r="O14" i="30"/>
  <c r="AD14" i="30" s="1"/>
  <c r="AP14" i="30" s="1"/>
  <c r="O15" i="30"/>
  <c r="AD15" i="30" s="1"/>
  <c r="AP15" i="30" s="1"/>
  <c r="C21" i="36"/>
  <c r="O28" i="30"/>
  <c r="AD28" i="30" s="1"/>
  <c r="AP28" i="30" s="1"/>
  <c r="C14" i="36"/>
  <c r="O8" i="30"/>
  <c r="AD8" i="30" s="1"/>
  <c r="AP8" i="30" s="1"/>
  <c r="F101" i="2"/>
  <c r="O178" i="2"/>
  <c r="E108" i="2"/>
  <c r="F192" i="2"/>
  <c r="E201" i="2"/>
  <c r="F99" i="2"/>
  <c r="F194" i="2"/>
  <c r="G102" i="2"/>
  <c r="G103" i="2"/>
  <c r="F103" i="2"/>
  <c r="F165" i="2"/>
  <c r="E210" i="2"/>
  <c r="E179" i="2"/>
  <c r="E117" i="2"/>
  <c r="E209" i="2"/>
  <c r="E116" i="2"/>
  <c r="E178" i="2"/>
  <c r="M211" i="2"/>
  <c r="M180" i="2"/>
  <c r="M118" i="2"/>
  <c r="M149" i="2"/>
  <c r="G192" i="2"/>
  <c r="N118" i="2"/>
  <c r="N211" i="2"/>
  <c r="N180" i="2"/>
  <c r="N149" i="2"/>
  <c r="F207" i="2"/>
  <c r="F176" i="2"/>
  <c r="F114" i="2"/>
  <c r="F210" i="2"/>
  <c r="F179" i="2"/>
  <c r="F117" i="2"/>
  <c r="E121" i="2"/>
  <c r="E214" i="2"/>
  <c r="E183" i="2"/>
  <c r="D211" i="2"/>
  <c r="D180" i="2"/>
  <c r="D118" i="2"/>
  <c r="M215" i="2"/>
  <c r="M153" i="2"/>
  <c r="M184" i="2"/>
  <c r="M122" i="2"/>
  <c r="F200" i="2"/>
  <c r="F107" i="2"/>
  <c r="F169" i="2"/>
  <c r="G99" i="2"/>
  <c r="G123" i="3"/>
  <c r="F208" i="2"/>
  <c r="F115" i="2"/>
  <c r="F177" i="2"/>
  <c r="F193" i="2"/>
  <c r="F162" i="2"/>
  <c r="F100" i="2"/>
  <c r="C26" i="30"/>
  <c r="S26" i="30" s="1"/>
  <c r="AH26" i="30" s="1"/>
  <c r="F173" i="2"/>
  <c r="E123" i="2"/>
  <c r="E216" i="2"/>
  <c r="E185" i="2"/>
  <c r="F201" i="2"/>
  <c r="F170" i="2"/>
  <c r="F108" i="2"/>
  <c r="D215" i="2"/>
  <c r="D122" i="2"/>
  <c r="D184" i="2"/>
  <c r="E182" i="2"/>
  <c r="E120" i="2"/>
  <c r="E213" i="2"/>
  <c r="E119" i="2"/>
  <c r="E181" i="2"/>
  <c r="E212" i="2"/>
  <c r="F197" i="2"/>
  <c r="F104" i="2"/>
  <c r="F166" i="2"/>
  <c r="G161" i="2"/>
  <c r="E112" i="2"/>
  <c r="E205" i="2"/>
  <c r="E174" i="2"/>
  <c r="E168" i="2"/>
  <c r="E106" i="2"/>
  <c r="E199" i="2"/>
  <c r="E172" i="2"/>
  <c r="E110" i="2"/>
  <c r="E203" i="2"/>
  <c r="O215" i="2"/>
  <c r="O122" i="2"/>
  <c r="O153" i="2"/>
  <c r="O184" i="2"/>
  <c r="G185" i="3"/>
  <c r="C30" i="30"/>
  <c r="S30" i="30" s="1"/>
  <c r="AH30" i="30" s="1"/>
  <c r="G198" i="2"/>
  <c r="N215" i="2"/>
  <c r="N122" i="2"/>
  <c r="N184" i="2"/>
  <c r="N153" i="2"/>
  <c r="F206" i="2"/>
  <c r="F175" i="2"/>
  <c r="F113" i="2"/>
  <c r="O211" i="2"/>
  <c r="O118" i="2"/>
  <c r="O149" i="2"/>
  <c r="O180" i="2"/>
  <c r="F202" i="2"/>
  <c r="F109" i="2"/>
  <c r="F171" i="2"/>
  <c r="G101" i="2" l="1"/>
  <c r="O216" i="38"/>
  <c r="O123" i="38"/>
  <c r="O185" i="38"/>
  <c r="O154" i="38"/>
  <c r="P122" i="28"/>
  <c r="O29" i="38"/>
  <c r="O203" i="38"/>
  <c r="O110" i="38"/>
  <c r="O141" i="38"/>
  <c r="O172" i="38"/>
  <c r="G21" i="38"/>
  <c r="G15" i="38"/>
  <c r="G102" i="38"/>
  <c r="G195" i="38"/>
  <c r="G133" i="38"/>
  <c r="G164" i="38"/>
  <c r="O205" i="38"/>
  <c r="O112" i="38"/>
  <c r="O174" i="38"/>
  <c r="O143" i="38"/>
  <c r="G22" i="38"/>
  <c r="G14" i="38"/>
  <c r="G12" i="38"/>
  <c r="G11" i="38" s="1"/>
  <c r="G196" i="38"/>
  <c r="G134" i="38"/>
  <c r="G103" i="38"/>
  <c r="G165" i="38"/>
  <c r="P118" i="28"/>
  <c r="O118" i="38"/>
  <c r="O211" i="38"/>
  <c r="O180" i="38"/>
  <c r="O149" i="38"/>
  <c r="G20" i="38"/>
  <c r="G16" i="38"/>
  <c r="G6" i="38"/>
  <c r="G194" i="38"/>
  <c r="G132" i="38"/>
  <c r="G163" i="38"/>
  <c r="G101" i="38"/>
  <c r="O24" i="30"/>
  <c r="AD24" i="30" s="1"/>
  <c r="AP24" i="30" s="1"/>
  <c r="O26" i="30"/>
  <c r="AD26" i="30" s="1"/>
  <c r="AP26" i="30" s="1"/>
  <c r="C30" i="36"/>
  <c r="C26" i="36"/>
  <c r="O30" i="30"/>
  <c r="AD30" i="30" s="1"/>
  <c r="AP30" i="30" s="1"/>
  <c r="B13" i="36"/>
  <c r="B7" i="36"/>
  <c r="B31" i="36" s="1"/>
  <c r="G7" i="30"/>
  <c r="F111" i="2"/>
  <c r="F204" i="2"/>
  <c r="G164" i="2"/>
  <c r="G195" i="2"/>
  <c r="G21" i="2"/>
  <c r="G207" i="2" s="1"/>
  <c r="G15" i="2"/>
  <c r="G201" i="2" s="1"/>
  <c r="G163" i="2"/>
  <c r="G11" i="2"/>
  <c r="G23" i="2" s="1"/>
  <c r="G165" i="2"/>
  <c r="G22" i="2"/>
  <c r="G208" i="2" s="1"/>
  <c r="G14" i="2"/>
  <c r="G107" i="2" s="1"/>
  <c r="G196" i="2"/>
  <c r="G194" i="2"/>
  <c r="G16" i="2"/>
  <c r="G171" i="2" s="1"/>
  <c r="G7" i="2"/>
  <c r="G193" i="2" s="1"/>
  <c r="G20" i="2"/>
  <c r="G206" i="2" s="1"/>
  <c r="G105" i="2"/>
  <c r="G167" i="2"/>
  <c r="F203" i="2"/>
  <c r="F110" i="2"/>
  <c r="F172" i="2"/>
  <c r="F205" i="2"/>
  <c r="F174" i="2"/>
  <c r="F112" i="2"/>
  <c r="G177" i="2"/>
  <c r="F212" i="2"/>
  <c r="F181" i="2"/>
  <c r="F119" i="2"/>
  <c r="F209" i="2"/>
  <c r="F178" i="2"/>
  <c r="F116" i="2"/>
  <c r="F213" i="2"/>
  <c r="F120" i="2"/>
  <c r="F182" i="2"/>
  <c r="F199" i="2"/>
  <c r="F168" i="2"/>
  <c r="F106" i="2"/>
  <c r="G210" i="2"/>
  <c r="G179" i="2"/>
  <c r="G117" i="2"/>
  <c r="E215" i="2"/>
  <c r="E184" i="2"/>
  <c r="E122" i="2"/>
  <c r="F214" i="2"/>
  <c r="F121" i="2"/>
  <c r="F183" i="2"/>
  <c r="E180" i="2"/>
  <c r="E118" i="2"/>
  <c r="E211" i="2"/>
  <c r="G30" i="2"/>
  <c r="G204" i="2"/>
  <c r="G173" i="2"/>
  <c r="G111" i="2"/>
  <c r="F216" i="2"/>
  <c r="F123" i="2"/>
  <c r="F185" i="2"/>
  <c r="G23" i="38" l="1"/>
  <c r="G13" i="38"/>
  <c r="G197" i="38"/>
  <c r="G135" i="38"/>
  <c r="G104" i="38"/>
  <c r="G166" i="38"/>
  <c r="G170" i="2"/>
  <c r="G16" i="30" s="1"/>
  <c r="W16" i="30" s="1"/>
  <c r="AO16" i="30" s="1"/>
  <c r="G28" i="38"/>
  <c r="G202" i="38"/>
  <c r="G140" i="38"/>
  <c r="G109" i="38"/>
  <c r="G171" i="38"/>
  <c r="G27" i="38"/>
  <c r="G201" i="38"/>
  <c r="G139" i="38"/>
  <c r="G170" i="38"/>
  <c r="G108" i="38"/>
  <c r="G206" i="38"/>
  <c r="G144" i="38"/>
  <c r="G113" i="38"/>
  <c r="G175" i="38"/>
  <c r="G24" i="38"/>
  <c r="G198" i="38"/>
  <c r="G136" i="38"/>
  <c r="G105" i="38"/>
  <c r="G167" i="38"/>
  <c r="G207" i="38"/>
  <c r="G145" i="38"/>
  <c r="G176" i="38"/>
  <c r="G114" i="38"/>
  <c r="G26" i="38"/>
  <c r="G200" i="38"/>
  <c r="G138" i="38"/>
  <c r="G107" i="38"/>
  <c r="G169" i="38"/>
  <c r="O215" i="38"/>
  <c r="O122" i="38"/>
  <c r="O153" i="38"/>
  <c r="O184" i="38"/>
  <c r="G18" i="38"/>
  <c r="G7" i="38"/>
  <c r="G192" i="38"/>
  <c r="G130" i="38"/>
  <c r="G99" i="38"/>
  <c r="G161" i="38"/>
  <c r="G208" i="38"/>
  <c r="G146" i="38"/>
  <c r="G115" i="38"/>
  <c r="G177" i="38"/>
  <c r="G27" i="2"/>
  <c r="G114" i="2"/>
  <c r="G13" i="30"/>
  <c r="W13" i="30" s="1"/>
  <c r="AO13" i="30" s="1"/>
  <c r="G25" i="30"/>
  <c r="W25" i="30" s="1"/>
  <c r="AO25" i="30" s="1"/>
  <c r="B25" i="36"/>
  <c r="G11" i="30"/>
  <c r="W11" i="30" s="1"/>
  <c r="AO11" i="30" s="1"/>
  <c r="B11" i="36"/>
  <c r="G23" i="30"/>
  <c r="W23" i="30" s="1"/>
  <c r="AO23" i="30" s="1"/>
  <c r="B10" i="36"/>
  <c r="G10" i="30"/>
  <c r="W10" i="30" s="1"/>
  <c r="AO10" i="30" s="1"/>
  <c r="G17" i="30"/>
  <c r="W17" i="30" s="1"/>
  <c r="AO17" i="30" s="1"/>
  <c r="G9" i="30"/>
  <c r="W9" i="30" s="1"/>
  <c r="AO9" i="30" s="1"/>
  <c r="B9" i="36"/>
  <c r="G19" i="30"/>
  <c r="W19" i="30" s="1"/>
  <c r="AO19" i="30" s="1"/>
  <c r="G31" i="30"/>
  <c r="W31" i="30" s="1"/>
  <c r="AO31" i="30" s="1"/>
  <c r="W7" i="30"/>
  <c r="AO7" i="30" s="1"/>
  <c r="B19" i="36"/>
  <c r="G108" i="2"/>
  <c r="G197" i="2"/>
  <c r="G175" i="2"/>
  <c r="G176" i="2"/>
  <c r="G100" i="2"/>
  <c r="G166" i="2"/>
  <c r="G13" i="2"/>
  <c r="G17" i="2"/>
  <c r="G29" i="2" s="1"/>
  <c r="G104" i="2"/>
  <c r="G115" i="2"/>
  <c r="G202" i="2"/>
  <c r="G109" i="2"/>
  <c r="G28" i="2"/>
  <c r="G162" i="2"/>
  <c r="G19" i="2"/>
  <c r="G200" i="2"/>
  <c r="G169" i="2"/>
  <c r="G26" i="2"/>
  <c r="G212" i="2" s="1"/>
  <c r="G113" i="2"/>
  <c r="G213" i="2"/>
  <c r="G182" i="2"/>
  <c r="G120" i="2"/>
  <c r="G216" i="2"/>
  <c r="G185" i="2"/>
  <c r="G123" i="2"/>
  <c r="G209" i="2"/>
  <c r="G116" i="2"/>
  <c r="G178" i="2"/>
  <c r="G172" i="2"/>
  <c r="F211" i="2"/>
  <c r="F118" i="2"/>
  <c r="F180" i="2"/>
  <c r="F215" i="2"/>
  <c r="F184" i="2"/>
  <c r="F122" i="2"/>
  <c r="G30" i="38" l="1"/>
  <c r="G204" i="38"/>
  <c r="G142" i="38"/>
  <c r="G173" i="38"/>
  <c r="G111" i="38"/>
  <c r="G214" i="38"/>
  <c r="G152" i="38"/>
  <c r="G121" i="38"/>
  <c r="G183" i="38"/>
  <c r="G212" i="38"/>
  <c r="G150" i="38"/>
  <c r="G181" i="38"/>
  <c r="G119" i="38"/>
  <c r="G210" i="38"/>
  <c r="G148" i="38"/>
  <c r="G117" i="38"/>
  <c r="G179" i="38"/>
  <c r="G25" i="38"/>
  <c r="G199" i="38"/>
  <c r="G137" i="38"/>
  <c r="G106" i="38"/>
  <c r="G168" i="38"/>
  <c r="G19" i="38"/>
  <c r="G17" i="38"/>
  <c r="G193" i="38"/>
  <c r="G131" i="38"/>
  <c r="G100" i="38"/>
  <c r="G162" i="38"/>
  <c r="G213" i="38"/>
  <c r="G151" i="38"/>
  <c r="G182" i="38"/>
  <c r="G120" i="38"/>
  <c r="G209" i="38"/>
  <c r="G147" i="38"/>
  <c r="G178" i="38"/>
  <c r="G116" i="38"/>
  <c r="G168" i="2"/>
  <c r="G25" i="2"/>
  <c r="G211" i="2" s="1"/>
  <c r="G199" i="2"/>
  <c r="G12" i="30"/>
  <c r="W12" i="30" s="1"/>
  <c r="AO12" i="30" s="1"/>
  <c r="B12" i="36"/>
  <c r="G24" i="30"/>
  <c r="W24" i="30" s="1"/>
  <c r="AO24" i="30" s="1"/>
  <c r="G15" i="30"/>
  <c r="W15" i="30" s="1"/>
  <c r="AO15" i="30" s="1"/>
  <c r="B23" i="36"/>
  <c r="B15" i="36"/>
  <c r="B14" i="36"/>
  <c r="B24" i="36"/>
  <c r="G14" i="30"/>
  <c r="W14" i="30" s="1"/>
  <c r="AO14" i="30" s="1"/>
  <c r="B22" i="36"/>
  <c r="B16" i="36"/>
  <c r="B28" i="36"/>
  <c r="G28" i="30"/>
  <c r="W28" i="30" s="1"/>
  <c r="AO28" i="30" s="1"/>
  <c r="G22" i="30"/>
  <c r="W22" i="30" s="1"/>
  <c r="AO22" i="30" s="1"/>
  <c r="G21" i="30"/>
  <c r="W21" i="30" s="1"/>
  <c r="AO21" i="30" s="1"/>
  <c r="B21" i="36"/>
  <c r="B29" i="36"/>
  <c r="B17" i="36"/>
  <c r="G205" i="2"/>
  <c r="G203" i="2"/>
  <c r="B8" i="36"/>
  <c r="G18" i="30"/>
  <c r="W18" i="30" s="1"/>
  <c r="AO18" i="30" s="1"/>
  <c r="B20" i="36"/>
  <c r="G8" i="30"/>
  <c r="W8" i="30" s="1"/>
  <c r="AO8" i="30" s="1"/>
  <c r="G110" i="2"/>
  <c r="G118" i="2"/>
  <c r="G106" i="2"/>
  <c r="G214" i="2"/>
  <c r="G183" i="2"/>
  <c r="G121" i="2"/>
  <c r="G112" i="2"/>
  <c r="G174" i="2"/>
  <c r="G119" i="2"/>
  <c r="G181" i="2"/>
  <c r="G180" i="2"/>
  <c r="G215" i="2"/>
  <c r="G184" i="2"/>
  <c r="G122" i="2"/>
  <c r="G29" i="38" l="1"/>
  <c r="G203" i="38"/>
  <c r="G141" i="38"/>
  <c r="G110" i="38"/>
  <c r="G172" i="38"/>
  <c r="G205" i="38"/>
  <c r="G143" i="38"/>
  <c r="G174" i="38"/>
  <c r="G112" i="38"/>
  <c r="G211" i="38"/>
  <c r="G149" i="38"/>
  <c r="G118" i="38"/>
  <c r="G180" i="38"/>
  <c r="G216" i="38"/>
  <c r="G154" i="38"/>
  <c r="G185" i="38"/>
  <c r="G123" i="38"/>
  <c r="G26" i="30"/>
  <c r="W26" i="30" s="1"/>
  <c r="AO26" i="30" s="1"/>
  <c r="B27" i="36"/>
  <c r="B26" i="36"/>
  <c r="G27" i="30"/>
  <c r="W27" i="30" s="1"/>
  <c r="AO27" i="30" s="1"/>
  <c r="G29" i="30"/>
  <c r="W29" i="30" s="1"/>
  <c r="AO29" i="30" s="1"/>
  <c r="G30" i="30"/>
  <c r="W30" i="30" s="1"/>
  <c r="AO30" i="30" s="1"/>
  <c r="B30" i="36"/>
  <c r="G20" i="30"/>
  <c r="W20" i="30" s="1"/>
  <c r="AO20" i="30" s="1"/>
  <c r="B18" i="36"/>
  <c r="G215" i="38" l="1"/>
  <c r="G153" i="38"/>
  <c r="G122" i="38"/>
  <c r="G184" i="38"/>
</calcChain>
</file>

<file path=xl/sharedStrings.xml><?xml version="1.0" encoding="utf-8"?>
<sst xmlns="http://schemas.openxmlformats.org/spreadsheetml/2006/main" count="3277" uniqueCount="279">
  <si>
    <t>Worksheet</t>
  </si>
  <si>
    <t>FST</t>
  </si>
  <si>
    <t>FST Truss</t>
  </si>
  <si>
    <t>LNGC</t>
  </si>
  <si>
    <t>Domain</t>
  </si>
  <si>
    <t>Description</t>
  </si>
  <si>
    <t>Selected?</t>
  </si>
  <si>
    <t>Comments</t>
  </si>
  <si>
    <t>Key Notes</t>
  </si>
  <si>
    <t>Reference_FSTs_light</t>
  </si>
  <si>
    <t>Light</t>
  </si>
  <si>
    <t>-</t>
  </si>
  <si>
    <t>Design Data - Particulars</t>
  </si>
  <si>
    <t>Reference_FSTs_full</t>
  </si>
  <si>
    <t>Full</t>
  </si>
  <si>
    <t>Reference_LNGC_light</t>
  </si>
  <si>
    <t>Reference_LNGC_full</t>
  </si>
  <si>
    <t>longitudinal</t>
  </si>
  <si>
    <t>This workbook is added</t>
  </si>
  <si>
    <t>Report_table_graphs</t>
  </si>
  <si>
    <t>0 to 360 plots for report</t>
  </si>
  <si>
    <t>This workbook is edited</t>
  </si>
  <si>
    <t>openDomain_long_FST1</t>
  </si>
  <si>
    <t>Longitudinal</t>
  </si>
  <si>
    <t>Open</t>
  </si>
  <si>
    <t>Yes</t>
  </si>
  <si>
    <t>Cx coefficients decreased while Cy coefficients increased with change of truss structure from transverse to longitudinal.</t>
  </si>
  <si>
    <t>openDomain_long_FST2</t>
  </si>
  <si>
    <t>topoDomain_long_FST1</t>
  </si>
  <si>
    <t>Topography</t>
  </si>
  <si>
    <t>Cx coefficients increased while Cy coefficients decreased with topography</t>
  </si>
  <si>
    <t>topoDomain_long_FST2</t>
  </si>
  <si>
    <t>openDomain_trans_FST1</t>
  </si>
  <si>
    <t>Transverse</t>
  </si>
  <si>
    <t>openDomain_trans_FST2</t>
  </si>
  <si>
    <t>openDomain_trans_FST2_noApp</t>
  </si>
  <si>
    <t>not described in report</t>
  </si>
  <si>
    <t>openDomain_trans_FST2_hull</t>
  </si>
  <si>
    <t>openDomain_trans_FST2_topside</t>
  </si>
  <si>
    <t>openDomain_trans_full_FST1</t>
  </si>
  <si>
    <t>Cx, Cy change marginally for FSTs when Draught changes from light to Full condition</t>
  </si>
  <si>
    <t>openDomain_trans_full_FST2</t>
  </si>
  <si>
    <t>topoDomain_trans_FST1</t>
  </si>
  <si>
    <t>Cx coefficient trend is mixed while Cy coefficients decreased with topography</t>
  </si>
  <si>
    <t>topoDomain_trans_FST2</t>
  </si>
  <si>
    <t>openDomain_trans_LNGC_FST1</t>
  </si>
  <si>
    <t>Cx, Cy change for FSTs when LNGC is berthed</t>
  </si>
  <si>
    <t>openDomain_trans_LNGC_FST2</t>
  </si>
  <si>
    <t>openDomain_trans_LNGC_LNGC</t>
  </si>
  <si>
    <t>openDomain_trans_full_LNGC_FST1</t>
  </si>
  <si>
    <t>Cx, Cy change marginally for FSTs when Draught from light to Full condition</t>
  </si>
  <si>
    <t>openDomain_trans_full_LNGC_FST2</t>
  </si>
  <si>
    <t>openDomain_trans_full_LNGC_LNGC</t>
  </si>
  <si>
    <t>Open Domain FST1 (Long/trans) factors</t>
  </si>
  <si>
    <t>Open Domain FST2 (Long/trans) factors</t>
  </si>
  <si>
    <t>Ref. Area</t>
  </si>
  <si>
    <t>Reference rows</t>
  </si>
  <si>
    <t>[m2]</t>
  </si>
  <si>
    <t>[m3]</t>
  </si>
  <si>
    <t>Heading [deg]</t>
  </si>
  <si>
    <r>
      <rPr>
        <b/>
        <sz val="10.5"/>
        <color rgb="FF000000"/>
        <rFont val="Arial"/>
        <family val="2"/>
        <charset val="1"/>
      </rPr>
      <t>C</t>
    </r>
    <r>
      <rPr>
        <b/>
        <vertAlign val="subscript"/>
        <sz val="10.5"/>
        <color rgb="FF000000"/>
        <rFont val="Arial"/>
        <family val="2"/>
        <charset val="1"/>
      </rPr>
      <t>x</t>
    </r>
    <r>
      <rPr>
        <b/>
        <sz val="10.5"/>
        <color rgb="FF000000"/>
        <rFont val="Arial"/>
        <family val="2"/>
        <charset val="1"/>
      </rPr>
      <t xml:space="preserve"> [-]</t>
    </r>
  </si>
  <si>
    <r>
      <rPr>
        <b/>
        <sz val="10.5"/>
        <color rgb="FF000000"/>
        <rFont val="Arial"/>
        <family val="2"/>
        <charset val="1"/>
      </rPr>
      <t>C</t>
    </r>
    <r>
      <rPr>
        <b/>
        <vertAlign val="subscript"/>
        <sz val="10.5"/>
        <color rgb="FF000000"/>
        <rFont val="Arial"/>
        <family val="2"/>
        <charset val="1"/>
      </rPr>
      <t xml:space="preserve">y </t>
    </r>
    <r>
      <rPr>
        <b/>
        <sz val="10.5"/>
        <color rgb="FF000000"/>
        <rFont val="Arial"/>
        <family val="2"/>
        <charset val="1"/>
      </rPr>
      <t>[-]</t>
    </r>
  </si>
  <si>
    <r>
      <rPr>
        <b/>
        <sz val="10.5"/>
        <color rgb="FF000000"/>
        <rFont val="Arial"/>
        <family val="2"/>
        <charset val="1"/>
      </rPr>
      <t>C</t>
    </r>
    <r>
      <rPr>
        <b/>
        <vertAlign val="subscript"/>
        <sz val="10.5"/>
        <color rgb="FF000000"/>
        <rFont val="Arial"/>
        <family val="2"/>
        <charset val="1"/>
      </rPr>
      <t xml:space="preserve">z </t>
    </r>
    <r>
      <rPr>
        <b/>
        <sz val="10.5"/>
        <color rgb="FF000000"/>
        <rFont val="Arial"/>
        <family val="2"/>
        <charset val="1"/>
      </rPr>
      <t>[-]</t>
    </r>
  </si>
  <si>
    <r>
      <rPr>
        <b/>
        <sz val="10.5"/>
        <color rgb="FF000000"/>
        <rFont val="Arial"/>
        <family val="2"/>
        <charset val="1"/>
      </rPr>
      <t>C</t>
    </r>
    <r>
      <rPr>
        <b/>
        <vertAlign val="subscript"/>
        <sz val="10.5"/>
        <color rgb="FF000000"/>
        <rFont val="Arial"/>
        <family val="2"/>
        <charset val="1"/>
      </rPr>
      <t xml:space="preserve">nx </t>
    </r>
    <r>
      <rPr>
        <b/>
        <sz val="10.5"/>
        <color rgb="FF000000"/>
        <rFont val="Arial"/>
        <family val="2"/>
        <charset val="1"/>
      </rPr>
      <t>[-]</t>
    </r>
  </si>
  <si>
    <r>
      <rPr>
        <b/>
        <sz val="10.5"/>
        <color rgb="FF000000"/>
        <rFont val="Arial"/>
        <family val="2"/>
        <charset val="1"/>
      </rPr>
      <t>C</t>
    </r>
    <r>
      <rPr>
        <b/>
        <vertAlign val="subscript"/>
        <sz val="10.5"/>
        <color rgb="FF000000"/>
        <rFont val="Arial"/>
        <family val="2"/>
        <charset val="1"/>
      </rPr>
      <t xml:space="preserve">ny </t>
    </r>
    <r>
      <rPr>
        <b/>
        <sz val="10.5"/>
        <color rgb="FF000000"/>
        <rFont val="Arial"/>
        <family val="2"/>
        <charset val="1"/>
      </rPr>
      <t>[-]</t>
    </r>
  </si>
  <si>
    <r>
      <rPr>
        <b/>
        <sz val="10.5"/>
        <color rgb="FF000000"/>
        <rFont val="Arial"/>
        <family val="2"/>
        <charset val="1"/>
      </rPr>
      <t>C</t>
    </r>
    <r>
      <rPr>
        <b/>
        <vertAlign val="subscript"/>
        <sz val="10.5"/>
        <color rgb="FF000000"/>
        <rFont val="Arial"/>
        <family val="2"/>
        <charset val="1"/>
      </rPr>
      <t xml:space="preserve">nz </t>
    </r>
    <r>
      <rPr>
        <b/>
        <sz val="10.5"/>
        <color rgb="FF000000"/>
        <rFont val="Arial"/>
        <family val="2"/>
        <charset val="1"/>
      </rPr>
      <t>[-]</t>
    </r>
  </si>
  <si>
    <t>topoDomain-long-FST1</t>
  </si>
  <si>
    <t>topoDomain-long-FST2</t>
  </si>
  <si>
    <t>topoDomain-trans-FST1</t>
  </si>
  <si>
    <t>topoDomain-trans-FST2</t>
  </si>
  <si>
    <t>openDomain-long-FST1</t>
  </si>
  <si>
    <t>openDomain-long-FST2</t>
  </si>
  <si>
    <t>openDomain-trans-FST2-noApp</t>
  </si>
  <si>
    <t>openDomain-trans-FST2-hull</t>
  </si>
  <si>
    <t>openDomain-trans-FST2-topsides</t>
  </si>
  <si>
    <t>openDomain-long-LNGC-FST1</t>
  </si>
  <si>
    <t>openDomain-long-LNGC-FST2</t>
  </si>
  <si>
    <t>openDomain-long-LNGC-LNGC</t>
  </si>
  <si>
    <t>openDomain-long-full-FST1</t>
  </si>
  <si>
    <t>openDomain-long-full-FST2</t>
  </si>
  <si>
    <t>openDomain-long-full-LNGC-FST1</t>
  </si>
  <si>
    <t>openDomain-long-LNGC-full-FST2</t>
  </si>
  <si>
    <t>openDomain-trans-FST1</t>
  </si>
  <si>
    <t>openDomain-trans-FST2</t>
  </si>
  <si>
    <t>openDomain-trans-LNGC-FST1</t>
  </si>
  <si>
    <t>openDomain-trans-LNGC-FST2</t>
  </si>
  <si>
    <t>openDomain-trans-full-FST1</t>
  </si>
  <si>
    <t>openDomain-trans-full-FST2</t>
  </si>
  <si>
    <t>openDomain-trans-full-LNGC-FST1</t>
  </si>
  <si>
    <t>openDomain-trans-LNGC-full-FST2</t>
  </si>
  <si>
    <t>openDomain-trans-LNGC-full-LNGC</t>
  </si>
  <si>
    <t>Quantity</t>
  </si>
  <si>
    <t>Symbol</t>
  </si>
  <si>
    <t>Unit</t>
  </si>
  <si>
    <t>Definition</t>
  </si>
  <si>
    <t>Value</t>
  </si>
  <si>
    <t>Calculated</t>
  </si>
  <si>
    <t>Density</t>
  </si>
  <si>
    <t>rho</t>
  </si>
  <si>
    <t>[kg/m3]</t>
  </si>
  <si>
    <t>Length between perpendiculars</t>
  </si>
  <si>
    <t>L</t>
  </si>
  <si>
    <t>[m]</t>
  </si>
  <si>
    <t>Breadth of ship</t>
  </si>
  <si>
    <t>B</t>
  </si>
  <si>
    <t xml:space="preserve">Ref height </t>
  </si>
  <si>
    <t>h</t>
  </si>
  <si>
    <t>area weighted height</t>
  </si>
  <si>
    <t>from meshoutline</t>
  </si>
  <si>
    <t>Ref area longitudinal force</t>
  </si>
  <si>
    <t>Afx</t>
  </si>
  <si>
    <t>area of outline</t>
  </si>
  <si>
    <t>Ref area lateral force</t>
  </si>
  <si>
    <t>Afy</t>
  </si>
  <si>
    <t>area af outline</t>
  </si>
  <si>
    <t>Ref area vertical force</t>
  </si>
  <si>
    <t>Afz</t>
  </si>
  <si>
    <t>L*B</t>
  </si>
  <si>
    <t>Ref area roll moment</t>
  </si>
  <si>
    <t>Amx</t>
  </si>
  <si>
    <t>Afy^2/L</t>
  </si>
  <si>
    <t>Ref area pitch moment</t>
  </si>
  <si>
    <t>Amy</t>
  </si>
  <si>
    <t>Afx*h</t>
  </si>
  <si>
    <t>Ref area yaw moment</t>
  </si>
  <si>
    <t>Amz</t>
  </si>
  <si>
    <t>Afy*L</t>
  </si>
  <si>
    <t>Reference velocity</t>
  </si>
  <si>
    <t>U</t>
  </si>
  <si>
    <t>[m/s]</t>
  </si>
  <si>
    <t>dx</t>
  </si>
  <si>
    <t>dy</t>
  </si>
  <si>
    <t>dz</t>
  </si>
  <si>
    <t>Areas:</t>
  </si>
  <si>
    <t>Dimless:</t>
  </si>
  <si>
    <t>Scaling:</t>
  </si>
  <si>
    <t>Extra:</t>
  </si>
  <si>
    <t>[-]</t>
  </si>
  <si>
    <t>Total scaling:</t>
  </si>
  <si>
    <t>[N]</t>
  </si>
  <si>
    <t>[Nm]</t>
  </si>
  <si>
    <t>Inverse:</t>
  </si>
  <si>
    <t>alpha</t>
  </si>
  <si>
    <t>X</t>
  </si>
  <si>
    <t>Y</t>
  </si>
  <si>
    <t>Z</t>
  </si>
  <si>
    <t>K</t>
  </si>
  <si>
    <t>M</t>
  </si>
  <si>
    <t>N</t>
  </si>
  <si>
    <t>Invert</t>
  </si>
  <si>
    <t>u</t>
  </si>
  <si>
    <t>v</t>
  </si>
  <si>
    <t>Drift angle  [deg]</t>
  </si>
  <si>
    <t>yes=1</t>
  </si>
  <si>
    <t>alpha_000deg</t>
  </si>
  <si>
    <t>alpha_030deg</t>
  </si>
  <si>
    <t>alpha_045deg</t>
  </si>
  <si>
    <t>alpha_060deg</t>
  </si>
  <si>
    <t>alpha_090deg</t>
  </si>
  <si>
    <t>alpha_270deg</t>
  </si>
  <si>
    <t>alpha_015deg</t>
  </si>
  <si>
    <t>alpha_075deg</t>
  </si>
  <si>
    <t>alpha_105deg</t>
  </si>
  <si>
    <t>alpha_120deg</t>
  </si>
  <si>
    <t>alpha_135deg</t>
  </si>
  <si>
    <t>alpha_150deg</t>
  </si>
  <si>
    <t>alpha_165deg</t>
  </si>
  <si>
    <t>alpha_180deg</t>
  </si>
  <si>
    <t>alpha_195deg</t>
  </si>
  <si>
    <t>alpha_210deg</t>
  </si>
  <si>
    <t>alpha_225deg</t>
  </si>
  <si>
    <t>alpha_240deg</t>
  </si>
  <si>
    <t>alpha_255deg</t>
  </si>
  <si>
    <t>alpha_285deg</t>
  </si>
  <si>
    <t>alpha_300deg</t>
  </si>
  <si>
    <t>alpha_315deg</t>
  </si>
  <si>
    <t>alpha_330deg</t>
  </si>
  <si>
    <t>alpha_345deg</t>
  </si>
  <si>
    <r>
      <t>C</t>
    </r>
    <r>
      <rPr>
        <b/>
        <vertAlign val="subscript"/>
        <sz val="10.5"/>
        <rFont val="Arial"/>
        <family val="2"/>
        <charset val="1"/>
      </rPr>
      <t>x</t>
    </r>
    <r>
      <rPr>
        <b/>
        <sz val="10.5"/>
        <rFont val="Arial"/>
        <family val="2"/>
        <charset val="1"/>
      </rPr>
      <t xml:space="preserve"> [-]</t>
    </r>
  </si>
  <si>
    <r>
      <t>C</t>
    </r>
    <r>
      <rPr>
        <b/>
        <vertAlign val="subscript"/>
        <sz val="10.5"/>
        <rFont val="Arial"/>
        <family val="2"/>
        <charset val="1"/>
      </rPr>
      <t xml:space="preserve">y </t>
    </r>
    <r>
      <rPr>
        <b/>
        <sz val="10.5"/>
        <rFont val="Arial"/>
        <family val="2"/>
        <charset val="1"/>
      </rPr>
      <t>[-]</t>
    </r>
  </si>
  <si>
    <r>
      <t>C</t>
    </r>
    <r>
      <rPr>
        <b/>
        <vertAlign val="subscript"/>
        <sz val="10.5"/>
        <rFont val="Arial"/>
        <family val="2"/>
        <charset val="1"/>
      </rPr>
      <t xml:space="preserve">z </t>
    </r>
    <r>
      <rPr>
        <b/>
        <sz val="10.5"/>
        <rFont val="Arial"/>
        <family val="2"/>
        <charset val="1"/>
      </rPr>
      <t>[-]</t>
    </r>
  </si>
  <si>
    <r>
      <t>C</t>
    </r>
    <r>
      <rPr>
        <b/>
        <vertAlign val="subscript"/>
        <sz val="10.5"/>
        <rFont val="Arial"/>
        <family val="2"/>
        <charset val="1"/>
      </rPr>
      <t xml:space="preserve">nx </t>
    </r>
    <r>
      <rPr>
        <b/>
        <sz val="10.5"/>
        <rFont val="Arial"/>
        <family val="2"/>
        <charset val="1"/>
      </rPr>
      <t>[-]</t>
    </r>
  </si>
  <si>
    <r>
      <t>C</t>
    </r>
    <r>
      <rPr>
        <b/>
        <vertAlign val="subscript"/>
        <sz val="10.5"/>
        <rFont val="Arial"/>
        <family val="2"/>
        <charset val="1"/>
      </rPr>
      <t xml:space="preserve">ny </t>
    </r>
    <r>
      <rPr>
        <b/>
        <sz val="10.5"/>
        <rFont val="Arial"/>
        <family val="2"/>
        <charset val="1"/>
      </rPr>
      <t>[-]</t>
    </r>
  </si>
  <si>
    <r>
      <t>C</t>
    </r>
    <r>
      <rPr>
        <b/>
        <vertAlign val="subscript"/>
        <sz val="10.5"/>
        <rFont val="Arial"/>
        <family val="2"/>
        <charset val="1"/>
      </rPr>
      <t xml:space="preserve">nz </t>
    </r>
    <r>
      <rPr>
        <b/>
        <sz val="10.5"/>
        <rFont val="Arial"/>
        <family val="2"/>
        <charset val="1"/>
      </rPr>
      <t>[-]</t>
    </r>
  </si>
  <si>
    <t>For report</t>
  </si>
  <si>
    <t>Wind Coefficient Load Matrix</t>
  </si>
  <si>
    <t>LNGC Coefficients</t>
  </si>
  <si>
    <t>FST Coefficients</t>
  </si>
  <si>
    <t>1 or 2</t>
  </si>
  <si>
    <t>Full/ Light</t>
  </si>
  <si>
    <t>Longitudinal/ Transverse</t>
  </si>
  <si>
    <t>Yes/ No</t>
  </si>
  <si>
    <t>Open / Topography</t>
  </si>
  <si>
    <t>Data</t>
  </si>
  <si>
    <t>Revision History</t>
  </si>
  <si>
    <t>Rev No</t>
  </si>
  <si>
    <t>Date</t>
  </si>
  <si>
    <t>r1</t>
  </si>
  <si>
    <t>r2</t>
  </si>
  <si>
    <t>Angle</t>
  </si>
  <si>
    <t>FST1</t>
  </si>
  <si>
    <t>FST2</t>
  </si>
  <si>
    <t>FST Wind Areas</t>
  </si>
  <si>
    <t>Reference</t>
  </si>
  <si>
    <t>Marin</t>
  </si>
  <si>
    <t>ACMA</t>
  </si>
  <si>
    <t>Draft (% LNG)</t>
  </si>
  <si>
    <t>OrcaFlex Inputs</t>
  </si>
  <si>
    <t>kN.m</t>
  </si>
  <si>
    <t>Te.m</t>
  </si>
  <si>
    <t>V (m/s)</t>
  </si>
  <si>
    <t>Longitudinal Topsides</t>
  </si>
  <si>
    <t>Author: ACMA</t>
  </si>
  <si>
    <t>WindAreasAndAreaMoment</t>
  </si>
  <si>
    <t>Coefficients</t>
  </si>
  <si>
    <t>Factors = Area* Coeff</t>
  </si>
  <si>
    <t>Direction</t>
  </si>
  <si>
    <t>Surge</t>
  </si>
  <si>
    <t>Sway</t>
  </si>
  <si>
    <t>Heave</t>
  </si>
  <si>
    <t>Roll</t>
  </si>
  <si>
    <t>Pitch</t>
  </si>
  <si>
    <t>Yaw</t>
  </si>
  <si>
    <t>Transverse Topsides</t>
  </si>
  <si>
    <t>Author: Wood</t>
  </si>
  <si>
    <t>Area coeffs are not well assessed.</t>
  </si>
  <si>
    <t>Adjust coeffs for area.
See "inputs" worksheet
Added wood vs. ACMA comparison</t>
  </si>
  <si>
    <t>Fx</t>
  </si>
  <si>
    <t>Fy</t>
  </si>
  <si>
    <t>Fz</t>
  </si>
  <si>
    <t>Mx</t>
  </si>
  <si>
    <t>My</t>
  </si>
  <si>
    <t>Mz</t>
  </si>
  <si>
    <t>F</t>
  </si>
  <si>
    <t>LNG Tanks 100%</t>
  </si>
  <si>
    <t>FST1, 0% LNG, ACMA Used</t>
  </si>
  <si>
    <t>FST2, 0% LNG, ACMA Used</t>
  </si>
  <si>
    <t>Longitudinal Top Sides</t>
  </si>
  <si>
    <t>FST1, 0% LNG, Marin</t>
  </si>
  <si>
    <t>FST2, 0% LNG, Marin</t>
  </si>
  <si>
    <t>Couple F</t>
  </si>
  <si>
    <t>Te</t>
  </si>
  <si>
    <t>m</t>
  </si>
  <si>
    <t>Assuming equal strut load share</t>
  </si>
  <si>
    <t>Wind Speed</t>
  </si>
  <si>
    <t>Moment</t>
  </si>
  <si>
    <t>m/s</t>
  </si>
  <si>
    <t>Length between Jackets</t>
  </si>
  <si>
    <t>kN/m2</t>
  </si>
  <si>
    <t>Couple Calculation from Yaw</t>
  </si>
  <si>
    <t>Delta Yaw Coefficient</t>
  </si>
  <si>
    <t>Yaw coefficient Factor threshold</t>
  </si>
  <si>
    <r>
      <t>C</t>
    </r>
    <r>
      <rPr>
        <b/>
        <vertAlign val="subscript"/>
        <sz val="9"/>
        <rFont val="Arial"/>
        <family val="2"/>
        <charset val="1"/>
      </rPr>
      <t>x</t>
    </r>
    <r>
      <rPr>
        <b/>
        <sz val="9"/>
        <rFont val="Arial"/>
        <family val="2"/>
        <charset val="1"/>
      </rPr>
      <t xml:space="preserve"> [-]</t>
    </r>
  </si>
  <si>
    <r>
      <t>C</t>
    </r>
    <r>
      <rPr>
        <b/>
        <vertAlign val="subscript"/>
        <sz val="9"/>
        <rFont val="Arial"/>
        <family val="2"/>
        <charset val="1"/>
      </rPr>
      <t xml:space="preserve">y </t>
    </r>
    <r>
      <rPr>
        <b/>
        <sz val="9"/>
        <rFont val="Arial"/>
        <family val="2"/>
        <charset val="1"/>
      </rPr>
      <t>[-]</t>
    </r>
  </si>
  <si>
    <r>
      <t>C</t>
    </r>
    <r>
      <rPr>
        <b/>
        <vertAlign val="subscript"/>
        <sz val="9"/>
        <rFont val="Arial"/>
        <family val="2"/>
        <charset val="1"/>
      </rPr>
      <t xml:space="preserve">z </t>
    </r>
    <r>
      <rPr>
        <b/>
        <sz val="9"/>
        <rFont val="Arial"/>
        <family val="2"/>
        <charset val="1"/>
      </rPr>
      <t>[-]</t>
    </r>
  </si>
  <si>
    <r>
      <t>C</t>
    </r>
    <r>
      <rPr>
        <b/>
        <vertAlign val="subscript"/>
        <sz val="9"/>
        <rFont val="Arial"/>
        <family val="2"/>
        <charset val="1"/>
      </rPr>
      <t xml:space="preserve">nx </t>
    </r>
    <r>
      <rPr>
        <b/>
        <sz val="9"/>
        <rFont val="Arial"/>
        <family val="2"/>
        <charset val="1"/>
      </rPr>
      <t>[-]</t>
    </r>
  </si>
  <si>
    <r>
      <t>C</t>
    </r>
    <r>
      <rPr>
        <b/>
        <vertAlign val="subscript"/>
        <sz val="9"/>
        <rFont val="Arial"/>
        <family val="2"/>
        <charset val="1"/>
      </rPr>
      <t xml:space="preserve">ny </t>
    </r>
    <r>
      <rPr>
        <b/>
        <sz val="9"/>
        <rFont val="Arial"/>
        <family val="2"/>
        <charset val="1"/>
      </rPr>
      <t>[-]</t>
    </r>
  </si>
  <si>
    <r>
      <t>C</t>
    </r>
    <r>
      <rPr>
        <b/>
        <vertAlign val="subscript"/>
        <sz val="9"/>
        <rFont val="Arial"/>
        <family val="2"/>
        <charset val="1"/>
      </rPr>
      <t xml:space="preserve">nz </t>
    </r>
    <r>
      <rPr>
        <b/>
        <sz val="9"/>
        <rFont val="Arial"/>
        <family val="2"/>
        <charset val="1"/>
      </rPr>
      <t>[-]</t>
    </r>
  </si>
  <si>
    <r>
      <t>C</t>
    </r>
    <r>
      <rPr>
        <b/>
        <vertAlign val="subscript"/>
        <sz val="9"/>
        <color rgb="FF000000"/>
        <rFont val="Arial"/>
        <family val="2"/>
        <charset val="1"/>
      </rPr>
      <t>x</t>
    </r>
    <r>
      <rPr>
        <b/>
        <sz val="9"/>
        <color rgb="FF000000"/>
        <rFont val="Arial"/>
        <family val="2"/>
        <charset val="1"/>
      </rPr>
      <t xml:space="preserve"> [-]</t>
    </r>
  </si>
  <si>
    <r>
      <t>C</t>
    </r>
    <r>
      <rPr>
        <b/>
        <vertAlign val="subscript"/>
        <sz val="9"/>
        <color rgb="FF000000"/>
        <rFont val="Arial"/>
        <family val="2"/>
        <charset val="1"/>
      </rPr>
      <t xml:space="preserve">y </t>
    </r>
    <r>
      <rPr>
        <b/>
        <sz val="9"/>
        <color rgb="FF000000"/>
        <rFont val="Arial"/>
        <family val="2"/>
        <charset val="1"/>
      </rPr>
      <t>[-]</t>
    </r>
  </si>
  <si>
    <r>
      <t>C</t>
    </r>
    <r>
      <rPr>
        <b/>
        <vertAlign val="subscript"/>
        <sz val="9"/>
        <color rgb="FF000000"/>
        <rFont val="Arial"/>
        <family val="2"/>
        <charset val="1"/>
      </rPr>
      <t xml:space="preserve">z </t>
    </r>
    <r>
      <rPr>
        <b/>
        <sz val="9"/>
        <color rgb="FF000000"/>
        <rFont val="Arial"/>
        <family val="2"/>
        <charset val="1"/>
      </rPr>
      <t>[-]</t>
    </r>
  </si>
  <si>
    <r>
      <t>C</t>
    </r>
    <r>
      <rPr>
        <b/>
        <vertAlign val="subscript"/>
        <sz val="9"/>
        <color rgb="FF000000"/>
        <rFont val="Arial"/>
        <family val="2"/>
        <charset val="1"/>
      </rPr>
      <t xml:space="preserve">nx </t>
    </r>
    <r>
      <rPr>
        <b/>
        <sz val="9"/>
        <color rgb="FF000000"/>
        <rFont val="Arial"/>
        <family val="2"/>
        <charset val="1"/>
      </rPr>
      <t>[-]</t>
    </r>
  </si>
  <si>
    <r>
      <t>C</t>
    </r>
    <r>
      <rPr>
        <b/>
        <vertAlign val="subscript"/>
        <sz val="9"/>
        <color rgb="FF000000"/>
        <rFont val="Arial"/>
        <family val="2"/>
        <charset val="1"/>
      </rPr>
      <t xml:space="preserve">ny </t>
    </r>
    <r>
      <rPr>
        <b/>
        <sz val="9"/>
        <color rgb="FF000000"/>
        <rFont val="Arial"/>
        <family val="2"/>
        <charset val="1"/>
      </rPr>
      <t>[-]</t>
    </r>
  </si>
  <si>
    <r>
      <t>C</t>
    </r>
    <r>
      <rPr>
        <b/>
        <vertAlign val="subscript"/>
        <sz val="9"/>
        <color rgb="FF000000"/>
        <rFont val="Arial"/>
        <family val="2"/>
        <charset val="1"/>
      </rPr>
      <t xml:space="preserve">nz </t>
    </r>
    <r>
      <rPr>
        <b/>
        <sz val="9"/>
        <color rgb="FF000000"/>
        <rFont val="Arial"/>
        <family val="2"/>
        <charset val="1"/>
      </rPr>
      <t>[-]</t>
    </r>
  </si>
  <si>
    <t>openDomain-long-Light-FST1</t>
  </si>
  <si>
    <t>openDomain-long-Light-FST2</t>
  </si>
  <si>
    <t>openDomain-long-light-LNGC-full-FST1</t>
  </si>
  <si>
    <t>openDomain-long-light-LNGC-full-FST2</t>
  </si>
  <si>
    <t>openDomain-trans-LNGC-light-LNGC</t>
  </si>
  <si>
    <t>longitudinal-marin</t>
  </si>
  <si>
    <t>longitudinal-acma</t>
  </si>
  <si>
    <t>orcaflex-acma</t>
  </si>
  <si>
    <t>Longitudinal coeffs factored. FST-1 per Marin Axis definition</t>
  </si>
  <si>
    <t>Longitudinal coeffs factored. FST-1 corrected</t>
  </si>
  <si>
    <t>Copy of above. With OrcaFlex formulas</t>
  </si>
  <si>
    <t>openDomain-long-full-LNGC-light-FST1</t>
  </si>
  <si>
    <t>openDomain-long-full-LNGC-light-FST2</t>
  </si>
  <si>
    <t>Port</t>
  </si>
  <si>
    <t>Starboard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</si>
</sst>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\-??_);_(@_)"/>
    <numFmt numFmtId="165" formatCode="_(* #,##0_);_(* \(#,##0\);_(* \-??_);_(@_)"/>
    <numFmt numFmtId="166" formatCode="0.000"/>
    <numFmt numFmtId="167" formatCode="0.0"/>
    <numFmt numFmtId="168" formatCode="0.0000"/>
    <numFmt numFmtId="169" formatCode="0.00000"/>
  </numFmts>
  <fonts count="5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/>
      <vertAlign val="subscript"/>
      <sz val="10.5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i/>
      <sz val="10.5"/>
      <color rgb="FF000000"/>
      <name val="Arial"/>
      <family val="2"/>
      <charset val="1"/>
    </font>
    <font>
      <b/>
      <i/>
      <sz val="10.5"/>
      <color rgb="FF000000"/>
      <name val="Arial"/>
      <family val="2"/>
      <charset val="1"/>
    </font>
    <font>
      <sz val="11"/>
      <color rgb="FF3F3F76"/>
      <name val="Calibri"/>
      <family val="2"/>
      <charset val="1"/>
    </font>
    <font>
      <b/>
      <sz val="11"/>
      <color rgb="FFFA7D00"/>
      <name val="Calibri"/>
      <family val="2"/>
      <charset val="1"/>
    </font>
    <font>
      <i/>
      <sz val="10"/>
      <color rgb="FF000000"/>
      <name val="Arial"/>
      <family val="2"/>
      <charset val="1"/>
    </font>
    <font>
      <b/>
      <sz val="11"/>
      <color rgb="FF3F3F3F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.5"/>
      <name val="Arial"/>
      <family val="2"/>
      <charset val="1"/>
    </font>
    <font>
      <sz val="10.5"/>
      <name val="Arial"/>
      <family val="2"/>
      <charset val="1"/>
    </font>
    <font>
      <b/>
      <vertAlign val="subscript"/>
      <sz val="10.5"/>
      <name val="Arial"/>
      <family val="2"/>
      <charset val="1"/>
    </font>
    <font>
      <b/>
      <sz val="8"/>
      <name val="Arial"/>
      <family val="2"/>
      <charset val="1"/>
    </font>
    <font>
      <i/>
      <sz val="10.5"/>
      <name val="Arial"/>
      <family val="2"/>
      <charset val="1"/>
    </font>
    <font>
      <b/>
      <i/>
      <sz val="10.5"/>
      <name val="Arial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Calibri"/>
      <family val="2"/>
    </font>
    <font>
      <b/>
      <sz val="11"/>
      <color theme="1"/>
      <name val="Arial"/>
      <family val="2"/>
    </font>
    <font>
      <sz val="10.5"/>
      <color rgb="FF000000"/>
      <name val="Arial"/>
      <family val="2"/>
    </font>
    <font>
      <i/>
      <sz val="10.5"/>
      <color rgb="FF0000FF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4B83CD"/>
      <name val="Consolas"/>
      <family val="3"/>
    </font>
    <font>
      <sz val="11"/>
      <color rgb="FF0000FF"/>
      <name val="Calibri"/>
      <family val="2"/>
      <scheme val="minor"/>
    </font>
    <font>
      <i/>
      <sz val="12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vertAlign val="subscript"/>
      <sz val="9"/>
      <name val="Arial"/>
      <family val="2"/>
      <charset val="1"/>
    </font>
    <font>
      <b/>
      <vertAlign val="subscript"/>
      <sz val="9"/>
      <color rgb="FF000000"/>
      <name val="Arial"/>
      <family val="2"/>
      <charset val="1"/>
    </font>
    <font>
      <i/>
      <sz val="9"/>
      <name val="Arial"/>
      <family val="2"/>
      <charset val="1"/>
    </font>
    <font>
      <i/>
      <sz val="9"/>
      <color rgb="FF000000"/>
      <name val="Arial"/>
      <family val="2"/>
      <charset val="1"/>
    </font>
    <font>
      <b/>
      <i/>
      <sz val="9"/>
      <name val="Arial"/>
      <family val="2"/>
      <charset val="1"/>
    </font>
    <font>
      <b/>
      <i/>
      <sz val="9"/>
      <color rgb="FF000000"/>
      <name val="Arial"/>
      <family val="2"/>
      <charset val="1"/>
    </font>
    <font>
      <i/>
      <sz val="9"/>
      <name val="Arial"/>
      <family val="2"/>
    </font>
    <font>
      <b/>
      <sz val="16"/>
      <color rgb="FF000000"/>
      <name val="Calibri"/>
      <family val="2"/>
    </font>
    <font>
      <sz val="11"/>
      <color rgb="FF0000FF"/>
      <name val="Calibri"/>
      <family val="2"/>
    </font>
    <font>
      <i/>
      <sz val="11"/>
      <color rgb="FF0000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CC99"/>
        <bgColor rgb="FFFFD087"/>
      </patternFill>
    </fill>
    <fill>
      <patternFill patternType="solid">
        <fgColor rgb="FFFFFFCC"/>
        <bgColor rgb="FFFFFFFF"/>
      </patternFill>
    </fill>
    <fill>
      <patternFill patternType="solid">
        <fgColor rgb="FFD9D9D9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164" fontId="21" fillId="0" borderId="0" applyBorder="0" applyProtection="0"/>
    <xf numFmtId="9" fontId="21" fillId="0" borderId="0" applyBorder="0" applyProtection="0"/>
    <xf numFmtId="0" fontId="21" fillId="2" borderId="1"/>
    <xf numFmtId="0" fontId="15" fillId="3" borderId="2" applyProtection="0"/>
    <xf numFmtId="0" fontId="16" fillId="2" borderId="2" applyProtection="0"/>
    <xf numFmtId="0" fontId="18" fillId="2" borderId="3" applyProtection="0"/>
    <xf numFmtId="0" fontId="21" fillId="4" borderId="4" applyProtection="0"/>
    <xf numFmtId="0" fontId="19" fillId="0" borderId="0" applyBorder="0" applyProtection="0"/>
    <xf numFmtId="0" fontId="2" fillId="0" borderId="0"/>
  </cellStyleXfs>
  <cellXfs count="237">
    <xf numFmtId="0" fontId="0" fillId="0" borderId="0" xfId="0"/>
    <xf numFmtId="0" fontId="21" fillId="2" borderId="1" xfId="3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9" fillId="2" borderId="0" xfId="0" applyFont="1" applyFill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165" fontId="10" fillId="0" borderId="9" xfId="1" applyNumberFormat="1" applyFont="1" applyBorder="1" applyAlignment="1" applyProtection="1">
      <alignment horizontal="center" vertical="center" wrapText="1"/>
    </xf>
    <xf numFmtId="165" fontId="10" fillId="0" borderId="0" xfId="1" applyNumberFormat="1" applyFont="1" applyBorder="1" applyAlignment="1" applyProtection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6" fontId="10" fillId="0" borderId="0" xfId="0" applyNumberFormat="1" applyFont="1" applyAlignment="1">
      <alignment horizontal="right" vertical="center" wrapText="1"/>
    </xf>
    <xf numFmtId="0" fontId="10" fillId="0" borderId="12" xfId="0" applyFont="1" applyBorder="1" applyAlignment="1">
      <alignment horizontal="right" vertical="center" wrapText="1"/>
    </xf>
    <xf numFmtId="0" fontId="13" fillId="2" borderId="12" xfId="0" applyFont="1" applyFill="1" applyBorder="1" applyAlignment="1">
      <alignment horizontal="right" vertical="center" wrapText="1"/>
    </xf>
    <xf numFmtId="166" fontId="10" fillId="2" borderId="0" xfId="0" applyNumberFormat="1" applyFont="1" applyFill="1" applyAlignment="1">
      <alignment horizontal="right" vertical="center" wrapText="1"/>
    </xf>
    <xf numFmtId="0" fontId="13" fillId="2" borderId="16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166" fontId="10" fillId="0" borderId="13" xfId="0" applyNumberFormat="1" applyFont="1" applyBorder="1" applyAlignment="1">
      <alignment horizontal="right" vertical="center" wrapText="1"/>
    </xf>
    <xf numFmtId="166" fontId="10" fillId="0" borderId="14" xfId="0" applyNumberFormat="1" applyFont="1" applyBorder="1" applyAlignment="1">
      <alignment horizontal="right" vertical="center" wrapText="1"/>
    </xf>
    <xf numFmtId="166" fontId="10" fillId="0" borderId="15" xfId="0" applyNumberFormat="1" applyFont="1" applyBorder="1" applyAlignment="1">
      <alignment horizontal="right" vertical="center" wrapText="1"/>
    </xf>
    <xf numFmtId="166" fontId="10" fillId="0" borderId="12" xfId="0" applyNumberFormat="1" applyFont="1" applyBorder="1" applyAlignment="1">
      <alignment horizontal="right" vertical="center" wrapText="1"/>
    </xf>
    <xf numFmtId="166" fontId="10" fillId="0" borderId="9" xfId="0" applyNumberFormat="1" applyFont="1" applyBorder="1" applyAlignment="1">
      <alignment horizontal="right" vertical="center" wrapText="1"/>
    </xf>
    <xf numFmtId="166" fontId="10" fillId="2" borderId="16" xfId="0" applyNumberFormat="1" applyFont="1" applyFill="1" applyBorder="1" applyAlignment="1">
      <alignment horizontal="right" vertical="center" wrapText="1"/>
    </xf>
    <xf numFmtId="166" fontId="10" fillId="2" borderId="17" xfId="0" applyNumberFormat="1" applyFont="1" applyFill="1" applyBorder="1" applyAlignment="1">
      <alignment horizontal="right" vertical="center" wrapText="1"/>
    </xf>
    <xf numFmtId="166" fontId="10" fillId="2" borderId="11" xfId="0" applyNumberFormat="1" applyFont="1" applyFill="1" applyBorder="1" applyAlignment="1">
      <alignment horizontal="right" vertical="center" wrapText="1"/>
    </xf>
    <xf numFmtId="166" fontId="13" fillId="2" borderId="16" xfId="0" applyNumberFormat="1" applyFont="1" applyFill="1" applyBorder="1" applyAlignment="1">
      <alignment horizontal="right" vertical="center" wrapText="1"/>
    </xf>
    <xf numFmtId="166" fontId="13" fillId="2" borderId="17" xfId="0" applyNumberFormat="1" applyFont="1" applyFill="1" applyBorder="1" applyAlignment="1">
      <alignment horizontal="right" vertical="center" wrapText="1"/>
    </xf>
    <xf numFmtId="166" fontId="13" fillId="2" borderId="11" xfId="0" applyNumberFormat="1" applyFont="1" applyFill="1" applyBorder="1" applyAlignment="1">
      <alignment horizontal="right" vertical="center" wrapText="1"/>
    </xf>
    <xf numFmtId="0" fontId="3" fillId="0" borderId="0" xfId="0" applyFont="1"/>
    <xf numFmtId="166" fontId="15" fillId="3" borderId="2" xfId="4" applyNumberFormat="1" applyProtection="1"/>
    <xf numFmtId="2" fontId="15" fillId="3" borderId="2" xfId="4" applyNumberFormat="1" applyProtection="1"/>
    <xf numFmtId="0" fontId="15" fillId="3" borderId="2" xfId="1" applyNumberFormat="1" applyFont="1" applyFill="1" applyBorder="1" applyProtection="1"/>
    <xf numFmtId="11" fontId="15" fillId="3" borderId="2" xfId="4" applyNumberFormat="1" applyProtection="1"/>
    <xf numFmtId="165" fontId="15" fillId="3" borderId="2" xfId="1" applyNumberFormat="1" applyFont="1" applyFill="1" applyBorder="1" applyProtection="1"/>
    <xf numFmtId="11" fontId="16" fillId="2" borderId="2" xfId="5" applyNumberFormat="1" applyProtection="1"/>
    <xf numFmtId="0" fontId="17" fillId="0" borderId="0" xfId="0" applyFont="1" applyAlignment="1">
      <alignment horizontal="left" vertical="center" indent="7"/>
    </xf>
    <xf numFmtId="0" fontId="10" fillId="0" borderId="0" xfId="0" applyFont="1" applyAlignment="1">
      <alignment horizontal="justify" vertical="center"/>
    </xf>
    <xf numFmtId="2" fontId="0" fillId="0" borderId="0" xfId="0" applyNumberFormat="1"/>
    <xf numFmtId="9" fontId="21" fillId="0" borderId="0" xfId="2" applyBorder="1" applyProtection="1"/>
    <xf numFmtId="0" fontId="21" fillId="2" borderId="0" xfId="3" applyBorder="1"/>
    <xf numFmtId="0" fontId="21" fillId="2" borderId="0" xfId="3" applyBorder="1" applyAlignment="1">
      <alignment horizontal="right"/>
    </xf>
    <xf numFmtId="11" fontId="21" fillId="2" borderId="0" xfId="3" applyNumberFormat="1" applyBorder="1"/>
    <xf numFmtId="1" fontId="21" fillId="2" borderId="0" xfId="3" applyNumberFormat="1" applyBorder="1"/>
    <xf numFmtId="0" fontId="0" fillId="2" borderId="0" xfId="0" applyFill="1"/>
    <xf numFmtId="0" fontId="21" fillId="2" borderId="0" xfId="3" applyBorder="1" applyAlignment="1">
      <alignment horizontal="center"/>
    </xf>
    <xf numFmtId="0" fontId="18" fillId="2" borderId="3" xfId="6" applyAlignment="1" applyProtection="1">
      <alignment horizontal="right"/>
    </xf>
    <xf numFmtId="0" fontId="18" fillId="2" borderId="3" xfId="6" applyAlignment="1" applyProtection="1">
      <alignment horizontal="center"/>
    </xf>
    <xf numFmtId="1" fontId="21" fillId="2" borderId="1" xfId="3" applyNumberFormat="1"/>
    <xf numFmtId="0" fontId="21" fillId="2" borderId="1" xfId="3" applyAlignment="1">
      <alignment horizontal="right"/>
    </xf>
    <xf numFmtId="165" fontId="16" fillId="2" borderId="2" xfId="1" applyNumberFormat="1" applyFont="1" applyFill="1" applyBorder="1" applyProtection="1"/>
    <xf numFmtId="0" fontId="15" fillId="3" borderId="2" xfId="4" applyProtection="1"/>
    <xf numFmtId="0" fontId="16" fillId="2" borderId="2" xfId="5" applyProtection="1"/>
    <xf numFmtId="167" fontId="15" fillId="3" borderId="2" xfId="4" applyNumberFormat="1" applyProtection="1"/>
    <xf numFmtId="0" fontId="0" fillId="2" borderId="0" xfId="0" applyFill="1" applyAlignment="1">
      <alignment horizontal="right"/>
    </xf>
    <xf numFmtId="1" fontId="0" fillId="2" borderId="0" xfId="0" applyNumberFormat="1" applyFill="1"/>
    <xf numFmtId="0" fontId="19" fillId="4" borderId="18" xfId="8" applyFill="1" applyBorder="1" applyAlignment="1" applyProtection="1">
      <alignment horizontal="center"/>
    </xf>
    <xf numFmtId="0" fontId="15" fillId="3" borderId="20" xfId="4" applyBorder="1" applyAlignment="1" applyProtection="1">
      <alignment horizontal="center"/>
    </xf>
    <xf numFmtId="0" fontId="15" fillId="3" borderId="2" xfId="4" applyAlignment="1" applyProtection="1">
      <alignment horizontal="center"/>
    </xf>
    <xf numFmtId="0" fontId="21" fillId="5" borderId="5" xfId="3" applyFill="1" applyBorder="1" applyAlignment="1">
      <alignment horizontal="right" vertical="top" wrapText="1"/>
    </xf>
    <xf numFmtId="11" fontId="21" fillId="5" borderId="5" xfId="3" applyNumberFormat="1" applyFill="1" applyBorder="1" applyAlignment="1">
      <alignment horizontal="center" wrapText="1"/>
    </xf>
    <xf numFmtId="1" fontId="21" fillId="5" borderId="5" xfId="3" applyNumberFormat="1" applyFill="1" applyBorder="1" applyAlignment="1">
      <alignment horizontal="center" wrapText="1"/>
    </xf>
    <xf numFmtId="11" fontId="7" fillId="5" borderId="5" xfId="3" applyNumberFormat="1" applyFont="1" applyFill="1" applyBorder="1" applyAlignment="1">
      <alignment horizontal="center" wrapText="1"/>
    </xf>
    <xf numFmtId="0" fontId="21" fillId="5" borderId="5" xfId="3" applyFill="1" applyBorder="1" applyAlignment="1">
      <alignment horizontal="center" vertical="top" wrapText="1"/>
    </xf>
    <xf numFmtId="0" fontId="21" fillId="5" borderId="5" xfId="3" applyFill="1" applyBorder="1" applyAlignment="1">
      <alignment horizontal="center" wrapText="1"/>
    </xf>
    <xf numFmtId="0" fontId="7" fillId="5" borderId="5" xfId="3" applyFont="1" applyFill="1" applyBorder="1" applyAlignment="1">
      <alignment horizontal="right" vertical="top" wrapText="1"/>
    </xf>
    <xf numFmtId="1" fontId="7" fillId="5" borderId="5" xfId="3" applyNumberFormat="1" applyFont="1" applyFill="1" applyBorder="1" applyAlignment="1">
      <alignment horizontal="center" wrapText="1"/>
    </xf>
    <xf numFmtId="0" fontId="7" fillId="5" borderId="5" xfId="3" applyFont="1" applyFill="1" applyBorder="1" applyAlignment="1">
      <alignment horizontal="center" vertical="top" wrapText="1"/>
    </xf>
    <xf numFmtId="0" fontId="7" fillId="5" borderId="5" xfId="3" applyFont="1" applyFill="1" applyBorder="1" applyAlignment="1">
      <alignment horizontal="center" wrapText="1"/>
    </xf>
    <xf numFmtId="0" fontId="15" fillId="3" borderId="2" xfId="4" applyAlignment="1" applyProtection="1">
      <alignment horizontal="right" vertical="top" wrapText="1"/>
    </xf>
    <xf numFmtId="0" fontId="16" fillId="2" borderId="2" xfId="5" applyAlignment="1" applyProtection="1">
      <alignment horizontal="center"/>
    </xf>
    <xf numFmtId="166" fontId="16" fillId="2" borderId="2" xfId="5" applyNumberFormat="1" applyAlignment="1" applyProtection="1">
      <alignment horizontal="right" wrapText="1"/>
    </xf>
    <xf numFmtId="11" fontId="16" fillId="2" borderId="2" xfId="5" applyNumberFormat="1" applyAlignment="1" applyProtection="1">
      <alignment horizontal="center"/>
    </xf>
    <xf numFmtId="1" fontId="15" fillId="3" borderId="2" xfId="4" applyNumberFormat="1" applyProtection="1"/>
    <xf numFmtId="0" fontId="15" fillId="3" borderId="2" xfId="4" applyAlignment="1" applyProtection="1">
      <alignment horizontal="right"/>
    </xf>
    <xf numFmtId="0" fontId="20" fillId="3" borderId="2" xfId="4" applyFont="1" applyAlignment="1" applyProtection="1">
      <alignment horizontal="right" vertical="top" wrapText="1"/>
    </xf>
    <xf numFmtId="11" fontId="20" fillId="3" borderId="2" xfId="4" applyNumberFormat="1" applyFont="1" applyProtection="1"/>
    <xf numFmtId="0" fontId="9" fillId="2" borderId="5" xfId="0" applyFont="1" applyFill="1" applyBorder="1" applyAlignment="1">
      <alignment horizontal="center" vertical="center" wrapText="1"/>
    </xf>
    <xf numFmtId="165" fontId="10" fillId="0" borderId="5" xfId="1" applyNumberFormat="1" applyFont="1" applyBorder="1" applyAlignment="1" applyProtection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 wrapText="1"/>
    </xf>
    <xf numFmtId="166" fontId="13" fillId="0" borderId="5" xfId="0" applyNumberFormat="1" applyFont="1" applyBorder="1" applyAlignment="1">
      <alignment horizontal="right" vertical="center" wrapText="1"/>
    </xf>
    <xf numFmtId="166" fontId="14" fillId="0" borderId="5" xfId="0" applyNumberFormat="1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center" vertical="center" wrapText="1"/>
    </xf>
    <xf numFmtId="165" fontId="23" fillId="0" borderId="5" xfId="1" applyNumberFormat="1" applyFont="1" applyBorder="1" applyAlignment="1" applyProtection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right" vertical="center" wrapText="1"/>
    </xf>
    <xf numFmtId="166" fontId="26" fillId="0" borderId="5" xfId="0" applyNumberFormat="1" applyFont="1" applyBorder="1" applyAlignment="1">
      <alignment horizontal="right" vertical="center" wrapText="1"/>
    </xf>
    <xf numFmtId="166" fontId="27" fillId="0" borderId="5" xfId="0" applyNumberFormat="1" applyFont="1" applyBorder="1" applyAlignment="1">
      <alignment horizontal="right" vertical="center" wrapText="1"/>
    </xf>
    <xf numFmtId="0" fontId="26" fillId="2" borderId="5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30" fillId="0" borderId="5" xfId="0" applyFont="1" applyBorder="1" applyAlignment="1">
      <alignment horizontal="center"/>
    </xf>
    <xf numFmtId="0" fontId="31" fillId="0" borderId="0" xfId="0" applyFont="1"/>
    <xf numFmtId="0" fontId="32" fillId="0" borderId="5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 wrapText="1"/>
    </xf>
    <xf numFmtId="166" fontId="33" fillId="0" borderId="5" xfId="0" applyNumberFormat="1" applyFont="1" applyBorder="1" applyAlignment="1">
      <alignment horizontal="right" vertical="center" wrapText="1"/>
    </xf>
    <xf numFmtId="166" fontId="34" fillId="0" borderId="5" xfId="0" applyNumberFormat="1" applyFont="1" applyBorder="1" applyAlignment="1">
      <alignment horizontal="right" vertical="center" wrapText="1"/>
    </xf>
    <xf numFmtId="166" fontId="10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7" fillId="0" borderId="0" xfId="0" applyFont="1" applyAlignment="1">
      <alignment vertical="center"/>
    </xf>
    <xf numFmtId="166" fontId="16" fillId="2" borderId="2" xfId="5" applyNumberFormat="1" applyAlignment="1" applyProtection="1">
      <alignment horizontal="center"/>
    </xf>
    <xf numFmtId="2" fontId="21" fillId="2" borderId="0" xfId="3" applyNumberFormat="1" applyBorder="1"/>
    <xf numFmtId="169" fontId="21" fillId="2" borderId="0" xfId="3" applyNumberFormat="1" applyBorder="1"/>
    <xf numFmtId="2" fontId="15" fillId="3" borderId="20" xfId="4" applyNumberFormat="1" applyBorder="1" applyProtection="1"/>
    <xf numFmtId="0" fontId="28" fillId="0" borderId="5" xfId="0" applyFont="1" applyBorder="1"/>
    <xf numFmtId="0" fontId="0" fillId="0" borderId="5" xfId="0" applyBorder="1" applyAlignment="1">
      <alignment wrapText="1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/>
    <xf numFmtId="0" fontId="2" fillId="0" borderId="0" xfId="9"/>
    <xf numFmtId="0" fontId="35" fillId="0" borderId="0" xfId="9" applyFont="1"/>
    <xf numFmtId="0" fontId="35" fillId="8" borderId="0" xfId="0" applyFont="1" applyFill="1"/>
    <xf numFmtId="0" fontId="38" fillId="6" borderId="0" xfId="0" applyFont="1" applyFill="1"/>
    <xf numFmtId="0" fontId="38" fillId="0" borderId="0" xfId="0" applyFont="1"/>
    <xf numFmtId="168" fontId="0" fillId="0" borderId="0" xfId="0" applyNumberFormat="1"/>
    <xf numFmtId="0" fontId="39" fillId="0" borderId="0" xfId="0" applyFont="1"/>
    <xf numFmtId="0" fontId="40" fillId="0" borderId="0" xfId="0" applyFont="1"/>
    <xf numFmtId="0" fontId="28" fillId="8" borderId="0" xfId="0" applyFont="1" applyFill="1"/>
    <xf numFmtId="0" fontId="28" fillId="0" borderId="0" xfId="0" applyFont="1"/>
    <xf numFmtId="0" fontId="0" fillId="9" borderId="0" xfId="0" applyFill="1"/>
    <xf numFmtId="0" fontId="40" fillId="9" borderId="0" xfId="0" applyFont="1" applyFill="1"/>
    <xf numFmtId="0" fontId="28" fillId="9" borderId="0" xfId="0" applyFont="1" applyFill="1"/>
    <xf numFmtId="0" fontId="2" fillId="9" borderId="0" xfId="9" applyFill="1"/>
    <xf numFmtId="2" fontId="40" fillId="0" borderId="0" xfId="0" applyNumberFormat="1" applyFont="1"/>
    <xf numFmtId="168" fontId="40" fillId="0" borderId="0" xfId="0" applyNumberFormat="1" applyFont="1"/>
    <xf numFmtId="169" fontId="0" fillId="0" borderId="0" xfId="0" applyNumberFormat="1"/>
    <xf numFmtId="166" fontId="0" fillId="0" borderId="0" xfId="0" applyNumberFormat="1"/>
    <xf numFmtId="166" fontId="40" fillId="0" borderId="0" xfId="0" applyNumberFormat="1" applyFont="1"/>
    <xf numFmtId="0" fontId="6" fillId="0" borderId="0" xfId="0" applyFont="1"/>
    <xf numFmtId="167" fontId="0" fillId="0" borderId="0" xfId="0" applyNumberFormat="1"/>
    <xf numFmtId="0" fontId="1" fillId="0" borderId="5" xfId="9" applyFont="1" applyBorder="1"/>
    <xf numFmtId="167" fontId="2" fillId="0" borderId="5" xfId="9" applyNumberFormat="1" applyBorder="1"/>
    <xf numFmtId="166" fontId="2" fillId="0" borderId="5" xfId="9" applyNumberFormat="1" applyBorder="1"/>
    <xf numFmtId="0" fontId="2" fillId="0" borderId="5" xfId="9" applyBorder="1"/>
    <xf numFmtId="0" fontId="41" fillId="2" borderId="5" xfId="0" applyFont="1" applyFill="1" applyBorder="1" applyAlignment="1">
      <alignment horizontal="center" vertical="center" wrapText="1"/>
    </xf>
    <xf numFmtId="0" fontId="42" fillId="2" borderId="0" xfId="0" applyFont="1" applyFill="1" applyAlignment="1">
      <alignment horizontal="center" vertical="center" wrapText="1"/>
    </xf>
    <xf numFmtId="0" fontId="42" fillId="2" borderId="5" xfId="0" applyFont="1" applyFill="1" applyBorder="1" applyAlignment="1">
      <alignment horizontal="center" vertical="center" wrapText="1"/>
    </xf>
    <xf numFmtId="0" fontId="43" fillId="0" borderId="0" xfId="0" applyFont="1"/>
    <xf numFmtId="165" fontId="44" fillId="0" borderId="5" xfId="1" applyNumberFormat="1" applyFont="1" applyBorder="1" applyAlignment="1" applyProtection="1">
      <alignment horizontal="center" vertical="center" wrapText="1"/>
    </xf>
    <xf numFmtId="165" fontId="45" fillId="0" borderId="0" xfId="1" applyNumberFormat="1" applyFont="1" applyBorder="1" applyAlignment="1" applyProtection="1">
      <alignment horizontal="center" vertical="center" wrapText="1"/>
    </xf>
    <xf numFmtId="165" fontId="45" fillId="0" borderId="5" xfId="1" applyNumberFormat="1" applyFont="1" applyBorder="1" applyAlignment="1" applyProtection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left" vertical="center" wrapText="1"/>
    </xf>
    <xf numFmtId="0" fontId="42" fillId="2" borderId="5" xfId="0" applyFont="1" applyFill="1" applyBorder="1" applyAlignment="1">
      <alignment horizontal="left" vertical="center" wrapText="1"/>
    </xf>
    <xf numFmtId="0" fontId="44" fillId="0" borderId="5" xfId="0" applyFont="1" applyBorder="1" applyAlignment="1">
      <alignment horizontal="right" vertical="center" wrapText="1"/>
    </xf>
    <xf numFmtId="166" fontId="48" fillId="0" borderId="5" xfId="0" applyNumberFormat="1" applyFont="1" applyBorder="1" applyAlignment="1">
      <alignment horizontal="right" vertical="center" wrapText="1"/>
    </xf>
    <xf numFmtId="166" fontId="48" fillId="0" borderId="5" xfId="0" applyNumberFormat="1" applyFont="1" applyBorder="1" applyAlignment="1">
      <alignment horizontal="center" vertical="center" wrapText="1"/>
    </xf>
    <xf numFmtId="166" fontId="45" fillId="0" borderId="0" xfId="0" applyNumberFormat="1" applyFont="1" applyAlignment="1">
      <alignment horizontal="right" vertical="center" wrapText="1"/>
    </xf>
    <xf numFmtId="0" fontId="45" fillId="0" borderId="5" xfId="0" applyFont="1" applyBorder="1" applyAlignment="1">
      <alignment horizontal="right" vertical="center" wrapText="1"/>
    </xf>
    <xf numFmtId="166" fontId="49" fillId="0" borderId="5" xfId="0" applyNumberFormat="1" applyFont="1" applyBorder="1" applyAlignment="1">
      <alignment horizontal="right" vertical="center" wrapText="1"/>
    </xf>
    <xf numFmtId="166" fontId="50" fillId="0" borderId="5" xfId="0" applyNumberFormat="1" applyFont="1" applyBorder="1" applyAlignment="1">
      <alignment horizontal="right" vertical="center" wrapText="1"/>
    </xf>
    <xf numFmtId="166" fontId="51" fillId="0" borderId="5" xfId="0" applyNumberFormat="1" applyFont="1" applyBorder="1" applyAlignment="1">
      <alignment horizontal="right" vertical="center" wrapText="1"/>
    </xf>
    <xf numFmtId="166" fontId="52" fillId="0" borderId="5" xfId="0" applyNumberFormat="1" applyFont="1" applyBorder="1" applyAlignment="1">
      <alignment horizontal="right" vertical="center" wrapText="1"/>
    </xf>
    <xf numFmtId="0" fontId="48" fillId="2" borderId="5" xfId="0" applyFont="1" applyFill="1" applyBorder="1" applyAlignment="1">
      <alignment horizontal="right" vertical="center" wrapText="1"/>
    </xf>
    <xf numFmtId="0" fontId="49" fillId="2" borderId="5" xfId="0" applyFont="1" applyFill="1" applyBorder="1" applyAlignment="1">
      <alignment horizontal="right" vertical="center" wrapText="1"/>
    </xf>
    <xf numFmtId="166" fontId="45" fillId="2" borderId="0" xfId="0" applyNumberFormat="1" applyFont="1" applyFill="1" applyAlignment="1">
      <alignment horizontal="right" vertical="center" wrapText="1"/>
    </xf>
    <xf numFmtId="0" fontId="45" fillId="0" borderId="0" xfId="0" applyFont="1" applyAlignment="1">
      <alignment vertical="center" wrapText="1"/>
    </xf>
    <xf numFmtId="0" fontId="42" fillId="2" borderId="8" xfId="0" applyFont="1" applyFill="1" applyBorder="1" applyAlignment="1">
      <alignment horizontal="center" vertical="center" wrapText="1"/>
    </xf>
    <xf numFmtId="165" fontId="45" fillId="0" borderId="9" xfId="1" applyNumberFormat="1" applyFont="1" applyBorder="1" applyAlignment="1" applyProtection="1">
      <alignment horizontal="center" vertical="center" wrapText="1"/>
    </xf>
    <xf numFmtId="0" fontId="42" fillId="2" borderId="10" xfId="0" applyFont="1" applyFill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2" fillId="2" borderId="10" xfId="0" applyFont="1" applyFill="1" applyBorder="1" applyAlignment="1">
      <alignment horizontal="left" vertical="center" wrapText="1"/>
    </xf>
    <xf numFmtId="0" fontId="42" fillId="2" borderId="9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left" vertical="center" wrapText="1"/>
    </xf>
    <xf numFmtId="0" fontId="45" fillId="0" borderId="12" xfId="0" applyFont="1" applyBorder="1" applyAlignment="1">
      <alignment horizontal="right" vertical="center" wrapText="1"/>
    </xf>
    <xf numFmtId="166" fontId="45" fillId="0" borderId="13" xfId="0" applyNumberFormat="1" applyFont="1" applyBorder="1" applyAlignment="1">
      <alignment horizontal="right" vertical="center" wrapText="1"/>
    </xf>
    <xf numFmtId="166" fontId="45" fillId="0" borderId="14" xfId="0" applyNumberFormat="1" applyFont="1" applyBorder="1" applyAlignment="1">
      <alignment horizontal="right" vertical="center" wrapText="1"/>
    </xf>
    <xf numFmtId="166" fontId="45" fillId="0" borderId="15" xfId="0" applyNumberFormat="1" applyFont="1" applyBorder="1" applyAlignment="1">
      <alignment horizontal="right" vertical="center" wrapText="1"/>
    </xf>
    <xf numFmtId="166" fontId="45" fillId="0" borderId="12" xfId="0" applyNumberFormat="1" applyFont="1" applyBorder="1" applyAlignment="1">
      <alignment horizontal="right" vertical="center" wrapText="1"/>
    </xf>
    <xf numFmtId="166" fontId="45" fillId="0" borderId="9" xfId="0" applyNumberFormat="1" applyFont="1" applyBorder="1" applyAlignment="1">
      <alignment horizontal="right" vertical="center" wrapText="1"/>
    </xf>
    <xf numFmtId="0" fontId="49" fillId="2" borderId="12" xfId="0" applyFont="1" applyFill="1" applyBorder="1" applyAlignment="1">
      <alignment horizontal="right" vertical="center" wrapText="1"/>
    </xf>
    <xf numFmtId="0" fontId="49" fillId="2" borderId="16" xfId="0" applyFont="1" applyFill="1" applyBorder="1" applyAlignment="1">
      <alignment horizontal="right" vertical="center" wrapText="1"/>
    </xf>
    <xf numFmtId="166" fontId="45" fillId="2" borderId="16" xfId="0" applyNumberFormat="1" applyFont="1" applyFill="1" applyBorder="1" applyAlignment="1">
      <alignment horizontal="right" vertical="center" wrapText="1"/>
    </xf>
    <xf numFmtId="166" fontId="45" fillId="2" borderId="17" xfId="0" applyNumberFormat="1" applyFont="1" applyFill="1" applyBorder="1" applyAlignment="1">
      <alignment horizontal="right" vertical="center" wrapText="1"/>
    </xf>
    <xf numFmtId="166" fontId="45" fillId="2" borderId="11" xfId="0" applyNumberFormat="1" applyFont="1" applyFill="1" applyBorder="1" applyAlignment="1">
      <alignment horizontal="right" vertical="center" wrapText="1"/>
    </xf>
    <xf numFmtId="166" fontId="49" fillId="0" borderId="13" xfId="0" applyNumberFormat="1" applyFont="1" applyBorder="1" applyAlignment="1">
      <alignment horizontal="right" vertical="center" wrapText="1"/>
    </xf>
    <xf numFmtId="166" fontId="49" fillId="0" borderId="14" xfId="0" applyNumberFormat="1" applyFont="1" applyBorder="1" applyAlignment="1">
      <alignment horizontal="right" vertical="center" wrapText="1"/>
    </xf>
    <xf numFmtId="166" fontId="49" fillId="0" borderId="15" xfId="0" applyNumberFormat="1" applyFont="1" applyBorder="1" applyAlignment="1">
      <alignment horizontal="right" vertical="center" wrapText="1"/>
    </xf>
    <xf numFmtId="166" fontId="49" fillId="0" borderId="12" xfId="0" applyNumberFormat="1" applyFont="1" applyBorder="1" applyAlignment="1">
      <alignment horizontal="right" vertical="center" wrapText="1"/>
    </xf>
    <xf numFmtId="166" fontId="49" fillId="0" borderId="0" xfId="0" applyNumberFormat="1" applyFont="1" applyAlignment="1">
      <alignment horizontal="right" vertical="center" wrapText="1"/>
    </xf>
    <xf numFmtId="166" fontId="49" fillId="0" borderId="9" xfId="0" applyNumberFormat="1" applyFont="1" applyBorder="1" applyAlignment="1">
      <alignment horizontal="right" vertical="center" wrapText="1"/>
    </xf>
    <xf numFmtId="166" fontId="49" fillId="2" borderId="16" xfId="0" applyNumberFormat="1" applyFont="1" applyFill="1" applyBorder="1" applyAlignment="1">
      <alignment horizontal="right" vertical="center" wrapText="1"/>
    </xf>
    <xf numFmtId="166" fontId="49" fillId="2" borderId="17" xfId="0" applyNumberFormat="1" applyFont="1" applyFill="1" applyBorder="1" applyAlignment="1">
      <alignment horizontal="right" vertical="center" wrapText="1"/>
    </xf>
    <xf numFmtId="166" fontId="49" fillId="2" borderId="1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9" fillId="2" borderId="8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166" fontId="10" fillId="0" borderId="5" xfId="0" applyNumberFormat="1" applyFont="1" applyBorder="1" applyAlignment="1">
      <alignment horizontal="right" vertical="center" wrapText="1"/>
    </xf>
    <xf numFmtId="0" fontId="29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36" fillId="0" borderId="5" xfId="9" applyFont="1" applyBorder="1" applyAlignment="1">
      <alignment horizontal="center"/>
    </xf>
    <xf numFmtId="0" fontId="35" fillId="0" borderId="0" xfId="9" applyFont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0" xfId="0"/>
    <xf numFmtId="0" fontId="41" fillId="2" borderId="5" xfId="0" applyFont="1" applyFill="1" applyBorder="1" applyAlignment="1">
      <alignment horizontal="center" vertical="center" wrapText="1"/>
    </xf>
    <xf numFmtId="0" fontId="42" fillId="2" borderId="5" xfId="0" applyFont="1" applyFill="1" applyBorder="1" applyAlignment="1">
      <alignment horizontal="center" vertical="center" wrapText="1"/>
    </xf>
    <xf numFmtId="0" fontId="43" fillId="0" borderId="0" xfId="0" applyFont="1"/>
    <xf numFmtId="0" fontId="42" fillId="2" borderId="7" xfId="0" applyFont="1" applyFill="1" applyBorder="1" applyAlignment="1">
      <alignment horizontal="center" vertical="center" wrapText="1"/>
    </xf>
    <xf numFmtId="11" fontId="15" fillId="3" borderId="19" xfId="4" applyNumberFormat="1" applyBorder="1" applyAlignment="1" applyProtection="1">
      <alignment horizontal="center"/>
    </xf>
    <xf numFmtId="11" fontId="15" fillId="3" borderId="2" xfId="4" applyNumberFormat="1" applyAlignment="1" applyProtection="1">
      <alignment horizontal="center"/>
    </xf>
    <xf numFmtId="0" fontId="21" fillId="2" borderId="1" xfId="3"/>
    <xf numFmtId="0" fontId="19" fillId="4" borderId="4" xfId="7" applyFont="1" applyAlignment="1" applyProtection="1">
      <alignment horizontal="center"/>
    </xf>
    <xf numFmtId="2" fontId="16" fillId="2" borderId="2" xfId="5" applyNumberFormat="1" applyAlignment="1" applyProtection="1">
      <alignment horizontal="center"/>
    </xf>
    <xf numFmtId="0" fontId="53" fillId="0" borderId="0" xfId="0" applyFont="1"/>
    <xf numFmtId="0" fontId="54" fillId="0" borderId="0" xfId="0" applyFont="1"/>
    <xf numFmtId="0" fontId="55" fillId="0" borderId="0" xfId="0" applyFont="1"/>
  </cellXfs>
  <cellStyles count="10">
    <cellStyle name="Comma" xfId="1" builtinId="3"/>
    <cellStyle name="Excel Built-in Calculation" xfId="5" xr:uid="{00000000-0005-0000-0000-000008000000}"/>
    <cellStyle name="Excel Built-in Explanatory Text" xfId="8" xr:uid="{00000000-0005-0000-0000-00000B000000}"/>
    <cellStyle name="Excel Built-in Input" xfId="4" xr:uid="{00000000-0005-0000-0000-000007000000}"/>
    <cellStyle name="Excel Built-in Note" xfId="7" xr:uid="{00000000-0005-0000-0000-00000A000000}"/>
    <cellStyle name="Excel Built-in Output" xfId="6" xr:uid="{00000000-0005-0000-0000-000009000000}"/>
    <cellStyle name="Normal" xfId="0" builtinId="0"/>
    <cellStyle name="Normal 2" xfId="3" xr:uid="{00000000-0005-0000-0000-000006000000}"/>
    <cellStyle name="Normal 3" xfId="9" xr:uid="{CACC38C4-8D1E-4C91-B474-05D36D4A3ABF}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A5A5A5"/>
      <rgbColor rgb="FF595959"/>
      <rgbColor rgb="FFFFFFCC"/>
      <rgbColor rgb="FFF2F2F2"/>
      <rgbColor rgb="FF660066"/>
      <rgbColor rgb="FFD36F2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087"/>
      <rgbColor rgb="FF98B8DF"/>
      <rgbColor rgb="FFF1A78B"/>
      <rgbColor rgb="FFB2B2B2"/>
      <rgbColor rgb="FFFFCC99"/>
      <rgbColor rgb="FF518ABD"/>
      <rgbColor rgb="FF5B9BD5"/>
      <rgbColor rgb="FF70AD47"/>
      <rgbColor rgb="FFFFC000"/>
      <rgbColor rgb="FFE3AB00"/>
      <rgbColor rgb="FFFA7D00"/>
      <rgbColor rgb="FF3C65AE"/>
      <rgbColor rgb="FF929292"/>
      <rgbColor rgb="FF003366"/>
      <rgbColor rgb="FF639A3F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0.xml"/><Relationship Id="rId18" Type="http://schemas.openxmlformats.org/officeDocument/2006/relationships/worksheet" Target="worksheets/sheet15.xml"/><Relationship Id="rId26" Type="http://schemas.openxmlformats.org/officeDocument/2006/relationships/worksheet" Target="worksheets/sheet23.xml"/><Relationship Id="rId21" Type="http://schemas.openxmlformats.org/officeDocument/2006/relationships/worksheet" Target="worksheets/sheet18.xml"/><Relationship Id="rId34" Type="http://schemas.openxmlformats.org/officeDocument/2006/relationships/worksheet" Target="worksheets/sheet31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worksheet" Target="worksheets/sheet14.xml"/><Relationship Id="rId25" Type="http://schemas.openxmlformats.org/officeDocument/2006/relationships/worksheet" Target="worksheets/sheet22.xml"/><Relationship Id="rId33" Type="http://schemas.openxmlformats.org/officeDocument/2006/relationships/worksheet" Target="worksheets/sheet30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3.xml"/><Relationship Id="rId20" Type="http://schemas.openxmlformats.org/officeDocument/2006/relationships/worksheet" Target="worksheets/sheet17.xml"/><Relationship Id="rId29" Type="http://schemas.openxmlformats.org/officeDocument/2006/relationships/worksheet" Target="worksheets/sheet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24" Type="http://schemas.openxmlformats.org/officeDocument/2006/relationships/worksheet" Target="worksheets/sheet21.xml"/><Relationship Id="rId32" Type="http://schemas.openxmlformats.org/officeDocument/2006/relationships/worksheet" Target="worksheets/sheet29.xml"/><Relationship Id="rId37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5" Type="http://schemas.openxmlformats.org/officeDocument/2006/relationships/worksheet" Target="worksheets/sheet12.xml"/><Relationship Id="rId23" Type="http://schemas.openxmlformats.org/officeDocument/2006/relationships/worksheet" Target="worksheets/sheet20.xml"/><Relationship Id="rId28" Type="http://schemas.openxmlformats.org/officeDocument/2006/relationships/worksheet" Target="worksheets/sheet25.xml"/><Relationship Id="rId36" Type="http://schemas.openxmlformats.org/officeDocument/2006/relationships/styles" Target="styles.xml"/><Relationship Id="rId10" Type="http://schemas.openxmlformats.org/officeDocument/2006/relationships/worksheet" Target="worksheets/sheet7.xml"/><Relationship Id="rId19" Type="http://schemas.openxmlformats.org/officeDocument/2006/relationships/worksheet" Target="worksheets/sheet16.xml"/><Relationship Id="rId31" Type="http://schemas.openxmlformats.org/officeDocument/2006/relationships/worksheet" Target="worksheets/sheet28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22" Type="http://schemas.openxmlformats.org/officeDocument/2006/relationships/worksheet" Target="worksheets/sheet19.xml"/><Relationship Id="rId27" Type="http://schemas.openxmlformats.org/officeDocument/2006/relationships/worksheet" Target="worksheets/sheet24.xml"/><Relationship Id="rId30" Type="http://schemas.openxmlformats.org/officeDocument/2006/relationships/worksheet" Target="worksheets/sheet27.xml"/><Relationship Id="rId35" Type="http://schemas.openxmlformats.org/officeDocument/2006/relationships/theme" Target="theme/theme1.xml"/><Relationship Id="rId8" Type="http://schemas.openxmlformats.org/officeDocument/2006/relationships/worksheet" Target="worksheets/sheet5.xml"/><Relationship Id="rId3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Force Coefficients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Factored for Wind Speed of 1 m/s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orcaflex_comp!$AG$6</c:f>
              <c:strCache>
                <c:ptCount val="1"/>
                <c:pt idx="0">
                  <c:v>FST1, Fx, ACMA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orcaflex_comp!$AF$7:$AF$31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orcaflex_comp!$AG$7:$AG$31</c:f>
              <c:numCache>
                <c:formatCode>General</c:formatCode>
                <c:ptCount val="25"/>
                <c:pt idx="0">
                  <c:v>1.0275112797329125</c:v>
                </c:pt>
                <c:pt idx="1">
                  <c:v>1.0135791961534917</c:v>
                </c:pt>
                <c:pt idx="2">
                  <c:v>0.63546400793730229</c:v>
                </c:pt>
                <c:pt idx="3">
                  <c:v>0.36964758445532042</c:v>
                </c:pt>
                <c:pt idx="4">
                  <c:v>8.1300707559804161E-2</c:v>
                </c:pt>
                <c:pt idx="5">
                  <c:v>0.12565750323606439</c:v>
                </c:pt>
                <c:pt idx="6">
                  <c:v>-0.30607625918200826</c:v>
                </c:pt>
                <c:pt idx="7">
                  <c:v>-0.12040820921802338</c:v>
                </c:pt>
                <c:pt idx="8">
                  <c:v>-7.596081298309211E-2</c:v>
                </c:pt>
                <c:pt idx="9">
                  <c:v>-0.25285791347366793</c:v>
                </c:pt>
                <c:pt idx="10">
                  <c:v>-0.32738849667815845</c:v>
                </c:pt>
                <c:pt idx="11">
                  <c:v>-0.34694182924628258</c:v>
                </c:pt>
                <c:pt idx="12">
                  <c:v>-0.22756233161959882</c:v>
                </c:pt>
                <c:pt idx="13">
                  <c:v>-0.91782031074926762</c:v>
                </c:pt>
                <c:pt idx="14">
                  <c:v>-0.74100517980323455</c:v>
                </c:pt>
                <c:pt idx="15">
                  <c:v>-0.49005175192903289</c:v>
                </c:pt>
                <c:pt idx="16">
                  <c:v>-0.2083986212366683</c:v>
                </c:pt>
                <c:pt idx="17">
                  <c:v>-0.44700712082143512</c:v>
                </c:pt>
                <c:pt idx="18">
                  <c:v>-0.47021727468894953</c:v>
                </c:pt>
                <c:pt idx="19">
                  <c:v>0.10184731011469327</c:v>
                </c:pt>
                <c:pt idx="20">
                  <c:v>0.18968379603996197</c:v>
                </c:pt>
                <c:pt idx="21">
                  <c:v>0.57037987026096626</c:v>
                </c:pt>
                <c:pt idx="22">
                  <c:v>0.9081656691161063</c:v>
                </c:pt>
                <c:pt idx="23">
                  <c:v>1.2555905094308724</c:v>
                </c:pt>
                <c:pt idx="24">
                  <c:v>1.0275112797329125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AF-40DC-806D-A8F9400CD43E}"/>
            </c:ext>
          </c:extLst>
        </c:ser>
        <c:ser>
          <c:idx val="2"/>
          <c:order val="1"/>
          <c:tx>
            <c:strRef>
              <c:f>orcaflex_comp!$AH$6</c:f>
              <c:strCache>
                <c:ptCount val="1"/>
                <c:pt idx="0">
                  <c:v>FST1, Fy, ACMA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orcaflex_comp!$AF$7:$AF$31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orcaflex_comp!$AH$7:$AH$31</c:f>
              <c:numCache>
                <c:formatCode>General</c:formatCode>
                <c:ptCount val="25"/>
                <c:pt idx="0">
                  <c:v>0.13677730591584941</c:v>
                </c:pt>
                <c:pt idx="1">
                  <c:v>1.0539399767122539</c:v>
                </c:pt>
                <c:pt idx="2">
                  <c:v>2.5913883489971816</c:v>
                </c:pt>
                <c:pt idx="3">
                  <c:v>4.0966735366528146</c:v>
                </c:pt>
                <c:pt idx="4">
                  <c:v>5.5452017770815925</c:v>
                </c:pt>
                <c:pt idx="5">
                  <c:v>5.6922594410545093</c:v>
                </c:pt>
                <c:pt idx="6">
                  <c:v>5.1165990655066773</c:v>
                </c:pt>
                <c:pt idx="7">
                  <c:v>4.4434940606712683</c:v>
                </c:pt>
                <c:pt idx="8">
                  <c:v>3.9786800697455011</c:v>
                </c:pt>
                <c:pt idx="9">
                  <c:v>2.7703893442392533</c:v>
                </c:pt>
                <c:pt idx="10">
                  <c:v>1.4763026167634414</c:v>
                </c:pt>
                <c:pt idx="11">
                  <c:v>0.43819626174531112</c:v>
                </c:pt>
                <c:pt idx="12">
                  <c:v>-1.7411562954761151E-2</c:v>
                </c:pt>
                <c:pt idx="13">
                  <c:v>-0.81037430477355565</c:v>
                </c:pt>
                <c:pt idx="14">
                  <c:v>-1.8531461231972968</c:v>
                </c:pt>
                <c:pt idx="15">
                  <c:v>-2.9708088961870969</c:v>
                </c:pt>
                <c:pt idx="16">
                  <c:v>-3.8674591468451198</c:v>
                </c:pt>
                <c:pt idx="17">
                  <c:v>-4.370798441185916</c:v>
                </c:pt>
                <c:pt idx="18">
                  <c:v>-4.9033505232551207</c:v>
                </c:pt>
                <c:pt idx="19">
                  <c:v>-5.5445276882160082</c:v>
                </c:pt>
                <c:pt idx="20">
                  <c:v>-4.8851034374513524</c:v>
                </c:pt>
                <c:pt idx="21">
                  <c:v>-3.6685103328857425</c:v>
                </c:pt>
                <c:pt idx="22">
                  <c:v>-2.0596532026970853</c:v>
                </c:pt>
                <c:pt idx="23">
                  <c:v>-0.70822350983320392</c:v>
                </c:pt>
                <c:pt idx="24">
                  <c:v>0.13677730591584941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AF-40DC-806D-A8F9400CD43E}"/>
            </c:ext>
          </c:extLst>
        </c:ser>
        <c:ser>
          <c:idx val="4"/>
          <c:order val="2"/>
          <c:tx>
            <c:strRef>
              <c:f>orcaflex_comp!$AI$6</c:f>
              <c:strCache>
                <c:ptCount val="1"/>
                <c:pt idx="0">
                  <c:v>FST2, Fx, ACMA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orcaflex_comp!$AF$7:$AF$31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orcaflex_comp!$AI$7:$AI$31</c:f>
              <c:numCache>
                <c:formatCode>General</c:formatCode>
                <c:ptCount val="25"/>
                <c:pt idx="0">
                  <c:v>0.82585750940309299</c:v>
                </c:pt>
                <c:pt idx="1">
                  <c:v>1.1769493430122695</c:v>
                </c:pt>
                <c:pt idx="2">
                  <c:v>1.1947928020642664</c:v>
                </c:pt>
                <c:pt idx="3">
                  <c:v>0.91552461690483711</c:v>
                </c:pt>
                <c:pt idx="4">
                  <c:v>0.12072804703920115</c:v>
                </c:pt>
                <c:pt idx="5">
                  <c:v>0.10238288317904866</c:v>
                </c:pt>
                <c:pt idx="6">
                  <c:v>-0.45353568846853504</c:v>
                </c:pt>
                <c:pt idx="7">
                  <c:v>-0.3896152642323083</c:v>
                </c:pt>
                <c:pt idx="8">
                  <c:v>-0.1353477482461283</c:v>
                </c:pt>
                <c:pt idx="9">
                  <c:v>-0.78393578733696678</c:v>
                </c:pt>
                <c:pt idx="10">
                  <c:v>-0.95657293633998008</c:v>
                </c:pt>
                <c:pt idx="11">
                  <c:v>-0.84219674711210712</c:v>
                </c:pt>
                <c:pt idx="12">
                  <c:v>-0.23831145236895671</c:v>
                </c:pt>
                <c:pt idx="13">
                  <c:v>-0.33036552922818646</c:v>
                </c:pt>
                <c:pt idx="14">
                  <c:v>-0.41186803141852868</c:v>
                </c:pt>
                <c:pt idx="15">
                  <c:v>-0.41850021100241919</c:v>
                </c:pt>
                <c:pt idx="16">
                  <c:v>-5.540026211972459E-2</c:v>
                </c:pt>
                <c:pt idx="17">
                  <c:v>-6.655696187594641E-2</c:v>
                </c:pt>
                <c:pt idx="18">
                  <c:v>-2.3367785441323698E-2</c:v>
                </c:pt>
                <c:pt idx="19">
                  <c:v>0.11623434912773883</c:v>
                </c:pt>
                <c:pt idx="20">
                  <c:v>5.7028068087112756E-2</c:v>
                </c:pt>
                <c:pt idx="21">
                  <c:v>0.58678651074010135</c:v>
                </c:pt>
                <c:pt idx="22">
                  <c:v>0.81007735360664312</c:v>
                </c:pt>
                <c:pt idx="23">
                  <c:v>0.93999205653394657</c:v>
                </c:pt>
                <c:pt idx="24">
                  <c:v>0.82585750940309299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AF-40DC-806D-A8F9400CD43E}"/>
            </c:ext>
          </c:extLst>
        </c:ser>
        <c:ser>
          <c:idx val="5"/>
          <c:order val="3"/>
          <c:tx>
            <c:strRef>
              <c:f>orcaflex_comp!$AJ$6</c:f>
              <c:strCache>
                <c:ptCount val="1"/>
                <c:pt idx="0">
                  <c:v>FST2, Fy, ACMA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orcaflex_comp!$AF$7:$AF$31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orcaflex_comp!$AJ$7:$AJ$31</c:f>
              <c:numCache>
                <c:formatCode>General</c:formatCode>
                <c:ptCount val="25"/>
                <c:pt idx="0">
                  <c:v>-9.0914490351154717E-2</c:v>
                </c:pt>
                <c:pt idx="1">
                  <c:v>0.78189833929081576</c:v>
                </c:pt>
                <c:pt idx="2">
                  <c:v>2.2415669994061402</c:v>
                </c:pt>
                <c:pt idx="3">
                  <c:v>3.9972701100993802</c:v>
                </c:pt>
                <c:pt idx="4">
                  <c:v>5.2162153547525145</c:v>
                </c:pt>
                <c:pt idx="5">
                  <c:v>5.6372696973181977</c:v>
                </c:pt>
                <c:pt idx="6">
                  <c:v>5.0793449266713617</c:v>
                </c:pt>
                <c:pt idx="7">
                  <c:v>4.4624878172363909</c:v>
                </c:pt>
                <c:pt idx="8">
                  <c:v>4.1437441738255814</c:v>
                </c:pt>
                <c:pt idx="9">
                  <c:v>3.1399319379596395</c:v>
                </c:pt>
                <c:pt idx="10">
                  <c:v>1.9390792578869078</c:v>
                </c:pt>
                <c:pt idx="11">
                  <c:v>0.86961961614606309</c:v>
                </c:pt>
                <c:pt idx="12">
                  <c:v>6.9007594432141744E-2</c:v>
                </c:pt>
                <c:pt idx="13">
                  <c:v>-0.46452963826257887</c:v>
                </c:pt>
                <c:pt idx="14">
                  <c:v>-1.6482938926648991</c:v>
                </c:pt>
                <c:pt idx="15">
                  <c:v>-3.0811414560935009</c:v>
                </c:pt>
                <c:pt idx="16">
                  <c:v>-4.1562986283174386</c:v>
                </c:pt>
                <c:pt idx="17">
                  <c:v>-4.5981843673773204</c:v>
                </c:pt>
                <c:pt idx="18">
                  <c:v>-5.1695985796155002</c:v>
                </c:pt>
                <c:pt idx="19">
                  <c:v>-5.7907169111245747</c:v>
                </c:pt>
                <c:pt idx="20">
                  <c:v>-5.9419539163832695</c:v>
                </c:pt>
                <c:pt idx="21">
                  <c:v>-4.4891291285352262</c:v>
                </c:pt>
                <c:pt idx="22">
                  <c:v>-2.8005853793735831</c:v>
                </c:pt>
                <c:pt idx="23">
                  <c:v>-1.1098132069049826</c:v>
                </c:pt>
                <c:pt idx="24">
                  <c:v>-9.0914490351154717E-2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AF-40DC-806D-A8F9400CD43E}"/>
            </c:ext>
          </c:extLst>
        </c:ser>
        <c:ser>
          <c:idx val="0"/>
          <c:order val="4"/>
          <c:tx>
            <c:strRef>
              <c:f>orcaflex_comp!$AK$6</c:f>
              <c:strCache>
                <c:ptCount val="1"/>
                <c:pt idx="0">
                  <c:v>Fx, Wood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orcaflex_comp!$AF$7:$AF$31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orcaflex_comp!$AK$7:$AK$31</c:f>
              <c:numCache>
                <c:formatCode>General</c:formatCode>
                <c:ptCount val="25"/>
                <c:pt idx="0">
                  <c:v>0.63753967199999995</c:v>
                </c:pt>
                <c:pt idx="1">
                  <c:v>0.60086703600000002</c:v>
                </c:pt>
                <c:pt idx="2">
                  <c:v>0.55102986399999998</c:v>
                </c:pt>
                <c:pt idx="3">
                  <c:v>0.48426685999999997</c:v>
                </c:pt>
                <c:pt idx="4">
                  <c:v>0.40527964399999994</c:v>
                </c:pt>
                <c:pt idx="5">
                  <c:v>0.31218756800000003</c:v>
                </c:pt>
                <c:pt idx="6">
                  <c:v>0.219095492</c:v>
                </c:pt>
                <c:pt idx="7">
                  <c:v>0.12600341600000001</c:v>
                </c:pt>
                <c:pt idx="8">
                  <c:v>4.6075876000000002E-2</c:v>
                </c:pt>
                <c:pt idx="9">
                  <c:v>-2.6329071999999999E-2</c:v>
                </c:pt>
                <c:pt idx="10">
                  <c:v>-8.6509807999999994E-2</c:v>
                </c:pt>
                <c:pt idx="11">
                  <c:v>-0.13916795199999998</c:v>
                </c:pt>
                <c:pt idx="12">
                  <c:v>-0.18618415199999999</c:v>
                </c:pt>
                <c:pt idx="13">
                  <c:v>-0.25858910000000002</c:v>
                </c:pt>
                <c:pt idx="14">
                  <c:v>-0.342277936</c:v>
                </c:pt>
                <c:pt idx="15">
                  <c:v>-0.431608716</c:v>
                </c:pt>
                <c:pt idx="16">
                  <c:v>-0.49084912800000008</c:v>
                </c:pt>
                <c:pt idx="17">
                  <c:v>-0.51153625599999997</c:v>
                </c:pt>
                <c:pt idx="18">
                  <c:v>-0.49461042399999999</c:v>
                </c:pt>
                <c:pt idx="19">
                  <c:v>-0.51153625599999997</c:v>
                </c:pt>
                <c:pt idx="20">
                  <c:v>-0.49084912800000008</c:v>
                </c:pt>
                <c:pt idx="21">
                  <c:v>-0.431608716</c:v>
                </c:pt>
                <c:pt idx="22">
                  <c:v>-0.342277936</c:v>
                </c:pt>
                <c:pt idx="23">
                  <c:v>-0.25858910000000002</c:v>
                </c:pt>
                <c:pt idx="24">
                  <c:v>-0.18618415199999999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67-42F9-B318-566F6B066A3E}"/>
            </c:ext>
          </c:extLst>
        </c:ser>
        <c:ser>
          <c:idx val="3"/>
          <c:order val="5"/>
          <c:tx>
            <c:strRef>
              <c:f>orcaflex_comp!$AL$6</c:f>
              <c:strCache>
                <c:ptCount val="1"/>
                <c:pt idx="0">
                  <c:v>Fy, Wood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orcaflex_comp!$AF$7:$AF$31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orcaflex_comp!$AL$7:$AL$31</c:f>
              <c:numCache>
                <c:formatCode>General</c:formatCode>
                <c:ptCount val="25"/>
                <c:pt idx="0">
                  <c:v>0</c:v>
                </c:pt>
                <c:pt idx="1">
                  <c:v>0.32911339999999994</c:v>
                </c:pt>
                <c:pt idx="2">
                  <c:v>0.712765592</c:v>
                </c:pt>
                <c:pt idx="3">
                  <c:v>1.1340307439999999</c:v>
                </c:pt>
                <c:pt idx="4">
                  <c:v>1.5722217279999997</c:v>
                </c:pt>
                <c:pt idx="5">
                  <c:v>2.0301595159999999</c:v>
                </c:pt>
                <c:pt idx="6">
                  <c:v>2.3037938000000002</c:v>
                </c:pt>
                <c:pt idx="7">
                  <c:v>2.4504843439999999</c:v>
                </c:pt>
                <c:pt idx="8">
                  <c:v>2.5962345640000004</c:v>
                </c:pt>
                <c:pt idx="9">
                  <c:v>2.6329071999999996</c:v>
                </c:pt>
                <c:pt idx="10">
                  <c:v>2.6150410440000003</c:v>
                </c:pt>
                <c:pt idx="11">
                  <c:v>2.5595619279999999</c:v>
                </c:pt>
                <c:pt idx="12">
                  <c:v>2.4683505000000001</c:v>
                </c:pt>
                <c:pt idx="13">
                  <c:v>2.285927644</c:v>
                </c:pt>
                <c:pt idx="14">
                  <c:v>1.9934868800000001</c:v>
                </c:pt>
                <c:pt idx="15">
                  <c:v>1.5722217279999997</c:v>
                </c:pt>
                <c:pt idx="16">
                  <c:v>0.9873402</c:v>
                </c:pt>
                <c:pt idx="17">
                  <c:v>0.439131308</c:v>
                </c:pt>
                <c:pt idx="18">
                  <c:v>0</c:v>
                </c:pt>
                <c:pt idx="19">
                  <c:v>-0.439131308</c:v>
                </c:pt>
                <c:pt idx="20">
                  <c:v>-0.9873402</c:v>
                </c:pt>
                <c:pt idx="21">
                  <c:v>-1.5722217279999997</c:v>
                </c:pt>
                <c:pt idx="22">
                  <c:v>-1.9934868800000001</c:v>
                </c:pt>
                <c:pt idx="23">
                  <c:v>-2.285927644</c:v>
                </c:pt>
                <c:pt idx="24">
                  <c:v>-2.4683505000000001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67-42F9-B318-566F6B066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6400"/>
        <c:axId val="212579280"/>
      </c:scatterChart>
      <c:valAx>
        <c:axId val="212576400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Direction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9280"/>
        <c:crosses val="autoZero"/>
        <c:crossBetween val="midCat"/>
        <c:majorUnit val="20"/>
      </c:valAx>
      <c:valAx>
        <c:axId val="212579280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Force Coefficient (kN) for 1 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Moment</a:t>
            </a:r>
            <a:r>
              <a:rPr lang="en-US"/>
              <a:t> </a:t>
            </a:r>
            <a:r>
              <a:rPr lang="en-US" sz="1800" b="1" baseline="0"/>
              <a:t>Coefficients</a:t>
            </a:r>
          </a:p>
          <a:p>
            <a:pPr>
              <a:defRPr/>
            </a:pPr>
            <a:r>
              <a:rPr lang="en-US" sz="1800" b="0" baseline="0"/>
              <a:t>Factored for Wind Speed of 1 m/s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orcaflex_comp!$AO$6</c:f>
              <c:strCache>
                <c:ptCount val="1"/>
                <c:pt idx="0">
                  <c:v>FST1, Mz, ACMA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orcaflex_comp!$AN$7:$AN$31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orcaflex_comp!$AO$7:$AO$31</c:f>
              <c:numCache>
                <c:formatCode>General</c:formatCode>
                <c:ptCount val="25"/>
                <c:pt idx="0">
                  <c:v>5.4386626851740036</c:v>
                </c:pt>
                <c:pt idx="1">
                  <c:v>-43.848701670610978</c:v>
                </c:pt>
                <c:pt idx="2">
                  <c:v>-76.802045259513022</c:v>
                </c:pt>
                <c:pt idx="3">
                  <c:v>-147.72063700754549</c:v>
                </c:pt>
                <c:pt idx="4">
                  <c:v>-150.1905335159544</c:v>
                </c:pt>
                <c:pt idx="5">
                  <c:v>-41.081754060353184</c:v>
                </c:pt>
                <c:pt idx="6">
                  <c:v>-18.149407866160605</c:v>
                </c:pt>
                <c:pt idx="7">
                  <c:v>34.087785423698001</c:v>
                </c:pt>
                <c:pt idx="8">
                  <c:v>51.333560109398881</c:v>
                </c:pt>
                <c:pt idx="9">
                  <c:v>37.138584249610446</c:v>
                </c:pt>
                <c:pt idx="10">
                  <c:v>15.946985899481891</c:v>
                </c:pt>
                <c:pt idx="11">
                  <c:v>1.8708301643659577</c:v>
                </c:pt>
                <c:pt idx="12">
                  <c:v>-0.72962577042550569</c:v>
                </c:pt>
                <c:pt idx="13">
                  <c:v>12.121035529853065</c:v>
                </c:pt>
                <c:pt idx="14">
                  <c:v>-13.827285824118642</c:v>
                </c:pt>
                <c:pt idx="15">
                  <c:v>-27.290535882639819</c:v>
                </c:pt>
                <c:pt idx="16">
                  <c:v>-36.481761143999705</c:v>
                </c:pt>
                <c:pt idx="17">
                  <c:v>-27.047595123130669</c:v>
                </c:pt>
                <c:pt idx="18">
                  <c:v>19.632500358809207</c:v>
                </c:pt>
                <c:pt idx="19">
                  <c:v>37.383043437273869</c:v>
                </c:pt>
                <c:pt idx="20">
                  <c:v>64.25404445293637</c:v>
                </c:pt>
                <c:pt idx="21">
                  <c:v>83.870646998442055</c:v>
                </c:pt>
                <c:pt idx="22">
                  <c:v>35.352626097276115</c:v>
                </c:pt>
                <c:pt idx="23">
                  <c:v>6.6543869492370842</c:v>
                </c:pt>
                <c:pt idx="24">
                  <c:v>5.4386626851740036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2-4FF8-AD3B-DBFE512CE0F1}"/>
            </c:ext>
          </c:extLst>
        </c:ser>
        <c:ser>
          <c:idx val="4"/>
          <c:order val="1"/>
          <c:tx>
            <c:strRef>
              <c:f>orcaflex_comp!$AP$6</c:f>
              <c:strCache>
                <c:ptCount val="1"/>
                <c:pt idx="0">
                  <c:v>FST2, Mz, ACMA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orcaflex_comp!$AN$7:$AN$31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orcaflex_comp!$AP$7:$AP$31</c:f>
              <c:numCache>
                <c:formatCode>General</c:formatCode>
                <c:ptCount val="25"/>
                <c:pt idx="0">
                  <c:v>2.4678798297081652</c:v>
                </c:pt>
                <c:pt idx="1">
                  <c:v>-5.6569668454321596</c:v>
                </c:pt>
                <c:pt idx="2">
                  <c:v>-38.966879460700746</c:v>
                </c:pt>
                <c:pt idx="3">
                  <c:v>-61.797798122424993</c:v>
                </c:pt>
                <c:pt idx="4">
                  <c:v>-53.829934643194768</c:v>
                </c:pt>
                <c:pt idx="5">
                  <c:v>-30.446816633037685</c:v>
                </c:pt>
                <c:pt idx="6">
                  <c:v>2.802584871737487</c:v>
                </c:pt>
                <c:pt idx="7">
                  <c:v>27.982223292652851</c:v>
                </c:pt>
                <c:pt idx="8">
                  <c:v>33.052255449374627</c:v>
                </c:pt>
                <c:pt idx="9">
                  <c:v>14.969447938166994</c:v>
                </c:pt>
                <c:pt idx="10">
                  <c:v>10.72249266298893</c:v>
                </c:pt>
                <c:pt idx="11">
                  <c:v>-0.79631134931738667</c:v>
                </c:pt>
                <c:pt idx="12">
                  <c:v>3.9297534141670964</c:v>
                </c:pt>
                <c:pt idx="13">
                  <c:v>-0.92099116490244015</c:v>
                </c:pt>
                <c:pt idx="14">
                  <c:v>-19.315191358142279</c:v>
                </c:pt>
                <c:pt idx="15">
                  <c:v>-27.380687353472339</c:v>
                </c:pt>
                <c:pt idx="16">
                  <c:v>-41.77919875903779</c:v>
                </c:pt>
                <c:pt idx="17">
                  <c:v>-33.940895062814043</c:v>
                </c:pt>
                <c:pt idx="18">
                  <c:v>-26.462793711636142</c:v>
                </c:pt>
                <c:pt idx="19">
                  <c:v>37.812882450028646</c:v>
                </c:pt>
                <c:pt idx="20">
                  <c:v>134.14763283762341</c:v>
                </c:pt>
                <c:pt idx="21">
                  <c:v>104.24018724737235</c:v>
                </c:pt>
                <c:pt idx="22">
                  <c:v>76.930900059160294</c:v>
                </c:pt>
                <c:pt idx="23">
                  <c:v>42.290753613091795</c:v>
                </c:pt>
                <c:pt idx="24">
                  <c:v>2.4678798297081652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B2-4FF8-AD3B-DBFE512CE0F1}"/>
            </c:ext>
          </c:extLst>
        </c:ser>
        <c:ser>
          <c:idx val="0"/>
          <c:order val="2"/>
          <c:tx>
            <c:strRef>
              <c:f>orcaflex_comp!$AQ$6</c:f>
              <c:strCache>
                <c:ptCount val="1"/>
                <c:pt idx="0">
                  <c:v>Mz, Wood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orcaflex_comp!$AN$7:$AN$31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orcaflex_comp!$AQ$7:$AQ$31</c:f>
              <c:numCache>
                <c:formatCode>General</c:formatCode>
                <c:ptCount val="25"/>
                <c:pt idx="0">
                  <c:v>0</c:v>
                </c:pt>
                <c:pt idx="1">
                  <c:v>-5.3513838839999996</c:v>
                </c:pt>
                <c:pt idx="2">
                  <c:v>-12.709419184</c:v>
                </c:pt>
                <c:pt idx="3">
                  <c:v>-22.743616588000002</c:v>
                </c:pt>
                <c:pt idx="4">
                  <c:v>-33.446384356000003</c:v>
                </c:pt>
                <c:pt idx="5">
                  <c:v>-45.487233176000004</c:v>
                </c:pt>
                <c:pt idx="6">
                  <c:v>-54.85286021600001</c:v>
                </c:pt>
                <c:pt idx="7">
                  <c:v>-62.210895516000001</c:v>
                </c:pt>
                <c:pt idx="8">
                  <c:v>-69.568930815999991</c:v>
                </c:pt>
                <c:pt idx="9">
                  <c:v>-74.920314699999992</c:v>
                </c:pt>
                <c:pt idx="10">
                  <c:v>-84.285001416</c:v>
                </c:pt>
                <c:pt idx="11">
                  <c:v>-101.00866375599999</c:v>
                </c:pt>
                <c:pt idx="12">
                  <c:v>-109.70478010799999</c:v>
                </c:pt>
                <c:pt idx="13">
                  <c:v>-111.71143152400001</c:v>
                </c:pt>
                <c:pt idx="14">
                  <c:v>-108.366699056</c:v>
                </c:pt>
                <c:pt idx="15">
                  <c:v>-95.657279872000004</c:v>
                </c:pt>
                <c:pt idx="16">
                  <c:v>-73.582233647999999</c:v>
                </c:pt>
                <c:pt idx="17">
                  <c:v>-37.460627512000002</c:v>
                </c:pt>
                <c:pt idx="18">
                  <c:v>0</c:v>
                </c:pt>
                <c:pt idx="19">
                  <c:v>37.460627512000002</c:v>
                </c:pt>
                <c:pt idx="20">
                  <c:v>73.582233647999999</c:v>
                </c:pt>
                <c:pt idx="21">
                  <c:v>95.657279872000004</c:v>
                </c:pt>
                <c:pt idx="22">
                  <c:v>108.366699056</c:v>
                </c:pt>
                <c:pt idx="23">
                  <c:v>111.71143152400001</c:v>
                </c:pt>
                <c:pt idx="24">
                  <c:v>109.70478010799999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F-4998-BD3F-A4FD49C9D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6400"/>
        <c:axId val="212579280"/>
      </c:scatterChart>
      <c:valAx>
        <c:axId val="212576400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Direction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9280"/>
        <c:crosses val="autoZero"/>
        <c:crossBetween val="midCat"/>
        <c:majorUnit val="20"/>
      </c:valAx>
      <c:valAx>
        <c:axId val="2125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1" baseline="0"/>
                  <a:t>Moment Coefficient (kNm) for 1 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Moment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Coefficients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Used for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'Mz-data'!$B$6</c:f>
              <c:strCache>
                <c:ptCount val="1"/>
                <c:pt idx="0">
                  <c:v>FST1, 0% LNG, ACMA Used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'Mz-data'!$A$7:$A$31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cat>
          <c:val>
            <c:numRef>
              <c:f>'Mz-data'!$B$7:$B$31</c:f>
              <c:numCache>
                <c:formatCode>General</c:formatCode>
                <c:ptCount val="25"/>
                <c:pt idx="0">
                  <c:v>1.0277496579856243E-2</c:v>
                </c:pt>
                <c:pt idx="1">
                  <c:v>-4.6622187530698966E-2</c:v>
                </c:pt>
                <c:pt idx="2">
                  <c:v>-8.6781061239142115E-2</c:v>
                </c:pt>
                <c:pt idx="3">
                  <c:v>-0.15530895152611335</c:v>
                </c:pt>
                <c:pt idx="4">
                  <c:v>-0.10102183895954814</c:v>
                </c:pt>
                <c:pt idx="5">
                  <c:v>-1.4319242356195545E-2</c:v>
                </c:pt>
                <c:pt idx="6">
                  <c:v>2.00611058650088E-2</c:v>
                </c:pt>
                <c:pt idx="7">
                  <c:v>4.0464947385740892E-2</c:v>
                </c:pt>
                <c:pt idx="8">
                  <c:v>4.8960952321409006E-2</c:v>
                </c:pt>
                <c:pt idx="9">
                  <c:v>6.1054183780424501E-2</c:v>
                </c:pt>
                <c:pt idx="10">
                  <c:v>3.0750966061762371E-2</c:v>
                </c:pt>
                <c:pt idx="11">
                  <c:v>8.7460972076043361E-3</c:v>
                </c:pt>
                <c:pt idx="12">
                  <c:v>-2.702982192781729E-3</c:v>
                </c:pt>
                <c:pt idx="13">
                  <c:v>9.8934966964245551E-3</c:v>
                </c:pt>
                <c:pt idx="14">
                  <c:v>2.9488240441747231E-2</c:v>
                </c:pt>
                <c:pt idx="15">
                  <c:v>4.5698075801451604E-2</c:v>
                </c:pt>
                <c:pt idx="16">
                  <c:v>9.7794187258205503E-2</c:v>
                </c:pt>
                <c:pt idx="17">
                  <c:v>0.11199183561362323</c:v>
                </c:pt>
                <c:pt idx="18">
                  <c:v>0.12627076167231299</c:v>
                </c:pt>
                <c:pt idx="19">
                  <c:v>0.13096957769987769</c:v>
                </c:pt>
                <c:pt idx="20">
                  <c:v>0.14708732001215077</c:v>
                </c:pt>
                <c:pt idx="21">
                  <c:v>0.17068985599201345</c:v>
                </c:pt>
                <c:pt idx="22">
                  <c:v>9.5979006885149681E-2</c:v>
                </c:pt>
                <c:pt idx="23">
                  <c:v>4.2261221483028841E-2</c:v>
                </c:pt>
                <c:pt idx="24">
                  <c:v>1.0277496579856243E-2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9-48D2-83B3-C7515A0D3090}"/>
            </c:ext>
          </c:extLst>
        </c:ser>
        <c:ser>
          <c:idx val="1"/>
          <c:order val="1"/>
          <c:tx>
            <c:strRef>
              <c:f>'Mz-data'!$C$6</c:f>
              <c:strCache>
                <c:ptCount val="1"/>
                <c:pt idx="0">
                  <c:v>FST2, 0% LNG, ACMA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'Mz-data'!$A$7:$A$31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cat>
          <c:val>
            <c:numRef>
              <c:f>'Mz-data'!$C$7:$C$31</c:f>
              <c:numCache>
                <c:formatCode>General</c:formatCode>
                <c:ptCount val="25"/>
                <c:pt idx="0">
                  <c:v>-2.5518124841581304E-2</c:v>
                </c:pt>
                <c:pt idx="1">
                  <c:v>-5.8069304611235847E-3</c:v>
                </c:pt>
                <c:pt idx="2">
                  <c:v>-2.7493435018298717E-2</c:v>
                </c:pt>
                <c:pt idx="3">
                  <c:v>-7.7176320401736095E-2</c:v>
                </c:pt>
                <c:pt idx="4">
                  <c:v>-6.412812738363817E-2</c:v>
                </c:pt>
                <c:pt idx="5">
                  <c:v>-6.5049386307442295E-2</c:v>
                </c:pt>
                <c:pt idx="6">
                  <c:v>7.6675930736968094E-3</c:v>
                </c:pt>
                <c:pt idx="7">
                  <c:v>2.5387246753204216E-2</c:v>
                </c:pt>
                <c:pt idx="8">
                  <c:v>4.3021385245726719E-2</c:v>
                </c:pt>
                <c:pt idx="9">
                  <c:v>7.0492979696582247E-2</c:v>
                </c:pt>
                <c:pt idx="10">
                  <c:v>4.4865985375486278E-2</c:v>
                </c:pt>
                <c:pt idx="11">
                  <c:v>1.3635063691431075E-2</c:v>
                </c:pt>
                <c:pt idx="12">
                  <c:v>8.2107705145526531E-3</c:v>
                </c:pt>
                <c:pt idx="13">
                  <c:v>-9.4125755546560688E-3</c:v>
                </c:pt>
                <c:pt idx="14">
                  <c:v>-2.65942326719012E-2</c:v>
                </c:pt>
                <c:pt idx="15">
                  <c:v>-2.4247607736278268E-2</c:v>
                </c:pt>
                <c:pt idx="16">
                  <c:v>-1.2574604548419003E-2</c:v>
                </c:pt>
                <c:pt idx="17">
                  <c:v>-1.7978925231948467E-2</c:v>
                </c:pt>
                <c:pt idx="18">
                  <c:v>-1.7630714454490135E-2</c:v>
                </c:pt>
                <c:pt idx="19">
                  <c:v>2.4745887980116461E-2</c:v>
                </c:pt>
                <c:pt idx="20">
                  <c:v>9.9603493512147923E-2</c:v>
                </c:pt>
                <c:pt idx="21">
                  <c:v>9.7261938745945326E-2</c:v>
                </c:pt>
                <c:pt idx="22">
                  <c:v>7.594344203160279E-2</c:v>
                </c:pt>
                <c:pt idx="23">
                  <c:v>2.2830764483111051E-2</c:v>
                </c:pt>
                <c:pt idx="24">
                  <c:v>-2.5518124841581304E-2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9-48D2-83B3-C7515A0D3090}"/>
            </c:ext>
          </c:extLst>
        </c:ser>
        <c:ser>
          <c:idx val="2"/>
          <c:order val="2"/>
          <c:tx>
            <c:strRef>
              <c:f>'Mz-data'!$D$6</c:f>
              <c:strCache>
                <c:ptCount val="1"/>
                <c:pt idx="0">
                  <c:v>FST1, 0% LNG, Marin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'Mz-data'!$A$7:$A$31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cat>
          <c:val>
            <c:numRef>
              <c:f>'Mz-data'!$D$7:$D$31</c:f>
              <c:numCache>
                <c:formatCode>General</c:formatCode>
                <c:ptCount val="25"/>
                <c:pt idx="0">
                  <c:v>-4.4743413136131855E-3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6">
                  <c:v>6.4067428635522852E-3</c:v>
                </c:pt>
                <c:pt idx="18">
                  <c:v>-1.6863755722814011E-2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9-48D2-83B3-C7515A0D3090}"/>
            </c:ext>
          </c:extLst>
        </c:ser>
        <c:ser>
          <c:idx val="3"/>
          <c:order val="3"/>
          <c:tx>
            <c:strRef>
              <c:f>'Mz-data'!$E$6</c:f>
              <c:strCache>
                <c:ptCount val="1"/>
                <c:pt idx="0">
                  <c:v>FST2, 0% LNG, Marin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'Mz-data'!$A$7:$A$31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cat>
          <c:val>
            <c:numRef>
              <c:f>'Mz-data'!$E$7:$E$31</c:f>
              <c:numCache>
                <c:formatCode>General</c:formatCode>
                <c:ptCount val="25"/>
                <c:pt idx="0">
                  <c:v>1.2896992232007033E-4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6">
                  <c:v>9.5280357702242982E-3</c:v>
                </c:pt>
                <c:pt idx="18">
                  <c:v>-1.5314643825442936E-2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9-48D2-83B3-C7515A0D3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52640"/>
        <c:axId val="158851680"/>
      </c:lineChart>
      <c:catAx>
        <c:axId val="158852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Direction (deg)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1680"/>
        <c:crosses val="autoZero"/>
        <c:auto val="1"/>
        <c:lblAlgn val="ctr"/>
        <c:lblOffset val="100"/>
        <c:noMultiLvlLbl val="0"/>
      </c:catAx>
      <c:valAx>
        <c:axId val="1588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Yaw Coefficient (#)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'orcaflex-acma'!$B$98</c:f>
              <c:strCache>
                <c:ptCount val="1"/>
                <c:pt idx="0">
                  <c:v>openDomain-long-Light-FST1-Cx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'orcaflex-acma'!$A$99:$A$104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'orcaflex-acma'!$B$99:$B$122</c:f>
              <c:numCache>
                <c:formatCode>0.000</c:formatCode>
                <c:ptCount val="24"/>
                <c:pt idx="0">
                  <c:v>0.81123761476258704</c:v>
                </c:pt>
                <c:pt idx="1">
                  <c:v>0.81107607551592908</c:v>
                </c:pt>
                <c:pt idx="2">
                  <c:v>0.50023270214208415</c:v>
                </c:pt>
                <c:pt idx="3">
                  <c:v>0.27389065980751132</c:v>
                </c:pt>
                <c:pt idx="4">
                  <c:v>5.2202002116892514E-2</c:v>
                </c:pt>
                <c:pt idx="5">
                  <c:v>-1.0500459255048453E-2</c:v>
                </c:pt>
                <c:pt idx="6">
                  <c:v>-0.17310642225815909</c:v>
                </c:pt>
                <c:pt idx="7">
                  <c:v>-4.5476952914842529E-2</c:v>
                </c:pt>
                <c:pt idx="8">
                  <c:v>-3.771950834287633E-2</c:v>
                </c:pt>
                <c:pt idx="9">
                  <c:v>-0.1537803309033719</c:v>
                </c:pt>
                <c:pt idx="10">
                  <c:v>-0.22871788589617095</c:v>
                </c:pt>
                <c:pt idx="11">
                  <c:v>-0.29598151917350374</c:v>
                </c:pt>
                <c:pt idx="12">
                  <c:v>-0.17973342291245667</c:v>
                </c:pt>
                <c:pt idx="13">
                  <c:v>-0.66951348622626006</c:v>
                </c:pt>
                <c:pt idx="14">
                  <c:v>-0.50444916098767589</c:v>
                </c:pt>
                <c:pt idx="15">
                  <c:v>-0.32277978626843556</c:v>
                </c:pt>
                <c:pt idx="16">
                  <c:v>-0.13943987089342857</c:v>
                </c:pt>
                <c:pt idx="17">
                  <c:v>-0.40457193319277029</c:v>
                </c:pt>
                <c:pt idx="18">
                  <c:v>-0.28081580798741324</c:v>
                </c:pt>
                <c:pt idx="19">
                  <c:v>0.10324630767335627</c:v>
                </c:pt>
                <c:pt idx="20">
                  <c:v>0.13776436731877556</c:v>
                </c:pt>
                <c:pt idx="21">
                  <c:v>0.44049154741575453</c:v>
                </c:pt>
                <c:pt idx="22">
                  <c:v>0.69739249531362812</c:v>
                </c:pt>
                <c:pt idx="23">
                  <c:v>1.0023117037525273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E-4803-8B08-F77FF4D807F5}"/>
            </c:ext>
          </c:extLst>
        </c:ser>
        <c:ser>
          <c:idx val="1"/>
          <c:order val="1"/>
          <c:tx>
            <c:strRef>
              <c:f>'orcaflex-acma'!$B$67</c:f>
              <c:strCache>
                <c:ptCount val="1"/>
                <c:pt idx="0">
                  <c:v>topoDomain-trans-FST1-Cx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'orcaflex-acma'!$A$68:$A$92</c:f>
              <c:numCache>
                <c:formatCode>General</c:formatCode>
                <c:ptCount val="25"/>
              </c:numCache>
            </c:numRef>
          </c:xVal>
          <c:yVal>
            <c:numRef>
              <c:f>'orcaflex-acma'!$B$68:$B$72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6E-4803-8B08-F77FF4D807F5}"/>
            </c:ext>
          </c:extLst>
        </c:ser>
        <c:ser>
          <c:idx val="2"/>
          <c:order val="2"/>
          <c:tx>
            <c:strRef>
              <c:f>'orcaflex-acma'!$J$98</c:f>
              <c:strCache>
                <c:ptCount val="1"/>
                <c:pt idx="0">
                  <c:v>openDomain-long-Light-FST2-Cx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'orcaflex-acma'!$J$99:$J$123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E-4803-8B08-F77FF4D807F5}"/>
            </c:ext>
          </c:extLst>
        </c:ser>
        <c:ser>
          <c:idx val="3"/>
          <c:order val="3"/>
          <c:tx>
            <c:strRef>
              <c:f>'orcaflex-acma'!$J$67</c:f>
              <c:strCache>
                <c:ptCount val="1"/>
                <c:pt idx="0">
                  <c:v>topoDomain-trans-FST2-Cx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'orcaflex-acma'!$I$68:$I$72</c:f>
              <c:numCache>
                <c:formatCode>General</c:formatCode>
                <c:ptCount val="5"/>
              </c:numCache>
            </c:numRef>
          </c:xVal>
          <c:yVal>
            <c:numRef>
              <c:f>'orcaflex-acma'!$J$68:$J$92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6E-4803-8B08-F77FF4D80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0368"/>
        <c:axId val="86347593"/>
      </c:scatterChart>
      <c:valAx>
        <c:axId val="8750368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347593"/>
        <c:crosses val="autoZero"/>
        <c:crossBetween val="midCat"/>
        <c:majorUnit val="45"/>
        <c:minorUnit val="15"/>
      </c:valAx>
      <c:valAx>
        <c:axId val="863475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5036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'orcaflex-acma'!$B$129</c:f>
              <c:strCache>
                <c:ptCount val="1"/>
                <c:pt idx="0">
                  <c:v>openDomain-long-full-LNGC-light-FST1-Cx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'orcaflex-acma'!$B$130:$B$154</c:f>
              <c:numCache>
                <c:formatCode>0.000</c:formatCode>
                <c:ptCount val="25"/>
                <c:pt idx="0">
                  <c:v>0.8920955444155203</c:v>
                </c:pt>
                <c:pt idx="1">
                  <c:v>0.77974430361761271</c:v>
                </c:pt>
                <c:pt idx="2">
                  <c:v>0.50097034928061357</c:v>
                </c:pt>
                <c:pt idx="3">
                  <c:v>0.29673848386764889</c:v>
                </c:pt>
                <c:pt idx="4">
                  <c:v>7.9415749044620232E-2</c:v>
                </c:pt>
                <c:pt idx="5">
                  <c:v>9.391522953083406E-2</c:v>
                </c:pt>
                <c:pt idx="6">
                  <c:v>-3.0661444946451386E-2</c:v>
                </c:pt>
                <c:pt idx="7">
                  <c:v>-3.7886402517717702E-2</c:v>
                </c:pt>
                <c:pt idx="8">
                  <c:v>-4.7603522876586202E-2</c:v>
                </c:pt>
                <c:pt idx="9">
                  <c:v>-0.16543602623348283</c:v>
                </c:pt>
                <c:pt idx="10">
                  <c:v>-0.23739702131244031</c:v>
                </c:pt>
                <c:pt idx="11">
                  <c:v>-0.30441397580531182</c:v>
                </c:pt>
                <c:pt idx="12">
                  <c:v>-0.18136453656125834</c:v>
                </c:pt>
                <c:pt idx="13">
                  <c:v>-0.49443054026511635</c:v>
                </c:pt>
                <c:pt idx="14">
                  <c:v>-0.2230400475947695</c:v>
                </c:pt>
                <c:pt idx="15">
                  <c:v>-0.19003521072884128</c:v>
                </c:pt>
                <c:pt idx="16">
                  <c:v>-6.6537551573926407E-2</c:v>
                </c:pt>
                <c:pt idx="17">
                  <c:v>-6.6746706087107116E-2</c:v>
                </c:pt>
                <c:pt idx="18">
                  <c:v>0.15668340453668009</c:v>
                </c:pt>
                <c:pt idx="19">
                  <c:v>0.21585838109610098</c:v>
                </c:pt>
                <c:pt idx="20">
                  <c:v>0.13634291843768695</c:v>
                </c:pt>
                <c:pt idx="21">
                  <c:v>0.42539593211934051</c:v>
                </c:pt>
                <c:pt idx="22">
                  <c:v>0.69052468794955235</c:v>
                </c:pt>
                <c:pt idx="23">
                  <c:v>1.0500471082219376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F-4017-BD6D-F0DAF596E8B2}"/>
            </c:ext>
          </c:extLst>
        </c:ser>
        <c:ser>
          <c:idx val="1"/>
          <c:order val="1"/>
          <c:tx>
            <c:strRef>
              <c:f>'orcaflex-acma'!$J$129</c:f>
              <c:strCache>
                <c:ptCount val="1"/>
                <c:pt idx="0">
                  <c:v>openDomain-long-full-LNGC-light-FST2-Cx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'orcaflex-acma'!$J$130:$J$154</c:f>
              <c:numCache>
                <c:formatCode>0.000</c:formatCode>
                <c:ptCount val="25"/>
                <c:pt idx="0">
                  <c:v>0.74523754107757878</c:v>
                </c:pt>
                <c:pt idx="1">
                  <c:v>0.7444265183103127</c:v>
                </c:pt>
                <c:pt idx="2">
                  <c:v>0.7127488130562889</c:v>
                </c:pt>
                <c:pt idx="3">
                  <c:v>0.49593116228760786</c:v>
                </c:pt>
                <c:pt idx="4">
                  <c:v>8.3605492823558517E-2</c:v>
                </c:pt>
                <c:pt idx="5">
                  <c:v>0.18205260240456278</c:v>
                </c:pt>
                <c:pt idx="6">
                  <c:v>-0.19993613412297287</c:v>
                </c:pt>
                <c:pt idx="7">
                  <c:v>-0.17823890479944013</c:v>
                </c:pt>
                <c:pt idx="8">
                  <c:v>-6.0562446736328955E-2</c:v>
                </c:pt>
                <c:pt idx="9">
                  <c:v>-0.45236286954170574</c:v>
                </c:pt>
                <c:pt idx="10">
                  <c:v>-0.54691425292673257</c:v>
                </c:pt>
                <c:pt idx="11">
                  <c:v>-0.48262391813708094</c:v>
                </c:pt>
                <c:pt idx="12">
                  <c:v>-0.23283094049548267</c:v>
                </c:pt>
                <c:pt idx="13">
                  <c:v>-0.28298732890916328</c:v>
                </c:pt>
                <c:pt idx="14">
                  <c:v>-0.29259178557522403</c:v>
                </c:pt>
                <c:pt idx="15">
                  <c:v>-0.22559164944345392</c:v>
                </c:pt>
                <c:pt idx="16">
                  <c:v>-2.4595358526772373E-2</c:v>
                </c:pt>
                <c:pt idx="17">
                  <c:v>-8.0088669854806477E-2</c:v>
                </c:pt>
                <c:pt idx="18">
                  <c:v>-4.8486807748704092E-2</c:v>
                </c:pt>
                <c:pt idx="19">
                  <c:v>3.5065356998295549E-2</c:v>
                </c:pt>
                <c:pt idx="20">
                  <c:v>6.2811441129175277E-2</c:v>
                </c:pt>
                <c:pt idx="21">
                  <c:v>0.51957489153842373</c:v>
                </c:pt>
                <c:pt idx="22">
                  <c:v>0.67825458776148073</c:v>
                </c:pt>
                <c:pt idx="23">
                  <c:v>0.79822490036749738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FF-4017-BD6D-F0DAF596E8B2}"/>
            </c:ext>
          </c:extLst>
        </c:ser>
        <c:ser>
          <c:idx val="2"/>
          <c:order val="2"/>
          <c:tx>
            <c:strRef>
              <c:f>'orcaflex-acma'!$R$129</c:f>
              <c:strCache>
                <c:ptCount val="1"/>
                <c:pt idx="0">
                  <c:v>openDomain-trans-LNGC-full-LNGC-Cx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'orcaflex-acma'!$Q$130:$Q$154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'orcaflex-acma'!$R$130:$R$154</c:f>
              <c:numCache>
                <c:formatCode>0.000</c:formatCode>
                <c:ptCount val="25"/>
                <c:pt idx="0">
                  <c:v>0.625799249179807</c:v>
                </c:pt>
                <c:pt idx="1">
                  <c:v>0.78326752931315002</c:v>
                </c:pt>
                <c:pt idx="2">
                  <c:v>0.93012270248125195</c:v>
                </c:pt>
                <c:pt idx="3">
                  <c:v>0.60568159113913367</c:v>
                </c:pt>
                <c:pt idx="4">
                  <c:v>0.10216221695148898</c:v>
                </c:pt>
                <c:pt idx="5">
                  <c:v>-0.39187745592361117</c:v>
                </c:pt>
                <c:pt idx="6">
                  <c:v>-0.41234203004317949</c:v>
                </c:pt>
                <c:pt idx="7">
                  <c:v>-0.44650903968466116</c:v>
                </c:pt>
                <c:pt idx="8">
                  <c:v>-0.58630040727964639</c:v>
                </c:pt>
                <c:pt idx="9">
                  <c:v>-0.61166078541468372</c:v>
                </c:pt>
                <c:pt idx="10">
                  <c:v>-0.64515247175231138</c:v>
                </c:pt>
                <c:pt idx="11">
                  <c:v>-0.6840950108596906</c:v>
                </c:pt>
                <c:pt idx="12">
                  <c:v>-0.74575305719028429</c:v>
                </c:pt>
                <c:pt idx="13">
                  <c:v>-0.10582830892908414</c:v>
                </c:pt>
                <c:pt idx="14">
                  <c:v>-4.9197552079134545E-2</c:v>
                </c:pt>
                <c:pt idx="15">
                  <c:v>3.6263587577852932E-2</c:v>
                </c:pt>
                <c:pt idx="16">
                  <c:v>0.12265950921836158</c:v>
                </c:pt>
                <c:pt idx="17">
                  <c:v>0.16419859632547865</c:v>
                </c:pt>
                <c:pt idx="18">
                  <c:v>-5.5675085225116418E-2</c:v>
                </c:pt>
                <c:pt idx="19">
                  <c:v>6.5488714360673744E-2</c:v>
                </c:pt>
                <c:pt idx="20">
                  <c:v>0.34163155594591044</c:v>
                </c:pt>
                <c:pt idx="21">
                  <c:v>0.55079486711670622</c:v>
                </c:pt>
                <c:pt idx="22">
                  <c:v>0.63023220927168189</c:v>
                </c:pt>
                <c:pt idx="23">
                  <c:v>0.56909698856326318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FF-4017-BD6D-F0DAF596E8B2}"/>
            </c:ext>
          </c:extLst>
        </c:ser>
        <c:ser>
          <c:idx val="3"/>
          <c:order val="3"/>
          <c:tx>
            <c:strRef>
              <c:f>'orcaflex-acma'!$B$191</c:f>
              <c:strCache>
                <c:ptCount val="1"/>
                <c:pt idx="0">
                  <c:v>openDomain-long-light-LNGC-full-FST1-Cx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'orcaflex-acma'!$B$192:$B$216</c:f>
              <c:numCache>
                <c:formatCode>0.000</c:formatCode>
                <c:ptCount val="25"/>
                <c:pt idx="0">
                  <c:v>1.0326107359246517</c:v>
                </c:pt>
                <c:pt idx="1">
                  <c:v>0.8506334705561529</c:v>
                </c:pt>
                <c:pt idx="2">
                  <c:v>0.52485040240031688</c:v>
                </c:pt>
                <c:pt idx="3">
                  <c:v>0.31701990741250269</c:v>
                </c:pt>
                <c:pt idx="4">
                  <c:v>9.9835423851485042E-2</c:v>
                </c:pt>
                <c:pt idx="5">
                  <c:v>0.15079172924458056</c:v>
                </c:pt>
                <c:pt idx="6">
                  <c:v>-3.0428437494667844E-2</c:v>
                </c:pt>
                <c:pt idx="7">
                  <c:v>-0.1367265906684324</c:v>
                </c:pt>
                <c:pt idx="8">
                  <c:v>-7.9000194582958677E-2</c:v>
                </c:pt>
                <c:pt idx="9">
                  <c:v>-0.2207744242965933</c:v>
                </c:pt>
                <c:pt idx="10">
                  <c:v>-0.25717369100531973</c:v>
                </c:pt>
                <c:pt idx="11">
                  <c:v>-0.27533933085705375</c:v>
                </c:pt>
                <c:pt idx="12">
                  <c:v>-0.17568708473902206</c:v>
                </c:pt>
                <c:pt idx="13">
                  <c:v>-0.47098985635084273</c:v>
                </c:pt>
                <c:pt idx="14">
                  <c:v>-0.15144137094487492</c:v>
                </c:pt>
                <c:pt idx="15">
                  <c:v>-0.11005243598730736</c:v>
                </c:pt>
                <c:pt idx="16">
                  <c:v>-5.7231754565363925E-2</c:v>
                </c:pt>
                <c:pt idx="17">
                  <c:v>-0.11745215319608615</c:v>
                </c:pt>
                <c:pt idx="18">
                  <c:v>-4.9773139194543771E-2</c:v>
                </c:pt>
                <c:pt idx="19">
                  <c:v>0.27382936477624009</c:v>
                </c:pt>
                <c:pt idx="20">
                  <c:v>0.13988793181949058</c:v>
                </c:pt>
                <c:pt idx="21">
                  <c:v>0.45313688267808255</c:v>
                </c:pt>
                <c:pt idx="22">
                  <c:v>0.74834761882340284</c:v>
                </c:pt>
                <c:pt idx="23">
                  <c:v>1.1742869704440577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FF-4017-BD6D-F0DAF596E8B2}"/>
            </c:ext>
          </c:extLst>
        </c:ser>
        <c:ser>
          <c:idx val="4"/>
          <c:order val="4"/>
          <c:tx>
            <c:strRef>
              <c:f>'orcaflex-acma'!$J$191</c:f>
              <c:strCache>
                <c:ptCount val="1"/>
                <c:pt idx="0">
                  <c:v>openDomain-long-light-LNGC-full-FST2-Cx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'orcaflex-acma'!$J$192:$J$216</c:f>
              <c:numCache>
                <c:formatCode>0.000</c:formatCode>
                <c:ptCount val="25"/>
                <c:pt idx="0">
                  <c:v>0.76392878875106263</c:v>
                </c:pt>
                <c:pt idx="1">
                  <c:v>0.72915187919297064</c:v>
                </c:pt>
                <c:pt idx="2">
                  <c:v>0.70323090510909636</c:v>
                </c:pt>
                <c:pt idx="3">
                  <c:v>0.4836912606129834</c:v>
                </c:pt>
                <c:pt idx="4">
                  <c:v>7.3312895500244377E-2</c:v>
                </c:pt>
                <c:pt idx="5">
                  <c:v>0.14961164699362781</c:v>
                </c:pt>
                <c:pt idx="6">
                  <c:v>-0.21922017881524056</c:v>
                </c:pt>
                <c:pt idx="7">
                  <c:v>-8.1673108704362701E-2</c:v>
                </c:pt>
                <c:pt idx="8">
                  <c:v>-3.8807797315235648E-2</c:v>
                </c:pt>
                <c:pt idx="9">
                  <c:v>-0.44268380266646035</c:v>
                </c:pt>
                <c:pt idx="10">
                  <c:v>-0.50584699859258575</c:v>
                </c:pt>
                <c:pt idx="11">
                  <c:v>-0.46292972791783066</c:v>
                </c:pt>
                <c:pt idx="12">
                  <c:v>-0.19602598534509319</c:v>
                </c:pt>
                <c:pt idx="13">
                  <c:v>-0.26632524355049342</c:v>
                </c:pt>
                <c:pt idx="14">
                  <c:v>-0.31873579764626164</c:v>
                </c:pt>
                <c:pt idx="15">
                  <c:v>-0.29505843946513194</c:v>
                </c:pt>
                <c:pt idx="16">
                  <c:v>-3.3451826581146218E-2</c:v>
                </c:pt>
                <c:pt idx="17">
                  <c:v>-9.416631867004488E-2</c:v>
                </c:pt>
                <c:pt idx="18">
                  <c:v>-9.378771071098236E-3</c:v>
                </c:pt>
                <c:pt idx="19">
                  <c:v>0.11418597805485389</c:v>
                </c:pt>
                <c:pt idx="20">
                  <c:v>8.6048229447250574E-2</c:v>
                </c:pt>
                <c:pt idx="21">
                  <c:v>0.56090862488394666</c:v>
                </c:pt>
                <c:pt idx="22">
                  <c:v>0.724527265143736</c:v>
                </c:pt>
                <c:pt idx="23">
                  <c:v>0.86613383167452207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FF-4017-BD6D-F0DAF596E8B2}"/>
            </c:ext>
          </c:extLst>
        </c:ser>
        <c:ser>
          <c:idx val="5"/>
          <c:order val="5"/>
          <c:tx>
            <c:strRef>
              <c:f>'orcaflex-acma'!$R$191</c:f>
              <c:strCache>
                <c:ptCount val="1"/>
                <c:pt idx="0">
                  <c:v>openDomain-trans-LNGC-full-LNGC-Cx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'orcaflex-acma'!$Q$192:$Q$216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'orcaflex-acma'!$R$192:$R$216</c:f>
              <c:numCache>
                <c:formatCode>0.000</c:formatCode>
                <c:ptCount val="25"/>
                <c:pt idx="0">
                  <c:v>0.62632738746465022</c:v>
                </c:pt>
                <c:pt idx="1">
                  <c:v>0.75780435674143432</c:v>
                </c:pt>
                <c:pt idx="2">
                  <c:v>0.86739085770925761</c:v>
                </c:pt>
                <c:pt idx="3">
                  <c:v>0.65960473532134545</c:v>
                </c:pt>
                <c:pt idx="4">
                  <c:v>0.29731514617984733</c:v>
                </c:pt>
                <c:pt idx="5">
                  <c:v>-0.14454899252413772</c:v>
                </c:pt>
                <c:pt idx="6">
                  <c:v>-0.32885339980523309</c:v>
                </c:pt>
                <c:pt idx="7">
                  <c:v>-0.38086949145523502</c:v>
                </c:pt>
                <c:pt idx="8">
                  <c:v>-0.47648112154410022</c:v>
                </c:pt>
                <c:pt idx="9">
                  <c:v>-0.66519958713327032</c:v>
                </c:pt>
                <c:pt idx="10">
                  <c:v>-0.67973825353632911</c:v>
                </c:pt>
                <c:pt idx="11">
                  <c:v>-0.65976800737033015</c:v>
                </c:pt>
                <c:pt idx="12">
                  <c:v>-0.74547449617301231</c:v>
                </c:pt>
                <c:pt idx="13">
                  <c:v>-0.14322372238185632</c:v>
                </c:pt>
                <c:pt idx="14">
                  <c:v>-8.3047234322797495E-2</c:v>
                </c:pt>
                <c:pt idx="15">
                  <c:v>3.3051322024026601E-2</c:v>
                </c:pt>
                <c:pt idx="16">
                  <c:v>0.12823259019993669</c:v>
                </c:pt>
                <c:pt idx="17">
                  <c:v>0.15045823665118419</c:v>
                </c:pt>
                <c:pt idx="18">
                  <c:v>-1.1730397847322134E-2</c:v>
                </c:pt>
                <c:pt idx="19">
                  <c:v>0.12282865362787938</c:v>
                </c:pt>
                <c:pt idx="20">
                  <c:v>0.45481888322043179</c:v>
                </c:pt>
                <c:pt idx="21">
                  <c:v>0.57415235637273965</c:v>
                </c:pt>
                <c:pt idx="22">
                  <c:v>0.61665369556243965</c:v>
                </c:pt>
                <c:pt idx="23">
                  <c:v>0.56850964995829922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6FF-4017-BD6D-F0DAF596E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97816"/>
        <c:axId val="42463620"/>
      </c:scatterChart>
      <c:valAx>
        <c:axId val="22897816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463620"/>
        <c:crosses val="autoZero"/>
        <c:crossBetween val="midCat"/>
        <c:majorUnit val="45"/>
        <c:minorUnit val="15"/>
      </c:valAx>
      <c:valAx>
        <c:axId val="424636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289781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'orcaflex-acma'!$C$129</c:f>
              <c:strCache>
                <c:ptCount val="1"/>
                <c:pt idx="0">
                  <c:v>openDomain-long-full-LNGC-light-FST1-Cy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'orcaflex-acma'!$C$130:$C$154</c:f>
              <c:numCache>
                <c:formatCode>0.000</c:formatCode>
                <c:ptCount val="25"/>
                <c:pt idx="0">
                  <c:v>4.3417601295727857E-3</c:v>
                </c:pt>
                <c:pt idx="1">
                  <c:v>0.19179351188720481</c:v>
                </c:pt>
                <c:pt idx="2">
                  <c:v>0.52236576592096462</c:v>
                </c:pt>
                <c:pt idx="3">
                  <c:v>0.87867340811195771</c:v>
                </c:pt>
                <c:pt idx="4">
                  <c:v>1.2172198731611918</c:v>
                </c:pt>
                <c:pt idx="5">
                  <c:v>1.2738060754016105</c:v>
                </c:pt>
                <c:pt idx="6">
                  <c:v>1.1010673146503713</c:v>
                </c:pt>
                <c:pt idx="7">
                  <c:v>0.92561666716406121</c:v>
                </c:pt>
                <c:pt idx="8">
                  <c:v>0.79471031839459216</c:v>
                </c:pt>
                <c:pt idx="9">
                  <c:v>0.57265269931638318</c:v>
                </c:pt>
                <c:pt idx="10">
                  <c:v>0.31747294290300521</c:v>
                </c:pt>
                <c:pt idx="11">
                  <c:v>9.8037080796873427E-2</c:v>
                </c:pt>
                <c:pt idx="12">
                  <c:v>8.6152820706655048E-3</c:v>
                </c:pt>
                <c:pt idx="13">
                  <c:v>-0.13035303079316454</c:v>
                </c:pt>
                <c:pt idx="14">
                  <c:v>-0.17547966543309407</c:v>
                </c:pt>
                <c:pt idx="15">
                  <c:v>-0.37844882183208794</c:v>
                </c:pt>
                <c:pt idx="16">
                  <c:v>-0.43434726662649292</c:v>
                </c:pt>
                <c:pt idx="17">
                  <c:v>-0.55917625086173628</c:v>
                </c:pt>
                <c:pt idx="18">
                  <c:v>-0.68059907542870879</c:v>
                </c:pt>
                <c:pt idx="19">
                  <c:v>-0.79758294508685079</c:v>
                </c:pt>
                <c:pt idx="20">
                  <c:v>-0.8436213849160844</c:v>
                </c:pt>
                <c:pt idx="21">
                  <c:v>-0.66767570648565144</c:v>
                </c:pt>
                <c:pt idx="22">
                  <c:v>-0.42449411085101391</c:v>
                </c:pt>
                <c:pt idx="23">
                  <c:v>-0.18502223024011757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C-4F70-AEB2-0F68EBC2BB3C}"/>
            </c:ext>
          </c:extLst>
        </c:ser>
        <c:ser>
          <c:idx val="1"/>
          <c:order val="1"/>
          <c:tx>
            <c:strRef>
              <c:f>'orcaflex-acma'!$K$129</c:f>
              <c:strCache>
                <c:ptCount val="1"/>
                <c:pt idx="0">
                  <c:v>openDomain-long-full-LNGC-light-FST2-Cy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9.6404169295209952E-2</c:v>
                </c:pt>
                <c:pt idx="2">
                  <c:v>0.22862798022453668</c:v>
                </c:pt>
                <c:pt idx="3">
                  <c:v>0.2585179994245777</c:v>
                </c:pt>
                <c:pt idx="4">
                  <c:v>0.2778756697321636</c:v>
                </c:pt>
                <c:pt idx="5">
                  <c:v>0.16409331638386865</c:v>
                </c:pt>
                <c:pt idx="6">
                  <c:v>-0.14978942307065796</c:v>
                </c:pt>
                <c:pt idx="7">
                  <c:v>-5.6996132813126023E-2</c:v>
                </c:pt>
                <c:pt idx="8">
                  <c:v>0.20820593582145863</c:v>
                </c:pt>
                <c:pt idx="9">
                  <c:v>0.27522905014392851</c:v>
                </c:pt>
                <c:pt idx="10">
                  <c:v>0.22189221951176519</c:v>
                </c:pt>
                <c:pt idx="11">
                  <c:v>0.11412996379946054</c:v>
                </c:pt>
                <c:pt idx="12">
                  <c:v>1.5060106571838686E-2</c:v>
                </c:pt>
                <c:pt idx="13">
                  <c:v>-9.5236272365585795E-2</c:v>
                </c:pt>
                <c:pt idx="14">
                  <c:v>-0.34077902586507985</c:v>
                </c:pt>
                <c:pt idx="15">
                  <c:v>-0.62188462642368014</c:v>
                </c:pt>
                <c:pt idx="16">
                  <c:v>-0.87325186277180256</c:v>
                </c:pt>
                <c:pt idx="17">
                  <c:v>-0.97367162963430831</c:v>
                </c:pt>
                <c:pt idx="18">
                  <c:v>-1.1130393649259578</c:v>
                </c:pt>
                <c:pt idx="19">
                  <c:v>-1.215327831253102</c:v>
                </c:pt>
                <c:pt idx="20">
                  <c:v>-1.1466672095863408</c:v>
                </c:pt>
                <c:pt idx="21">
                  <c:v>-0.83658486032283685</c:v>
                </c:pt>
                <c:pt idx="22">
                  <c:v>-0.51141300739667939</c:v>
                </c:pt>
                <c:pt idx="23">
                  <c:v>-0.18832650344808199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C-4F70-AEB2-0F68EBC2BB3C}"/>
            </c:ext>
          </c:extLst>
        </c:ser>
        <c:ser>
          <c:idx val="2"/>
          <c:order val="2"/>
          <c:tx>
            <c:strRef>
              <c:f>'orcaflex-acma'!$S$129</c:f>
              <c:strCache>
                <c:ptCount val="1"/>
                <c:pt idx="0">
                  <c:v>openDomain-trans-LNGC-full-LNGC-Cy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'orcaflex-acma'!$Q$130:$Q$154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'orcaflex-acma'!$S$130:$S$154</c:f>
              <c:numCache>
                <c:formatCode>0.000</c:formatCode>
                <c:ptCount val="25"/>
                <c:pt idx="0">
                  <c:v>-5.4827371672498376E-2</c:v>
                </c:pt>
                <c:pt idx="1">
                  <c:v>7.5932035192153163E-2</c:v>
                </c:pt>
                <c:pt idx="2">
                  <c:v>0.33743390655969396</c:v>
                </c:pt>
                <c:pt idx="3">
                  <c:v>0.59925771705737119</c:v>
                </c:pt>
                <c:pt idx="4">
                  <c:v>0.85705067151114467</c:v>
                </c:pt>
                <c:pt idx="5">
                  <c:v>0.97624356519361599</c:v>
                </c:pt>
                <c:pt idx="6">
                  <c:v>1.0884299378285796</c:v>
                </c:pt>
                <c:pt idx="7">
                  <c:v>0.95925265000902682</c:v>
                </c:pt>
                <c:pt idx="8">
                  <c:v>0.69925820839565</c:v>
                </c:pt>
                <c:pt idx="9">
                  <c:v>0.48334004029659028</c:v>
                </c:pt>
                <c:pt idx="10">
                  <c:v>0.2592619893513684</c:v>
                </c:pt>
                <c:pt idx="11">
                  <c:v>7.4218008458163356E-2</c:v>
                </c:pt>
                <c:pt idx="12">
                  <c:v>-2.5953937427874454E-2</c:v>
                </c:pt>
                <c:pt idx="13">
                  <c:v>-3.6530938382215869E-2</c:v>
                </c:pt>
                <c:pt idx="14">
                  <c:v>1.6353832465489972E-2</c:v>
                </c:pt>
                <c:pt idx="15">
                  <c:v>3.8847430998169862E-2</c:v>
                </c:pt>
                <c:pt idx="16">
                  <c:v>8.4643932679412989E-2</c:v>
                </c:pt>
                <c:pt idx="17">
                  <c:v>0.11589890411499236</c:v>
                </c:pt>
                <c:pt idx="18">
                  <c:v>6.8611707543907122E-2</c:v>
                </c:pt>
                <c:pt idx="19">
                  <c:v>-4.7824516086850802E-2</c:v>
                </c:pt>
                <c:pt idx="20">
                  <c:v>-0.17057271593644452</c:v>
                </c:pt>
                <c:pt idx="21">
                  <c:v>-0.16313402763738669</c:v>
                </c:pt>
                <c:pt idx="22">
                  <c:v>-0.18450250653482358</c:v>
                </c:pt>
                <c:pt idx="23">
                  <c:v>-0.1239075457961288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DC-4F70-AEB2-0F68EBC2BB3C}"/>
            </c:ext>
          </c:extLst>
        </c:ser>
        <c:ser>
          <c:idx val="3"/>
          <c:order val="3"/>
          <c:tx>
            <c:strRef>
              <c:f>'orcaflex-acma'!$C$191</c:f>
              <c:strCache>
                <c:ptCount val="1"/>
                <c:pt idx="0">
                  <c:v>openDomain-long-light-LNGC-full-FST1-Cy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'orcaflex-acma'!$C$192:$C$216</c:f>
              <c:numCache>
                <c:formatCode>0.000</c:formatCode>
                <c:ptCount val="25"/>
                <c:pt idx="0">
                  <c:v>-1.1289059667185519E-2</c:v>
                </c:pt>
                <c:pt idx="1">
                  <c:v>0.17050009518068573</c:v>
                </c:pt>
                <c:pt idx="2">
                  <c:v>0.45075170512303836</c:v>
                </c:pt>
                <c:pt idx="3">
                  <c:v>0.73199381591732204</c:v>
                </c:pt>
                <c:pt idx="4">
                  <c:v>1.0346274715000183</c:v>
                </c:pt>
                <c:pt idx="5">
                  <c:v>1.0266600000327442</c:v>
                </c:pt>
                <c:pt idx="6">
                  <c:v>0.91924520150500766</c:v>
                </c:pt>
                <c:pt idx="7">
                  <c:v>0.81171398614934498</c:v>
                </c:pt>
                <c:pt idx="8">
                  <c:v>0.66216913045800996</c:v>
                </c:pt>
                <c:pt idx="9">
                  <c:v>0.48676563954298957</c:v>
                </c:pt>
                <c:pt idx="10">
                  <c:v>0.26569025395375129</c:v>
                </c:pt>
                <c:pt idx="11">
                  <c:v>8.0324998185502289E-2</c:v>
                </c:pt>
                <c:pt idx="12">
                  <c:v>8.5419744535567468E-3</c:v>
                </c:pt>
                <c:pt idx="13">
                  <c:v>-9.6072544943017299E-2</c:v>
                </c:pt>
                <c:pt idx="14">
                  <c:v>-7.0662200773818601E-2</c:v>
                </c:pt>
                <c:pt idx="15">
                  <c:v>-0.17425560992913447</c:v>
                </c:pt>
                <c:pt idx="16">
                  <c:v>-0.25394670955345994</c:v>
                </c:pt>
                <c:pt idx="17">
                  <c:v>-0.33949895103404065</c:v>
                </c:pt>
                <c:pt idx="18">
                  <c:v>-0.48442610082469462</c:v>
                </c:pt>
                <c:pt idx="19">
                  <c:v>-0.6442898672756282</c:v>
                </c:pt>
                <c:pt idx="20">
                  <c:v>-0.72430872564190152</c:v>
                </c:pt>
                <c:pt idx="21">
                  <c:v>-0.55678728263182464</c:v>
                </c:pt>
                <c:pt idx="22">
                  <c:v>-0.38005141676759335</c:v>
                </c:pt>
                <c:pt idx="23">
                  <c:v>-0.17758987583279359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DC-4F70-AEB2-0F68EBC2BB3C}"/>
            </c:ext>
          </c:extLst>
        </c:ser>
        <c:ser>
          <c:idx val="4"/>
          <c:order val="4"/>
          <c:tx>
            <c:strRef>
              <c:f>'orcaflex-acma'!$K$191</c:f>
              <c:strCache>
                <c:ptCount val="1"/>
                <c:pt idx="0">
                  <c:v>openDomain-long-light-LNGC-full-FST2-Cy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'orcaflex-acma'!$K$192:$K$216</c:f>
              <c:numCache>
                <c:formatCode>0.000</c:formatCode>
                <c:ptCount val="25"/>
                <c:pt idx="0">
                  <c:v>1.3004696052818888E-2</c:v>
                </c:pt>
                <c:pt idx="1">
                  <c:v>8.4333435106295138E-2</c:v>
                </c:pt>
                <c:pt idx="2">
                  <c:v>0.17563173011827862</c:v>
                </c:pt>
                <c:pt idx="3">
                  <c:v>0.13802608440277966</c:v>
                </c:pt>
                <c:pt idx="4">
                  <c:v>0.1374649777429896</c:v>
                </c:pt>
                <c:pt idx="5">
                  <c:v>0.11291665007329398</c:v>
                </c:pt>
                <c:pt idx="6">
                  <c:v>-0.12174237067142167</c:v>
                </c:pt>
                <c:pt idx="7">
                  <c:v>-8.5322782312607814E-2</c:v>
                </c:pt>
                <c:pt idx="8">
                  <c:v>-2.6571241512031766E-3</c:v>
                </c:pt>
                <c:pt idx="9">
                  <c:v>0.18949062004875664</c:v>
                </c:pt>
                <c:pt idx="10">
                  <c:v>0.16461354253530552</c:v>
                </c:pt>
                <c:pt idx="11">
                  <c:v>8.2215628737120031E-2</c:v>
                </c:pt>
                <c:pt idx="12">
                  <c:v>-5.7300182444565667E-4</c:v>
                </c:pt>
                <c:pt idx="13">
                  <c:v>-7.3012433106630276E-2</c:v>
                </c:pt>
                <c:pt idx="14">
                  <c:v>-0.27245632597570973</c:v>
                </c:pt>
                <c:pt idx="15">
                  <c:v>-0.49865279368126059</c:v>
                </c:pt>
                <c:pt idx="16">
                  <c:v>-0.68944084212802015</c:v>
                </c:pt>
                <c:pt idx="17">
                  <c:v>-0.86898373472454693</c:v>
                </c:pt>
                <c:pt idx="18">
                  <c:v>-0.83658119352048865</c:v>
                </c:pt>
                <c:pt idx="19">
                  <c:v>-0.89752269471891744</c:v>
                </c:pt>
                <c:pt idx="20">
                  <c:v>-0.8662010397762534</c:v>
                </c:pt>
                <c:pt idx="21">
                  <c:v>-0.58065742670107967</c:v>
                </c:pt>
                <c:pt idx="22">
                  <c:v>-0.40254812693116232</c:v>
                </c:pt>
                <c:pt idx="23">
                  <c:v>-0.14237870934372371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DC-4F70-AEB2-0F68EBC2BB3C}"/>
            </c:ext>
          </c:extLst>
        </c:ser>
        <c:ser>
          <c:idx val="5"/>
          <c:order val="5"/>
          <c:tx>
            <c:strRef>
              <c:f>'orcaflex-acma'!$S$191</c:f>
              <c:strCache>
                <c:ptCount val="1"/>
                <c:pt idx="0">
                  <c:v>openDomain-trans-LNGC-full-LNGC-Cy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'orcaflex-acma'!$Q$192:$Q$216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'orcaflex-acma'!$S$192:$S$216</c:f>
              <c:numCache>
                <c:formatCode>0.000</c:formatCode>
                <c:ptCount val="25"/>
                <c:pt idx="0">
                  <c:v>-5.496424725937564E-2</c:v>
                </c:pt>
                <c:pt idx="1">
                  <c:v>0.10321089898161777</c:v>
                </c:pt>
                <c:pt idx="2">
                  <c:v>0.42850390587962761</c:v>
                </c:pt>
                <c:pt idx="3">
                  <c:v>0.74940707180917188</c:v>
                </c:pt>
                <c:pt idx="4">
                  <c:v>0.86816241447725595</c:v>
                </c:pt>
                <c:pt idx="5">
                  <c:v>0.92405340941073921</c:v>
                </c:pt>
                <c:pt idx="6">
                  <c:v>1.0736948907324553</c:v>
                </c:pt>
                <c:pt idx="7">
                  <c:v>1.0166406516760373</c:v>
                </c:pt>
                <c:pt idx="8">
                  <c:v>0.80910469207999514</c:v>
                </c:pt>
                <c:pt idx="9">
                  <c:v>0.50906049968371436</c:v>
                </c:pt>
                <c:pt idx="10">
                  <c:v>0.30464061917829088</c:v>
                </c:pt>
                <c:pt idx="11">
                  <c:v>0.11332964511144708</c:v>
                </c:pt>
                <c:pt idx="12">
                  <c:v>-6.2961242761024883E-3</c:v>
                </c:pt>
                <c:pt idx="13">
                  <c:v>-7.0180445552272652E-2</c:v>
                </c:pt>
                <c:pt idx="14">
                  <c:v>-5.4535292439095211E-2</c:v>
                </c:pt>
                <c:pt idx="15">
                  <c:v>-8.0670096268219346E-2</c:v>
                </c:pt>
                <c:pt idx="16">
                  <c:v>-1.5089160245071134E-2</c:v>
                </c:pt>
                <c:pt idx="17">
                  <c:v>8.0368225791437015E-2</c:v>
                </c:pt>
                <c:pt idx="18">
                  <c:v>-5.2146346792619952E-2</c:v>
                </c:pt>
                <c:pt idx="19">
                  <c:v>-0.16047680275914944</c:v>
                </c:pt>
                <c:pt idx="20">
                  <c:v>-0.24167618201588334</c:v>
                </c:pt>
                <c:pt idx="21">
                  <c:v>-0.29038886685305676</c:v>
                </c:pt>
                <c:pt idx="22">
                  <c:v>-0.21476275215425794</c:v>
                </c:pt>
                <c:pt idx="23">
                  <c:v>-0.17267708400989695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DC-4F70-AEB2-0F68EBC2B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4390"/>
        <c:axId val="33114501"/>
      </c:scatterChart>
      <c:valAx>
        <c:axId val="5515439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14501"/>
        <c:crosses val="autoZero"/>
        <c:crossBetween val="midCat"/>
        <c:majorUnit val="45"/>
        <c:minorUnit val="15"/>
      </c:valAx>
      <c:valAx>
        <c:axId val="331145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15439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'orcaflex-acma'!$B$98</c:f>
              <c:strCache>
                <c:ptCount val="1"/>
                <c:pt idx="0">
                  <c:v>openDomain-long-Light-FST1-Cx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'orcaflex-acma'!$A$99:$A$122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'orcaflex-acma'!$B$99:$B$122</c:f>
              <c:numCache>
                <c:formatCode>0.000</c:formatCode>
                <c:ptCount val="24"/>
                <c:pt idx="0">
                  <c:v>0.81123761476258704</c:v>
                </c:pt>
                <c:pt idx="1">
                  <c:v>0.81107607551592908</c:v>
                </c:pt>
                <c:pt idx="2">
                  <c:v>0.50023270214208415</c:v>
                </c:pt>
                <c:pt idx="3">
                  <c:v>0.27389065980751132</c:v>
                </c:pt>
                <c:pt idx="4">
                  <c:v>5.2202002116892514E-2</c:v>
                </c:pt>
                <c:pt idx="5">
                  <c:v>-1.0500459255048453E-2</c:v>
                </c:pt>
                <c:pt idx="6">
                  <c:v>-0.17310642225815909</c:v>
                </c:pt>
                <c:pt idx="7">
                  <c:v>-4.5476952914842529E-2</c:v>
                </c:pt>
                <c:pt idx="8">
                  <c:v>-3.771950834287633E-2</c:v>
                </c:pt>
                <c:pt idx="9">
                  <c:v>-0.1537803309033719</c:v>
                </c:pt>
                <c:pt idx="10">
                  <c:v>-0.22871788589617095</c:v>
                </c:pt>
                <c:pt idx="11">
                  <c:v>-0.29598151917350374</c:v>
                </c:pt>
                <c:pt idx="12">
                  <c:v>-0.17973342291245667</c:v>
                </c:pt>
                <c:pt idx="13">
                  <c:v>-0.66951348622626006</c:v>
                </c:pt>
                <c:pt idx="14">
                  <c:v>-0.50444916098767589</c:v>
                </c:pt>
                <c:pt idx="15">
                  <c:v>-0.32277978626843556</c:v>
                </c:pt>
                <c:pt idx="16">
                  <c:v>-0.13943987089342857</c:v>
                </c:pt>
                <c:pt idx="17">
                  <c:v>-0.40457193319277029</c:v>
                </c:pt>
                <c:pt idx="18">
                  <c:v>-0.28081580798741324</c:v>
                </c:pt>
                <c:pt idx="19">
                  <c:v>0.10324630767335627</c:v>
                </c:pt>
                <c:pt idx="20">
                  <c:v>0.13776436731877556</c:v>
                </c:pt>
                <c:pt idx="21">
                  <c:v>0.44049154741575453</c:v>
                </c:pt>
                <c:pt idx="22">
                  <c:v>0.69739249531362812</c:v>
                </c:pt>
                <c:pt idx="23">
                  <c:v>1.0023117037525273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D-44B2-8A5B-F69D64883F21}"/>
            </c:ext>
          </c:extLst>
        </c:ser>
        <c:ser>
          <c:idx val="1"/>
          <c:order val="1"/>
          <c:tx>
            <c:strRef>
              <c:f>'orcaflex-acma'!$J$98</c:f>
              <c:strCache>
                <c:ptCount val="1"/>
                <c:pt idx="0">
                  <c:v>openDomain-long-Light-FST2-Cx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FD-44B2-8A5B-F69D64883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9193"/>
        <c:axId val="80851425"/>
      </c:scatterChart>
      <c:valAx>
        <c:axId val="24419193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851425"/>
        <c:crosses val="autoZero"/>
        <c:crossBetween val="midCat"/>
        <c:majorUnit val="45"/>
        <c:minorUnit val="15"/>
      </c:valAx>
      <c:valAx>
        <c:axId val="808514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41919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'orcaflex-acma'!$C$98</c:f>
              <c:strCache>
                <c:ptCount val="1"/>
                <c:pt idx="0">
                  <c:v>openDomain-long-Light-FST1-Cy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'orcaflex-acma'!$A$99:$A$122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'orcaflex-acma'!$C$99:$C$122</c:f>
              <c:numCache>
                <c:formatCode>0.000</c:formatCode>
                <c:ptCount val="24"/>
                <c:pt idx="0">
                  <c:v>3.313498455269303E-2</c:v>
                </c:pt>
                <c:pt idx="1">
                  <c:v>0.21352984445305348</c:v>
                </c:pt>
                <c:pt idx="2">
                  <c:v>0.55424277842039205</c:v>
                </c:pt>
                <c:pt idx="3">
                  <c:v>0.92225977396387882</c:v>
                </c:pt>
                <c:pt idx="4">
                  <c:v>1.2528260179681863</c:v>
                </c:pt>
                <c:pt idx="5">
                  <c:v>1.251575033860205</c:v>
                </c:pt>
                <c:pt idx="6">
                  <c:v>1.0868919624793183</c:v>
                </c:pt>
                <c:pt idx="7">
                  <c:v>0.94079421666212548</c:v>
                </c:pt>
                <c:pt idx="8">
                  <c:v>0.80144923170379678</c:v>
                </c:pt>
                <c:pt idx="9">
                  <c:v>0.56118987893530581</c:v>
                </c:pt>
                <c:pt idx="10">
                  <c:v>0.31871300898045962</c:v>
                </c:pt>
                <c:pt idx="11">
                  <c:v>9.9898163901526948E-2</c:v>
                </c:pt>
                <c:pt idx="12">
                  <c:v>1.069471695154617E-3</c:v>
                </c:pt>
                <c:pt idx="13">
                  <c:v>-0.16273091032669537</c:v>
                </c:pt>
                <c:pt idx="14">
                  <c:v>-0.35842049519945629</c:v>
                </c:pt>
                <c:pt idx="15">
                  <c:v>-0.60480998321408241</c:v>
                </c:pt>
                <c:pt idx="16">
                  <c:v>-0.79547344402048403</c:v>
                </c:pt>
                <c:pt idx="17">
                  <c:v>-0.87949420614767093</c:v>
                </c:pt>
                <c:pt idx="18">
                  <c:v>-1.0238709387462637</c:v>
                </c:pt>
                <c:pt idx="19">
                  <c:v>-1.1574253788453515</c:v>
                </c:pt>
                <c:pt idx="20">
                  <c:v>-1.0410154624672774</c:v>
                </c:pt>
                <c:pt idx="21">
                  <c:v>-0.80608454261229601</c:v>
                </c:pt>
                <c:pt idx="22">
                  <c:v>-0.46180886950574579</c:v>
                </c:pt>
                <c:pt idx="23">
                  <c:v>-0.15907788415476293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8-400D-B44C-2DE83458F622}"/>
            </c:ext>
          </c:extLst>
        </c:ser>
        <c:ser>
          <c:idx val="1"/>
          <c:order val="1"/>
          <c:tx>
            <c:strRef>
              <c:f>'orcaflex-acma'!$K$98</c:f>
              <c:strCache>
                <c:ptCount val="1"/>
                <c:pt idx="0">
                  <c:v>openDomain-long-Light-FST2-Cy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8-400D-B44C-2DE83458F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58939"/>
        <c:axId val="26323179"/>
      </c:scatterChart>
      <c:valAx>
        <c:axId val="4965893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323179"/>
        <c:crosses val="autoZero"/>
        <c:crossBetween val="midCat"/>
        <c:majorUnit val="45"/>
        <c:minorUnit val="15"/>
      </c:valAx>
      <c:valAx>
        <c:axId val="263231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96589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'orcaflex-acma'!$G$98</c:f>
              <c:strCache>
                <c:ptCount val="1"/>
                <c:pt idx="0">
                  <c:v>openDomain-long-Light-FST1-Cnz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'orcaflex-acma'!$A$99:$A$122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'orcaflex-acma'!$G$99:$G$122</c:f>
              <c:numCache>
                <c:formatCode>0.000</c:formatCode>
                <c:ptCount val="24"/>
                <c:pt idx="0">
                  <c:v>2.9667909026279788E-3</c:v>
                </c:pt>
                <c:pt idx="1">
                  <c:v>-3.8803764720218702E-2</c:v>
                </c:pt>
                <c:pt idx="2">
                  <c:v>-9.4140341356023713E-2</c:v>
                </c:pt>
                <c:pt idx="3">
                  <c:v>-0.19283455786214185</c:v>
                </c:pt>
                <c:pt idx="4">
                  <c:v>-0.16155473632305825</c:v>
                </c:pt>
                <c:pt idx="5">
                  <c:v>-4.8201256376626977E-2</c:v>
                </c:pt>
                <c:pt idx="6">
                  <c:v>-1.2226071265083056E-2</c:v>
                </c:pt>
                <c:pt idx="7">
                  <c:v>4.0179459256616548E-2</c:v>
                </c:pt>
                <c:pt idx="8">
                  <c:v>5.3081768514876303E-2</c:v>
                </c:pt>
                <c:pt idx="9">
                  <c:v>5.4309641488841716E-2</c:v>
                </c:pt>
                <c:pt idx="10">
                  <c:v>3.5569294904548736E-2</c:v>
                </c:pt>
                <c:pt idx="11">
                  <c:v>1.2928246705518912E-2</c:v>
                </c:pt>
                <c:pt idx="12">
                  <c:v>3.630820805666847E-4</c:v>
                </c:pt>
                <c:pt idx="13">
                  <c:v>-7.619030472421095E-3</c:v>
                </c:pt>
                <c:pt idx="14">
                  <c:v>-2.47297853177957E-2</c:v>
                </c:pt>
                <c:pt idx="15">
                  <c:v>-4.3340836834848642E-2</c:v>
                </c:pt>
                <c:pt idx="16">
                  <c:v>-5.1174243105358778E-2</c:v>
                </c:pt>
                <c:pt idx="17">
                  <c:v>-3.1391999341475817E-2</c:v>
                </c:pt>
                <c:pt idx="18">
                  <c:v>2.3440980057131244E-2</c:v>
                </c:pt>
                <c:pt idx="19">
                  <c:v>1.9623090263882041E-2</c:v>
                </c:pt>
                <c:pt idx="20">
                  <c:v>8.3387397257222703E-2</c:v>
                </c:pt>
                <c:pt idx="21">
                  <c:v>0.10979344213221577</c:v>
                </c:pt>
                <c:pt idx="22">
                  <c:v>5.0831532812837393E-2</c:v>
                </c:pt>
                <c:pt idx="23">
                  <c:v>7.0068831741784974E-3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1-4C6C-93C5-A42826B63FB9}"/>
            </c:ext>
          </c:extLst>
        </c:ser>
        <c:ser>
          <c:idx val="1"/>
          <c:order val="1"/>
          <c:tx>
            <c:strRef>
              <c:f>'orcaflex-acma'!$O$98</c:f>
              <c:strCache>
                <c:ptCount val="1"/>
                <c:pt idx="0">
                  <c:v>openDomain-long-Light-FST2-Cnz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1-4C6C-93C5-A42826B6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77149"/>
        <c:axId val="79576063"/>
      </c:scatterChart>
      <c:valAx>
        <c:axId val="8457714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9576063"/>
        <c:crosses val="autoZero"/>
        <c:crossBetween val="midCat"/>
        <c:majorUnit val="45"/>
        <c:minorUnit val="15"/>
      </c:valAx>
      <c:valAx>
        <c:axId val="795760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57714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'orcaflex-acma'!$C$98</c:f>
              <c:strCache>
                <c:ptCount val="1"/>
                <c:pt idx="0">
                  <c:v>openDomain-long-Light-FST1-Cy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'orcaflex-acma'!$A$99:$A$104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'orcaflex-acma'!$C$99:$C$122</c:f>
              <c:numCache>
                <c:formatCode>0.000</c:formatCode>
                <c:ptCount val="24"/>
                <c:pt idx="0">
                  <c:v>3.313498455269303E-2</c:v>
                </c:pt>
                <c:pt idx="1">
                  <c:v>0.21352984445305348</c:v>
                </c:pt>
                <c:pt idx="2">
                  <c:v>0.55424277842039205</c:v>
                </c:pt>
                <c:pt idx="3">
                  <c:v>0.92225977396387882</c:v>
                </c:pt>
                <c:pt idx="4">
                  <c:v>1.2528260179681863</c:v>
                </c:pt>
                <c:pt idx="5">
                  <c:v>1.251575033860205</c:v>
                </c:pt>
                <c:pt idx="6">
                  <c:v>1.0868919624793183</c:v>
                </c:pt>
                <c:pt idx="7">
                  <c:v>0.94079421666212548</c:v>
                </c:pt>
                <c:pt idx="8">
                  <c:v>0.80144923170379678</c:v>
                </c:pt>
                <c:pt idx="9">
                  <c:v>0.56118987893530581</c:v>
                </c:pt>
                <c:pt idx="10">
                  <c:v>0.31871300898045962</c:v>
                </c:pt>
                <c:pt idx="11">
                  <c:v>9.9898163901526948E-2</c:v>
                </c:pt>
                <c:pt idx="12">
                  <c:v>1.069471695154617E-3</c:v>
                </c:pt>
                <c:pt idx="13">
                  <c:v>-0.16273091032669537</c:v>
                </c:pt>
                <c:pt idx="14">
                  <c:v>-0.35842049519945629</c:v>
                </c:pt>
                <c:pt idx="15">
                  <c:v>-0.60480998321408241</c:v>
                </c:pt>
                <c:pt idx="16">
                  <c:v>-0.79547344402048403</c:v>
                </c:pt>
                <c:pt idx="17">
                  <c:v>-0.87949420614767093</c:v>
                </c:pt>
                <c:pt idx="18">
                  <c:v>-1.0238709387462637</c:v>
                </c:pt>
                <c:pt idx="19">
                  <c:v>-1.1574253788453515</c:v>
                </c:pt>
                <c:pt idx="20">
                  <c:v>-1.0410154624672774</c:v>
                </c:pt>
                <c:pt idx="21">
                  <c:v>-0.80608454261229601</c:v>
                </c:pt>
                <c:pt idx="22">
                  <c:v>-0.46180886950574579</c:v>
                </c:pt>
                <c:pt idx="23">
                  <c:v>-0.15907788415476293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B-406F-960A-E07D8289B1C2}"/>
            </c:ext>
          </c:extLst>
        </c:ser>
        <c:ser>
          <c:idx val="1"/>
          <c:order val="1"/>
          <c:tx>
            <c:strRef>
              <c:f>'orcaflex-acma'!$C$67</c:f>
              <c:strCache>
                <c:ptCount val="1"/>
                <c:pt idx="0">
                  <c:v>topoDomain-trans-FST1-Cy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'orcaflex-acma'!$A$68:$A$92</c:f>
              <c:numCache>
                <c:formatCode>General</c:formatCode>
                <c:ptCount val="25"/>
              </c:numCache>
            </c:numRef>
          </c:xVal>
          <c:yVal>
            <c:numRef>
              <c:f>'orcaflex-acma'!$C$68:$C$72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CB-406F-960A-E07D8289B1C2}"/>
            </c:ext>
          </c:extLst>
        </c:ser>
        <c:ser>
          <c:idx val="2"/>
          <c:order val="2"/>
          <c:tx>
            <c:strRef>
              <c:f>'orcaflex-acma'!$K$98</c:f>
              <c:strCache>
                <c:ptCount val="1"/>
                <c:pt idx="0">
                  <c:v>openDomain-long-Light-FST2-Cy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'orcaflex-acma'!$K$99:$K$123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CB-406F-960A-E07D8289B1C2}"/>
            </c:ext>
          </c:extLst>
        </c:ser>
        <c:ser>
          <c:idx val="3"/>
          <c:order val="3"/>
          <c:tx>
            <c:strRef>
              <c:f>'orcaflex-acma'!$K$67</c:f>
              <c:strCache>
                <c:ptCount val="1"/>
                <c:pt idx="0">
                  <c:v>topoDomain-trans-FST2-Cy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'orcaflex-acma'!$I$68:$I$72</c:f>
              <c:numCache>
                <c:formatCode>General</c:formatCode>
                <c:ptCount val="5"/>
              </c:numCache>
            </c:numRef>
          </c:xVal>
          <c:yVal>
            <c:numRef>
              <c:f>'orcaflex-acma'!$K$68:$K$92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CB-406F-960A-E07D8289B1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29162"/>
        <c:axId val="92034491"/>
      </c:scatterChart>
      <c:valAx>
        <c:axId val="29129162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034491"/>
        <c:crosses val="autoZero"/>
        <c:crossBetween val="midCat"/>
        <c:majorUnit val="45"/>
        <c:minorUnit val="15"/>
      </c:valAx>
      <c:valAx>
        <c:axId val="920344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1291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'orcaflex-acma'!$G$98</c:f>
              <c:strCache>
                <c:ptCount val="1"/>
                <c:pt idx="0">
                  <c:v>openDomain-long-Light-FST1-Cnz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'orcaflex-acma'!$A$99:$A$104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'orcaflex-acma'!$G$99:$G$122</c:f>
              <c:numCache>
                <c:formatCode>0.000</c:formatCode>
                <c:ptCount val="24"/>
                <c:pt idx="0">
                  <c:v>2.9667909026279788E-3</c:v>
                </c:pt>
                <c:pt idx="1">
                  <c:v>-3.8803764720218702E-2</c:v>
                </c:pt>
                <c:pt idx="2">
                  <c:v>-9.4140341356023713E-2</c:v>
                </c:pt>
                <c:pt idx="3">
                  <c:v>-0.19283455786214185</c:v>
                </c:pt>
                <c:pt idx="4">
                  <c:v>-0.16155473632305825</c:v>
                </c:pt>
                <c:pt idx="5">
                  <c:v>-4.8201256376626977E-2</c:v>
                </c:pt>
                <c:pt idx="6">
                  <c:v>-1.2226071265083056E-2</c:v>
                </c:pt>
                <c:pt idx="7">
                  <c:v>4.0179459256616548E-2</c:v>
                </c:pt>
                <c:pt idx="8">
                  <c:v>5.3081768514876303E-2</c:v>
                </c:pt>
                <c:pt idx="9">
                  <c:v>5.4309641488841716E-2</c:v>
                </c:pt>
                <c:pt idx="10">
                  <c:v>3.5569294904548736E-2</c:v>
                </c:pt>
                <c:pt idx="11">
                  <c:v>1.2928246705518912E-2</c:v>
                </c:pt>
                <c:pt idx="12">
                  <c:v>3.630820805666847E-4</c:v>
                </c:pt>
                <c:pt idx="13">
                  <c:v>-7.619030472421095E-3</c:v>
                </c:pt>
                <c:pt idx="14">
                  <c:v>-2.47297853177957E-2</c:v>
                </c:pt>
                <c:pt idx="15">
                  <c:v>-4.3340836834848642E-2</c:v>
                </c:pt>
                <c:pt idx="16">
                  <c:v>-5.1174243105358778E-2</c:v>
                </c:pt>
                <c:pt idx="17">
                  <c:v>-3.1391999341475817E-2</c:v>
                </c:pt>
                <c:pt idx="18">
                  <c:v>2.3440980057131244E-2</c:v>
                </c:pt>
                <c:pt idx="19">
                  <c:v>1.9623090263882041E-2</c:v>
                </c:pt>
                <c:pt idx="20">
                  <c:v>8.3387397257222703E-2</c:v>
                </c:pt>
                <c:pt idx="21">
                  <c:v>0.10979344213221577</c:v>
                </c:pt>
                <c:pt idx="22">
                  <c:v>5.0831532812837393E-2</c:v>
                </c:pt>
                <c:pt idx="23">
                  <c:v>7.0068831741784974E-3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3-44F9-A77B-3C4B678EA140}"/>
            </c:ext>
          </c:extLst>
        </c:ser>
        <c:ser>
          <c:idx val="1"/>
          <c:order val="1"/>
          <c:tx>
            <c:strRef>
              <c:f>'orcaflex-acma'!$G$67</c:f>
              <c:strCache>
                <c:ptCount val="1"/>
                <c:pt idx="0">
                  <c:v>topoDomain-trans-FST1-Cnz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'orcaflex-acma'!$A$68:$A$92</c:f>
              <c:numCache>
                <c:formatCode>General</c:formatCode>
                <c:ptCount val="25"/>
              </c:numCache>
            </c:numRef>
          </c:xVal>
          <c:yVal>
            <c:numRef>
              <c:f>'orcaflex-acma'!$G$68:$G$72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3-44F9-A77B-3C4B678EA140}"/>
            </c:ext>
          </c:extLst>
        </c:ser>
        <c:ser>
          <c:idx val="2"/>
          <c:order val="2"/>
          <c:tx>
            <c:strRef>
              <c:f>'orcaflex-acma'!$O$98</c:f>
              <c:strCache>
                <c:ptCount val="1"/>
                <c:pt idx="0">
                  <c:v>openDomain-long-Light-FST2-Cnz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'orcaflex-acma'!$O$99:$O$123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F3-44F9-A77B-3C4B678EA140}"/>
            </c:ext>
          </c:extLst>
        </c:ser>
        <c:ser>
          <c:idx val="3"/>
          <c:order val="3"/>
          <c:tx>
            <c:strRef>
              <c:f>'orcaflex-acma'!$O$67</c:f>
              <c:strCache>
                <c:ptCount val="1"/>
                <c:pt idx="0">
                  <c:v>topoDomain-trans-FST2-Cnz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'orcaflex-acma'!$I$68:$I$72</c:f>
              <c:numCache>
                <c:formatCode>General</c:formatCode>
                <c:ptCount val="5"/>
              </c:numCache>
            </c:numRef>
          </c:xVal>
          <c:yVal>
            <c:numRef>
              <c:f>'orcaflex-acma'!$O$68:$O$92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F3-44F9-A77B-3C4B678EA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1009"/>
        <c:axId val="64215154"/>
      </c:scatterChart>
      <c:valAx>
        <c:axId val="42721009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215154"/>
        <c:crosses val="autoZero"/>
        <c:crossBetween val="midCat"/>
        <c:majorUnit val="45"/>
        <c:minorUnit val="15"/>
      </c:valAx>
      <c:valAx>
        <c:axId val="642151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72100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'orcaflex-acma'!$B$98</c:f>
              <c:strCache>
                <c:ptCount val="1"/>
                <c:pt idx="0">
                  <c:v>openDomain-long-Light-FST1-Cx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'orcaflex-acma'!$A$99:$A$104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'orcaflex-acma'!$B$99:$B$122</c:f>
              <c:numCache>
                <c:formatCode>0.000</c:formatCode>
                <c:ptCount val="24"/>
                <c:pt idx="0">
                  <c:v>0.81123761476258704</c:v>
                </c:pt>
                <c:pt idx="1">
                  <c:v>0.81107607551592908</c:v>
                </c:pt>
                <c:pt idx="2">
                  <c:v>0.50023270214208415</c:v>
                </c:pt>
                <c:pt idx="3">
                  <c:v>0.27389065980751132</c:v>
                </c:pt>
                <c:pt idx="4">
                  <c:v>5.2202002116892514E-2</c:v>
                </c:pt>
                <c:pt idx="5">
                  <c:v>-1.0500459255048453E-2</c:v>
                </c:pt>
                <c:pt idx="6">
                  <c:v>-0.17310642225815909</c:v>
                </c:pt>
                <c:pt idx="7">
                  <c:v>-4.5476952914842529E-2</c:v>
                </c:pt>
                <c:pt idx="8">
                  <c:v>-3.771950834287633E-2</c:v>
                </c:pt>
                <c:pt idx="9">
                  <c:v>-0.1537803309033719</c:v>
                </c:pt>
                <c:pt idx="10">
                  <c:v>-0.22871788589617095</c:v>
                </c:pt>
                <c:pt idx="11">
                  <c:v>-0.29598151917350374</c:v>
                </c:pt>
                <c:pt idx="12">
                  <c:v>-0.17973342291245667</c:v>
                </c:pt>
                <c:pt idx="13">
                  <c:v>-0.66951348622626006</c:v>
                </c:pt>
                <c:pt idx="14">
                  <c:v>-0.50444916098767589</c:v>
                </c:pt>
                <c:pt idx="15">
                  <c:v>-0.32277978626843556</c:v>
                </c:pt>
                <c:pt idx="16">
                  <c:v>-0.13943987089342857</c:v>
                </c:pt>
                <c:pt idx="17">
                  <c:v>-0.40457193319277029</c:v>
                </c:pt>
                <c:pt idx="18">
                  <c:v>-0.28081580798741324</c:v>
                </c:pt>
                <c:pt idx="19">
                  <c:v>0.10324630767335627</c:v>
                </c:pt>
                <c:pt idx="20">
                  <c:v>0.13776436731877556</c:v>
                </c:pt>
                <c:pt idx="21">
                  <c:v>0.44049154741575453</c:v>
                </c:pt>
                <c:pt idx="22">
                  <c:v>0.69739249531362812</c:v>
                </c:pt>
                <c:pt idx="23">
                  <c:v>1.0023117037525273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E-47AE-BDDE-0E616A2F248D}"/>
            </c:ext>
          </c:extLst>
        </c:ser>
        <c:ser>
          <c:idx val="1"/>
          <c:order val="1"/>
          <c:tx>
            <c:strRef>
              <c:f>'orcaflex-acma'!$J$98</c:f>
              <c:strCache>
                <c:ptCount val="1"/>
                <c:pt idx="0">
                  <c:v>openDomain-long-Light-FST2-Cx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'orcaflex-acma'!$J$99:$J$123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9E-47AE-BDDE-0E616A2F248D}"/>
            </c:ext>
          </c:extLst>
        </c:ser>
        <c:ser>
          <c:idx val="2"/>
          <c:order val="2"/>
          <c:tx>
            <c:strRef>
              <c:f>'orcaflex-acma'!$B$5</c:f>
              <c:strCache>
                <c:ptCount val="1"/>
                <c:pt idx="0">
                  <c:v>Open Domain FST1 (Long/trans) factors-Cx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'orcaflex-acma'!$B$6:$B$30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9E-47AE-BDDE-0E616A2F248D}"/>
            </c:ext>
          </c:extLst>
        </c:ser>
        <c:ser>
          <c:idx val="3"/>
          <c:order val="3"/>
          <c:tx>
            <c:strRef>
              <c:f>'orcaflex-acma'!$J$5</c:f>
              <c:strCache>
                <c:ptCount val="1"/>
                <c:pt idx="0">
                  <c:v>Open Domain FST2 (Long/trans) factors-Cx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'orcaflex-acma'!$I$6:$I$11</c:f>
              <c:numCache>
                <c:formatCode>General</c:formatCode>
                <c:ptCount val="6"/>
              </c:numCache>
            </c:numRef>
          </c:xVal>
          <c:yVal>
            <c:numRef>
              <c:f>'orcaflex-acma'!$J$6:$J$30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9E-47AE-BDDE-0E616A2F2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433"/>
        <c:axId val="26615584"/>
      </c:scatterChart>
      <c:valAx>
        <c:axId val="13195433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615584"/>
        <c:crosses val="autoZero"/>
        <c:crossBetween val="midCat"/>
        <c:majorUnit val="45"/>
        <c:minorUnit val="15"/>
      </c:valAx>
      <c:valAx>
        <c:axId val="266155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19543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'orcaflex-acma'!$C$98</c:f>
              <c:strCache>
                <c:ptCount val="1"/>
                <c:pt idx="0">
                  <c:v>openDomain-long-Light-FST1-Cy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'orcaflex-acma'!$A$99:$A$104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'orcaflex-acma'!$C$99:$C$122</c:f>
              <c:numCache>
                <c:formatCode>0.000</c:formatCode>
                <c:ptCount val="24"/>
                <c:pt idx="0">
                  <c:v>3.313498455269303E-2</c:v>
                </c:pt>
                <c:pt idx="1">
                  <c:v>0.21352984445305348</c:v>
                </c:pt>
                <c:pt idx="2">
                  <c:v>0.55424277842039205</c:v>
                </c:pt>
                <c:pt idx="3">
                  <c:v>0.92225977396387882</c:v>
                </c:pt>
                <c:pt idx="4">
                  <c:v>1.2528260179681863</c:v>
                </c:pt>
                <c:pt idx="5">
                  <c:v>1.251575033860205</c:v>
                </c:pt>
                <c:pt idx="6">
                  <c:v>1.0868919624793183</c:v>
                </c:pt>
                <c:pt idx="7">
                  <c:v>0.94079421666212548</c:v>
                </c:pt>
                <c:pt idx="8">
                  <c:v>0.80144923170379678</c:v>
                </c:pt>
                <c:pt idx="9">
                  <c:v>0.56118987893530581</c:v>
                </c:pt>
                <c:pt idx="10">
                  <c:v>0.31871300898045962</c:v>
                </c:pt>
                <c:pt idx="11">
                  <c:v>9.9898163901526948E-2</c:v>
                </c:pt>
                <c:pt idx="12">
                  <c:v>1.069471695154617E-3</c:v>
                </c:pt>
                <c:pt idx="13">
                  <c:v>-0.16273091032669537</c:v>
                </c:pt>
                <c:pt idx="14">
                  <c:v>-0.35842049519945629</c:v>
                </c:pt>
                <c:pt idx="15">
                  <c:v>-0.60480998321408241</c:v>
                </c:pt>
                <c:pt idx="16">
                  <c:v>-0.79547344402048403</c:v>
                </c:pt>
                <c:pt idx="17">
                  <c:v>-0.87949420614767093</c:v>
                </c:pt>
                <c:pt idx="18">
                  <c:v>-1.0238709387462637</c:v>
                </c:pt>
                <c:pt idx="19">
                  <c:v>-1.1574253788453515</c:v>
                </c:pt>
                <c:pt idx="20">
                  <c:v>-1.0410154624672774</c:v>
                </c:pt>
                <c:pt idx="21">
                  <c:v>-0.80608454261229601</c:v>
                </c:pt>
                <c:pt idx="22">
                  <c:v>-0.46180886950574579</c:v>
                </c:pt>
                <c:pt idx="23">
                  <c:v>-0.15907788415476293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6-411B-BACF-CE22FE240A8F}"/>
            </c:ext>
          </c:extLst>
        </c:ser>
        <c:ser>
          <c:idx val="1"/>
          <c:order val="1"/>
          <c:tx>
            <c:strRef>
              <c:f>'orcaflex-acma'!$K$98</c:f>
              <c:strCache>
                <c:ptCount val="1"/>
                <c:pt idx="0">
                  <c:v>openDomain-long-Light-FST2-Cy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'orcaflex-acma'!$K$99:$K$123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D6-411B-BACF-CE22FE240A8F}"/>
            </c:ext>
          </c:extLst>
        </c:ser>
        <c:ser>
          <c:idx val="2"/>
          <c:order val="2"/>
          <c:tx>
            <c:strRef>
              <c:f>'orcaflex-acma'!$C$5</c:f>
              <c:strCache>
                <c:ptCount val="1"/>
                <c:pt idx="0">
                  <c:v>Open Domain FST1 (Long/trans) factors-Cy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'orcaflex-acma'!$C$6:$C$30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D6-411B-BACF-CE22FE240A8F}"/>
            </c:ext>
          </c:extLst>
        </c:ser>
        <c:ser>
          <c:idx val="3"/>
          <c:order val="3"/>
          <c:tx>
            <c:strRef>
              <c:f>'orcaflex-acma'!$K$5</c:f>
              <c:strCache>
                <c:ptCount val="1"/>
                <c:pt idx="0">
                  <c:v>Open Domain FST2 (Long/trans) factors-Cy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'orcaflex-acma'!$I$6:$I$11</c:f>
              <c:numCache>
                <c:formatCode>General</c:formatCode>
                <c:ptCount val="6"/>
              </c:numCache>
            </c:numRef>
          </c:xVal>
          <c:yVal>
            <c:numRef>
              <c:f>'orcaflex-acma'!$K$6:$K$30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D6-411B-BACF-CE22FE240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7139"/>
        <c:axId val="8512628"/>
      </c:scatterChart>
      <c:valAx>
        <c:axId val="39987139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12628"/>
        <c:crosses val="autoZero"/>
        <c:crossBetween val="midCat"/>
        <c:majorUnit val="45"/>
        <c:minorUnit val="15"/>
      </c:valAx>
      <c:valAx>
        <c:axId val="85126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9871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'orcaflex-acma'!$G$98</c:f>
              <c:strCache>
                <c:ptCount val="1"/>
                <c:pt idx="0">
                  <c:v>openDomain-long-Light-FST1-Cnz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'orcaflex-acma'!$A$99:$A$104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'orcaflex-acma'!$G$99:$G$122</c:f>
              <c:numCache>
                <c:formatCode>0.000</c:formatCode>
                <c:ptCount val="24"/>
                <c:pt idx="0">
                  <c:v>2.9667909026279788E-3</c:v>
                </c:pt>
                <c:pt idx="1">
                  <c:v>-3.8803764720218702E-2</c:v>
                </c:pt>
                <c:pt idx="2">
                  <c:v>-9.4140341356023713E-2</c:v>
                </c:pt>
                <c:pt idx="3">
                  <c:v>-0.19283455786214185</c:v>
                </c:pt>
                <c:pt idx="4">
                  <c:v>-0.16155473632305825</c:v>
                </c:pt>
                <c:pt idx="5">
                  <c:v>-4.8201256376626977E-2</c:v>
                </c:pt>
                <c:pt idx="6">
                  <c:v>-1.2226071265083056E-2</c:v>
                </c:pt>
                <c:pt idx="7">
                  <c:v>4.0179459256616548E-2</c:v>
                </c:pt>
                <c:pt idx="8">
                  <c:v>5.3081768514876303E-2</c:v>
                </c:pt>
                <c:pt idx="9">
                  <c:v>5.4309641488841716E-2</c:v>
                </c:pt>
                <c:pt idx="10">
                  <c:v>3.5569294904548736E-2</c:v>
                </c:pt>
                <c:pt idx="11">
                  <c:v>1.2928246705518912E-2</c:v>
                </c:pt>
                <c:pt idx="12">
                  <c:v>3.630820805666847E-4</c:v>
                </c:pt>
                <c:pt idx="13">
                  <c:v>-7.619030472421095E-3</c:v>
                </c:pt>
                <c:pt idx="14">
                  <c:v>-2.47297853177957E-2</c:v>
                </c:pt>
                <c:pt idx="15">
                  <c:v>-4.3340836834848642E-2</c:v>
                </c:pt>
                <c:pt idx="16">
                  <c:v>-5.1174243105358778E-2</c:v>
                </c:pt>
                <c:pt idx="17">
                  <c:v>-3.1391999341475817E-2</c:v>
                </c:pt>
                <c:pt idx="18">
                  <c:v>2.3440980057131244E-2</c:v>
                </c:pt>
                <c:pt idx="19">
                  <c:v>1.9623090263882041E-2</c:v>
                </c:pt>
                <c:pt idx="20">
                  <c:v>8.3387397257222703E-2</c:v>
                </c:pt>
                <c:pt idx="21">
                  <c:v>0.10979344213221577</c:v>
                </c:pt>
                <c:pt idx="22">
                  <c:v>5.0831532812837393E-2</c:v>
                </c:pt>
                <c:pt idx="23">
                  <c:v>7.0068831741784974E-3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B1-4844-8BD8-FF09AF04AE8C}"/>
            </c:ext>
          </c:extLst>
        </c:ser>
        <c:ser>
          <c:idx val="1"/>
          <c:order val="1"/>
          <c:tx>
            <c:strRef>
              <c:f>'orcaflex-acma'!$O$98</c:f>
              <c:strCache>
                <c:ptCount val="1"/>
                <c:pt idx="0">
                  <c:v>openDomain-long-Light-FST2-Cnz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'orcaflex-acma'!$O$99:$O$123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B1-4844-8BD8-FF09AF04AE8C}"/>
            </c:ext>
          </c:extLst>
        </c:ser>
        <c:ser>
          <c:idx val="2"/>
          <c:order val="2"/>
          <c:tx>
            <c:strRef>
              <c:f>'orcaflex-acma'!$G$5</c:f>
              <c:strCache>
                <c:ptCount val="1"/>
                <c:pt idx="0">
                  <c:v>Open Domain FST1 (Long/trans) factors-Cnz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'orcaflex-acma'!$G$6:$G$30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B1-4844-8BD8-FF09AF04AE8C}"/>
            </c:ext>
          </c:extLst>
        </c:ser>
        <c:ser>
          <c:idx val="3"/>
          <c:order val="3"/>
          <c:tx>
            <c:strRef>
              <c:f>'orcaflex-acma'!$O$5</c:f>
              <c:strCache>
                <c:ptCount val="1"/>
                <c:pt idx="0">
                  <c:v>Open Domain FST2 (Long/trans) factors-Cnz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'orcaflex-acma'!$I$6:$I$11</c:f>
              <c:numCache>
                <c:formatCode>General</c:formatCode>
                <c:ptCount val="6"/>
              </c:numCache>
            </c:numRef>
          </c:xVal>
          <c:yVal>
            <c:numRef>
              <c:f>'orcaflex-acma'!$O$6:$O$30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B1-4844-8BD8-FF09AF04A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21765"/>
        <c:axId val="32290394"/>
      </c:scatterChart>
      <c:valAx>
        <c:axId val="81621765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2290394"/>
        <c:crosses val="autoZero"/>
        <c:crossBetween val="midCat"/>
        <c:majorUnit val="45"/>
        <c:minorUnit val="15"/>
      </c:valAx>
      <c:valAx>
        <c:axId val="322903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162176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'orcaflex-acma'!$G$129</c:f>
              <c:strCache>
                <c:ptCount val="1"/>
                <c:pt idx="0">
                  <c:v>openDomain-long-full-LNGC-light-FST1-Cnz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'orcaflex-acma'!$G$130:$G$154</c:f>
              <c:numCache>
                <c:formatCode>0.000</c:formatCode>
                <c:ptCount val="25"/>
                <c:pt idx="0">
                  <c:v>1.0277496579856243E-2</c:v>
                </c:pt>
                <c:pt idx="1">
                  <c:v>-4.6622187530698966E-2</c:v>
                </c:pt>
                <c:pt idx="2">
                  <c:v>-8.6781061239142115E-2</c:v>
                </c:pt>
                <c:pt idx="3">
                  <c:v>-0.15530895152611335</c:v>
                </c:pt>
                <c:pt idx="4">
                  <c:v>-0.10102183895954814</c:v>
                </c:pt>
                <c:pt idx="5">
                  <c:v>-1.4319242356195545E-2</c:v>
                </c:pt>
                <c:pt idx="6">
                  <c:v>2.00611058650088E-2</c:v>
                </c:pt>
                <c:pt idx="7">
                  <c:v>4.0464947385740892E-2</c:v>
                </c:pt>
                <c:pt idx="8">
                  <c:v>4.8960952321409006E-2</c:v>
                </c:pt>
                <c:pt idx="9">
                  <c:v>6.1054183780424501E-2</c:v>
                </c:pt>
                <c:pt idx="10">
                  <c:v>3.0750966061762371E-2</c:v>
                </c:pt>
                <c:pt idx="11">
                  <c:v>8.7460972076043361E-3</c:v>
                </c:pt>
                <c:pt idx="12">
                  <c:v>-2.702982192781729E-3</c:v>
                </c:pt>
                <c:pt idx="13">
                  <c:v>9.8934966964245551E-3</c:v>
                </c:pt>
                <c:pt idx="14">
                  <c:v>2.9488240441747231E-2</c:v>
                </c:pt>
                <c:pt idx="15">
                  <c:v>4.5698075801451604E-2</c:v>
                </c:pt>
                <c:pt idx="16">
                  <c:v>9.7794187258205503E-2</c:v>
                </c:pt>
                <c:pt idx="17">
                  <c:v>0.11199183561362323</c:v>
                </c:pt>
                <c:pt idx="18">
                  <c:v>0.12627076167231299</c:v>
                </c:pt>
                <c:pt idx="19">
                  <c:v>0.13096957769987769</c:v>
                </c:pt>
                <c:pt idx="20">
                  <c:v>0.14708732001215077</c:v>
                </c:pt>
                <c:pt idx="21">
                  <c:v>0.17068985599201345</c:v>
                </c:pt>
                <c:pt idx="22">
                  <c:v>9.5979006885149681E-2</c:v>
                </c:pt>
                <c:pt idx="23">
                  <c:v>4.2261221483028841E-2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C-4D29-9CEC-A81BB3D66DCB}"/>
            </c:ext>
          </c:extLst>
        </c:ser>
        <c:ser>
          <c:idx val="1"/>
          <c:order val="1"/>
          <c:tx>
            <c:strRef>
              <c:f>'orcaflex-acma'!$O$129</c:f>
              <c:strCache>
                <c:ptCount val="1"/>
                <c:pt idx="0">
                  <c:v>openDomain-long-full-LNGC-light-FST2-Cnz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'orcaflex-acma'!$O$130:$O$154</c:f>
              <c:numCache>
                <c:formatCode>0.000</c:formatCode>
                <c:ptCount val="25"/>
                <c:pt idx="0">
                  <c:v>-2.5518124841581304E-2</c:v>
                </c:pt>
                <c:pt idx="1">
                  <c:v>-5.8069304611235847E-3</c:v>
                </c:pt>
                <c:pt idx="2">
                  <c:v>-2.7493435018298717E-2</c:v>
                </c:pt>
                <c:pt idx="3">
                  <c:v>-7.7176320401736095E-2</c:v>
                </c:pt>
                <c:pt idx="4">
                  <c:v>-6.412812738363817E-2</c:v>
                </c:pt>
                <c:pt idx="5">
                  <c:v>-6.5049386307442295E-2</c:v>
                </c:pt>
                <c:pt idx="6">
                  <c:v>7.6675930736968094E-3</c:v>
                </c:pt>
                <c:pt idx="7">
                  <c:v>2.5387246753204216E-2</c:v>
                </c:pt>
                <c:pt idx="8">
                  <c:v>4.3021385245726719E-2</c:v>
                </c:pt>
                <c:pt idx="9">
                  <c:v>7.0492979696582247E-2</c:v>
                </c:pt>
                <c:pt idx="10">
                  <c:v>4.4865985375486278E-2</c:v>
                </c:pt>
                <c:pt idx="11">
                  <c:v>1.3635063691431075E-2</c:v>
                </c:pt>
                <c:pt idx="12">
                  <c:v>8.2107705145526531E-3</c:v>
                </c:pt>
                <c:pt idx="13">
                  <c:v>-9.4125755546560688E-3</c:v>
                </c:pt>
                <c:pt idx="14">
                  <c:v>-2.65942326719012E-2</c:v>
                </c:pt>
                <c:pt idx="15">
                  <c:v>-2.4247607736278268E-2</c:v>
                </c:pt>
                <c:pt idx="16">
                  <c:v>-1.2574604548419003E-2</c:v>
                </c:pt>
                <c:pt idx="17">
                  <c:v>-1.7978925231948467E-2</c:v>
                </c:pt>
                <c:pt idx="18">
                  <c:v>-1.7630714454490135E-2</c:v>
                </c:pt>
                <c:pt idx="19">
                  <c:v>2.4745887980116461E-2</c:v>
                </c:pt>
                <c:pt idx="20">
                  <c:v>9.9603493512147923E-2</c:v>
                </c:pt>
                <c:pt idx="21">
                  <c:v>9.7261938745945326E-2</c:v>
                </c:pt>
                <c:pt idx="22">
                  <c:v>7.594344203160279E-2</c:v>
                </c:pt>
                <c:pt idx="23">
                  <c:v>2.2830764483111051E-2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C-4D29-9CEC-A81BB3D66DCB}"/>
            </c:ext>
          </c:extLst>
        </c:ser>
        <c:ser>
          <c:idx val="2"/>
          <c:order val="2"/>
          <c:tx>
            <c:strRef>
              <c:f>'orcaflex-acma'!$W$129</c:f>
              <c:strCache>
                <c:ptCount val="1"/>
                <c:pt idx="0">
                  <c:v>openDomain-trans-LNGC-full-LNGC-Cnz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'orcaflex-acma'!$Q$130:$Q$154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'orcaflex-acma'!$W$130:$W$154</c:f>
              <c:numCache>
                <c:formatCode>0.000</c:formatCode>
                <c:ptCount val="25"/>
                <c:pt idx="0">
                  <c:v>1.283160290662076E-2</c:v>
                </c:pt>
                <c:pt idx="1">
                  <c:v>-4.4866364182412272E-2</c:v>
                </c:pt>
                <c:pt idx="2">
                  <c:v>-8.9004472876238749E-2</c:v>
                </c:pt>
                <c:pt idx="3">
                  <c:v>-0.13320795541702829</c:v>
                </c:pt>
                <c:pt idx="4">
                  <c:v>-0.12868145714161811</c:v>
                </c:pt>
                <c:pt idx="5">
                  <c:v>-7.7692038989349677E-2</c:v>
                </c:pt>
                <c:pt idx="6">
                  <c:v>-3.3919090289814623E-2</c:v>
                </c:pt>
                <c:pt idx="7">
                  <c:v>-6.0372473648677332E-3</c:v>
                </c:pt>
                <c:pt idx="8">
                  <c:v>6.2936291816842165E-3</c:v>
                </c:pt>
                <c:pt idx="9">
                  <c:v>2.4289769462206703E-2</c:v>
                </c:pt>
                <c:pt idx="10">
                  <c:v>2.6886161284603513E-2</c:v>
                </c:pt>
                <c:pt idx="11">
                  <c:v>1.6043399964240201E-2</c:v>
                </c:pt>
                <c:pt idx="12">
                  <c:v>-9.0480653247131341E-3</c:v>
                </c:pt>
                <c:pt idx="13">
                  <c:v>-4.4242065661305903E-3</c:v>
                </c:pt>
                <c:pt idx="14">
                  <c:v>7.3794722355854277E-3</c:v>
                </c:pt>
                <c:pt idx="15">
                  <c:v>1.1762718276124139E-2</c:v>
                </c:pt>
                <c:pt idx="16">
                  <c:v>6.8489404242657263E-3</c:v>
                </c:pt>
                <c:pt idx="17">
                  <c:v>7.1933656711325837E-3</c:v>
                </c:pt>
                <c:pt idx="18">
                  <c:v>9.5992838942828302E-3</c:v>
                </c:pt>
                <c:pt idx="19">
                  <c:v>2.3437645957862227E-2</c:v>
                </c:pt>
                <c:pt idx="20">
                  <c:v>6.5381504464654225E-2</c:v>
                </c:pt>
                <c:pt idx="21">
                  <c:v>7.6713723710255324E-2</c:v>
                </c:pt>
                <c:pt idx="22">
                  <c:v>6.3211069751552745E-2</c:v>
                </c:pt>
                <c:pt idx="23">
                  <c:v>5.7503634312775088E-2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C-4D29-9CEC-A81BB3D66DCB}"/>
            </c:ext>
          </c:extLst>
        </c:ser>
        <c:ser>
          <c:idx val="3"/>
          <c:order val="3"/>
          <c:tx>
            <c:strRef>
              <c:f>'orcaflex-acma'!$G$191</c:f>
              <c:strCache>
                <c:ptCount val="1"/>
                <c:pt idx="0">
                  <c:v>openDomain-long-light-LNGC-full-FST1-Cnz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'orcaflex-acma'!$G$192:$G$216</c:f>
              <c:numCache>
                <c:formatCode>0.000</c:formatCode>
                <c:ptCount val="25"/>
                <c:pt idx="0">
                  <c:v>-2.1914542431814145E-3</c:v>
                </c:pt>
                <c:pt idx="1">
                  <c:v>-3.3787141766557331E-2</c:v>
                </c:pt>
                <c:pt idx="2">
                  <c:v>-7.3776030583076399E-2</c:v>
                </c:pt>
                <c:pt idx="3">
                  <c:v>-0.14180173890474021</c:v>
                </c:pt>
                <c:pt idx="4">
                  <c:v>-0.10527239667434292</c:v>
                </c:pt>
                <c:pt idx="5">
                  <c:v>-4.8567981449852013E-2</c:v>
                </c:pt>
                <c:pt idx="6">
                  <c:v>3.6151708242358395E-2</c:v>
                </c:pt>
                <c:pt idx="7">
                  <c:v>2.8429620401801605E-2</c:v>
                </c:pt>
                <c:pt idx="8">
                  <c:v>1.8990350135164581E-2</c:v>
                </c:pt>
                <c:pt idx="9">
                  <c:v>3.030262742259995E-2</c:v>
                </c:pt>
                <c:pt idx="10">
                  <c:v>1.1119436201842171E-2</c:v>
                </c:pt>
                <c:pt idx="11">
                  <c:v>-4.6662161531216761E-4</c:v>
                </c:pt>
                <c:pt idx="12">
                  <c:v>-5.1662959538290899E-4</c:v>
                </c:pt>
                <c:pt idx="13">
                  <c:v>1.2314711065874654E-2</c:v>
                </c:pt>
                <c:pt idx="14">
                  <c:v>2.5181753920444874E-2</c:v>
                </c:pt>
                <c:pt idx="15">
                  <c:v>8.3081062336370387E-2</c:v>
                </c:pt>
                <c:pt idx="16">
                  <c:v>7.8101351491990448E-2</c:v>
                </c:pt>
                <c:pt idx="17">
                  <c:v>0.14054526504444118</c:v>
                </c:pt>
                <c:pt idx="18">
                  <c:v>0.15611227741073283</c:v>
                </c:pt>
                <c:pt idx="19">
                  <c:v>0.14910479916108629</c:v>
                </c:pt>
                <c:pt idx="20">
                  <c:v>0.19689927120522102</c:v>
                </c:pt>
                <c:pt idx="21">
                  <c:v>0.17644456300572398</c:v>
                </c:pt>
                <c:pt idx="22">
                  <c:v>8.5263316098226141E-2</c:v>
                </c:pt>
                <c:pt idx="23">
                  <c:v>2.4856577402069157E-2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1C-4D29-9CEC-A81BB3D66DCB}"/>
            </c:ext>
          </c:extLst>
        </c:ser>
        <c:ser>
          <c:idx val="4"/>
          <c:order val="4"/>
          <c:tx>
            <c:strRef>
              <c:f>'orcaflex-acma'!$O$191</c:f>
              <c:strCache>
                <c:ptCount val="1"/>
                <c:pt idx="0">
                  <c:v>openDomain-long-light-LNGC-full-FST2-Cnz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'orcaflex-acma'!$O$192:$O$216</c:f>
              <c:numCache>
                <c:formatCode>0.000</c:formatCode>
                <c:ptCount val="25"/>
                <c:pt idx="0">
                  <c:v>-2.4769705174683552E-2</c:v>
                </c:pt>
                <c:pt idx="1">
                  <c:v>-2.3793821821235888E-2</c:v>
                </c:pt>
                <c:pt idx="2">
                  <c:v>-4.3810245965361115E-2</c:v>
                </c:pt>
                <c:pt idx="3">
                  <c:v>-7.1374800547647693E-2</c:v>
                </c:pt>
                <c:pt idx="4">
                  <c:v>-5.611046244187385E-2</c:v>
                </c:pt>
                <c:pt idx="5">
                  <c:v>-3.7222839151924869E-2</c:v>
                </c:pt>
                <c:pt idx="6">
                  <c:v>-1.5783610186505832E-3</c:v>
                </c:pt>
                <c:pt idx="7">
                  <c:v>3.6870203348025343E-3</c:v>
                </c:pt>
                <c:pt idx="8">
                  <c:v>1.8707554762955332E-2</c:v>
                </c:pt>
                <c:pt idx="9">
                  <c:v>5.3136870431442863E-2</c:v>
                </c:pt>
                <c:pt idx="10">
                  <c:v>1.7398197352894443E-2</c:v>
                </c:pt>
                <c:pt idx="11">
                  <c:v>-1.7502713395726264E-3</c:v>
                </c:pt>
                <c:pt idx="12">
                  <c:v>-1.135762927773755E-3</c:v>
                </c:pt>
                <c:pt idx="13">
                  <c:v>1.0276780823772276E-3</c:v>
                </c:pt>
                <c:pt idx="14">
                  <c:v>-9.2929210270160465E-3</c:v>
                </c:pt>
                <c:pt idx="15">
                  <c:v>-1.6033837743517569E-2</c:v>
                </c:pt>
                <c:pt idx="16">
                  <c:v>-1.3246900837502917E-2</c:v>
                </c:pt>
                <c:pt idx="17">
                  <c:v>-2.3109690485044757E-2</c:v>
                </c:pt>
                <c:pt idx="18">
                  <c:v>-2.491007002876405E-2</c:v>
                </c:pt>
                <c:pt idx="19">
                  <c:v>4.4306388094853551E-2</c:v>
                </c:pt>
                <c:pt idx="20">
                  <c:v>6.1917547762153413E-2</c:v>
                </c:pt>
                <c:pt idx="21">
                  <c:v>4.7056306954310852E-2</c:v>
                </c:pt>
                <c:pt idx="22">
                  <c:v>3.683041104278402E-2</c:v>
                </c:pt>
                <c:pt idx="23">
                  <c:v>2.7071800165795997E-3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1C-4D29-9CEC-A81BB3D66DCB}"/>
            </c:ext>
          </c:extLst>
        </c:ser>
        <c:ser>
          <c:idx val="5"/>
          <c:order val="5"/>
          <c:tx>
            <c:strRef>
              <c:f>'orcaflex-acma'!$W$191</c:f>
              <c:strCache>
                <c:ptCount val="1"/>
                <c:pt idx="0">
                  <c:v>openDomain-trans-LNGC-full-LNGC-Cnz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'orcaflex-acma'!$Q$192:$Q$216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'orcaflex-acma'!$W$192:$W$216</c:f>
              <c:numCache>
                <c:formatCode>0.000</c:formatCode>
                <c:ptCount val="25"/>
                <c:pt idx="0">
                  <c:v>1.4582584571417348E-2</c:v>
                </c:pt>
                <c:pt idx="1">
                  <c:v>-4.7638181489594304E-2</c:v>
                </c:pt>
                <c:pt idx="2">
                  <c:v>-8.8965701108110459E-2</c:v>
                </c:pt>
                <c:pt idx="3">
                  <c:v>-0.13415503211151447</c:v>
                </c:pt>
                <c:pt idx="4">
                  <c:v>-0.16655030001899607</c:v>
                </c:pt>
                <c:pt idx="5">
                  <c:v>-9.3171626409037117E-2</c:v>
                </c:pt>
                <c:pt idx="6">
                  <c:v>-2.0085378041739422E-2</c:v>
                </c:pt>
                <c:pt idx="7">
                  <c:v>2.2468959282973981E-2</c:v>
                </c:pt>
                <c:pt idx="8">
                  <c:v>3.6471115570450581E-2</c:v>
                </c:pt>
                <c:pt idx="9">
                  <c:v>6.3561293852584091E-2</c:v>
                </c:pt>
                <c:pt idx="10">
                  <c:v>4.4806958288460166E-2</c:v>
                </c:pt>
                <c:pt idx="11">
                  <c:v>2.3777583448270339E-2</c:v>
                </c:pt>
                <c:pt idx="12">
                  <c:v>-1.3173880905189447E-2</c:v>
                </c:pt>
                <c:pt idx="13">
                  <c:v>-4.8440423496839006E-3</c:v>
                </c:pt>
                <c:pt idx="14">
                  <c:v>2.1373354346460455E-3</c:v>
                </c:pt>
                <c:pt idx="15">
                  <c:v>3.669915063511889E-3</c:v>
                </c:pt>
                <c:pt idx="16">
                  <c:v>8.0264431494380221E-3</c:v>
                </c:pt>
                <c:pt idx="17">
                  <c:v>1.562788722761662E-2</c:v>
                </c:pt>
                <c:pt idx="18">
                  <c:v>4.1155297813131916E-2</c:v>
                </c:pt>
                <c:pt idx="19">
                  <c:v>4.6616983560581422E-2</c:v>
                </c:pt>
                <c:pt idx="20">
                  <c:v>7.1605648645282349E-2</c:v>
                </c:pt>
                <c:pt idx="21">
                  <c:v>9.1428311966638212E-2</c:v>
                </c:pt>
                <c:pt idx="22">
                  <c:v>7.311964869926936E-2</c:v>
                </c:pt>
                <c:pt idx="23">
                  <c:v>6.2829223941992599E-2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1C-4D29-9CEC-A81BB3D66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2780"/>
        <c:axId val="62650537"/>
      </c:scatterChart>
      <c:valAx>
        <c:axId val="754278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650537"/>
        <c:crosses val="autoZero"/>
        <c:crossBetween val="midCat"/>
        <c:majorUnit val="45"/>
        <c:minorUnit val="15"/>
      </c:valAx>
      <c:valAx>
        <c:axId val="62650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42780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3582313243479605"/>
          <c:y val="0.21921201762538101"/>
          <c:w val="0.353895689487914"/>
          <c:h val="0.3661048551886699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'orcaflex-acma'!$J$98</c:f>
              <c:strCache>
                <c:ptCount val="1"/>
                <c:pt idx="0">
                  <c:v>openDomain-long-Light-FST2-Cx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B-49B1-8AE4-02523C236CC0}"/>
            </c:ext>
          </c:extLst>
        </c:ser>
        <c:ser>
          <c:idx val="1"/>
          <c:order val="1"/>
          <c:tx>
            <c:strRef>
              <c:f>'orcaflex-acma'!$Q$94</c:f>
              <c:strCache>
                <c:ptCount val="1"/>
                <c:pt idx="0">
                  <c:v>openDomain-trans-FST2-noApp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'orcaflex-acma'!$Q$99:$Q$123</c:f>
              <c:numCache>
                <c:formatCode>General</c:formatCode>
                <c:ptCount val="25"/>
              </c:numCache>
            </c:numRef>
          </c:xVal>
          <c:yVal>
            <c:numRef>
              <c:f>'orcaflex-acma'!$R$99:$R$123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2B-49B1-8AE4-02523C236CC0}"/>
            </c:ext>
          </c:extLst>
        </c:ser>
        <c:ser>
          <c:idx val="2"/>
          <c:order val="2"/>
          <c:tx>
            <c:strRef>
              <c:f>'orcaflex-acma'!#REF!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'orcaflex-acma'!#REF!</c:f>
            </c:numRef>
          </c:xVal>
          <c:yVal>
            <c:numRef>
              <c:f>'orcaflex-acma'!#REF!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2B-49B1-8AE4-02523C236CC0}"/>
            </c:ext>
          </c:extLst>
        </c:ser>
        <c:ser>
          <c:idx val="3"/>
          <c:order val="3"/>
          <c:tx>
            <c:strRef>
              <c:f>'orcaflex-acma'!$AF$98</c:f>
              <c:strCache>
                <c:ptCount val="1"/>
                <c:pt idx="0">
                  <c:v>openDomain-trans-FST2-topsides-Cx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'orcaflex-acma'!$AE$99:$AE$123</c:f>
              <c:numCache>
                <c:formatCode>General</c:formatCode>
                <c:ptCount val="25"/>
              </c:numCache>
            </c:numRef>
          </c:xVal>
          <c:yVal>
            <c:numRef>
              <c:f>'orcaflex-acma'!$AF$99:$AF$123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2B-49B1-8AE4-02523C23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0810"/>
        <c:axId val="17832831"/>
      </c:scatterChart>
      <c:valAx>
        <c:axId val="3556081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832831"/>
        <c:crosses val="autoZero"/>
        <c:crossBetween val="midCat"/>
        <c:majorUnit val="45"/>
        <c:minorUnit val="15"/>
      </c:valAx>
      <c:valAx>
        <c:axId val="178328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556081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'orcaflex-acma'!$K$98</c:f>
              <c:strCache>
                <c:ptCount val="1"/>
                <c:pt idx="0">
                  <c:v>openDomain-long-Light-FST2-Cy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76-4CD4-8078-37F313DE1BA5}"/>
            </c:ext>
          </c:extLst>
        </c:ser>
        <c:ser>
          <c:idx val="1"/>
          <c:order val="1"/>
          <c:tx>
            <c:strRef>
              <c:f>'orcaflex-acma'!$S$98</c:f>
              <c:strCache>
                <c:ptCount val="1"/>
                <c:pt idx="0">
                  <c:v>openDomain-trans-FST2-noApp-Cy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'orcaflex-acma'!$Q$99:$Q$123</c:f>
              <c:numCache>
                <c:formatCode>General</c:formatCode>
                <c:ptCount val="25"/>
              </c:numCache>
            </c:numRef>
          </c:xVal>
          <c:yVal>
            <c:numRef>
              <c:f>'orcaflex-acma'!$S$99:$S$123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76-4CD4-8078-37F313DE1BA5}"/>
            </c:ext>
          </c:extLst>
        </c:ser>
        <c:ser>
          <c:idx val="2"/>
          <c:order val="2"/>
          <c:tx>
            <c:strRef>
              <c:f>'orcaflex-acma'!$Y$98</c:f>
              <c:strCache>
                <c:ptCount val="1"/>
                <c:pt idx="0">
                  <c:v>#REF!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'orcaflex-acma'!#REF!</c:f>
            </c:numRef>
          </c:xVal>
          <c:yVal>
            <c:numRef>
              <c:f>'orcaflex-acma'!$Y$99:$Y$123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76-4CD4-8078-37F313DE1BA5}"/>
            </c:ext>
          </c:extLst>
        </c:ser>
        <c:ser>
          <c:idx val="3"/>
          <c:order val="3"/>
          <c:tx>
            <c:strRef>
              <c:f>'orcaflex-acma'!$AG$98</c:f>
              <c:strCache>
                <c:ptCount val="1"/>
                <c:pt idx="0">
                  <c:v>openDomain-trans-FST2-topsides-Cy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'orcaflex-acma'!$AE$99:$AE$123</c:f>
              <c:numCache>
                <c:formatCode>General</c:formatCode>
                <c:ptCount val="25"/>
              </c:numCache>
            </c:numRef>
          </c:xVal>
          <c:yVal>
            <c:numRef>
              <c:f>'orcaflex-acma'!$AG$99:$AG$122</c:f>
              <c:numCache>
                <c:formatCode>0.000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76-4CD4-8078-37F313DE1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1341"/>
        <c:axId val="90020441"/>
      </c:scatterChart>
      <c:valAx>
        <c:axId val="62101341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020441"/>
        <c:crosses val="autoZero"/>
        <c:crossBetween val="midCat"/>
        <c:majorUnit val="45"/>
        <c:minorUnit val="15"/>
      </c:valAx>
      <c:valAx>
        <c:axId val="900204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10134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'orcaflex-acma'!$O$98</c:f>
              <c:strCache>
                <c:ptCount val="1"/>
                <c:pt idx="0">
                  <c:v>openDomain-long-Light-FST2-Cnz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4-49A5-BEF3-F3ED9B57D57A}"/>
            </c:ext>
          </c:extLst>
        </c:ser>
        <c:ser>
          <c:idx val="1"/>
          <c:order val="1"/>
          <c:tx>
            <c:strRef>
              <c:f>'orcaflex-acma'!$W$98</c:f>
              <c:strCache>
                <c:ptCount val="1"/>
                <c:pt idx="0">
                  <c:v>openDomain-trans-FST2-noApp-Cnz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'orcaflex-acma'!$Q$99:$Q$123</c:f>
              <c:numCache>
                <c:formatCode>General</c:formatCode>
                <c:ptCount val="25"/>
              </c:numCache>
            </c:numRef>
          </c:xVal>
          <c:yVal>
            <c:numRef>
              <c:f>'orcaflex-acma'!$W$99:$W$123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4-49A5-BEF3-F3ED9B57D57A}"/>
            </c:ext>
          </c:extLst>
        </c:ser>
        <c:ser>
          <c:idx val="2"/>
          <c:order val="2"/>
          <c:tx>
            <c:strRef>
              <c:f>'orcaflex-acma'!$AC$98</c:f>
              <c:strCache>
                <c:ptCount val="1"/>
                <c:pt idx="0">
                  <c:v>#REF!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'orcaflex-acma'!#REF!</c:f>
            </c:numRef>
          </c:xVal>
          <c:yVal>
            <c:numRef>
              <c:f>'orcaflex-acma'!$AC$99:$AC$123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4-49A5-BEF3-F3ED9B57D57A}"/>
            </c:ext>
          </c:extLst>
        </c:ser>
        <c:ser>
          <c:idx val="3"/>
          <c:order val="3"/>
          <c:tx>
            <c:strRef>
              <c:f>'orcaflex-acma'!$AK$98</c:f>
              <c:strCache>
                <c:ptCount val="1"/>
                <c:pt idx="0">
                  <c:v>openDomain-trans-FST2-topsides-Cnz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'orcaflex-acma'!$AE$99:$AE$123</c:f>
              <c:numCache>
                <c:formatCode>General</c:formatCode>
                <c:ptCount val="25"/>
              </c:numCache>
            </c:numRef>
          </c:xVal>
          <c:yVal>
            <c:numRef>
              <c:f>'orcaflex-acma'!$AK$99:$AK$123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04-49A5-BEF3-F3ED9B57D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2761"/>
        <c:axId val="69641942"/>
      </c:scatterChart>
      <c:valAx>
        <c:axId val="29192761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9641942"/>
        <c:crosses val="autoZero"/>
        <c:crossBetween val="midCat"/>
        <c:majorUnit val="45"/>
        <c:minorUnit val="15"/>
      </c:valAx>
      <c:valAx>
        <c:axId val="696419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19276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'orcaflex-acma'!$B$5</c:f>
              <c:strCache>
                <c:ptCount val="1"/>
                <c:pt idx="0">
                  <c:v>Open Domain FST1 (Long/trans) factors-Cx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'orcaflex-acma'!$B$6:$B$30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D-4982-98E1-0FC9D8D706E6}"/>
            </c:ext>
          </c:extLst>
        </c:ser>
        <c:ser>
          <c:idx val="1"/>
          <c:order val="1"/>
          <c:tx>
            <c:strRef>
              <c:f>'orcaflex-acma'!$B$36</c:f>
              <c:strCache>
                <c:ptCount val="1"/>
                <c:pt idx="0">
                  <c:v>topoDomain-long-FST1-Cx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'orcaflex-acma'!$A$37:$A$61</c:f>
              <c:numCache>
                <c:formatCode>General</c:formatCode>
                <c:ptCount val="25"/>
              </c:numCache>
            </c:numRef>
          </c:xVal>
          <c:yVal>
            <c:numRef>
              <c:f>'orcaflex-acma'!$B$37:$B$41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D-4982-98E1-0FC9D8D706E6}"/>
            </c:ext>
          </c:extLst>
        </c:ser>
        <c:ser>
          <c:idx val="2"/>
          <c:order val="2"/>
          <c:tx>
            <c:strRef>
              <c:f>'orcaflex-acma'!$J$5</c:f>
              <c:strCache>
                <c:ptCount val="1"/>
                <c:pt idx="0">
                  <c:v>Open Domain FST2 (Long/trans) factors-Cx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'orcaflex-acma'!$I$6:$I$11</c:f>
              <c:numCache>
                <c:formatCode>General</c:formatCode>
                <c:ptCount val="6"/>
              </c:numCache>
            </c:numRef>
          </c:xVal>
          <c:yVal>
            <c:numRef>
              <c:f>'orcaflex-acma'!$J$6:$J$30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2D-4982-98E1-0FC9D8D706E6}"/>
            </c:ext>
          </c:extLst>
        </c:ser>
        <c:ser>
          <c:idx val="3"/>
          <c:order val="3"/>
          <c:tx>
            <c:strRef>
              <c:f>'orcaflex-acma'!$J$36</c:f>
              <c:strCache>
                <c:ptCount val="1"/>
                <c:pt idx="0">
                  <c:v>topoDomain-long-FST2-Cx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'orcaflex-acma'!$I$37:$I$41</c:f>
              <c:numCache>
                <c:formatCode>General</c:formatCode>
                <c:ptCount val="5"/>
              </c:numCache>
            </c:numRef>
          </c:xVal>
          <c:yVal>
            <c:numRef>
              <c:f>'orcaflex-acma'!$J$37:$J$61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D-4982-98E1-0FC9D8D70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436"/>
        <c:axId val="47978639"/>
      </c:scatterChart>
      <c:valAx>
        <c:axId val="19923436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978639"/>
        <c:crosses val="autoZero"/>
        <c:crossBetween val="midCat"/>
        <c:majorUnit val="45"/>
        <c:minorUnit val="15"/>
      </c:valAx>
      <c:valAx>
        <c:axId val="47978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9234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'orcaflex-acma'!$C$5</c:f>
              <c:strCache>
                <c:ptCount val="1"/>
                <c:pt idx="0">
                  <c:v>Open Domain FST1 (Long/trans) factors-Cy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'orcaflex-acma'!$C$6:$C$30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4-4EA1-8C95-E5DE7942CA8F}"/>
            </c:ext>
          </c:extLst>
        </c:ser>
        <c:ser>
          <c:idx val="1"/>
          <c:order val="1"/>
          <c:tx>
            <c:strRef>
              <c:f>'orcaflex-acma'!$C$36</c:f>
              <c:strCache>
                <c:ptCount val="1"/>
                <c:pt idx="0">
                  <c:v>topoDomain-long-FST1-Cy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'orcaflex-acma'!$A$37:$A$61</c:f>
              <c:numCache>
                <c:formatCode>General</c:formatCode>
                <c:ptCount val="25"/>
              </c:numCache>
            </c:numRef>
          </c:xVal>
          <c:yVal>
            <c:numRef>
              <c:f>'orcaflex-acma'!$C$37:$C$41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34-4EA1-8C95-E5DE7942CA8F}"/>
            </c:ext>
          </c:extLst>
        </c:ser>
        <c:ser>
          <c:idx val="2"/>
          <c:order val="2"/>
          <c:tx>
            <c:strRef>
              <c:f>'orcaflex-acma'!$K$5</c:f>
              <c:strCache>
                <c:ptCount val="1"/>
                <c:pt idx="0">
                  <c:v>Open Domain FST2 (Long/trans) factors-Cy [-]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'orcaflex-acma'!$I$6:$I$11</c:f>
              <c:numCache>
                <c:formatCode>General</c:formatCode>
                <c:ptCount val="6"/>
              </c:numCache>
            </c:numRef>
          </c:xVal>
          <c:yVal>
            <c:numRef>
              <c:f>'orcaflex-acma'!$K$6:$K$30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34-4EA1-8C95-E5DE7942CA8F}"/>
            </c:ext>
          </c:extLst>
        </c:ser>
        <c:ser>
          <c:idx val="3"/>
          <c:order val="3"/>
          <c:tx>
            <c:strRef>
              <c:f>'orcaflex-acma'!$K$36</c:f>
              <c:strCache>
                <c:ptCount val="1"/>
                <c:pt idx="0">
                  <c:v>topoDomain-long-FST2-Cy [-]</c:v>
                </c:pt>
              </c:strCache>
            </c:strRef>
          </c:tx>
          <c:spPr>
            <a:ln w="19080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'orcaflex-acma'!$I$37:$I$41</c:f>
              <c:numCache>
                <c:formatCode>General</c:formatCode>
                <c:ptCount val="5"/>
              </c:numCache>
            </c:numRef>
          </c:xVal>
          <c:yVal>
            <c:numRef>
              <c:f>'orcaflex-acma'!$K$37:$K$61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34-4EA1-8C95-E5DE7942C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4836"/>
        <c:axId val="19858482"/>
      </c:scatterChart>
      <c:valAx>
        <c:axId val="11134836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58482"/>
        <c:crosses val="autoZero"/>
        <c:crossBetween val="midCat"/>
        <c:majorUnit val="45"/>
        <c:minorUnit val="15"/>
      </c:valAx>
      <c:valAx>
        <c:axId val="198584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1348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'orcaflex-acma'!$B$98</c:f>
              <c:strCache>
                <c:ptCount val="1"/>
                <c:pt idx="0">
                  <c:v>openDomain-long-Light-FST1-Cx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'orcaflex-acma'!$A$99:$A$122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'orcaflex-acma'!$B$99:$B$122</c:f>
              <c:numCache>
                <c:formatCode>0.000</c:formatCode>
                <c:ptCount val="24"/>
                <c:pt idx="0">
                  <c:v>0.81123761476258704</c:v>
                </c:pt>
                <c:pt idx="1">
                  <c:v>0.81107607551592908</c:v>
                </c:pt>
                <c:pt idx="2">
                  <c:v>0.50023270214208415</c:v>
                </c:pt>
                <c:pt idx="3">
                  <c:v>0.27389065980751132</c:v>
                </c:pt>
                <c:pt idx="4">
                  <c:v>5.2202002116892514E-2</c:v>
                </c:pt>
                <c:pt idx="5">
                  <c:v>-1.0500459255048453E-2</c:v>
                </c:pt>
                <c:pt idx="6">
                  <c:v>-0.17310642225815909</c:v>
                </c:pt>
                <c:pt idx="7">
                  <c:v>-4.5476952914842529E-2</c:v>
                </c:pt>
                <c:pt idx="8">
                  <c:v>-3.771950834287633E-2</c:v>
                </c:pt>
                <c:pt idx="9">
                  <c:v>-0.1537803309033719</c:v>
                </c:pt>
                <c:pt idx="10">
                  <c:v>-0.22871788589617095</c:v>
                </c:pt>
                <c:pt idx="11">
                  <c:v>-0.29598151917350374</c:v>
                </c:pt>
                <c:pt idx="12">
                  <c:v>-0.17973342291245667</c:v>
                </c:pt>
                <c:pt idx="13">
                  <c:v>-0.66951348622626006</c:v>
                </c:pt>
                <c:pt idx="14">
                  <c:v>-0.50444916098767589</c:v>
                </c:pt>
                <c:pt idx="15">
                  <c:v>-0.32277978626843556</c:v>
                </c:pt>
                <c:pt idx="16">
                  <c:v>-0.13943987089342857</c:v>
                </c:pt>
                <c:pt idx="17">
                  <c:v>-0.40457193319277029</c:v>
                </c:pt>
                <c:pt idx="18">
                  <c:v>-0.28081580798741324</c:v>
                </c:pt>
                <c:pt idx="19">
                  <c:v>0.10324630767335627</c:v>
                </c:pt>
                <c:pt idx="20">
                  <c:v>0.13776436731877556</c:v>
                </c:pt>
                <c:pt idx="21">
                  <c:v>0.44049154741575453</c:v>
                </c:pt>
                <c:pt idx="22">
                  <c:v>0.69739249531362812</c:v>
                </c:pt>
                <c:pt idx="23">
                  <c:v>1.0023117037525273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5D-4555-B336-91A145E9B48E}"/>
            </c:ext>
          </c:extLst>
        </c:ser>
        <c:ser>
          <c:idx val="1"/>
          <c:order val="1"/>
          <c:tx>
            <c:strRef>
              <c:f>'orcaflex-acma'!$J$98</c:f>
              <c:strCache>
                <c:ptCount val="1"/>
                <c:pt idx="0">
                  <c:v>openDomain-long-Light-FST2-Cx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5D-4555-B336-91A145E9B48E}"/>
            </c:ext>
          </c:extLst>
        </c:ser>
        <c:ser>
          <c:idx val="2"/>
          <c:order val="2"/>
          <c:tx>
            <c:strRef>
              <c:f>'orcaflex-acma'!$B$129</c:f>
              <c:strCache>
                <c:ptCount val="1"/>
                <c:pt idx="0">
                  <c:v>openDomain-long-full-LNGC-light-FST1-Cx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'orcaflex-acma'!$B$130:$B$154</c:f>
              <c:numCache>
                <c:formatCode>0.000</c:formatCode>
                <c:ptCount val="25"/>
                <c:pt idx="0">
                  <c:v>0.8920955444155203</c:v>
                </c:pt>
                <c:pt idx="1">
                  <c:v>0.77974430361761271</c:v>
                </c:pt>
                <c:pt idx="2">
                  <c:v>0.50097034928061357</c:v>
                </c:pt>
                <c:pt idx="3">
                  <c:v>0.29673848386764889</c:v>
                </c:pt>
                <c:pt idx="4">
                  <c:v>7.9415749044620232E-2</c:v>
                </c:pt>
                <c:pt idx="5">
                  <c:v>9.391522953083406E-2</c:v>
                </c:pt>
                <c:pt idx="6">
                  <c:v>-3.0661444946451386E-2</c:v>
                </c:pt>
                <c:pt idx="7">
                  <c:v>-3.7886402517717702E-2</c:v>
                </c:pt>
                <c:pt idx="8">
                  <c:v>-4.7603522876586202E-2</c:v>
                </c:pt>
                <c:pt idx="9">
                  <c:v>-0.16543602623348283</c:v>
                </c:pt>
                <c:pt idx="10">
                  <c:v>-0.23739702131244031</c:v>
                </c:pt>
                <c:pt idx="11">
                  <c:v>-0.30441397580531182</c:v>
                </c:pt>
                <c:pt idx="12">
                  <c:v>-0.18136453656125834</c:v>
                </c:pt>
                <c:pt idx="13">
                  <c:v>-0.49443054026511635</c:v>
                </c:pt>
                <c:pt idx="14">
                  <c:v>-0.2230400475947695</c:v>
                </c:pt>
                <c:pt idx="15">
                  <c:v>-0.19003521072884128</c:v>
                </c:pt>
                <c:pt idx="16">
                  <c:v>-6.6537551573926407E-2</c:v>
                </c:pt>
                <c:pt idx="17">
                  <c:v>-6.6746706087107116E-2</c:v>
                </c:pt>
                <c:pt idx="18">
                  <c:v>0.15668340453668009</c:v>
                </c:pt>
                <c:pt idx="19">
                  <c:v>0.21585838109610098</c:v>
                </c:pt>
                <c:pt idx="20">
                  <c:v>0.13634291843768695</c:v>
                </c:pt>
                <c:pt idx="21">
                  <c:v>0.42539593211934051</c:v>
                </c:pt>
                <c:pt idx="22">
                  <c:v>0.69052468794955235</c:v>
                </c:pt>
                <c:pt idx="23">
                  <c:v>1.0500471082219376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5D-4555-B336-91A145E9B48E}"/>
            </c:ext>
          </c:extLst>
        </c:ser>
        <c:ser>
          <c:idx val="3"/>
          <c:order val="3"/>
          <c:tx>
            <c:strRef>
              <c:f>'orcaflex-acma'!$J$129</c:f>
              <c:strCache>
                <c:ptCount val="1"/>
                <c:pt idx="0">
                  <c:v>openDomain-long-full-LNGC-light-FST2-Cx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'orcaflex-acma'!$J$130:$J$154</c:f>
              <c:numCache>
                <c:formatCode>0.000</c:formatCode>
                <c:ptCount val="25"/>
                <c:pt idx="0">
                  <c:v>0.74523754107757878</c:v>
                </c:pt>
                <c:pt idx="1">
                  <c:v>0.7444265183103127</c:v>
                </c:pt>
                <c:pt idx="2">
                  <c:v>0.7127488130562889</c:v>
                </c:pt>
                <c:pt idx="3">
                  <c:v>0.49593116228760786</c:v>
                </c:pt>
                <c:pt idx="4">
                  <c:v>8.3605492823558517E-2</c:v>
                </c:pt>
                <c:pt idx="5">
                  <c:v>0.18205260240456278</c:v>
                </c:pt>
                <c:pt idx="6">
                  <c:v>-0.19993613412297287</c:v>
                </c:pt>
                <c:pt idx="7">
                  <c:v>-0.17823890479944013</c:v>
                </c:pt>
                <c:pt idx="8">
                  <c:v>-6.0562446736328955E-2</c:v>
                </c:pt>
                <c:pt idx="9">
                  <c:v>-0.45236286954170574</c:v>
                </c:pt>
                <c:pt idx="10">
                  <c:v>-0.54691425292673257</c:v>
                </c:pt>
                <c:pt idx="11">
                  <c:v>-0.48262391813708094</c:v>
                </c:pt>
                <c:pt idx="12">
                  <c:v>-0.23283094049548267</c:v>
                </c:pt>
                <c:pt idx="13">
                  <c:v>-0.28298732890916328</c:v>
                </c:pt>
                <c:pt idx="14">
                  <c:v>-0.29259178557522403</c:v>
                </c:pt>
                <c:pt idx="15">
                  <c:v>-0.22559164944345392</c:v>
                </c:pt>
                <c:pt idx="16">
                  <c:v>-2.4595358526772373E-2</c:v>
                </c:pt>
                <c:pt idx="17">
                  <c:v>-8.0088669854806477E-2</c:v>
                </c:pt>
                <c:pt idx="18">
                  <c:v>-4.8486807748704092E-2</c:v>
                </c:pt>
                <c:pt idx="19">
                  <c:v>3.5065356998295549E-2</c:v>
                </c:pt>
                <c:pt idx="20">
                  <c:v>6.2811441129175277E-2</c:v>
                </c:pt>
                <c:pt idx="21">
                  <c:v>0.51957489153842373</c:v>
                </c:pt>
                <c:pt idx="22">
                  <c:v>0.67825458776148073</c:v>
                </c:pt>
                <c:pt idx="23">
                  <c:v>0.79822490036749738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5D-4555-B336-91A145E9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3728"/>
        <c:axId val="58898008"/>
      </c:scatterChart>
      <c:valAx>
        <c:axId val="8543728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8898008"/>
        <c:crosses val="autoZero"/>
        <c:crossBetween val="midCat"/>
        <c:majorUnit val="45"/>
        <c:minorUnit val="15"/>
      </c:valAx>
      <c:valAx>
        <c:axId val="588980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4372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'orcaflex-acma'!$C$98</c:f>
              <c:strCache>
                <c:ptCount val="1"/>
                <c:pt idx="0">
                  <c:v>openDomain-long-Light-FST1-Cy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'orcaflex-acma'!$A$99:$A$122</c:f>
              <c:numCache>
                <c:formatCode>General</c:formatCode>
                <c:ptCount val="2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'orcaflex-acma'!$C$99:$C$122</c:f>
              <c:numCache>
                <c:formatCode>0.000</c:formatCode>
                <c:ptCount val="24"/>
                <c:pt idx="0">
                  <c:v>3.313498455269303E-2</c:v>
                </c:pt>
                <c:pt idx="1">
                  <c:v>0.21352984445305348</c:v>
                </c:pt>
                <c:pt idx="2">
                  <c:v>0.55424277842039205</c:v>
                </c:pt>
                <c:pt idx="3">
                  <c:v>0.92225977396387882</c:v>
                </c:pt>
                <c:pt idx="4">
                  <c:v>1.2528260179681863</c:v>
                </c:pt>
                <c:pt idx="5">
                  <c:v>1.251575033860205</c:v>
                </c:pt>
                <c:pt idx="6">
                  <c:v>1.0868919624793183</c:v>
                </c:pt>
                <c:pt idx="7">
                  <c:v>0.94079421666212548</c:v>
                </c:pt>
                <c:pt idx="8">
                  <c:v>0.80144923170379678</c:v>
                </c:pt>
                <c:pt idx="9">
                  <c:v>0.56118987893530581</c:v>
                </c:pt>
                <c:pt idx="10">
                  <c:v>0.31871300898045962</c:v>
                </c:pt>
                <c:pt idx="11">
                  <c:v>9.9898163901526948E-2</c:v>
                </c:pt>
                <c:pt idx="12">
                  <c:v>1.069471695154617E-3</c:v>
                </c:pt>
                <c:pt idx="13">
                  <c:v>-0.16273091032669537</c:v>
                </c:pt>
                <c:pt idx="14">
                  <c:v>-0.35842049519945629</c:v>
                </c:pt>
                <c:pt idx="15">
                  <c:v>-0.60480998321408241</c:v>
                </c:pt>
                <c:pt idx="16">
                  <c:v>-0.79547344402048403</c:v>
                </c:pt>
                <c:pt idx="17">
                  <c:v>-0.87949420614767093</c:v>
                </c:pt>
                <c:pt idx="18">
                  <c:v>-1.0238709387462637</c:v>
                </c:pt>
                <c:pt idx="19">
                  <c:v>-1.1574253788453515</c:v>
                </c:pt>
                <c:pt idx="20">
                  <c:v>-1.0410154624672774</c:v>
                </c:pt>
                <c:pt idx="21">
                  <c:v>-0.80608454261229601</c:v>
                </c:pt>
                <c:pt idx="22">
                  <c:v>-0.46180886950574579</c:v>
                </c:pt>
                <c:pt idx="23">
                  <c:v>-0.15907788415476293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2-44FB-9F9F-CE83EB2F7F73}"/>
            </c:ext>
          </c:extLst>
        </c:ser>
        <c:ser>
          <c:idx val="1"/>
          <c:order val="1"/>
          <c:tx>
            <c:strRef>
              <c:f>'orcaflex-acma'!$K$98</c:f>
              <c:strCache>
                <c:ptCount val="1"/>
                <c:pt idx="0">
                  <c:v>openDomain-long-Light-FST2-Cy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C2-44FB-9F9F-CE83EB2F7F73}"/>
            </c:ext>
          </c:extLst>
        </c:ser>
        <c:ser>
          <c:idx val="2"/>
          <c:order val="2"/>
          <c:tx>
            <c:strRef>
              <c:f>'orcaflex-acma'!$C$129</c:f>
              <c:strCache>
                <c:ptCount val="1"/>
                <c:pt idx="0">
                  <c:v>openDomain-long-full-LNGC-light-FST1-Cy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'orcaflex-acma'!$C$130:$C$154</c:f>
              <c:numCache>
                <c:formatCode>0.000</c:formatCode>
                <c:ptCount val="25"/>
                <c:pt idx="0">
                  <c:v>4.3417601295727857E-3</c:v>
                </c:pt>
                <c:pt idx="1">
                  <c:v>0.19179351188720481</c:v>
                </c:pt>
                <c:pt idx="2">
                  <c:v>0.52236576592096462</c:v>
                </c:pt>
                <c:pt idx="3">
                  <c:v>0.87867340811195771</c:v>
                </c:pt>
                <c:pt idx="4">
                  <c:v>1.2172198731611918</c:v>
                </c:pt>
                <c:pt idx="5">
                  <c:v>1.2738060754016105</c:v>
                </c:pt>
                <c:pt idx="6">
                  <c:v>1.1010673146503713</c:v>
                </c:pt>
                <c:pt idx="7">
                  <c:v>0.92561666716406121</c:v>
                </c:pt>
                <c:pt idx="8">
                  <c:v>0.79471031839459216</c:v>
                </c:pt>
                <c:pt idx="9">
                  <c:v>0.57265269931638318</c:v>
                </c:pt>
                <c:pt idx="10">
                  <c:v>0.31747294290300521</c:v>
                </c:pt>
                <c:pt idx="11">
                  <c:v>9.8037080796873427E-2</c:v>
                </c:pt>
                <c:pt idx="12">
                  <c:v>8.6152820706655048E-3</c:v>
                </c:pt>
                <c:pt idx="13">
                  <c:v>-0.13035303079316454</c:v>
                </c:pt>
                <c:pt idx="14">
                  <c:v>-0.17547966543309407</c:v>
                </c:pt>
                <c:pt idx="15">
                  <c:v>-0.37844882183208794</c:v>
                </c:pt>
                <c:pt idx="16">
                  <c:v>-0.43434726662649292</c:v>
                </c:pt>
                <c:pt idx="17">
                  <c:v>-0.55917625086173628</c:v>
                </c:pt>
                <c:pt idx="18">
                  <c:v>-0.68059907542870879</c:v>
                </c:pt>
                <c:pt idx="19">
                  <c:v>-0.79758294508685079</c:v>
                </c:pt>
                <c:pt idx="20">
                  <c:v>-0.8436213849160844</c:v>
                </c:pt>
                <c:pt idx="21">
                  <c:v>-0.66767570648565144</c:v>
                </c:pt>
                <c:pt idx="22">
                  <c:v>-0.42449411085101391</c:v>
                </c:pt>
                <c:pt idx="23">
                  <c:v>-0.18502223024011757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C2-44FB-9F9F-CE83EB2F7F73}"/>
            </c:ext>
          </c:extLst>
        </c:ser>
        <c:ser>
          <c:idx val="3"/>
          <c:order val="3"/>
          <c:tx>
            <c:strRef>
              <c:f>'orcaflex-acma'!$K$129</c:f>
              <c:strCache>
                <c:ptCount val="1"/>
                <c:pt idx="0">
                  <c:v>openDomain-long-full-LNGC-light-FST2-Cy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'orcaflex-acma'!$I$130:$I$154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</c:numCache>
            </c:numRef>
          </c:xVal>
          <c:yVal>
            <c:numRef>
              <c:f>'orcaflex-acma'!$K$130:$K$154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9.6404169295209952E-2</c:v>
                </c:pt>
                <c:pt idx="2">
                  <c:v>0.22862798022453668</c:v>
                </c:pt>
                <c:pt idx="3">
                  <c:v>0.2585179994245777</c:v>
                </c:pt>
                <c:pt idx="4">
                  <c:v>0.2778756697321636</c:v>
                </c:pt>
                <c:pt idx="5">
                  <c:v>0.16409331638386865</c:v>
                </c:pt>
                <c:pt idx="6">
                  <c:v>-0.14978942307065796</c:v>
                </c:pt>
                <c:pt idx="7">
                  <c:v>-5.6996132813126023E-2</c:v>
                </c:pt>
                <c:pt idx="8">
                  <c:v>0.20820593582145863</c:v>
                </c:pt>
                <c:pt idx="9">
                  <c:v>0.27522905014392851</c:v>
                </c:pt>
                <c:pt idx="10">
                  <c:v>0.22189221951176519</c:v>
                </c:pt>
                <c:pt idx="11">
                  <c:v>0.11412996379946054</c:v>
                </c:pt>
                <c:pt idx="12">
                  <c:v>1.5060106571838686E-2</c:v>
                </c:pt>
                <c:pt idx="13">
                  <c:v>-9.5236272365585795E-2</c:v>
                </c:pt>
                <c:pt idx="14">
                  <c:v>-0.34077902586507985</c:v>
                </c:pt>
                <c:pt idx="15">
                  <c:v>-0.62188462642368014</c:v>
                </c:pt>
                <c:pt idx="16">
                  <c:v>-0.87325186277180256</c:v>
                </c:pt>
                <c:pt idx="17">
                  <c:v>-0.97367162963430831</c:v>
                </c:pt>
                <c:pt idx="18">
                  <c:v>-1.1130393649259578</c:v>
                </c:pt>
                <c:pt idx="19">
                  <c:v>-1.215327831253102</c:v>
                </c:pt>
                <c:pt idx="20">
                  <c:v>-1.1466672095863408</c:v>
                </c:pt>
                <c:pt idx="21">
                  <c:v>-0.83658486032283685</c:v>
                </c:pt>
                <c:pt idx="22">
                  <c:v>-0.51141300739667939</c:v>
                </c:pt>
                <c:pt idx="23">
                  <c:v>-0.18832650344808199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C2-44FB-9F9F-CE83EB2F7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08602"/>
        <c:axId val="34863820"/>
      </c:scatterChart>
      <c:valAx>
        <c:axId val="78508602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863820"/>
        <c:crosses val="autoZero"/>
        <c:crossBetween val="midCat"/>
        <c:majorUnit val="45"/>
        <c:minorUnit val="15"/>
      </c:valAx>
      <c:valAx>
        <c:axId val="348638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50860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'longitudinal-acma'!$A$99:$A$105</c:f>
              <c:numCache>
                <c:formatCode>General</c:formatCode>
                <c:ptCount val="7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</c:numCache>
            </c:numRef>
          </c:xVal>
          <c:yVal>
            <c:numRef>
              <c:f>'longitudinal-acma'!$B$99:$B$123</c:f>
              <c:numCache>
                <c:formatCode>0.000</c:formatCode>
                <c:ptCount val="25"/>
                <c:pt idx="0">
                  <c:v>-0.17973342291245667</c:v>
                </c:pt>
                <c:pt idx="1">
                  <c:v>-0.66951348622626006</c:v>
                </c:pt>
                <c:pt idx="2">
                  <c:v>-0.50444916098767589</c:v>
                </c:pt>
                <c:pt idx="3">
                  <c:v>-0.32277978626843556</c:v>
                </c:pt>
                <c:pt idx="4">
                  <c:v>-0.13943987089342857</c:v>
                </c:pt>
                <c:pt idx="5">
                  <c:v>-0.40457193319277029</c:v>
                </c:pt>
                <c:pt idx="6">
                  <c:v>-0.28081580798741324</c:v>
                </c:pt>
                <c:pt idx="7">
                  <c:v>0.10324630767335627</c:v>
                </c:pt>
                <c:pt idx="8">
                  <c:v>0.13776436731877556</c:v>
                </c:pt>
                <c:pt idx="9">
                  <c:v>0.44049154741575453</c:v>
                </c:pt>
                <c:pt idx="10">
                  <c:v>0.69739249531362812</c:v>
                </c:pt>
                <c:pt idx="11">
                  <c:v>1.0023117037525273</c:v>
                </c:pt>
                <c:pt idx="12">
                  <c:v>0.81123761476258704</c:v>
                </c:pt>
                <c:pt idx="13">
                  <c:v>0.81107607551592908</c:v>
                </c:pt>
                <c:pt idx="14">
                  <c:v>0.50023270214208415</c:v>
                </c:pt>
                <c:pt idx="15">
                  <c:v>0.27389065980751132</c:v>
                </c:pt>
                <c:pt idx="16">
                  <c:v>5.2202002116892514E-2</c:v>
                </c:pt>
                <c:pt idx="17">
                  <c:v>-1.0500459255048453E-2</c:v>
                </c:pt>
                <c:pt idx="18">
                  <c:v>-0.17310642225815909</c:v>
                </c:pt>
                <c:pt idx="19">
                  <c:v>-4.5476952914842529E-2</c:v>
                </c:pt>
                <c:pt idx="20">
                  <c:v>-3.771950834287633E-2</c:v>
                </c:pt>
                <c:pt idx="21">
                  <c:v>-0.1537803309033719</c:v>
                </c:pt>
                <c:pt idx="22">
                  <c:v>-0.22871788589617095</c:v>
                </c:pt>
                <c:pt idx="23">
                  <c:v>-0.29598151917350374</c:v>
                </c:pt>
                <c:pt idx="24">
                  <c:v>-0.17973342291245667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1-48FD-A503-A1586413D07C}"/>
            </c:ext>
          </c:extLst>
        </c:ser>
        <c:ser>
          <c:idx val="1"/>
          <c:order val="1"/>
          <c:tx>
            <c:strRef>
              <c:f>'longitudinal-acma'!$B$67</c:f>
              <c:strCache>
                <c:ptCount val="1"/>
                <c:pt idx="0">
                  <c:v>topoDomain-trans-FST1-Cx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'longitudinal-acma'!$A$68:$A$92</c:f>
              <c:numCache>
                <c:formatCode>General</c:formatCode>
                <c:ptCount val="25"/>
              </c:numCache>
            </c:numRef>
          </c:xVal>
          <c:yVal>
            <c:numRef>
              <c:f>'longitudinal-acma'!$B$68:$B$72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01-48FD-A503-A1586413D07C}"/>
            </c:ext>
          </c:extLst>
        </c:ser>
        <c:ser>
          <c:idx val="2"/>
          <c:order val="2"/>
          <c:tx>
            <c:strRef>
              <c:f>'longitudinal-acma'!$J$98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01-48FD-A503-A1586413D07C}"/>
            </c:ext>
          </c:extLst>
        </c:ser>
        <c:ser>
          <c:idx val="3"/>
          <c:order val="3"/>
          <c:tx>
            <c:strRef>
              <c:f>'longitudinal-acma'!$J$67</c:f>
              <c:strCache>
                <c:ptCount val="1"/>
                <c:pt idx="0">
                  <c:v>topoDomain-trans-FST2-Cx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'longitudinal-acma'!$I$68:$I$72</c:f>
              <c:numCache>
                <c:formatCode>General</c:formatCode>
                <c:ptCount val="5"/>
              </c:numCache>
            </c:numRef>
          </c:xVal>
          <c:yVal>
            <c:numRef>
              <c:f>'longitudinal-acma'!$J$68:$J$92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01-48FD-A503-A1586413D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0368"/>
        <c:axId val="86347593"/>
      </c:scatterChart>
      <c:valAx>
        <c:axId val="8750368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347593"/>
        <c:crosses val="autoZero"/>
        <c:crossBetween val="midCat"/>
        <c:majorUnit val="45"/>
        <c:minorUnit val="15"/>
      </c:valAx>
      <c:valAx>
        <c:axId val="863475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5036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'longitudinal-acma'!$B$129</c:f>
              <c:strCache>
                <c:ptCount val="1"/>
                <c:pt idx="0">
                  <c:v>openDomain-long-LNGC-FST1-Cx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'longitudinal-acma'!$A$130:$A$154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'longitudinal-acma'!$B$130:$B$154</c:f>
              <c:numCache>
                <c:formatCode>0.000</c:formatCode>
                <c:ptCount val="25"/>
                <c:pt idx="0">
                  <c:v>-0.18136453656125834</c:v>
                </c:pt>
                <c:pt idx="1">
                  <c:v>-0.49443054026511635</c:v>
                </c:pt>
                <c:pt idx="2">
                  <c:v>-0.2230400475947695</c:v>
                </c:pt>
                <c:pt idx="3">
                  <c:v>-0.19003521072884128</c:v>
                </c:pt>
                <c:pt idx="4">
                  <c:v>-6.6537551573926407E-2</c:v>
                </c:pt>
                <c:pt idx="5">
                  <c:v>-6.6746706087107116E-2</c:v>
                </c:pt>
                <c:pt idx="6">
                  <c:v>0.15668340453668009</c:v>
                </c:pt>
                <c:pt idx="7">
                  <c:v>0.21585838109610098</c:v>
                </c:pt>
                <c:pt idx="8">
                  <c:v>0.13634291843768695</c:v>
                </c:pt>
                <c:pt idx="9">
                  <c:v>0.42539593211934051</c:v>
                </c:pt>
                <c:pt idx="10">
                  <c:v>0.69052468794955235</c:v>
                </c:pt>
                <c:pt idx="11">
                  <c:v>1.0500471082219376</c:v>
                </c:pt>
                <c:pt idx="12">
                  <c:v>0.8920955444155203</c:v>
                </c:pt>
                <c:pt idx="13">
                  <c:v>0.77974430361761271</c:v>
                </c:pt>
                <c:pt idx="14">
                  <c:v>0.50097034928061357</c:v>
                </c:pt>
                <c:pt idx="15">
                  <c:v>0.29673848386764889</c:v>
                </c:pt>
                <c:pt idx="16">
                  <c:v>7.9415749044620232E-2</c:v>
                </c:pt>
                <c:pt idx="17">
                  <c:v>9.391522953083406E-2</c:v>
                </c:pt>
                <c:pt idx="18">
                  <c:v>-3.0661444946451386E-2</c:v>
                </c:pt>
                <c:pt idx="19">
                  <c:v>-3.7886402517717702E-2</c:v>
                </c:pt>
                <c:pt idx="20">
                  <c:v>-4.7603522876586202E-2</c:v>
                </c:pt>
                <c:pt idx="21">
                  <c:v>-0.16543602623348283</c:v>
                </c:pt>
                <c:pt idx="22">
                  <c:v>-0.23739702131244031</c:v>
                </c:pt>
                <c:pt idx="23">
                  <c:v>-0.30441397580531182</c:v>
                </c:pt>
                <c:pt idx="24">
                  <c:v>-0.18136453656125834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D-4B11-91F9-5839663BDA63}"/>
            </c:ext>
          </c:extLst>
        </c:ser>
        <c:ser>
          <c:idx val="1"/>
          <c:order val="1"/>
          <c:tx>
            <c:strRef>
              <c:f>'longitudinal-acma'!$J$129</c:f>
              <c:strCache>
                <c:ptCount val="1"/>
                <c:pt idx="0">
                  <c:v>openDomain-long-LNGC-FST2-Cx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'longitudinal-acma'!$J$130:$J$154</c:f>
              <c:numCache>
                <c:formatCode>0.000</c:formatCode>
                <c:ptCount val="25"/>
                <c:pt idx="0">
                  <c:v>0.74523754107757878</c:v>
                </c:pt>
                <c:pt idx="1">
                  <c:v>0.7444265183103127</c:v>
                </c:pt>
                <c:pt idx="2">
                  <c:v>0.7127488130562889</c:v>
                </c:pt>
                <c:pt idx="3">
                  <c:v>0.49593116228760786</c:v>
                </c:pt>
                <c:pt idx="4">
                  <c:v>8.3605492823558517E-2</c:v>
                </c:pt>
                <c:pt idx="5">
                  <c:v>0.18205260240456278</c:v>
                </c:pt>
                <c:pt idx="6">
                  <c:v>-0.19993613412297287</c:v>
                </c:pt>
                <c:pt idx="7">
                  <c:v>-0.17823890479944013</c:v>
                </c:pt>
                <c:pt idx="8">
                  <c:v>-6.0562446736328955E-2</c:v>
                </c:pt>
                <c:pt idx="9">
                  <c:v>-0.45236286954170574</c:v>
                </c:pt>
                <c:pt idx="10">
                  <c:v>-0.54691425292673257</c:v>
                </c:pt>
                <c:pt idx="11">
                  <c:v>-0.48262391813708094</c:v>
                </c:pt>
                <c:pt idx="12">
                  <c:v>-0.23283094049548267</c:v>
                </c:pt>
                <c:pt idx="13">
                  <c:v>-0.28298732890916328</c:v>
                </c:pt>
                <c:pt idx="14">
                  <c:v>-0.29259178557522403</c:v>
                </c:pt>
                <c:pt idx="15">
                  <c:v>-0.22559164944345392</c:v>
                </c:pt>
                <c:pt idx="16">
                  <c:v>-2.4595358526772373E-2</c:v>
                </c:pt>
                <c:pt idx="17">
                  <c:v>-8.0088669854806477E-2</c:v>
                </c:pt>
                <c:pt idx="18">
                  <c:v>-4.8486807748704092E-2</c:v>
                </c:pt>
                <c:pt idx="19">
                  <c:v>3.5065356998295549E-2</c:v>
                </c:pt>
                <c:pt idx="20">
                  <c:v>6.2811441129175277E-2</c:v>
                </c:pt>
                <c:pt idx="21">
                  <c:v>0.51957489153842373</c:v>
                </c:pt>
                <c:pt idx="22">
                  <c:v>0.67825458776148073</c:v>
                </c:pt>
                <c:pt idx="23">
                  <c:v>0.79822490036749738</c:v>
                </c:pt>
                <c:pt idx="24">
                  <c:v>0.74523754107757878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0D-4B11-91F9-5839663BDA63}"/>
            </c:ext>
          </c:extLst>
        </c:ser>
        <c:ser>
          <c:idx val="2"/>
          <c:order val="2"/>
          <c:tx>
            <c:strRef>
              <c:f>'longitudinal-acma'!$R$129</c:f>
              <c:strCache>
                <c:ptCount val="1"/>
                <c:pt idx="0">
                  <c:v>openDomain-long-LNGC-LNGC-Cx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'longitudinal-acma'!$Q$130:$Q$154</c:f>
              <c:numCache>
                <c:formatCode>General</c:formatCode>
                <c:ptCount val="25"/>
              </c:numCache>
            </c:numRef>
          </c:xVal>
          <c:yVal>
            <c:numRef>
              <c:f>'longitudinal-acma'!$R$130:$R$154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0D-4B11-91F9-5839663BDA63}"/>
            </c:ext>
          </c:extLst>
        </c:ser>
        <c:ser>
          <c:idx val="3"/>
          <c:order val="3"/>
          <c:tx>
            <c:strRef>
              <c:f>'longitudinal-acma'!$B$191</c:f>
              <c:strCache>
                <c:ptCount val="1"/>
                <c:pt idx="0">
                  <c:v>openDomain-long-full-LNGC-FST1-Cx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'longitudinal-acma'!$A$192:$A$216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'longitudinal-acma'!$B$192:$B$216</c:f>
              <c:numCache>
                <c:formatCode>0.000</c:formatCode>
                <c:ptCount val="25"/>
                <c:pt idx="0">
                  <c:v>-0.17568708473902206</c:v>
                </c:pt>
                <c:pt idx="1">
                  <c:v>-0.47098985635084273</c:v>
                </c:pt>
                <c:pt idx="2">
                  <c:v>-0.15144137094487492</c:v>
                </c:pt>
                <c:pt idx="3">
                  <c:v>-0.11005243598730736</c:v>
                </c:pt>
                <c:pt idx="4">
                  <c:v>-5.7231754565363925E-2</c:v>
                </c:pt>
                <c:pt idx="5">
                  <c:v>-0.11745215319608615</c:v>
                </c:pt>
                <c:pt idx="6">
                  <c:v>-4.9773139194543771E-2</c:v>
                </c:pt>
                <c:pt idx="7">
                  <c:v>0.27382936477624009</c:v>
                </c:pt>
                <c:pt idx="8">
                  <c:v>0.13988793181949058</c:v>
                </c:pt>
                <c:pt idx="9">
                  <c:v>0.45313688267808255</c:v>
                </c:pt>
                <c:pt idx="10">
                  <c:v>0.74834761882340284</c:v>
                </c:pt>
                <c:pt idx="11">
                  <c:v>1.1742869704440577</c:v>
                </c:pt>
                <c:pt idx="12">
                  <c:v>1.0326107359246517</c:v>
                </c:pt>
                <c:pt idx="13">
                  <c:v>0.8506334705561529</c:v>
                </c:pt>
                <c:pt idx="14">
                  <c:v>0.52485040240031688</c:v>
                </c:pt>
                <c:pt idx="15">
                  <c:v>0.31701990741250269</c:v>
                </c:pt>
                <c:pt idx="16">
                  <c:v>9.9835423851485042E-2</c:v>
                </c:pt>
                <c:pt idx="17">
                  <c:v>0.15079172924458056</c:v>
                </c:pt>
                <c:pt idx="18">
                  <c:v>-3.0428437494667844E-2</c:v>
                </c:pt>
                <c:pt idx="19">
                  <c:v>-0.1367265906684324</c:v>
                </c:pt>
                <c:pt idx="20">
                  <c:v>-7.9000194582958677E-2</c:v>
                </c:pt>
                <c:pt idx="21">
                  <c:v>-0.2207744242965933</c:v>
                </c:pt>
                <c:pt idx="22">
                  <c:v>-0.25717369100531973</c:v>
                </c:pt>
                <c:pt idx="23">
                  <c:v>-0.27533933085705375</c:v>
                </c:pt>
                <c:pt idx="24">
                  <c:v>-0.17568708473902206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D-4B11-91F9-5839663BDA63}"/>
            </c:ext>
          </c:extLst>
        </c:ser>
        <c:ser>
          <c:idx val="4"/>
          <c:order val="4"/>
          <c:tx>
            <c:strRef>
              <c:f>'longitudinal-acma'!$J$191</c:f>
              <c:strCache>
                <c:ptCount val="1"/>
                <c:pt idx="0">
                  <c:v>openDomain-long-LNGC-full-FST2-Cx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'longitudinal-acma'!$J$192:$J$216</c:f>
              <c:numCache>
                <c:formatCode>0.000</c:formatCode>
                <c:ptCount val="25"/>
                <c:pt idx="0">
                  <c:v>0.76392878875106263</c:v>
                </c:pt>
                <c:pt idx="1">
                  <c:v>0.72915187919297064</c:v>
                </c:pt>
                <c:pt idx="2">
                  <c:v>0.70323090510909636</c:v>
                </c:pt>
                <c:pt idx="3">
                  <c:v>0.4836912606129834</c:v>
                </c:pt>
                <c:pt idx="4">
                  <c:v>7.3312895500244377E-2</c:v>
                </c:pt>
                <c:pt idx="5">
                  <c:v>0.14961164699362781</c:v>
                </c:pt>
                <c:pt idx="6">
                  <c:v>-0.21922017881524056</c:v>
                </c:pt>
                <c:pt idx="7">
                  <c:v>-8.1673108704362701E-2</c:v>
                </c:pt>
                <c:pt idx="8">
                  <c:v>-3.8807797315235648E-2</c:v>
                </c:pt>
                <c:pt idx="9">
                  <c:v>-0.44268380266646035</c:v>
                </c:pt>
                <c:pt idx="10">
                  <c:v>-0.50584699859258575</c:v>
                </c:pt>
                <c:pt idx="11">
                  <c:v>-0.46292972791783066</c:v>
                </c:pt>
                <c:pt idx="12">
                  <c:v>-0.19602598534509319</c:v>
                </c:pt>
                <c:pt idx="13">
                  <c:v>-0.26632524355049342</c:v>
                </c:pt>
                <c:pt idx="14">
                  <c:v>-0.31873579764626164</c:v>
                </c:pt>
                <c:pt idx="15">
                  <c:v>-0.29505843946513194</c:v>
                </c:pt>
                <c:pt idx="16">
                  <c:v>-3.3451826581146218E-2</c:v>
                </c:pt>
                <c:pt idx="17">
                  <c:v>-9.416631867004488E-2</c:v>
                </c:pt>
                <c:pt idx="18">
                  <c:v>-9.378771071098236E-3</c:v>
                </c:pt>
                <c:pt idx="19">
                  <c:v>0.11418597805485389</c:v>
                </c:pt>
                <c:pt idx="20">
                  <c:v>8.6048229447250574E-2</c:v>
                </c:pt>
                <c:pt idx="21">
                  <c:v>0.56090862488394666</c:v>
                </c:pt>
                <c:pt idx="22">
                  <c:v>0.724527265143736</c:v>
                </c:pt>
                <c:pt idx="23">
                  <c:v>0.86613383167452207</c:v>
                </c:pt>
                <c:pt idx="24">
                  <c:v>0.76392878875106263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0D-4B11-91F9-5839663BDA63}"/>
            </c:ext>
          </c:extLst>
        </c:ser>
        <c:ser>
          <c:idx val="5"/>
          <c:order val="5"/>
          <c:tx>
            <c:strRef>
              <c:f>'longitudinal-acma'!$R$191</c:f>
              <c:strCache>
                <c:ptCount val="1"/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'longitudinal-acma'!$Q$192:$Q$216</c:f>
              <c:numCache>
                <c:formatCode>General</c:formatCode>
                <c:ptCount val="25"/>
              </c:numCache>
            </c:numRef>
          </c:xVal>
          <c:yVal>
            <c:numRef>
              <c:f>'longitudinal-acma'!$R$192:$R$216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0D-4B11-91F9-5839663BD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97816"/>
        <c:axId val="42463620"/>
      </c:scatterChart>
      <c:valAx>
        <c:axId val="22897816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463620"/>
        <c:crosses val="autoZero"/>
        <c:crossBetween val="midCat"/>
        <c:majorUnit val="45"/>
        <c:minorUnit val="15"/>
      </c:valAx>
      <c:valAx>
        <c:axId val="424636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289781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'longitudinal-acma'!$C$129</c:f>
              <c:strCache>
                <c:ptCount val="1"/>
                <c:pt idx="0">
                  <c:v>openDomain-long-LNGC-FST1-Cy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'longitudinal-acma'!$A$130:$A$154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'longitudinal-acma'!$C$130:$C$154</c:f>
              <c:numCache>
                <c:formatCode>0.000</c:formatCode>
                <c:ptCount val="25"/>
                <c:pt idx="0">
                  <c:v>8.6152820706655048E-3</c:v>
                </c:pt>
                <c:pt idx="1">
                  <c:v>-0.13035303079316454</c:v>
                </c:pt>
                <c:pt idx="2">
                  <c:v>-0.17547966543309407</c:v>
                </c:pt>
                <c:pt idx="3">
                  <c:v>-0.37844882183208794</c:v>
                </c:pt>
                <c:pt idx="4">
                  <c:v>-0.43434726662649292</c:v>
                </c:pt>
                <c:pt idx="5">
                  <c:v>-0.55917625086173628</c:v>
                </c:pt>
                <c:pt idx="6">
                  <c:v>-0.68059907542870879</c:v>
                </c:pt>
                <c:pt idx="7">
                  <c:v>-0.79758294508685079</c:v>
                </c:pt>
                <c:pt idx="8">
                  <c:v>-0.8436213849160844</c:v>
                </c:pt>
                <c:pt idx="9">
                  <c:v>-0.66767570648565144</c:v>
                </c:pt>
                <c:pt idx="10">
                  <c:v>-0.42449411085101391</c:v>
                </c:pt>
                <c:pt idx="11">
                  <c:v>-0.18502223024011757</c:v>
                </c:pt>
                <c:pt idx="12">
                  <c:v>4.3417601295727857E-3</c:v>
                </c:pt>
                <c:pt idx="13">
                  <c:v>0.19179351188720481</c:v>
                </c:pt>
                <c:pt idx="14">
                  <c:v>0.52236576592096462</c:v>
                </c:pt>
                <c:pt idx="15">
                  <c:v>0.87867340811195771</c:v>
                </c:pt>
                <c:pt idx="16">
                  <c:v>1.2172198731611918</c:v>
                </c:pt>
                <c:pt idx="17">
                  <c:v>1.2738060754016105</c:v>
                </c:pt>
                <c:pt idx="18">
                  <c:v>1.1010673146503713</c:v>
                </c:pt>
                <c:pt idx="19">
                  <c:v>0.92561666716406121</c:v>
                </c:pt>
                <c:pt idx="20">
                  <c:v>0.79471031839459216</c:v>
                </c:pt>
                <c:pt idx="21">
                  <c:v>0.57265269931638318</c:v>
                </c:pt>
                <c:pt idx="22">
                  <c:v>0.31747294290300521</c:v>
                </c:pt>
                <c:pt idx="23">
                  <c:v>9.8037080796873427E-2</c:v>
                </c:pt>
                <c:pt idx="24">
                  <c:v>8.6152820706655048E-3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B7-49B1-A8EF-04C01E081AF4}"/>
            </c:ext>
          </c:extLst>
        </c:ser>
        <c:ser>
          <c:idx val="1"/>
          <c:order val="1"/>
          <c:tx>
            <c:strRef>
              <c:f>'longitudinal-acma'!$K$129</c:f>
              <c:strCache>
                <c:ptCount val="1"/>
                <c:pt idx="0">
                  <c:v>openDomain-long-LNGC-FST2-Cy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9.6404169295209952E-2</c:v>
                </c:pt>
                <c:pt idx="2">
                  <c:v>0.22862798022453668</c:v>
                </c:pt>
                <c:pt idx="3">
                  <c:v>0.2585179994245777</c:v>
                </c:pt>
                <c:pt idx="4">
                  <c:v>0.2778756697321636</c:v>
                </c:pt>
                <c:pt idx="5">
                  <c:v>0.16409331638386865</c:v>
                </c:pt>
                <c:pt idx="6">
                  <c:v>-0.14978942307065796</c:v>
                </c:pt>
                <c:pt idx="7">
                  <c:v>-5.6996132813126023E-2</c:v>
                </c:pt>
                <c:pt idx="8">
                  <c:v>0.20820593582145863</c:v>
                </c:pt>
                <c:pt idx="9">
                  <c:v>0.27522905014392851</c:v>
                </c:pt>
                <c:pt idx="10">
                  <c:v>0.22189221951176519</c:v>
                </c:pt>
                <c:pt idx="11">
                  <c:v>0.11412996379946054</c:v>
                </c:pt>
                <c:pt idx="12">
                  <c:v>1.5060106571838686E-2</c:v>
                </c:pt>
                <c:pt idx="13">
                  <c:v>-9.5236272365585795E-2</c:v>
                </c:pt>
                <c:pt idx="14">
                  <c:v>-0.34077902586507985</c:v>
                </c:pt>
                <c:pt idx="15">
                  <c:v>-0.62188462642368014</c:v>
                </c:pt>
                <c:pt idx="16">
                  <c:v>-0.87325186277180256</c:v>
                </c:pt>
                <c:pt idx="17">
                  <c:v>-0.97367162963430831</c:v>
                </c:pt>
                <c:pt idx="18">
                  <c:v>-1.1130393649259578</c:v>
                </c:pt>
                <c:pt idx="19">
                  <c:v>-1.215327831253102</c:v>
                </c:pt>
                <c:pt idx="20">
                  <c:v>-1.1466672095863408</c:v>
                </c:pt>
                <c:pt idx="21">
                  <c:v>-0.83658486032283685</c:v>
                </c:pt>
                <c:pt idx="22">
                  <c:v>-0.51141300739667939</c:v>
                </c:pt>
                <c:pt idx="23">
                  <c:v>-0.18832650344808199</c:v>
                </c:pt>
                <c:pt idx="24">
                  <c:v>9.6874683217140038E-3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B7-49B1-A8EF-04C01E081AF4}"/>
            </c:ext>
          </c:extLst>
        </c:ser>
        <c:ser>
          <c:idx val="2"/>
          <c:order val="2"/>
          <c:tx>
            <c:strRef>
              <c:f>'longitudinal-acma'!$S$129</c:f>
              <c:strCache>
                <c:ptCount val="1"/>
                <c:pt idx="0">
                  <c:v>openDomain-long-LNGC-LNGC-Cy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'longitudinal-acma'!$Q$130:$Q$154</c:f>
              <c:numCache>
                <c:formatCode>General</c:formatCode>
                <c:ptCount val="25"/>
              </c:numCache>
            </c:numRef>
          </c:xVal>
          <c:yVal>
            <c:numRef>
              <c:f>'longitudinal-acma'!$S$130:$S$154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B7-49B1-A8EF-04C01E081AF4}"/>
            </c:ext>
          </c:extLst>
        </c:ser>
        <c:ser>
          <c:idx val="3"/>
          <c:order val="3"/>
          <c:tx>
            <c:strRef>
              <c:f>'longitudinal-acma'!$C$191</c:f>
              <c:strCache>
                <c:ptCount val="1"/>
                <c:pt idx="0">
                  <c:v>openDomain-long-full-LNGC-FST1-Cy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'longitudinal-acma'!$A$192:$A$216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'longitudinal-acma'!$C$192:$C$216</c:f>
              <c:numCache>
                <c:formatCode>0.000</c:formatCode>
                <c:ptCount val="25"/>
                <c:pt idx="0">
                  <c:v>8.5419744535567468E-3</c:v>
                </c:pt>
                <c:pt idx="1">
                  <c:v>-9.6072544943017299E-2</c:v>
                </c:pt>
                <c:pt idx="2">
                  <c:v>-7.0662200773818601E-2</c:v>
                </c:pt>
                <c:pt idx="3">
                  <c:v>-0.17425560992913447</c:v>
                </c:pt>
                <c:pt idx="4">
                  <c:v>-0.25394670955345994</c:v>
                </c:pt>
                <c:pt idx="5">
                  <c:v>-0.33949895103404065</c:v>
                </c:pt>
                <c:pt idx="6">
                  <c:v>-0.48442610082469462</c:v>
                </c:pt>
                <c:pt idx="7">
                  <c:v>-0.6442898672756282</c:v>
                </c:pt>
                <c:pt idx="8">
                  <c:v>-0.72430872564190152</c:v>
                </c:pt>
                <c:pt idx="9">
                  <c:v>-0.55678728263182464</c:v>
                </c:pt>
                <c:pt idx="10">
                  <c:v>-0.38005141676759335</c:v>
                </c:pt>
                <c:pt idx="11">
                  <c:v>-0.17758987583279359</c:v>
                </c:pt>
                <c:pt idx="12">
                  <c:v>-1.1289059667185519E-2</c:v>
                </c:pt>
                <c:pt idx="13">
                  <c:v>0.17050009518068573</c:v>
                </c:pt>
                <c:pt idx="14">
                  <c:v>0.45075170512303836</c:v>
                </c:pt>
                <c:pt idx="15">
                  <c:v>0.73199381591732204</c:v>
                </c:pt>
                <c:pt idx="16">
                  <c:v>1.0346274715000183</c:v>
                </c:pt>
                <c:pt idx="17">
                  <c:v>1.0266600000327442</c:v>
                </c:pt>
                <c:pt idx="18">
                  <c:v>0.91924520150500766</c:v>
                </c:pt>
                <c:pt idx="19">
                  <c:v>0.81171398614934498</c:v>
                </c:pt>
                <c:pt idx="20">
                  <c:v>0.66216913045800996</c:v>
                </c:pt>
                <c:pt idx="21">
                  <c:v>0.48676563954298957</c:v>
                </c:pt>
                <c:pt idx="22">
                  <c:v>0.26569025395375129</c:v>
                </c:pt>
                <c:pt idx="23">
                  <c:v>8.0324998185502289E-2</c:v>
                </c:pt>
                <c:pt idx="24">
                  <c:v>8.5419744535567468E-3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B7-49B1-A8EF-04C01E081AF4}"/>
            </c:ext>
          </c:extLst>
        </c:ser>
        <c:ser>
          <c:idx val="4"/>
          <c:order val="4"/>
          <c:tx>
            <c:strRef>
              <c:f>'longitudinal-acma'!$K$191</c:f>
              <c:strCache>
                <c:ptCount val="1"/>
                <c:pt idx="0">
                  <c:v>openDomain-long-LNGC-full-FST2-Cy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'longitudinal-acma'!$K$192:$K$216</c:f>
              <c:numCache>
                <c:formatCode>0.000</c:formatCode>
                <c:ptCount val="25"/>
                <c:pt idx="0">
                  <c:v>1.3004696052818888E-2</c:v>
                </c:pt>
                <c:pt idx="1">
                  <c:v>8.4333435106295138E-2</c:v>
                </c:pt>
                <c:pt idx="2">
                  <c:v>0.17563173011827862</c:v>
                </c:pt>
                <c:pt idx="3">
                  <c:v>0.13802608440277966</c:v>
                </c:pt>
                <c:pt idx="4">
                  <c:v>0.1374649777429896</c:v>
                </c:pt>
                <c:pt idx="5">
                  <c:v>0.11291665007329398</c:v>
                </c:pt>
                <c:pt idx="6">
                  <c:v>-0.12174237067142167</c:v>
                </c:pt>
                <c:pt idx="7">
                  <c:v>-8.5322782312607814E-2</c:v>
                </c:pt>
                <c:pt idx="8">
                  <c:v>-2.6571241512031766E-3</c:v>
                </c:pt>
                <c:pt idx="9">
                  <c:v>0.18949062004875664</c:v>
                </c:pt>
                <c:pt idx="10">
                  <c:v>0.16461354253530552</c:v>
                </c:pt>
                <c:pt idx="11">
                  <c:v>8.2215628737120031E-2</c:v>
                </c:pt>
                <c:pt idx="12">
                  <c:v>-5.7300182444565667E-4</c:v>
                </c:pt>
                <c:pt idx="13">
                  <c:v>-7.3012433106630276E-2</c:v>
                </c:pt>
                <c:pt idx="14">
                  <c:v>-0.27245632597570973</c:v>
                </c:pt>
                <c:pt idx="15">
                  <c:v>-0.49865279368126059</c:v>
                </c:pt>
                <c:pt idx="16">
                  <c:v>-0.68944084212802015</c:v>
                </c:pt>
                <c:pt idx="17">
                  <c:v>-0.86898373472454693</c:v>
                </c:pt>
                <c:pt idx="18">
                  <c:v>-0.83658119352048865</c:v>
                </c:pt>
                <c:pt idx="19">
                  <c:v>-0.89752269471891744</c:v>
                </c:pt>
                <c:pt idx="20">
                  <c:v>-0.8662010397762534</c:v>
                </c:pt>
                <c:pt idx="21">
                  <c:v>-0.58065742670107967</c:v>
                </c:pt>
                <c:pt idx="22">
                  <c:v>-0.40254812693116232</c:v>
                </c:pt>
                <c:pt idx="23">
                  <c:v>-0.14237870934372371</c:v>
                </c:pt>
                <c:pt idx="24">
                  <c:v>1.3004696052818888E-2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B7-49B1-A8EF-04C01E081AF4}"/>
            </c:ext>
          </c:extLst>
        </c:ser>
        <c:ser>
          <c:idx val="5"/>
          <c:order val="5"/>
          <c:tx>
            <c:strRef>
              <c:f>'longitudinal-acma'!$S$191</c:f>
              <c:strCache>
                <c:ptCount val="1"/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'longitudinal-acma'!$Q$192:$Q$216</c:f>
              <c:numCache>
                <c:formatCode>General</c:formatCode>
                <c:ptCount val="25"/>
              </c:numCache>
            </c:numRef>
          </c:xVal>
          <c:yVal>
            <c:numRef>
              <c:f>'longitudinal-acma'!$S$192:$S$216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B7-49B1-A8EF-04C01E081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4390"/>
        <c:axId val="33114501"/>
      </c:scatterChart>
      <c:valAx>
        <c:axId val="5515439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14501"/>
        <c:crosses val="autoZero"/>
        <c:crossBetween val="midCat"/>
        <c:majorUnit val="45"/>
        <c:minorUnit val="15"/>
      </c:valAx>
      <c:valAx>
        <c:axId val="331145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15439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'longitudinal-acma'!$A$99:$A$123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'longitudinal-acma'!$B$99:$B$123</c:f>
              <c:numCache>
                <c:formatCode>0.000</c:formatCode>
                <c:ptCount val="25"/>
                <c:pt idx="0">
                  <c:v>-0.17973342291245667</c:v>
                </c:pt>
                <c:pt idx="1">
                  <c:v>-0.66951348622626006</c:v>
                </c:pt>
                <c:pt idx="2">
                  <c:v>-0.50444916098767589</c:v>
                </c:pt>
                <c:pt idx="3">
                  <c:v>-0.32277978626843556</c:v>
                </c:pt>
                <c:pt idx="4">
                  <c:v>-0.13943987089342857</c:v>
                </c:pt>
                <c:pt idx="5">
                  <c:v>-0.40457193319277029</c:v>
                </c:pt>
                <c:pt idx="6">
                  <c:v>-0.28081580798741324</c:v>
                </c:pt>
                <c:pt idx="7">
                  <c:v>0.10324630767335627</c:v>
                </c:pt>
                <c:pt idx="8">
                  <c:v>0.13776436731877556</c:v>
                </c:pt>
                <c:pt idx="9">
                  <c:v>0.44049154741575453</c:v>
                </c:pt>
                <c:pt idx="10">
                  <c:v>0.69739249531362812</c:v>
                </c:pt>
                <c:pt idx="11">
                  <c:v>1.0023117037525273</c:v>
                </c:pt>
                <c:pt idx="12">
                  <c:v>0.81123761476258704</c:v>
                </c:pt>
                <c:pt idx="13">
                  <c:v>0.81107607551592908</c:v>
                </c:pt>
                <c:pt idx="14">
                  <c:v>0.50023270214208415</c:v>
                </c:pt>
                <c:pt idx="15">
                  <c:v>0.27389065980751132</c:v>
                </c:pt>
                <c:pt idx="16">
                  <c:v>5.2202002116892514E-2</c:v>
                </c:pt>
                <c:pt idx="17">
                  <c:v>-1.0500459255048453E-2</c:v>
                </c:pt>
                <c:pt idx="18">
                  <c:v>-0.17310642225815909</c:v>
                </c:pt>
                <c:pt idx="19">
                  <c:v>-4.5476952914842529E-2</c:v>
                </c:pt>
                <c:pt idx="20">
                  <c:v>-3.771950834287633E-2</c:v>
                </c:pt>
                <c:pt idx="21">
                  <c:v>-0.1537803309033719</c:v>
                </c:pt>
                <c:pt idx="22">
                  <c:v>-0.22871788589617095</c:v>
                </c:pt>
                <c:pt idx="23">
                  <c:v>-0.29598151917350374</c:v>
                </c:pt>
                <c:pt idx="24">
                  <c:v>-0.17973342291245667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8-4F20-882A-900F58930AD2}"/>
            </c:ext>
          </c:extLst>
        </c:ser>
        <c:ser>
          <c:idx val="1"/>
          <c:order val="1"/>
          <c:tx>
            <c:strRef>
              <c:f>'longitudinal-acma'!$J$98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78-4F20-882A-900F58930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9193"/>
        <c:axId val="80851425"/>
      </c:scatterChart>
      <c:valAx>
        <c:axId val="24419193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851425"/>
        <c:crosses val="autoZero"/>
        <c:crossBetween val="midCat"/>
        <c:majorUnit val="45"/>
        <c:minorUnit val="15"/>
      </c:valAx>
      <c:valAx>
        <c:axId val="808514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41919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'longitudinal-acma'!$A$99:$A$123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'longitudinal-acma'!$C$99:$C$123</c:f>
              <c:numCache>
                <c:formatCode>0.000</c:formatCode>
                <c:ptCount val="25"/>
                <c:pt idx="0">
                  <c:v>1.069471695154617E-3</c:v>
                </c:pt>
                <c:pt idx="1">
                  <c:v>-0.16273091032669537</c:v>
                </c:pt>
                <c:pt idx="2">
                  <c:v>-0.35842049519945629</c:v>
                </c:pt>
                <c:pt idx="3">
                  <c:v>-0.60480998321408241</c:v>
                </c:pt>
                <c:pt idx="4">
                  <c:v>-0.79547344402048403</c:v>
                </c:pt>
                <c:pt idx="5">
                  <c:v>-0.87949420614767093</c:v>
                </c:pt>
                <c:pt idx="6">
                  <c:v>-1.0238709387462637</c:v>
                </c:pt>
                <c:pt idx="7">
                  <c:v>-1.1574253788453515</c:v>
                </c:pt>
                <c:pt idx="8">
                  <c:v>-1.0410154624672774</c:v>
                </c:pt>
                <c:pt idx="9">
                  <c:v>-0.80608454261229601</c:v>
                </c:pt>
                <c:pt idx="10">
                  <c:v>-0.46180886950574579</c:v>
                </c:pt>
                <c:pt idx="11">
                  <c:v>-0.15907788415476293</c:v>
                </c:pt>
                <c:pt idx="12">
                  <c:v>3.313498455269303E-2</c:v>
                </c:pt>
                <c:pt idx="13">
                  <c:v>0.21352984445305348</c:v>
                </c:pt>
                <c:pt idx="14">
                  <c:v>0.55424277842039205</c:v>
                </c:pt>
                <c:pt idx="15">
                  <c:v>0.92225977396387882</c:v>
                </c:pt>
                <c:pt idx="16">
                  <c:v>1.2528260179681863</c:v>
                </c:pt>
                <c:pt idx="17">
                  <c:v>1.251575033860205</c:v>
                </c:pt>
                <c:pt idx="18">
                  <c:v>1.0868919624793183</c:v>
                </c:pt>
                <c:pt idx="19">
                  <c:v>0.94079421666212548</c:v>
                </c:pt>
                <c:pt idx="20">
                  <c:v>0.80144923170379678</c:v>
                </c:pt>
                <c:pt idx="21">
                  <c:v>0.56118987893530581</c:v>
                </c:pt>
                <c:pt idx="22">
                  <c:v>0.31871300898045962</c:v>
                </c:pt>
                <c:pt idx="23">
                  <c:v>9.9898163901526948E-2</c:v>
                </c:pt>
                <c:pt idx="24">
                  <c:v>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5F-480B-809A-3FCD26322911}"/>
            </c:ext>
          </c:extLst>
        </c:ser>
        <c:ser>
          <c:idx val="1"/>
          <c:order val="1"/>
          <c:tx>
            <c:strRef>
              <c:f>'longitudinal-acma'!$K$98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5F-480B-809A-3FCD26322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58939"/>
        <c:axId val="26323179"/>
      </c:scatterChart>
      <c:valAx>
        <c:axId val="4965893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323179"/>
        <c:crosses val="autoZero"/>
        <c:crossBetween val="midCat"/>
        <c:majorUnit val="45"/>
        <c:minorUnit val="15"/>
      </c:valAx>
      <c:valAx>
        <c:axId val="263231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96589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'longitudinal-acma'!$G$98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'longitudinal-acma'!$A$99:$A$123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'longitudinal-acma'!$G$99:$G$123</c:f>
              <c:numCache>
                <c:formatCode>0.000</c:formatCode>
                <c:ptCount val="25"/>
                <c:pt idx="0">
                  <c:v>3.630820805666847E-4</c:v>
                </c:pt>
                <c:pt idx="1">
                  <c:v>-7.619030472421095E-3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5">
                  <c:v>-3.1391999341475817E-2</c:v>
                </c:pt>
                <c:pt idx="6">
                  <c:v>2.3440980057131244E-2</c:v>
                </c:pt>
                <c:pt idx="7">
                  <c:v>1.9623090263882041E-2</c:v>
                </c:pt>
                <c:pt idx="8">
                  <c:v>8.3387397257222703E-2</c:v>
                </c:pt>
                <c:pt idx="9">
                  <c:v>0.10979344213221577</c:v>
                </c:pt>
                <c:pt idx="10">
                  <c:v>5.0831532812837393E-2</c:v>
                </c:pt>
                <c:pt idx="11">
                  <c:v>7.0068831741784974E-3</c:v>
                </c:pt>
                <c:pt idx="12">
                  <c:v>2.9667909026279788E-3</c:v>
                </c:pt>
                <c:pt idx="13">
                  <c:v>-3.8803764720218702E-2</c:v>
                </c:pt>
                <c:pt idx="14">
                  <c:v>-9.4140341356023713E-2</c:v>
                </c:pt>
                <c:pt idx="15">
                  <c:v>-0.19283455786214185</c:v>
                </c:pt>
                <c:pt idx="16">
                  <c:v>-0.16155473632305825</c:v>
                </c:pt>
                <c:pt idx="17">
                  <c:v>-4.8201256376626977E-2</c:v>
                </c:pt>
                <c:pt idx="18">
                  <c:v>-1.2226071265083056E-2</c:v>
                </c:pt>
                <c:pt idx="19">
                  <c:v>4.0179459256616548E-2</c:v>
                </c:pt>
                <c:pt idx="20">
                  <c:v>5.3081768514876303E-2</c:v>
                </c:pt>
                <c:pt idx="21">
                  <c:v>5.4309641488841716E-2</c:v>
                </c:pt>
                <c:pt idx="22">
                  <c:v>3.5569294904548736E-2</c:v>
                </c:pt>
                <c:pt idx="23">
                  <c:v>1.2928246705518912E-2</c:v>
                </c:pt>
                <c:pt idx="24">
                  <c:v>3.630820805666847E-4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C-41C6-99C5-3C0CAAE558D6}"/>
            </c:ext>
          </c:extLst>
        </c:ser>
        <c:ser>
          <c:idx val="1"/>
          <c:order val="1"/>
          <c:tx>
            <c:strRef>
              <c:f>'longitudinal-acma'!$O$98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4C-41C6-99C5-3C0CAAE55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77149"/>
        <c:axId val="79576063"/>
      </c:scatterChart>
      <c:valAx>
        <c:axId val="8457714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9576063"/>
        <c:crosses val="autoZero"/>
        <c:crossBetween val="midCat"/>
        <c:majorUnit val="45"/>
        <c:minorUnit val="15"/>
      </c:valAx>
      <c:valAx>
        <c:axId val="795760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57714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'longitudinal-acma'!$A$99:$A$105</c:f>
              <c:numCache>
                <c:formatCode>General</c:formatCode>
                <c:ptCount val="7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</c:numCache>
            </c:numRef>
          </c:xVal>
          <c:yVal>
            <c:numRef>
              <c:f>'longitudinal-acma'!$C$99:$C$123</c:f>
              <c:numCache>
                <c:formatCode>0.000</c:formatCode>
                <c:ptCount val="25"/>
                <c:pt idx="0">
                  <c:v>1.069471695154617E-3</c:v>
                </c:pt>
                <c:pt idx="1">
                  <c:v>-0.16273091032669537</c:v>
                </c:pt>
                <c:pt idx="2">
                  <c:v>-0.35842049519945629</c:v>
                </c:pt>
                <c:pt idx="3">
                  <c:v>-0.60480998321408241</c:v>
                </c:pt>
                <c:pt idx="4">
                  <c:v>-0.79547344402048403</c:v>
                </c:pt>
                <c:pt idx="5">
                  <c:v>-0.87949420614767093</c:v>
                </c:pt>
                <c:pt idx="6">
                  <c:v>-1.0238709387462637</c:v>
                </c:pt>
                <c:pt idx="7">
                  <c:v>-1.1574253788453515</c:v>
                </c:pt>
                <c:pt idx="8">
                  <c:v>-1.0410154624672774</c:v>
                </c:pt>
                <c:pt idx="9">
                  <c:v>-0.80608454261229601</c:v>
                </c:pt>
                <c:pt idx="10">
                  <c:v>-0.46180886950574579</c:v>
                </c:pt>
                <c:pt idx="11">
                  <c:v>-0.15907788415476293</c:v>
                </c:pt>
                <c:pt idx="12">
                  <c:v>3.313498455269303E-2</c:v>
                </c:pt>
                <c:pt idx="13">
                  <c:v>0.21352984445305348</c:v>
                </c:pt>
                <c:pt idx="14">
                  <c:v>0.55424277842039205</c:v>
                </c:pt>
                <c:pt idx="15">
                  <c:v>0.92225977396387882</c:v>
                </c:pt>
                <c:pt idx="16">
                  <c:v>1.2528260179681863</c:v>
                </c:pt>
                <c:pt idx="17">
                  <c:v>1.251575033860205</c:v>
                </c:pt>
                <c:pt idx="18">
                  <c:v>1.0868919624793183</c:v>
                </c:pt>
                <c:pt idx="19">
                  <c:v>0.94079421666212548</c:v>
                </c:pt>
                <c:pt idx="20">
                  <c:v>0.80144923170379678</c:v>
                </c:pt>
                <c:pt idx="21">
                  <c:v>0.56118987893530581</c:v>
                </c:pt>
                <c:pt idx="22">
                  <c:v>0.31871300898045962</c:v>
                </c:pt>
                <c:pt idx="23">
                  <c:v>9.9898163901526948E-2</c:v>
                </c:pt>
                <c:pt idx="24">
                  <c:v>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FC-495A-8EF9-6E20ED464A30}"/>
            </c:ext>
          </c:extLst>
        </c:ser>
        <c:ser>
          <c:idx val="1"/>
          <c:order val="1"/>
          <c:tx>
            <c:strRef>
              <c:f>'longitudinal-acma'!$C$67</c:f>
              <c:strCache>
                <c:ptCount val="1"/>
                <c:pt idx="0">
                  <c:v>topoDomain-trans-FST1-Cy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'longitudinal-acma'!$A$68:$A$92</c:f>
              <c:numCache>
                <c:formatCode>General</c:formatCode>
                <c:ptCount val="25"/>
              </c:numCache>
            </c:numRef>
          </c:xVal>
          <c:yVal>
            <c:numRef>
              <c:f>'longitudinal-acma'!$C$68:$C$72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FC-495A-8EF9-6E20ED464A30}"/>
            </c:ext>
          </c:extLst>
        </c:ser>
        <c:ser>
          <c:idx val="2"/>
          <c:order val="2"/>
          <c:tx>
            <c:strRef>
              <c:f>'longitudinal-acma'!$K$98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FC-495A-8EF9-6E20ED464A30}"/>
            </c:ext>
          </c:extLst>
        </c:ser>
        <c:ser>
          <c:idx val="3"/>
          <c:order val="3"/>
          <c:tx>
            <c:strRef>
              <c:f>'longitudinal-acma'!$K$67</c:f>
              <c:strCache>
                <c:ptCount val="1"/>
                <c:pt idx="0">
                  <c:v>topoDomain-trans-FST2-Cy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'longitudinal-acma'!$I$68:$I$72</c:f>
              <c:numCache>
                <c:formatCode>General</c:formatCode>
                <c:ptCount val="5"/>
              </c:numCache>
            </c:numRef>
          </c:xVal>
          <c:yVal>
            <c:numRef>
              <c:f>'longitudinal-acma'!$K$68:$K$92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FC-495A-8EF9-6E20ED464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29162"/>
        <c:axId val="92034491"/>
      </c:scatterChart>
      <c:valAx>
        <c:axId val="29129162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034491"/>
        <c:crosses val="autoZero"/>
        <c:crossBetween val="midCat"/>
        <c:majorUnit val="45"/>
        <c:minorUnit val="15"/>
      </c:valAx>
      <c:valAx>
        <c:axId val="920344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1291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'longitudinal-acma'!$G$98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'longitudinal-acma'!$A$99:$A$105</c:f>
              <c:numCache>
                <c:formatCode>General</c:formatCode>
                <c:ptCount val="7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</c:numCache>
            </c:numRef>
          </c:xVal>
          <c:yVal>
            <c:numRef>
              <c:f>'longitudinal-acma'!$G$99:$G$123</c:f>
              <c:numCache>
                <c:formatCode>0.000</c:formatCode>
                <c:ptCount val="25"/>
                <c:pt idx="0">
                  <c:v>3.630820805666847E-4</c:v>
                </c:pt>
                <c:pt idx="1">
                  <c:v>-7.619030472421095E-3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5">
                  <c:v>-3.1391999341475817E-2</c:v>
                </c:pt>
                <c:pt idx="6">
                  <c:v>2.3440980057131244E-2</c:v>
                </c:pt>
                <c:pt idx="7">
                  <c:v>1.9623090263882041E-2</c:v>
                </c:pt>
                <c:pt idx="8">
                  <c:v>8.3387397257222703E-2</c:v>
                </c:pt>
                <c:pt idx="9">
                  <c:v>0.10979344213221577</c:v>
                </c:pt>
                <c:pt idx="10">
                  <c:v>5.0831532812837393E-2</c:v>
                </c:pt>
                <c:pt idx="11">
                  <c:v>7.0068831741784974E-3</c:v>
                </c:pt>
                <c:pt idx="12">
                  <c:v>2.9667909026279788E-3</c:v>
                </c:pt>
                <c:pt idx="13">
                  <c:v>-3.8803764720218702E-2</c:v>
                </c:pt>
                <c:pt idx="14">
                  <c:v>-9.4140341356023713E-2</c:v>
                </c:pt>
                <c:pt idx="15">
                  <c:v>-0.19283455786214185</c:v>
                </c:pt>
                <c:pt idx="16">
                  <c:v>-0.16155473632305825</c:v>
                </c:pt>
                <c:pt idx="17">
                  <c:v>-4.8201256376626977E-2</c:v>
                </c:pt>
                <c:pt idx="18">
                  <c:v>-1.2226071265083056E-2</c:v>
                </c:pt>
                <c:pt idx="19">
                  <c:v>4.0179459256616548E-2</c:v>
                </c:pt>
                <c:pt idx="20">
                  <c:v>5.3081768514876303E-2</c:v>
                </c:pt>
                <c:pt idx="21">
                  <c:v>5.4309641488841716E-2</c:v>
                </c:pt>
                <c:pt idx="22">
                  <c:v>3.5569294904548736E-2</c:v>
                </c:pt>
                <c:pt idx="23">
                  <c:v>1.2928246705518912E-2</c:v>
                </c:pt>
                <c:pt idx="24">
                  <c:v>3.630820805666847E-4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5-4842-B949-BB3BCFE66990}"/>
            </c:ext>
          </c:extLst>
        </c:ser>
        <c:ser>
          <c:idx val="1"/>
          <c:order val="1"/>
          <c:tx>
            <c:strRef>
              <c:f>'longitudinal-acma'!$G$67</c:f>
              <c:strCache>
                <c:ptCount val="1"/>
                <c:pt idx="0">
                  <c:v>topoDomain-trans-FST1-Cnz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'longitudinal-acma'!$A$68:$A$92</c:f>
              <c:numCache>
                <c:formatCode>General</c:formatCode>
                <c:ptCount val="25"/>
              </c:numCache>
            </c:numRef>
          </c:xVal>
          <c:yVal>
            <c:numRef>
              <c:f>'longitudinal-acma'!$G$68:$G$72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5-4842-B949-BB3BCFE66990}"/>
            </c:ext>
          </c:extLst>
        </c:ser>
        <c:ser>
          <c:idx val="2"/>
          <c:order val="2"/>
          <c:tx>
            <c:strRef>
              <c:f>'longitudinal-acma'!$O$98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25-4842-B949-BB3BCFE66990}"/>
            </c:ext>
          </c:extLst>
        </c:ser>
        <c:ser>
          <c:idx val="3"/>
          <c:order val="3"/>
          <c:tx>
            <c:strRef>
              <c:f>'longitudinal-acma'!$O$67</c:f>
              <c:strCache>
                <c:ptCount val="1"/>
                <c:pt idx="0">
                  <c:v>topoDomain-trans-FST2-Cnz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'longitudinal-acma'!$I$68:$I$72</c:f>
              <c:numCache>
                <c:formatCode>General</c:formatCode>
                <c:ptCount val="5"/>
              </c:numCache>
            </c:numRef>
          </c:xVal>
          <c:yVal>
            <c:numRef>
              <c:f>'longitudinal-acma'!$O$68:$O$92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25-4842-B949-BB3BCFE66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1009"/>
        <c:axId val="64215154"/>
      </c:scatterChart>
      <c:valAx>
        <c:axId val="42721009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215154"/>
        <c:crosses val="autoZero"/>
        <c:crossBetween val="midCat"/>
        <c:majorUnit val="45"/>
        <c:minorUnit val="15"/>
      </c:valAx>
      <c:valAx>
        <c:axId val="642151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72100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'longitudinal-acma'!$A$99:$A$105</c:f>
              <c:numCache>
                <c:formatCode>General</c:formatCode>
                <c:ptCount val="7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</c:numCache>
            </c:numRef>
          </c:xVal>
          <c:yVal>
            <c:numRef>
              <c:f>'longitudinal-acma'!$B$99:$B$123</c:f>
              <c:numCache>
                <c:formatCode>0.000</c:formatCode>
                <c:ptCount val="25"/>
                <c:pt idx="0">
                  <c:v>-0.17973342291245667</c:v>
                </c:pt>
                <c:pt idx="1">
                  <c:v>-0.66951348622626006</c:v>
                </c:pt>
                <c:pt idx="2">
                  <c:v>-0.50444916098767589</c:v>
                </c:pt>
                <c:pt idx="3">
                  <c:v>-0.32277978626843556</c:v>
                </c:pt>
                <c:pt idx="4">
                  <c:v>-0.13943987089342857</c:v>
                </c:pt>
                <c:pt idx="5">
                  <c:v>-0.40457193319277029</c:v>
                </c:pt>
                <c:pt idx="6">
                  <c:v>-0.28081580798741324</c:v>
                </c:pt>
                <c:pt idx="7">
                  <c:v>0.10324630767335627</c:v>
                </c:pt>
                <c:pt idx="8">
                  <c:v>0.13776436731877556</c:v>
                </c:pt>
                <c:pt idx="9">
                  <c:v>0.44049154741575453</c:v>
                </c:pt>
                <c:pt idx="10">
                  <c:v>0.69739249531362812</c:v>
                </c:pt>
                <c:pt idx="11">
                  <c:v>1.0023117037525273</c:v>
                </c:pt>
                <c:pt idx="12">
                  <c:v>0.81123761476258704</c:v>
                </c:pt>
                <c:pt idx="13">
                  <c:v>0.81107607551592908</c:v>
                </c:pt>
                <c:pt idx="14">
                  <c:v>0.50023270214208415</c:v>
                </c:pt>
                <c:pt idx="15">
                  <c:v>0.27389065980751132</c:v>
                </c:pt>
                <c:pt idx="16">
                  <c:v>5.2202002116892514E-2</c:v>
                </c:pt>
                <c:pt idx="17">
                  <c:v>-1.0500459255048453E-2</c:v>
                </c:pt>
                <c:pt idx="18">
                  <c:v>-0.17310642225815909</c:v>
                </c:pt>
                <c:pt idx="19">
                  <c:v>-4.5476952914842529E-2</c:v>
                </c:pt>
                <c:pt idx="20">
                  <c:v>-3.771950834287633E-2</c:v>
                </c:pt>
                <c:pt idx="21">
                  <c:v>-0.1537803309033719</c:v>
                </c:pt>
                <c:pt idx="22">
                  <c:v>-0.22871788589617095</c:v>
                </c:pt>
                <c:pt idx="23">
                  <c:v>-0.29598151917350374</c:v>
                </c:pt>
                <c:pt idx="24">
                  <c:v>-0.17973342291245667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5-497B-9D7B-B0477288EF86}"/>
            </c:ext>
          </c:extLst>
        </c:ser>
        <c:ser>
          <c:idx val="1"/>
          <c:order val="1"/>
          <c:tx>
            <c:strRef>
              <c:f>'longitudinal-acma'!$J$98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35-497B-9D7B-B0477288EF86}"/>
            </c:ext>
          </c:extLst>
        </c:ser>
        <c:ser>
          <c:idx val="2"/>
          <c:order val="2"/>
          <c:tx>
            <c:strRef>
              <c:f>'longitudinal-acma'!$B$5</c:f>
              <c:strCache>
                <c:ptCount val="1"/>
                <c:pt idx="0">
                  <c:v>Open Domain FST1 (Long/trans) factors-Cx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'longitudinal-acma'!$B$6:$B$30</c:f>
              <c:numCache>
                <c:formatCode>0.000</c:formatCode>
                <c:ptCount val="25"/>
                <c:pt idx="0">
                  <c:v>0.76561541767876973</c:v>
                </c:pt>
                <c:pt idx="1">
                  <c:v>0.53585801560910462</c:v>
                </c:pt>
                <c:pt idx="2">
                  <c:v>0.3061006135394394</c:v>
                </c:pt>
                <c:pt idx="3">
                  <c:v>0.22329886075602687</c:v>
                </c:pt>
                <c:pt idx="4">
                  <c:v>0.11993828163179525</c:v>
                </c:pt>
                <c:pt idx="5">
                  <c:v>0.51902410765977969</c:v>
                </c:pt>
                <c:pt idx="6">
                  <c:v>0.91810993368776406</c:v>
                </c:pt>
                <c:pt idx="7">
                  <c:v>0.51902410765977969</c:v>
                </c:pt>
                <c:pt idx="8">
                  <c:v>0.11993828163179525</c:v>
                </c:pt>
                <c:pt idx="9">
                  <c:v>0.22329886075602687</c:v>
                </c:pt>
                <c:pt idx="10">
                  <c:v>0.3061006135394394</c:v>
                </c:pt>
                <c:pt idx="11">
                  <c:v>0.53585801560910462</c:v>
                </c:pt>
                <c:pt idx="12">
                  <c:v>0.76561541767876973</c:v>
                </c:pt>
                <c:pt idx="13">
                  <c:v>0.53585801560910462</c:v>
                </c:pt>
                <c:pt idx="14">
                  <c:v>0.3061006135394394</c:v>
                </c:pt>
                <c:pt idx="15">
                  <c:v>0.22329886075602687</c:v>
                </c:pt>
                <c:pt idx="16">
                  <c:v>0.11993828163179525</c:v>
                </c:pt>
                <c:pt idx="17">
                  <c:v>0.51902410765977969</c:v>
                </c:pt>
                <c:pt idx="18">
                  <c:v>0.91810993368776406</c:v>
                </c:pt>
                <c:pt idx="19">
                  <c:v>0.51902410765977969</c:v>
                </c:pt>
                <c:pt idx="20">
                  <c:v>0.11993828163179525</c:v>
                </c:pt>
                <c:pt idx="21">
                  <c:v>0.22329886075602687</c:v>
                </c:pt>
                <c:pt idx="22">
                  <c:v>0.3061006135394394</c:v>
                </c:pt>
                <c:pt idx="23">
                  <c:v>0.53585801560910462</c:v>
                </c:pt>
                <c:pt idx="24">
                  <c:v>0.76561541767876973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35-497B-9D7B-B0477288EF86}"/>
            </c:ext>
          </c:extLst>
        </c:ser>
        <c:ser>
          <c:idx val="3"/>
          <c:order val="3"/>
          <c:tx>
            <c:strRef>
              <c:f>'longitudinal-acma'!$J$5</c:f>
              <c:strCache>
                <c:ptCount val="1"/>
                <c:pt idx="0">
                  <c:v>Open Domain FST2 (Long/trans) factors-Cx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'longitudinal-acma'!$J$6:$J$30</c:f>
              <c:numCache>
                <c:formatCode>0.000</c:formatCode>
                <c:ptCount val="25"/>
                <c:pt idx="0">
                  <c:v>0.60290487583331998</c:v>
                </c:pt>
                <c:pt idx="1">
                  <c:v>0.49531400400070569</c:v>
                </c:pt>
                <c:pt idx="2">
                  <c:v>0.38772313216809146</c:v>
                </c:pt>
                <c:pt idx="3">
                  <c:v>0.35279736793436656</c:v>
                </c:pt>
                <c:pt idx="4">
                  <c:v>8.4459723482979587E-2</c:v>
                </c:pt>
                <c:pt idx="5">
                  <c:v>0.50295936072043101</c:v>
                </c:pt>
                <c:pt idx="6">
                  <c:v>0.92145899795788233</c:v>
                </c:pt>
                <c:pt idx="7">
                  <c:v>0.50295936072043101</c:v>
                </c:pt>
                <c:pt idx="8">
                  <c:v>8.4459723482979587E-2</c:v>
                </c:pt>
                <c:pt idx="9">
                  <c:v>0.35279736793436656</c:v>
                </c:pt>
                <c:pt idx="10">
                  <c:v>0.38772313216809146</c:v>
                </c:pt>
                <c:pt idx="11">
                  <c:v>0.49531400400070569</c:v>
                </c:pt>
                <c:pt idx="12">
                  <c:v>0.60290487583331998</c:v>
                </c:pt>
                <c:pt idx="13">
                  <c:v>0.49531400400070569</c:v>
                </c:pt>
                <c:pt idx="14">
                  <c:v>0.38772313216809146</c:v>
                </c:pt>
                <c:pt idx="15">
                  <c:v>0.35279736793436656</c:v>
                </c:pt>
                <c:pt idx="16">
                  <c:v>8.4459723482979587E-2</c:v>
                </c:pt>
                <c:pt idx="17">
                  <c:v>0.50295936072043101</c:v>
                </c:pt>
                <c:pt idx="18">
                  <c:v>0.92145899795788233</c:v>
                </c:pt>
                <c:pt idx="19">
                  <c:v>0.50295936072043101</c:v>
                </c:pt>
                <c:pt idx="20">
                  <c:v>8.4459723482979587E-2</c:v>
                </c:pt>
                <c:pt idx="21">
                  <c:v>0.35279736793436656</c:v>
                </c:pt>
                <c:pt idx="22">
                  <c:v>0.38772313216809146</c:v>
                </c:pt>
                <c:pt idx="23">
                  <c:v>0.49531400400070569</c:v>
                </c:pt>
                <c:pt idx="24">
                  <c:v>0.60290487583331998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35-497B-9D7B-B0477288E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433"/>
        <c:axId val="26615584"/>
      </c:scatterChart>
      <c:valAx>
        <c:axId val="13195433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615584"/>
        <c:crosses val="autoZero"/>
        <c:crossBetween val="midCat"/>
        <c:majorUnit val="45"/>
        <c:minorUnit val="15"/>
      </c:valAx>
      <c:valAx>
        <c:axId val="266155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19543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'longitudinal-acma'!$A$99:$A$105</c:f>
              <c:numCache>
                <c:formatCode>General</c:formatCode>
                <c:ptCount val="7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</c:numCache>
            </c:numRef>
          </c:xVal>
          <c:yVal>
            <c:numRef>
              <c:f>'longitudinal-acma'!$C$99:$C$123</c:f>
              <c:numCache>
                <c:formatCode>0.000</c:formatCode>
                <c:ptCount val="25"/>
                <c:pt idx="0">
                  <c:v>1.069471695154617E-3</c:v>
                </c:pt>
                <c:pt idx="1">
                  <c:v>-0.16273091032669537</c:v>
                </c:pt>
                <c:pt idx="2">
                  <c:v>-0.35842049519945629</c:v>
                </c:pt>
                <c:pt idx="3">
                  <c:v>-0.60480998321408241</c:v>
                </c:pt>
                <c:pt idx="4">
                  <c:v>-0.79547344402048403</c:v>
                </c:pt>
                <c:pt idx="5">
                  <c:v>-0.87949420614767093</c:v>
                </c:pt>
                <c:pt idx="6">
                  <c:v>-1.0238709387462637</c:v>
                </c:pt>
                <c:pt idx="7">
                  <c:v>-1.1574253788453515</c:v>
                </c:pt>
                <c:pt idx="8">
                  <c:v>-1.0410154624672774</c:v>
                </c:pt>
                <c:pt idx="9">
                  <c:v>-0.80608454261229601</c:v>
                </c:pt>
                <c:pt idx="10">
                  <c:v>-0.46180886950574579</c:v>
                </c:pt>
                <c:pt idx="11">
                  <c:v>-0.15907788415476293</c:v>
                </c:pt>
                <c:pt idx="12">
                  <c:v>3.313498455269303E-2</c:v>
                </c:pt>
                <c:pt idx="13">
                  <c:v>0.21352984445305348</c:v>
                </c:pt>
                <c:pt idx="14">
                  <c:v>0.55424277842039205</c:v>
                </c:pt>
                <c:pt idx="15">
                  <c:v>0.92225977396387882</c:v>
                </c:pt>
                <c:pt idx="16">
                  <c:v>1.2528260179681863</c:v>
                </c:pt>
                <c:pt idx="17">
                  <c:v>1.251575033860205</c:v>
                </c:pt>
                <c:pt idx="18">
                  <c:v>1.0868919624793183</c:v>
                </c:pt>
                <c:pt idx="19">
                  <c:v>0.94079421666212548</c:v>
                </c:pt>
                <c:pt idx="20">
                  <c:v>0.80144923170379678</c:v>
                </c:pt>
                <c:pt idx="21">
                  <c:v>0.56118987893530581</c:v>
                </c:pt>
                <c:pt idx="22">
                  <c:v>0.31871300898045962</c:v>
                </c:pt>
                <c:pt idx="23">
                  <c:v>9.9898163901526948E-2</c:v>
                </c:pt>
                <c:pt idx="24">
                  <c:v>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2-4624-9756-497A1312CDBD}"/>
            </c:ext>
          </c:extLst>
        </c:ser>
        <c:ser>
          <c:idx val="1"/>
          <c:order val="1"/>
          <c:tx>
            <c:strRef>
              <c:f>'longitudinal-acma'!$K$98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2-4624-9756-497A1312CDBD}"/>
            </c:ext>
          </c:extLst>
        </c:ser>
        <c:ser>
          <c:idx val="2"/>
          <c:order val="2"/>
          <c:tx>
            <c:strRef>
              <c:f>'longitudinal-acma'!$C$5</c:f>
              <c:strCache>
                <c:ptCount val="1"/>
                <c:pt idx="0">
                  <c:v>Open Domain FST1 (Long/trans) factors-Cy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'longitudinal-acma'!$C$6:$C$30</c:f>
              <c:numCache>
                <c:formatCode>0.000</c:formatCode>
                <c:ptCount val="25"/>
                <c:pt idx="0">
                  <c:v>1</c:v>
                </c:pt>
                <c:pt idx="1">
                  <c:v>1.0445993129126903</c:v>
                </c:pt>
                <c:pt idx="2">
                  <c:v>1.0891986258253807</c:v>
                </c:pt>
                <c:pt idx="3">
                  <c:v>1.1527613087700792</c:v>
                </c:pt>
                <c:pt idx="4">
                  <c:v>1.2620882382490113</c:v>
                </c:pt>
                <c:pt idx="5">
                  <c:v>1.2742130250981027</c:v>
                </c:pt>
                <c:pt idx="6">
                  <c:v>1.286337811947194</c:v>
                </c:pt>
                <c:pt idx="7">
                  <c:v>1.2742130250981027</c:v>
                </c:pt>
                <c:pt idx="8">
                  <c:v>1.2620882382490113</c:v>
                </c:pt>
                <c:pt idx="9">
                  <c:v>1.1527613087700792</c:v>
                </c:pt>
                <c:pt idx="10">
                  <c:v>1.0891986258253807</c:v>
                </c:pt>
                <c:pt idx="11">
                  <c:v>1.0445993129126903</c:v>
                </c:pt>
                <c:pt idx="12">
                  <c:v>1</c:v>
                </c:pt>
                <c:pt idx="13">
                  <c:v>1.0445993129126903</c:v>
                </c:pt>
                <c:pt idx="14">
                  <c:v>1.0891986258253807</c:v>
                </c:pt>
                <c:pt idx="15">
                  <c:v>1.1527613087700792</c:v>
                </c:pt>
                <c:pt idx="16">
                  <c:v>1.2620882382490113</c:v>
                </c:pt>
                <c:pt idx="17">
                  <c:v>1.2742130250981027</c:v>
                </c:pt>
                <c:pt idx="18">
                  <c:v>1.286337811947194</c:v>
                </c:pt>
                <c:pt idx="19">
                  <c:v>1.2742130250981027</c:v>
                </c:pt>
                <c:pt idx="20">
                  <c:v>1.2620882382490113</c:v>
                </c:pt>
                <c:pt idx="21">
                  <c:v>1.1527613087700792</c:v>
                </c:pt>
                <c:pt idx="22">
                  <c:v>1.0891986258253807</c:v>
                </c:pt>
                <c:pt idx="23">
                  <c:v>1.0445993129126903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82-4624-9756-497A1312CDBD}"/>
            </c:ext>
          </c:extLst>
        </c:ser>
        <c:ser>
          <c:idx val="3"/>
          <c:order val="3"/>
          <c:tx>
            <c:strRef>
              <c:f>'longitudinal-acma'!$K$5</c:f>
              <c:strCache>
                <c:ptCount val="1"/>
                <c:pt idx="0">
                  <c:v>Open Domain FST2 (Long/trans) factors-Cy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'longitudinal-acma'!$K$6:$K$30</c:f>
              <c:numCache>
                <c:formatCode>0.000</c:formatCode>
                <c:ptCount val="25"/>
                <c:pt idx="0">
                  <c:v>1</c:v>
                </c:pt>
                <c:pt idx="1">
                  <c:v>1.0982757425751253</c:v>
                </c:pt>
                <c:pt idx="2">
                  <c:v>1.1965514851502506</c:v>
                </c:pt>
                <c:pt idx="3">
                  <c:v>1.2648308148868026</c:v>
                </c:pt>
                <c:pt idx="4">
                  <c:v>1.3458853922989618</c:v>
                </c:pt>
                <c:pt idx="5">
                  <c:v>1.3029003647720678</c:v>
                </c:pt>
                <c:pt idx="6">
                  <c:v>1.2599153372451737</c:v>
                </c:pt>
                <c:pt idx="7">
                  <c:v>1.3029003647720678</c:v>
                </c:pt>
                <c:pt idx="8">
                  <c:v>1.3458853922989618</c:v>
                </c:pt>
                <c:pt idx="9">
                  <c:v>1.2648308148868026</c:v>
                </c:pt>
                <c:pt idx="10">
                  <c:v>1.1965514851502506</c:v>
                </c:pt>
                <c:pt idx="11">
                  <c:v>1.0982757425751253</c:v>
                </c:pt>
                <c:pt idx="12">
                  <c:v>1</c:v>
                </c:pt>
                <c:pt idx="13">
                  <c:v>1.0982757425751253</c:v>
                </c:pt>
                <c:pt idx="14">
                  <c:v>1.1965514851502506</c:v>
                </c:pt>
                <c:pt idx="15">
                  <c:v>1.2648308148868026</c:v>
                </c:pt>
                <c:pt idx="16">
                  <c:v>1.3458853922989618</c:v>
                </c:pt>
                <c:pt idx="17">
                  <c:v>1.3029003647720678</c:v>
                </c:pt>
                <c:pt idx="18">
                  <c:v>1.2599153372451737</c:v>
                </c:pt>
                <c:pt idx="19">
                  <c:v>1.3029003647720678</c:v>
                </c:pt>
                <c:pt idx="20">
                  <c:v>1.3458853922989618</c:v>
                </c:pt>
                <c:pt idx="21">
                  <c:v>1.2648308148868026</c:v>
                </c:pt>
                <c:pt idx="22">
                  <c:v>1.1965514851502506</c:v>
                </c:pt>
                <c:pt idx="23">
                  <c:v>1.0982757425751253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82-4624-9756-497A1312C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7139"/>
        <c:axId val="8512628"/>
      </c:scatterChart>
      <c:valAx>
        <c:axId val="39987139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12628"/>
        <c:crosses val="autoZero"/>
        <c:crossBetween val="midCat"/>
        <c:majorUnit val="45"/>
        <c:minorUnit val="15"/>
      </c:valAx>
      <c:valAx>
        <c:axId val="85126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9871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'longitudinal-acma'!$G$98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'longitudinal-acma'!$A$99:$A$105</c:f>
              <c:numCache>
                <c:formatCode>General</c:formatCode>
                <c:ptCount val="7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</c:numCache>
            </c:numRef>
          </c:xVal>
          <c:yVal>
            <c:numRef>
              <c:f>'longitudinal-acma'!$G$99:$G$123</c:f>
              <c:numCache>
                <c:formatCode>0.000</c:formatCode>
                <c:ptCount val="25"/>
                <c:pt idx="0">
                  <c:v>3.630820805666847E-4</c:v>
                </c:pt>
                <c:pt idx="1">
                  <c:v>-7.619030472421095E-3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5">
                  <c:v>-3.1391999341475817E-2</c:v>
                </c:pt>
                <c:pt idx="6">
                  <c:v>2.3440980057131244E-2</c:v>
                </c:pt>
                <c:pt idx="7">
                  <c:v>1.9623090263882041E-2</c:v>
                </c:pt>
                <c:pt idx="8">
                  <c:v>8.3387397257222703E-2</c:v>
                </c:pt>
                <c:pt idx="9">
                  <c:v>0.10979344213221577</c:v>
                </c:pt>
                <c:pt idx="10">
                  <c:v>5.0831532812837393E-2</c:v>
                </c:pt>
                <c:pt idx="11">
                  <c:v>7.0068831741784974E-3</c:v>
                </c:pt>
                <c:pt idx="12">
                  <c:v>2.9667909026279788E-3</c:v>
                </c:pt>
                <c:pt idx="13">
                  <c:v>-3.8803764720218702E-2</c:v>
                </c:pt>
                <c:pt idx="14">
                  <c:v>-9.4140341356023713E-2</c:v>
                </c:pt>
                <c:pt idx="15">
                  <c:v>-0.19283455786214185</c:v>
                </c:pt>
                <c:pt idx="16">
                  <c:v>-0.16155473632305825</c:v>
                </c:pt>
                <c:pt idx="17">
                  <c:v>-4.8201256376626977E-2</c:v>
                </c:pt>
                <c:pt idx="18">
                  <c:v>-1.2226071265083056E-2</c:v>
                </c:pt>
                <c:pt idx="19">
                  <c:v>4.0179459256616548E-2</c:v>
                </c:pt>
                <c:pt idx="20">
                  <c:v>5.3081768514876303E-2</c:v>
                </c:pt>
                <c:pt idx="21">
                  <c:v>5.4309641488841716E-2</c:v>
                </c:pt>
                <c:pt idx="22">
                  <c:v>3.5569294904548736E-2</c:v>
                </c:pt>
                <c:pt idx="23">
                  <c:v>1.2928246705518912E-2</c:v>
                </c:pt>
                <c:pt idx="24">
                  <c:v>3.630820805666847E-4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0F-45BA-A677-D0859437AE15}"/>
            </c:ext>
          </c:extLst>
        </c:ser>
        <c:ser>
          <c:idx val="1"/>
          <c:order val="1"/>
          <c:tx>
            <c:strRef>
              <c:f>'longitudinal-acma'!$O$98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0F-45BA-A677-D0859437AE15}"/>
            </c:ext>
          </c:extLst>
        </c:ser>
        <c:ser>
          <c:idx val="2"/>
          <c:order val="2"/>
          <c:tx>
            <c:strRef>
              <c:f>'longitudinal-acma'!$G$5</c:f>
              <c:strCache>
                <c:ptCount val="1"/>
                <c:pt idx="0">
                  <c:v>Open Domain FST1 (Long/trans) factors-Cnz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'longitudinal-acma'!$G$6:$G$30</c:f>
              <c:numCache>
                <c:formatCode>0.000</c:formatCode>
                <c:ptCount val="25"/>
                <c:pt idx="0">
                  <c:v>1.681036193937316</c:v>
                </c:pt>
                <c:pt idx="1">
                  <c:v>1.681036193937316</c:v>
                </c:pt>
                <c:pt idx="2">
                  <c:v>1.681036193937316</c:v>
                </c:pt>
                <c:pt idx="3">
                  <c:v>2.2341680549195182</c:v>
                </c:pt>
                <c:pt idx="4">
                  <c:v>1.9956788069968132</c:v>
                </c:pt>
                <c:pt idx="5">
                  <c:v>1.9956788069968132</c:v>
                </c:pt>
                <c:pt idx="6">
                  <c:v>1.9956788069968132</c:v>
                </c:pt>
                <c:pt idx="7">
                  <c:v>1.9956788069968132</c:v>
                </c:pt>
                <c:pt idx="8">
                  <c:v>1.9956788069968132</c:v>
                </c:pt>
                <c:pt idx="9">
                  <c:v>2.2341680549195182</c:v>
                </c:pt>
                <c:pt idx="10">
                  <c:v>1.681036193937316</c:v>
                </c:pt>
                <c:pt idx="11">
                  <c:v>1.681036193937316</c:v>
                </c:pt>
                <c:pt idx="12">
                  <c:v>1.681036193937316</c:v>
                </c:pt>
                <c:pt idx="13">
                  <c:v>1.681036193937316</c:v>
                </c:pt>
                <c:pt idx="14">
                  <c:v>1.681036193937316</c:v>
                </c:pt>
                <c:pt idx="15">
                  <c:v>2.2341680549195182</c:v>
                </c:pt>
                <c:pt idx="16">
                  <c:v>1.9956788069968132</c:v>
                </c:pt>
                <c:pt idx="17">
                  <c:v>1.9956788069968132</c:v>
                </c:pt>
                <c:pt idx="18">
                  <c:v>1.9956788069968132</c:v>
                </c:pt>
                <c:pt idx="19">
                  <c:v>1.9956788069968132</c:v>
                </c:pt>
                <c:pt idx="20">
                  <c:v>1.9956788069968132</c:v>
                </c:pt>
                <c:pt idx="21">
                  <c:v>2.2341680549195182</c:v>
                </c:pt>
                <c:pt idx="22">
                  <c:v>1.681036193937316</c:v>
                </c:pt>
                <c:pt idx="23">
                  <c:v>1.681036193937316</c:v>
                </c:pt>
                <c:pt idx="24">
                  <c:v>1.681036193937316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0F-45BA-A677-D0859437AE15}"/>
            </c:ext>
          </c:extLst>
        </c:ser>
        <c:ser>
          <c:idx val="3"/>
          <c:order val="3"/>
          <c:tx>
            <c:strRef>
              <c:f>'longitudinal-acma'!$O$5</c:f>
              <c:strCache>
                <c:ptCount val="1"/>
                <c:pt idx="0">
                  <c:v>Open Domain FST2 (Long/trans) factors-Cnz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'longitudinal-acma'!$O$6:$O$30</c:f>
              <c:numCache>
                <c:formatCode>0.000</c:formatCode>
                <c:ptCount val="25"/>
                <c:pt idx="0">
                  <c:v>1.6855992404799247</c:v>
                </c:pt>
                <c:pt idx="1">
                  <c:v>1.6855992404799247</c:v>
                </c:pt>
                <c:pt idx="2">
                  <c:v>1.6855992404799247</c:v>
                </c:pt>
                <c:pt idx="3">
                  <c:v>1.5641282379046808</c:v>
                </c:pt>
                <c:pt idx="4">
                  <c:v>1.7539783303069845</c:v>
                </c:pt>
                <c:pt idx="5">
                  <c:v>1.7539783303069845</c:v>
                </c:pt>
                <c:pt idx="6">
                  <c:v>1.7539783303069845</c:v>
                </c:pt>
                <c:pt idx="7">
                  <c:v>1.7539783303069845</c:v>
                </c:pt>
                <c:pt idx="8">
                  <c:v>1.7539783303069845</c:v>
                </c:pt>
                <c:pt idx="9">
                  <c:v>1.5641282379046808</c:v>
                </c:pt>
                <c:pt idx="10">
                  <c:v>1.6855992404799247</c:v>
                </c:pt>
                <c:pt idx="11">
                  <c:v>1.6855992404799247</c:v>
                </c:pt>
                <c:pt idx="12">
                  <c:v>1.6855992404799247</c:v>
                </c:pt>
                <c:pt idx="13">
                  <c:v>1.6855992404799247</c:v>
                </c:pt>
                <c:pt idx="14">
                  <c:v>1.6855992404799247</c:v>
                </c:pt>
                <c:pt idx="15">
                  <c:v>1.5641282379046808</c:v>
                </c:pt>
                <c:pt idx="16">
                  <c:v>1.7539783303069845</c:v>
                </c:pt>
                <c:pt idx="17">
                  <c:v>1.7539783303069845</c:v>
                </c:pt>
                <c:pt idx="18">
                  <c:v>1.7539783303069845</c:v>
                </c:pt>
                <c:pt idx="19">
                  <c:v>1.7539783303069845</c:v>
                </c:pt>
                <c:pt idx="20">
                  <c:v>1.7539783303069845</c:v>
                </c:pt>
                <c:pt idx="21">
                  <c:v>1.5641282379046808</c:v>
                </c:pt>
                <c:pt idx="22">
                  <c:v>1.6855992404799247</c:v>
                </c:pt>
                <c:pt idx="23">
                  <c:v>1.6855992404799247</c:v>
                </c:pt>
                <c:pt idx="24">
                  <c:v>1.6855992404799247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0F-45BA-A677-D0859437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21765"/>
        <c:axId val="32290394"/>
      </c:scatterChart>
      <c:valAx>
        <c:axId val="81621765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2290394"/>
        <c:crosses val="autoZero"/>
        <c:crossBetween val="midCat"/>
        <c:majorUnit val="45"/>
        <c:minorUnit val="15"/>
      </c:valAx>
      <c:valAx>
        <c:axId val="322903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162176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'longitudinal-acma'!$G$129</c:f>
              <c:strCache>
                <c:ptCount val="1"/>
                <c:pt idx="0">
                  <c:v>openDomain-long-LNGC-FST1-Cnz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'longitudinal-acma'!$A$130:$A$154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'longitudinal-acma'!$G$130:$G$154</c:f>
              <c:numCache>
                <c:formatCode>0.000</c:formatCode>
                <c:ptCount val="25"/>
                <c:pt idx="0">
                  <c:v>-2.702982192781729E-3</c:v>
                </c:pt>
                <c:pt idx="1">
                  <c:v>9.8934966964245551E-3</c:v>
                </c:pt>
                <c:pt idx="2">
                  <c:v>2.9488240441747231E-2</c:v>
                </c:pt>
                <c:pt idx="3">
                  <c:v>4.5698075801451604E-2</c:v>
                </c:pt>
                <c:pt idx="4">
                  <c:v>9.7794187258205503E-2</c:v>
                </c:pt>
                <c:pt idx="5">
                  <c:v>0.11199183561362323</c:v>
                </c:pt>
                <c:pt idx="6">
                  <c:v>0.12627076167231299</c:v>
                </c:pt>
                <c:pt idx="7">
                  <c:v>0.13096957769987769</c:v>
                </c:pt>
                <c:pt idx="8">
                  <c:v>0.14708732001215077</c:v>
                </c:pt>
                <c:pt idx="9">
                  <c:v>0.17068985599201345</c:v>
                </c:pt>
                <c:pt idx="10">
                  <c:v>9.5979006885149681E-2</c:v>
                </c:pt>
                <c:pt idx="11">
                  <c:v>4.2261221483028841E-2</c:v>
                </c:pt>
                <c:pt idx="12">
                  <c:v>1.0277496579856243E-2</c:v>
                </c:pt>
                <c:pt idx="13">
                  <c:v>-4.6622187530698966E-2</c:v>
                </c:pt>
                <c:pt idx="14">
                  <c:v>-8.6781061239142115E-2</c:v>
                </c:pt>
                <c:pt idx="15">
                  <c:v>-0.15530895152611335</c:v>
                </c:pt>
                <c:pt idx="16">
                  <c:v>-0.10102183895954814</c:v>
                </c:pt>
                <c:pt idx="17">
                  <c:v>-1.4319242356195545E-2</c:v>
                </c:pt>
                <c:pt idx="18">
                  <c:v>2.00611058650088E-2</c:v>
                </c:pt>
                <c:pt idx="19">
                  <c:v>4.0464947385740892E-2</c:v>
                </c:pt>
                <c:pt idx="20">
                  <c:v>4.8960952321409006E-2</c:v>
                </c:pt>
                <c:pt idx="21">
                  <c:v>6.1054183780424501E-2</c:v>
                </c:pt>
                <c:pt idx="22">
                  <c:v>3.0750966061762371E-2</c:v>
                </c:pt>
                <c:pt idx="23">
                  <c:v>8.7460972076043361E-3</c:v>
                </c:pt>
                <c:pt idx="24">
                  <c:v>-2.702982192781729E-3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8-4605-96F7-9333AF01F5F1}"/>
            </c:ext>
          </c:extLst>
        </c:ser>
        <c:ser>
          <c:idx val="1"/>
          <c:order val="1"/>
          <c:tx>
            <c:strRef>
              <c:f>'longitudinal-acma'!$O$129</c:f>
              <c:strCache>
                <c:ptCount val="1"/>
                <c:pt idx="0">
                  <c:v>openDomain-long-LNGC-FST2-Cnz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'longitudinal-acma'!$O$130:$O$154</c:f>
              <c:numCache>
                <c:formatCode>0.000</c:formatCode>
                <c:ptCount val="25"/>
                <c:pt idx="0">
                  <c:v>-2.5518124841581304E-2</c:v>
                </c:pt>
                <c:pt idx="1">
                  <c:v>-5.8069304611235847E-3</c:v>
                </c:pt>
                <c:pt idx="2">
                  <c:v>-2.7493435018298717E-2</c:v>
                </c:pt>
                <c:pt idx="3">
                  <c:v>-7.7176320401736095E-2</c:v>
                </c:pt>
                <c:pt idx="4">
                  <c:v>-6.412812738363817E-2</c:v>
                </c:pt>
                <c:pt idx="5">
                  <c:v>-6.5049386307442295E-2</c:v>
                </c:pt>
                <c:pt idx="6">
                  <c:v>7.6675930736968094E-3</c:v>
                </c:pt>
                <c:pt idx="7">
                  <c:v>2.5387246753204216E-2</c:v>
                </c:pt>
                <c:pt idx="8">
                  <c:v>4.3021385245726719E-2</c:v>
                </c:pt>
                <c:pt idx="9">
                  <c:v>7.0492979696582247E-2</c:v>
                </c:pt>
                <c:pt idx="10">
                  <c:v>4.4865985375486278E-2</c:v>
                </c:pt>
                <c:pt idx="11">
                  <c:v>1.3635063691431075E-2</c:v>
                </c:pt>
                <c:pt idx="12">
                  <c:v>8.2107705145526531E-3</c:v>
                </c:pt>
                <c:pt idx="13">
                  <c:v>-9.4125755546560688E-3</c:v>
                </c:pt>
                <c:pt idx="14">
                  <c:v>-2.65942326719012E-2</c:v>
                </c:pt>
                <c:pt idx="15">
                  <c:v>-2.4247607736278268E-2</c:v>
                </c:pt>
                <c:pt idx="16">
                  <c:v>-1.2574604548419003E-2</c:v>
                </c:pt>
                <c:pt idx="17">
                  <c:v>-1.7978925231948467E-2</c:v>
                </c:pt>
                <c:pt idx="18">
                  <c:v>-1.7630714454490135E-2</c:v>
                </c:pt>
                <c:pt idx="19">
                  <c:v>2.4745887980116461E-2</c:v>
                </c:pt>
                <c:pt idx="20">
                  <c:v>9.9603493512147923E-2</c:v>
                </c:pt>
                <c:pt idx="21">
                  <c:v>9.7261938745945326E-2</c:v>
                </c:pt>
                <c:pt idx="22">
                  <c:v>7.594344203160279E-2</c:v>
                </c:pt>
                <c:pt idx="23">
                  <c:v>2.2830764483111051E-2</c:v>
                </c:pt>
                <c:pt idx="24">
                  <c:v>-2.5518124841581304E-2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8-4605-96F7-9333AF01F5F1}"/>
            </c:ext>
          </c:extLst>
        </c:ser>
        <c:ser>
          <c:idx val="2"/>
          <c:order val="2"/>
          <c:tx>
            <c:strRef>
              <c:f>'longitudinal-acma'!$W$129</c:f>
              <c:strCache>
                <c:ptCount val="1"/>
                <c:pt idx="0">
                  <c:v>openDomain-long-LNGC-LNGC-Cnz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'longitudinal-acma'!$Q$130:$Q$154</c:f>
              <c:numCache>
                <c:formatCode>General</c:formatCode>
                <c:ptCount val="25"/>
              </c:numCache>
            </c:numRef>
          </c:xVal>
          <c:yVal>
            <c:numRef>
              <c:f>'longitudinal-acma'!$W$130:$W$154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C8-4605-96F7-9333AF01F5F1}"/>
            </c:ext>
          </c:extLst>
        </c:ser>
        <c:ser>
          <c:idx val="3"/>
          <c:order val="3"/>
          <c:tx>
            <c:strRef>
              <c:f>'longitudinal-acma'!$G$191</c:f>
              <c:strCache>
                <c:ptCount val="1"/>
                <c:pt idx="0">
                  <c:v>openDomain-long-full-LNGC-FST1-Cnz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'longitudinal-acma'!$A$192:$A$216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'longitudinal-acma'!$G$192:$G$216</c:f>
              <c:numCache>
                <c:formatCode>0.000</c:formatCode>
                <c:ptCount val="25"/>
                <c:pt idx="0">
                  <c:v>-5.1662959538290899E-4</c:v>
                </c:pt>
                <c:pt idx="1">
                  <c:v>1.2314711065874654E-2</c:v>
                </c:pt>
                <c:pt idx="2">
                  <c:v>2.5181753920444874E-2</c:v>
                </c:pt>
                <c:pt idx="3">
                  <c:v>8.3081062336370387E-2</c:v>
                </c:pt>
                <c:pt idx="4">
                  <c:v>7.8101351491990448E-2</c:v>
                </c:pt>
                <c:pt idx="5">
                  <c:v>0.14054526504444118</c:v>
                </c:pt>
                <c:pt idx="6">
                  <c:v>0.15611227741073283</c:v>
                </c:pt>
                <c:pt idx="7">
                  <c:v>0.14910479916108629</c:v>
                </c:pt>
                <c:pt idx="8">
                  <c:v>0.19689927120522102</c:v>
                </c:pt>
                <c:pt idx="9">
                  <c:v>0.17644456300572398</c:v>
                </c:pt>
                <c:pt idx="10">
                  <c:v>8.5263316098226141E-2</c:v>
                </c:pt>
                <c:pt idx="11">
                  <c:v>2.4856577402069157E-2</c:v>
                </c:pt>
                <c:pt idx="12">
                  <c:v>-2.1914542431814145E-3</c:v>
                </c:pt>
                <c:pt idx="13">
                  <c:v>-3.3787141766557331E-2</c:v>
                </c:pt>
                <c:pt idx="14">
                  <c:v>-7.3776030583076399E-2</c:v>
                </c:pt>
                <c:pt idx="15">
                  <c:v>-0.14180173890474021</c:v>
                </c:pt>
                <c:pt idx="16">
                  <c:v>-0.10527239667434292</c:v>
                </c:pt>
                <c:pt idx="17">
                  <c:v>-4.8567981449852013E-2</c:v>
                </c:pt>
                <c:pt idx="18">
                  <c:v>3.6151708242358395E-2</c:v>
                </c:pt>
                <c:pt idx="19">
                  <c:v>2.8429620401801605E-2</c:v>
                </c:pt>
                <c:pt idx="20">
                  <c:v>1.8990350135164581E-2</c:v>
                </c:pt>
                <c:pt idx="21">
                  <c:v>3.030262742259995E-2</c:v>
                </c:pt>
                <c:pt idx="22">
                  <c:v>1.1119436201842171E-2</c:v>
                </c:pt>
                <c:pt idx="23">
                  <c:v>-4.6662161531216761E-4</c:v>
                </c:pt>
                <c:pt idx="24">
                  <c:v>-5.1662959538290899E-4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C8-4605-96F7-9333AF01F5F1}"/>
            </c:ext>
          </c:extLst>
        </c:ser>
        <c:ser>
          <c:idx val="4"/>
          <c:order val="4"/>
          <c:tx>
            <c:strRef>
              <c:f>'longitudinal-acma'!$O$191</c:f>
              <c:strCache>
                <c:ptCount val="1"/>
                <c:pt idx="0">
                  <c:v>openDomain-long-LNGC-full-FST2-Cnz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'longitudinal-acma'!$O$192:$O$216</c:f>
              <c:numCache>
                <c:formatCode>0.000</c:formatCode>
                <c:ptCount val="25"/>
                <c:pt idx="0">
                  <c:v>-2.4769705174683552E-2</c:v>
                </c:pt>
                <c:pt idx="1">
                  <c:v>-2.3793821821235888E-2</c:v>
                </c:pt>
                <c:pt idx="2">
                  <c:v>-4.3810245965361115E-2</c:v>
                </c:pt>
                <c:pt idx="3">
                  <c:v>-7.1374800547647693E-2</c:v>
                </c:pt>
                <c:pt idx="4">
                  <c:v>-5.611046244187385E-2</c:v>
                </c:pt>
                <c:pt idx="5">
                  <c:v>-3.7222839151924869E-2</c:v>
                </c:pt>
                <c:pt idx="6">
                  <c:v>-1.5783610186505832E-3</c:v>
                </c:pt>
                <c:pt idx="7">
                  <c:v>3.6870203348025343E-3</c:v>
                </c:pt>
                <c:pt idx="8">
                  <c:v>1.8707554762955332E-2</c:v>
                </c:pt>
                <c:pt idx="9">
                  <c:v>5.3136870431442863E-2</c:v>
                </c:pt>
                <c:pt idx="10">
                  <c:v>1.7398197352894443E-2</c:v>
                </c:pt>
                <c:pt idx="11">
                  <c:v>-1.7502713395726264E-3</c:v>
                </c:pt>
                <c:pt idx="12">
                  <c:v>-1.135762927773755E-3</c:v>
                </c:pt>
                <c:pt idx="13">
                  <c:v>1.0276780823772276E-3</c:v>
                </c:pt>
                <c:pt idx="14">
                  <c:v>-9.2929210270160465E-3</c:v>
                </c:pt>
                <c:pt idx="15">
                  <c:v>-1.6033837743517569E-2</c:v>
                </c:pt>
                <c:pt idx="16">
                  <c:v>-1.3246900837502917E-2</c:v>
                </c:pt>
                <c:pt idx="17">
                  <c:v>-2.3109690485044757E-2</c:v>
                </c:pt>
                <c:pt idx="18">
                  <c:v>-2.491007002876405E-2</c:v>
                </c:pt>
                <c:pt idx="19">
                  <c:v>4.4306388094853551E-2</c:v>
                </c:pt>
                <c:pt idx="20">
                  <c:v>6.1917547762153413E-2</c:v>
                </c:pt>
                <c:pt idx="21">
                  <c:v>4.7056306954310852E-2</c:v>
                </c:pt>
                <c:pt idx="22">
                  <c:v>3.683041104278402E-2</c:v>
                </c:pt>
                <c:pt idx="23">
                  <c:v>2.7071800165795997E-3</c:v>
                </c:pt>
                <c:pt idx="24">
                  <c:v>-2.4769705174683552E-2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C8-4605-96F7-9333AF01F5F1}"/>
            </c:ext>
          </c:extLst>
        </c:ser>
        <c:ser>
          <c:idx val="5"/>
          <c:order val="5"/>
          <c:tx>
            <c:strRef>
              <c:f>'longitudinal-acma'!$W$191</c:f>
              <c:strCache>
                <c:ptCount val="1"/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'longitudinal-acma'!$Q$192:$Q$216</c:f>
              <c:numCache>
                <c:formatCode>General</c:formatCode>
                <c:ptCount val="25"/>
              </c:numCache>
            </c:numRef>
          </c:xVal>
          <c:yVal>
            <c:numRef>
              <c:f>'longitudinal-acma'!$W$192:$W$216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C8-4605-96F7-9333AF01F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2780"/>
        <c:axId val="62650537"/>
      </c:scatterChart>
      <c:valAx>
        <c:axId val="754278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650537"/>
        <c:crosses val="autoZero"/>
        <c:crossBetween val="midCat"/>
        <c:majorUnit val="45"/>
        <c:minorUnit val="15"/>
      </c:valAx>
      <c:valAx>
        <c:axId val="62650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42780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3582313243479605"/>
          <c:y val="0.21921201762538101"/>
          <c:w val="0.353895689487914"/>
          <c:h val="0.3661048551886699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3-493A-94F2-8AADBA191D96}"/>
            </c:ext>
          </c:extLst>
        </c:ser>
        <c:ser>
          <c:idx val="1"/>
          <c:order val="1"/>
          <c:tx>
            <c:strRef>
              <c:f>'longitudinal-acma'!$Q$94</c:f>
              <c:strCache>
                <c:ptCount val="1"/>
                <c:pt idx="0">
                  <c:v>openDomain-trans-FST2-noApp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'longitudinal-acma'!$Q$99:$Q$123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'longitudinal-acma'!$R$99:$R$123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63-493A-94F2-8AADBA191D96}"/>
            </c:ext>
          </c:extLst>
        </c:ser>
        <c:ser>
          <c:idx val="2"/>
          <c:order val="2"/>
          <c:tx>
            <c:strRef>
              <c:f>'longitudinal-acma'!$Z$98</c:f>
              <c:strCache>
                <c:ptCount val="1"/>
                <c:pt idx="0">
                  <c:v>openDomain-trans-FST2-hull-Cx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'longitudinal-acma'!$Y$99:$Y$123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'longitudinal-acma'!$Z$99:$Z$123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63-493A-94F2-8AADBA191D96}"/>
            </c:ext>
          </c:extLst>
        </c:ser>
        <c:ser>
          <c:idx val="3"/>
          <c:order val="3"/>
          <c:tx>
            <c:strRef>
              <c:f>'longitudinal-acma'!$AH$98</c:f>
              <c:strCache>
                <c:ptCount val="1"/>
                <c:pt idx="0">
                  <c:v>openDomain-trans-FST2-topsides-Cx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'longitudinal-acma'!$AG$99:$AG$123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'longitudinal-acma'!$AH$99:$AH$123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63-493A-94F2-8AADBA191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0810"/>
        <c:axId val="17832831"/>
      </c:scatterChart>
      <c:valAx>
        <c:axId val="3556081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832831"/>
        <c:crosses val="autoZero"/>
        <c:crossBetween val="midCat"/>
        <c:majorUnit val="45"/>
        <c:minorUnit val="15"/>
      </c:valAx>
      <c:valAx>
        <c:axId val="178328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556081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A-494E-B596-01A9CD4B74B5}"/>
            </c:ext>
          </c:extLst>
        </c:ser>
        <c:ser>
          <c:idx val="1"/>
          <c:order val="1"/>
          <c:tx>
            <c:strRef>
              <c:f>'longitudinal-acma'!$S$98</c:f>
              <c:strCache>
                <c:ptCount val="1"/>
                <c:pt idx="0">
                  <c:v>openDomain-trans-FST2-noApp-Cy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'longitudinal-acma'!$Q$99:$Q$123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'longitudinal-acma'!$S$99:$S$123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3A-494E-B596-01A9CD4B74B5}"/>
            </c:ext>
          </c:extLst>
        </c:ser>
        <c:ser>
          <c:idx val="2"/>
          <c:order val="2"/>
          <c:tx>
            <c:strRef>
              <c:f>'longitudinal-acma'!$AA$98</c:f>
              <c:strCache>
                <c:ptCount val="1"/>
                <c:pt idx="0">
                  <c:v>openDomain-trans-FST2-hull-Cy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'longitudinal-acma'!$Y$99:$Y$123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'longitudinal-acma'!$AA$99:$AA$123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3A-494E-B596-01A9CD4B74B5}"/>
            </c:ext>
          </c:extLst>
        </c:ser>
        <c:ser>
          <c:idx val="3"/>
          <c:order val="3"/>
          <c:tx>
            <c:strRef>
              <c:f>'longitudinal-acma'!$AI$98</c:f>
              <c:strCache>
                <c:ptCount val="1"/>
                <c:pt idx="0">
                  <c:v>openDomain-trans-FST2-topsides-Cy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'longitudinal-acma'!$AG$99:$AG$123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'longitudinal-acma'!$AI$99:$AI$122</c:f>
              <c:numCache>
                <c:formatCode>0.000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3A-494E-B596-01A9CD4B7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1341"/>
        <c:axId val="90020441"/>
      </c:scatterChart>
      <c:valAx>
        <c:axId val="62101341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020441"/>
        <c:crosses val="autoZero"/>
        <c:crossBetween val="midCat"/>
        <c:majorUnit val="45"/>
        <c:minorUnit val="15"/>
      </c:valAx>
      <c:valAx>
        <c:axId val="900204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10134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431-91D2-605907D2FF52}"/>
            </c:ext>
          </c:extLst>
        </c:ser>
        <c:ser>
          <c:idx val="1"/>
          <c:order val="1"/>
          <c:tx>
            <c:strRef>
              <c:f>'longitudinal-acma'!$W$98</c:f>
              <c:strCache>
                <c:ptCount val="1"/>
                <c:pt idx="0">
                  <c:v>openDomain-trans-FST2-noApp-Cnz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'longitudinal-acma'!$Q$99:$Q$123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'longitudinal-acma'!$W$99:$W$123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431-91D2-605907D2FF52}"/>
            </c:ext>
          </c:extLst>
        </c:ser>
        <c:ser>
          <c:idx val="2"/>
          <c:order val="2"/>
          <c:tx>
            <c:strRef>
              <c:f>'longitudinal-acma'!$AE$98</c:f>
              <c:strCache>
                <c:ptCount val="1"/>
                <c:pt idx="0">
                  <c:v>openDomain-trans-FST2-hull-Cnz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'longitudinal-acma'!$Y$99:$Y$123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'longitudinal-acma'!$AE$99:$AE$123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431-91D2-605907D2FF52}"/>
            </c:ext>
          </c:extLst>
        </c:ser>
        <c:ser>
          <c:idx val="3"/>
          <c:order val="3"/>
          <c:tx>
            <c:strRef>
              <c:f>'longitudinal-acma'!$AM$98</c:f>
              <c:strCache>
                <c:ptCount val="1"/>
                <c:pt idx="0">
                  <c:v>openDomain-trans-FST2-topsides-Cnz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'longitudinal-acma'!$AG$99:$AG$123</c:f>
              <c:numCache>
                <c:formatCode>General</c:formatCode>
                <c:ptCount val="25"/>
              </c:numCache>
            </c:numRef>
          </c:xVal>
          <c:yVal>
            <c:numRef>
              <c:f>'longitudinal-acma'!$AM$99:$AM$123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431-91D2-605907D2F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2761"/>
        <c:axId val="69641942"/>
      </c:scatterChart>
      <c:valAx>
        <c:axId val="29192761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9641942"/>
        <c:crosses val="autoZero"/>
        <c:crossBetween val="midCat"/>
        <c:majorUnit val="45"/>
        <c:minorUnit val="15"/>
      </c:valAx>
      <c:valAx>
        <c:axId val="696419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19276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'longitudinal-acma'!$B$5</c:f>
              <c:strCache>
                <c:ptCount val="1"/>
                <c:pt idx="0">
                  <c:v>Open Domain FST1 (Long/trans) factors-Cx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'longitudinal-acma'!$B$6:$B$30</c:f>
              <c:numCache>
                <c:formatCode>0.000</c:formatCode>
                <c:ptCount val="25"/>
                <c:pt idx="0">
                  <c:v>0.76561541767876973</c:v>
                </c:pt>
                <c:pt idx="1">
                  <c:v>0.53585801560910462</c:v>
                </c:pt>
                <c:pt idx="2">
                  <c:v>0.3061006135394394</c:v>
                </c:pt>
                <c:pt idx="3">
                  <c:v>0.22329886075602687</c:v>
                </c:pt>
                <c:pt idx="4">
                  <c:v>0.11993828163179525</c:v>
                </c:pt>
                <c:pt idx="5">
                  <c:v>0.51902410765977969</c:v>
                </c:pt>
                <c:pt idx="6">
                  <c:v>0.91810993368776406</c:v>
                </c:pt>
                <c:pt idx="7">
                  <c:v>0.51902410765977969</c:v>
                </c:pt>
                <c:pt idx="8">
                  <c:v>0.11993828163179525</c:v>
                </c:pt>
                <c:pt idx="9">
                  <c:v>0.22329886075602687</c:v>
                </c:pt>
                <c:pt idx="10">
                  <c:v>0.3061006135394394</c:v>
                </c:pt>
                <c:pt idx="11">
                  <c:v>0.53585801560910462</c:v>
                </c:pt>
                <c:pt idx="12">
                  <c:v>0.76561541767876973</c:v>
                </c:pt>
                <c:pt idx="13">
                  <c:v>0.53585801560910462</c:v>
                </c:pt>
                <c:pt idx="14">
                  <c:v>0.3061006135394394</c:v>
                </c:pt>
                <c:pt idx="15">
                  <c:v>0.22329886075602687</c:v>
                </c:pt>
                <c:pt idx="16">
                  <c:v>0.11993828163179525</c:v>
                </c:pt>
                <c:pt idx="17">
                  <c:v>0.51902410765977969</c:v>
                </c:pt>
                <c:pt idx="18">
                  <c:v>0.91810993368776406</c:v>
                </c:pt>
                <c:pt idx="19">
                  <c:v>0.51902410765977969</c:v>
                </c:pt>
                <c:pt idx="20">
                  <c:v>0.11993828163179525</c:v>
                </c:pt>
                <c:pt idx="21">
                  <c:v>0.22329886075602687</c:v>
                </c:pt>
                <c:pt idx="22">
                  <c:v>0.3061006135394394</c:v>
                </c:pt>
                <c:pt idx="23">
                  <c:v>0.53585801560910462</c:v>
                </c:pt>
                <c:pt idx="24">
                  <c:v>0.76561541767876973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C-4D67-9B78-D5482BBCF0BA}"/>
            </c:ext>
          </c:extLst>
        </c:ser>
        <c:ser>
          <c:idx val="1"/>
          <c:order val="1"/>
          <c:tx>
            <c:strRef>
              <c:f>'longitudinal-acma'!$B$36</c:f>
              <c:strCache>
                <c:ptCount val="1"/>
                <c:pt idx="0">
                  <c:v>topoDomain-long-FST1-Cx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'longitudinal-acma'!$A$37:$A$61</c:f>
              <c:numCache>
                <c:formatCode>General</c:formatCode>
                <c:ptCount val="25"/>
              </c:numCache>
            </c:numRef>
          </c:xVal>
          <c:yVal>
            <c:numRef>
              <c:f>'longitudinal-acma'!$B$37:$B$41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C-4D67-9B78-D5482BBCF0BA}"/>
            </c:ext>
          </c:extLst>
        </c:ser>
        <c:ser>
          <c:idx val="2"/>
          <c:order val="2"/>
          <c:tx>
            <c:strRef>
              <c:f>'longitudinal-acma'!$J$5</c:f>
              <c:strCache>
                <c:ptCount val="1"/>
                <c:pt idx="0">
                  <c:v>Open Domain FST2 (Long/trans) factors-Cx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'longitudinal-acma'!$J$6:$J$30</c:f>
              <c:numCache>
                <c:formatCode>0.000</c:formatCode>
                <c:ptCount val="25"/>
                <c:pt idx="0">
                  <c:v>0.60290487583331998</c:v>
                </c:pt>
                <c:pt idx="1">
                  <c:v>0.49531400400070569</c:v>
                </c:pt>
                <c:pt idx="2">
                  <c:v>0.38772313216809146</c:v>
                </c:pt>
                <c:pt idx="3">
                  <c:v>0.35279736793436656</c:v>
                </c:pt>
                <c:pt idx="4">
                  <c:v>8.4459723482979587E-2</c:v>
                </c:pt>
                <c:pt idx="5">
                  <c:v>0.50295936072043101</c:v>
                </c:pt>
                <c:pt idx="6">
                  <c:v>0.92145899795788233</c:v>
                </c:pt>
                <c:pt idx="7">
                  <c:v>0.50295936072043101</c:v>
                </c:pt>
                <c:pt idx="8">
                  <c:v>8.4459723482979587E-2</c:v>
                </c:pt>
                <c:pt idx="9">
                  <c:v>0.35279736793436656</c:v>
                </c:pt>
                <c:pt idx="10">
                  <c:v>0.38772313216809146</c:v>
                </c:pt>
                <c:pt idx="11">
                  <c:v>0.49531400400070569</c:v>
                </c:pt>
                <c:pt idx="12">
                  <c:v>0.60290487583331998</c:v>
                </c:pt>
                <c:pt idx="13">
                  <c:v>0.49531400400070569</c:v>
                </c:pt>
                <c:pt idx="14">
                  <c:v>0.38772313216809146</c:v>
                </c:pt>
                <c:pt idx="15">
                  <c:v>0.35279736793436656</c:v>
                </c:pt>
                <c:pt idx="16">
                  <c:v>8.4459723482979587E-2</c:v>
                </c:pt>
                <c:pt idx="17">
                  <c:v>0.50295936072043101</c:v>
                </c:pt>
                <c:pt idx="18">
                  <c:v>0.92145899795788233</c:v>
                </c:pt>
                <c:pt idx="19">
                  <c:v>0.50295936072043101</c:v>
                </c:pt>
                <c:pt idx="20">
                  <c:v>8.4459723482979587E-2</c:v>
                </c:pt>
                <c:pt idx="21">
                  <c:v>0.35279736793436656</c:v>
                </c:pt>
                <c:pt idx="22">
                  <c:v>0.38772313216809146</c:v>
                </c:pt>
                <c:pt idx="23">
                  <c:v>0.49531400400070569</c:v>
                </c:pt>
                <c:pt idx="24">
                  <c:v>0.60290487583331998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BC-4D67-9B78-D5482BBCF0BA}"/>
            </c:ext>
          </c:extLst>
        </c:ser>
        <c:ser>
          <c:idx val="3"/>
          <c:order val="3"/>
          <c:tx>
            <c:strRef>
              <c:f>'longitudinal-acma'!$J$36</c:f>
              <c:strCache>
                <c:ptCount val="1"/>
                <c:pt idx="0">
                  <c:v>topoDomain-long-FST2-Cx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'longitudinal-acma'!$I$37:$I$41</c:f>
              <c:numCache>
                <c:formatCode>General</c:formatCode>
                <c:ptCount val="5"/>
              </c:numCache>
            </c:numRef>
          </c:xVal>
          <c:yVal>
            <c:numRef>
              <c:f>'longitudinal-acma'!$J$37:$J$61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BC-4D67-9B78-D5482BBCF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436"/>
        <c:axId val="47978639"/>
      </c:scatterChart>
      <c:valAx>
        <c:axId val="19923436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978639"/>
        <c:crosses val="autoZero"/>
        <c:crossBetween val="midCat"/>
        <c:majorUnit val="45"/>
        <c:minorUnit val="15"/>
      </c:valAx>
      <c:valAx>
        <c:axId val="47978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9234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'longitudinal-acma'!$C$5</c:f>
              <c:strCache>
                <c:ptCount val="1"/>
                <c:pt idx="0">
                  <c:v>Open Domain FST1 (Long/trans) factors-Cy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'longitudinal-acma'!$C$6:$C$30</c:f>
              <c:numCache>
                <c:formatCode>0.000</c:formatCode>
                <c:ptCount val="25"/>
                <c:pt idx="0">
                  <c:v>1</c:v>
                </c:pt>
                <c:pt idx="1">
                  <c:v>1.0445993129126903</c:v>
                </c:pt>
                <c:pt idx="2">
                  <c:v>1.0891986258253807</c:v>
                </c:pt>
                <c:pt idx="3">
                  <c:v>1.1527613087700792</c:v>
                </c:pt>
                <c:pt idx="4">
                  <c:v>1.2620882382490113</c:v>
                </c:pt>
                <c:pt idx="5">
                  <c:v>1.2742130250981027</c:v>
                </c:pt>
                <c:pt idx="6">
                  <c:v>1.286337811947194</c:v>
                </c:pt>
                <c:pt idx="7">
                  <c:v>1.2742130250981027</c:v>
                </c:pt>
                <c:pt idx="8">
                  <c:v>1.2620882382490113</c:v>
                </c:pt>
                <c:pt idx="9">
                  <c:v>1.1527613087700792</c:v>
                </c:pt>
                <c:pt idx="10">
                  <c:v>1.0891986258253807</c:v>
                </c:pt>
                <c:pt idx="11">
                  <c:v>1.0445993129126903</c:v>
                </c:pt>
                <c:pt idx="12">
                  <c:v>1</c:v>
                </c:pt>
                <c:pt idx="13">
                  <c:v>1.0445993129126903</c:v>
                </c:pt>
                <c:pt idx="14">
                  <c:v>1.0891986258253807</c:v>
                </c:pt>
                <c:pt idx="15">
                  <c:v>1.1527613087700792</c:v>
                </c:pt>
                <c:pt idx="16">
                  <c:v>1.2620882382490113</c:v>
                </c:pt>
                <c:pt idx="17">
                  <c:v>1.2742130250981027</c:v>
                </c:pt>
                <c:pt idx="18">
                  <c:v>1.286337811947194</c:v>
                </c:pt>
                <c:pt idx="19">
                  <c:v>1.2742130250981027</c:v>
                </c:pt>
                <c:pt idx="20">
                  <c:v>1.2620882382490113</c:v>
                </c:pt>
                <c:pt idx="21">
                  <c:v>1.1527613087700792</c:v>
                </c:pt>
                <c:pt idx="22">
                  <c:v>1.0891986258253807</c:v>
                </c:pt>
                <c:pt idx="23">
                  <c:v>1.0445993129126903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E-4E50-9761-30C355D25370}"/>
            </c:ext>
          </c:extLst>
        </c:ser>
        <c:ser>
          <c:idx val="1"/>
          <c:order val="1"/>
          <c:tx>
            <c:strRef>
              <c:f>'longitudinal-acma'!$C$36</c:f>
              <c:strCache>
                <c:ptCount val="1"/>
                <c:pt idx="0">
                  <c:v>topoDomain-long-FST1-Cy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'longitudinal-acma'!$A$37:$A$61</c:f>
              <c:numCache>
                <c:formatCode>General</c:formatCode>
                <c:ptCount val="25"/>
              </c:numCache>
            </c:numRef>
          </c:xVal>
          <c:yVal>
            <c:numRef>
              <c:f>'longitudinal-acma'!$C$37:$C$41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6E-4E50-9761-30C355D25370}"/>
            </c:ext>
          </c:extLst>
        </c:ser>
        <c:ser>
          <c:idx val="2"/>
          <c:order val="2"/>
          <c:tx>
            <c:strRef>
              <c:f>'longitudinal-acma'!$K$5</c:f>
              <c:strCache>
                <c:ptCount val="1"/>
                <c:pt idx="0">
                  <c:v>Open Domain FST2 (Long/trans) factors-Cy [-]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'longitudinal-acma'!$K$6:$K$30</c:f>
              <c:numCache>
                <c:formatCode>0.000</c:formatCode>
                <c:ptCount val="25"/>
                <c:pt idx="0">
                  <c:v>1</c:v>
                </c:pt>
                <c:pt idx="1">
                  <c:v>1.0982757425751253</c:v>
                </c:pt>
                <c:pt idx="2">
                  <c:v>1.1965514851502506</c:v>
                </c:pt>
                <c:pt idx="3">
                  <c:v>1.2648308148868026</c:v>
                </c:pt>
                <c:pt idx="4">
                  <c:v>1.3458853922989618</c:v>
                </c:pt>
                <c:pt idx="5">
                  <c:v>1.3029003647720678</c:v>
                </c:pt>
                <c:pt idx="6">
                  <c:v>1.2599153372451737</c:v>
                </c:pt>
                <c:pt idx="7">
                  <c:v>1.3029003647720678</c:v>
                </c:pt>
                <c:pt idx="8">
                  <c:v>1.3458853922989618</c:v>
                </c:pt>
                <c:pt idx="9">
                  <c:v>1.2648308148868026</c:v>
                </c:pt>
                <c:pt idx="10">
                  <c:v>1.1965514851502506</c:v>
                </c:pt>
                <c:pt idx="11">
                  <c:v>1.0982757425751253</c:v>
                </c:pt>
                <c:pt idx="12">
                  <c:v>1</c:v>
                </c:pt>
                <c:pt idx="13">
                  <c:v>1.0982757425751253</c:v>
                </c:pt>
                <c:pt idx="14">
                  <c:v>1.1965514851502506</c:v>
                </c:pt>
                <c:pt idx="15">
                  <c:v>1.2648308148868026</c:v>
                </c:pt>
                <c:pt idx="16">
                  <c:v>1.3458853922989618</c:v>
                </c:pt>
                <c:pt idx="17">
                  <c:v>1.3029003647720678</c:v>
                </c:pt>
                <c:pt idx="18">
                  <c:v>1.2599153372451737</c:v>
                </c:pt>
                <c:pt idx="19">
                  <c:v>1.3029003647720678</c:v>
                </c:pt>
                <c:pt idx="20">
                  <c:v>1.3458853922989618</c:v>
                </c:pt>
                <c:pt idx="21">
                  <c:v>1.2648308148868026</c:v>
                </c:pt>
                <c:pt idx="22">
                  <c:v>1.1965514851502506</c:v>
                </c:pt>
                <c:pt idx="23">
                  <c:v>1.0982757425751253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6E-4E50-9761-30C355D25370}"/>
            </c:ext>
          </c:extLst>
        </c:ser>
        <c:ser>
          <c:idx val="3"/>
          <c:order val="3"/>
          <c:tx>
            <c:strRef>
              <c:f>'longitudinal-acma'!$K$36</c:f>
              <c:strCache>
                <c:ptCount val="1"/>
                <c:pt idx="0">
                  <c:v>topoDomain-long-FST2-Cy [-]</c:v>
                </c:pt>
              </c:strCache>
            </c:strRef>
          </c:tx>
          <c:spPr>
            <a:ln w="19080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'longitudinal-acma'!$I$37:$I$41</c:f>
              <c:numCache>
                <c:formatCode>General</c:formatCode>
                <c:ptCount val="5"/>
              </c:numCache>
            </c:numRef>
          </c:xVal>
          <c:yVal>
            <c:numRef>
              <c:f>'longitudinal-acma'!$K$37:$K$61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6E-4E50-9761-30C355D2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4836"/>
        <c:axId val="19858482"/>
      </c:scatterChart>
      <c:valAx>
        <c:axId val="11134836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58482"/>
        <c:crosses val="autoZero"/>
        <c:crossBetween val="midCat"/>
        <c:majorUnit val="45"/>
        <c:minorUnit val="15"/>
      </c:valAx>
      <c:valAx>
        <c:axId val="198584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1348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'longitudinal-acma'!$A$99:$A$123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'longitudinal-acma'!$B$99:$B$123</c:f>
              <c:numCache>
                <c:formatCode>0.000</c:formatCode>
                <c:ptCount val="25"/>
                <c:pt idx="0">
                  <c:v>-0.17973342291245667</c:v>
                </c:pt>
                <c:pt idx="1">
                  <c:v>-0.66951348622626006</c:v>
                </c:pt>
                <c:pt idx="2">
                  <c:v>-0.50444916098767589</c:v>
                </c:pt>
                <c:pt idx="3">
                  <c:v>-0.32277978626843556</c:v>
                </c:pt>
                <c:pt idx="4">
                  <c:v>-0.13943987089342857</c:v>
                </c:pt>
                <c:pt idx="5">
                  <c:v>-0.40457193319277029</c:v>
                </c:pt>
                <c:pt idx="6">
                  <c:v>-0.28081580798741324</c:v>
                </c:pt>
                <c:pt idx="7">
                  <c:v>0.10324630767335627</c:v>
                </c:pt>
                <c:pt idx="8">
                  <c:v>0.13776436731877556</c:v>
                </c:pt>
                <c:pt idx="9">
                  <c:v>0.44049154741575453</c:v>
                </c:pt>
                <c:pt idx="10">
                  <c:v>0.69739249531362812</c:v>
                </c:pt>
                <c:pt idx="11">
                  <c:v>1.0023117037525273</c:v>
                </c:pt>
                <c:pt idx="12">
                  <c:v>0.81123761476258704</c:v>
                </c:pt>
                <c:pt idx="13">
                  <c:v>0.81107607551592908</c:v>
                </c:pt>
                <c:pt idx="14">
                  <c:v>0.50023270214208415</c:v>
                </c:pt>
                <c:pt idx="15">
                  <c:v>0.27389065980751132</c:v>
                </c:pt>
                <c:pt idx="16">
                  <c:v>5.2202002116892514E-2</c:v>
                </c:pt>
                <c:pt idx="17">
                  <c:v>-1.0500459255048453E-2</c:v>
                </c:pt>
                <c:pt idx="18">
                  <c:v>-0.17310642225815909</c:v>
                </c:pt>
                <c:pt idx="19">
                  <c:v>-4.5476952914842529E-2</c:v>
                </c:pt>
                <c:pt idx="20">
                  <c:v>-3.771950834287633E-2</c:v>
                </c:pt>
                <c:pt idx="21">
                  <c:v>-0.1537803309033719</c:v>
                </c:pt>
                <c:pt idx="22">
                  <c:v>-0.22871788589617095</c:v>
                </c:pt>
                <c:pt idx="23">
                  <c:v>-0.29598151917350374</c:v>
                </c:pt>
                <c:pt idx="24">
                  <c:v>-0.17973342291245667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5-4A2A-8385-734DF81B0076}"/>
            </c:ext>
          </c:extLst>
        </c:ser>
        <c:ser>
          <c:idx val="1"/>
          <c:order val="1"/>
          <c:tx>
            <c:strRef>
              <c:f>'longitudinal-acma'!$J$98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5-4A2A-8385-734DF81B0076}"/>
            </c:ext>
          </c:extLst>
        </c:ser>
        <c:ser>
          <c:idx val="2"/>
          <c:order val="2"/>
          <c:tx>
            <c:strRef>
              <c:f>'longitudinal-acma'!$B$129</c:f>
              <c:strCache>
                <c:ptCount val="1"/>
                <c:pt idx="0">
                  <c:v>openDomain-long-LNGC-FST1-Cx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'longitudinal-acma'!$A$130:$A$154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'longitudinal-acma'!$B$130:$B$154</c:f>
              <c:numCache>
                <c:formatCode>0.000</c:formatCode>
                <c:ptCount val="25"/>
                <c:pt idx="0">
                  <c:v>-0.18136453656125834</c:v>
                </c:pt>
                <c:pt idx="1">
                  <c:v>-0.49443054026511635</c:v>
                </c:pt>
                <c:pt idx="2">
                  <c:v>-0.2230400475947695</c:v>
                </c:pt>
                <c:pt idx="3">
                  <c:v>-0.19003521072884128</c:v>
                </c:pt>
                <c:pt idx="4">
                  <c:v>-6.6537551573926407E-2</c:v>
                </c:pt>
                <c:pt idx="5">
                  <c:v>-6.6746706087107116E-2</c:v>
                </c:pt>
                <c:pt idx="6">
                  <c:v>0.15668340453668009</c:v>
                </c:pt>
                <c:pt idx="7">
                  <c:v>0.21585838109610098</c:v>
                </c:pt>
                <c:pt idx="8">
                  <c:v>0.13634291843768695</c:v>
                </c:pt>
                <c:pt idx="9">
                  <c:v>0.42539593211934051</c:v>
                </c:pt>
                <c:pt idx="10">
                  <c:v>0.69052468794955235</c:v>
                </c:pt>
                <c:pt idx="11">
                  <c:v>1.0500471082219376</c:v>
                </c:pt>
                <c:pt idx="12">
                  <c:v>0.8920955444155203</c:v>
                </c:pt>
                <c:pt idx="13">
                  <c:v>0.77974430361761271</c:v>
                </c:pt>
                <c:pt idx="14">
                  <c:v>0.50097034928061357</c:v>
                </c:pt>
                <c:pt idx="15">
                  <c:v>0.29673848386764889</c:v>
                </c:pt>
                <c:pt idx="16">
                  <c:v>7.9415749044620232E-2</c:v>
                </c:pt>
                <c:pt idx="17">
                  <c:v>9.391522953083406E-2</c:v>
                </c:pt>
                <c:pt idx="18">
                  <c:v>-3.0661444946451386E-2</c:v>
                </c:pt>
                <c:pt idx="19">
                  <c:v>-3.7886402517717702E-2</c:v>
                </c:pt>
                <c:pt idx="20">
                  <c:v>-4.7603522876586202E-2</c:v>
                </c:pt>
                <c:pt idx="21">
                  <c:v>-0.16543602623348283</c:v>
                </c:pt>
                <c:pt idx="22">
                  <c:v>-0.23739702131244031</c:v>
                </c:pt>
                <c:pt idx="23">
                  <c:v>-0.30441397580531182</c:v>
                </c:pt>
                <c:pt idx="24">
                  <c:v>-0.18136453656125834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85-4A2A-8385-734DF81B0076}"/>
            </c:ext>
          </c:extLst>
        </c:ser>
        <c:ser>
          <c:idx val="3"/>
          <c:order val="3"/>
          <c:tx>
            <c:strRef>
              <c:f>'longitudinal-acma'!$J$129</c:f>
              <c:strCache>
                <c:ptCount val="1"/>
                <c:pt idx="0">
                  <c:v>openDomain-long-LNGC-FST2-Cx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'longitudinal-acma'!$J$130:$J$154</c:f>
              <c:numCache>
                <c:formatCode>0.000</c:formatCode>
                <c:ptCount val="25"/>
                <c:pt idx="0">
                  <c:v>0.74523754107757878</c:v>
                </c:pt>
                <c:pt idx="1">
                  <c:v>0.7444265183103127</c:v>
                </c:pt>
                <c:pt idx="2">
                  <c:v>0.7127488130562889</c:v>
                </c:pt>
                <c:pt idx="3">
                  <c:v>0.49593116228760786</c:v>
                </c:pt>
                <c:pt idx="4">
                  <c:v>8.3605492823558517E-2</c:v>
                </c:pt>
                <c:pt idx="5">
                  <c:v>0.18205260240456278</c:v>
                </c:pt>
                <c:pt idx="6">
                  <c:v>-0.19993613412297287</c:v>
                </c:pt>
                <c:pt idx="7">
                  <c:v>-0.17823890479944013</c:v>
                </c:pt>
                <c:pt idx="8">
                  <c:v>-6.0562446736328955E-2</c:v>
                </c:pt>
                <c:pt idx="9">
                  <c:v>-0.45236286954170574</c:v>
                </c:pt>
                <c:pt idx="10">
                  <c:v>-0.54691425292673257</c:v>
                </c:pt>
                <c:pt idx="11">
                  <c:v>-0.48262391813708094</c:v>
                </c:pt>
                <c:pt idx="12">
                  <c:v>-0.23283094049548267</c:v>
                </c:pt>
                <c:pt idx="13">
                  <c:v>-0.28298732890916328</c:v>
                </c:pt>
                <c:pt idx="14">
                  <c:v>-0.29259178557522403</c:v>
                </c:pt>
                <c:pt idx="15">
                  <c:v>-0.22559164944345392</c:v>
                </c:pt>
                <c:pt idx="16">
                  <c:v>-2.4595358526772373E-2</c:v>
                </c:pt>
                <c:pt idx="17">
                  <c:v>-8.0088669854806477E-2</c:v>
                </c:pt>
                <c:pt idx="18">
                  <c:v>-4.8486807748704092E-2</c:v>
                </c:pt>
                <c:pt idx="19">
                  <c:v>3.5065356998295549E-2</c:v>
                </c:pt>
                <c:pt idx="20">
                  <c:v>6.2811441129175277E-2</c:v>
                </c:pt>
                <c:pt idx="21">
                  <c:v>0.51957489153842373</c:v>
                </c:pt>
                <c:pt idx="22">
                  <c:v>0.67825458776148073</c:v>
                </c:pt>
                <c:pt idx="23">
                  <c:v>0.79822490036749738</c:v>
                </c:pt>
                <c:pt idx="24">
                  <c:v>0.74523754107757878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85-4A2A-8385-734DF81B0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3728"/>
        <c:axId val="58898008"/>
      </c:scatterChart>
      <c:valAx>
        <c:axId val="8543728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8898008"/>
        <c:crosses val="autoZero"/>
        <c:crossBetween val="midCat"/>
        <c:majorUnit val="45"/>
        <c:minorUnit val="15"/>
      </c:valAx>
      <c:valAx>
        <c:axId val="588980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4372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'longitudinal-acma'!$C$98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'longitudinal-acma'!$A$99:$A$123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'longitudinal-acma'!$C$99:$C$123</c:f>
              <c:numCache>
                <c:formatCode>0.000</c:formatCode>
                <c:ptCount val="25"/>
                <c:pt idx="0">
                  <c:v>1.069471695154617E-3</c:v>
                </c:pt>
                <c:pt idx="1">
                  <c:v>-0.16273091032669537</c:v>
                </c:pt>
                <c:pt idx="2">
                  <c:v>-0.35842049519945629</c:v>
                </c:pt>
                <c:pt idx="3">
                  <c:v>-0.60480998321408241</c:v>
                </c:pt>
                <c:pt idx="4">
                  <c:v>-0.79547344402048403</c:v>
                </c:pt>
                <c:pt idx="5">
                  <c:v>-0.87949420614767093</c:v>
                </c:pt>
                <c:pt idx="6">
                  <c:v>-1.0238709387462637</c:v>
                </c:pt>
                <c:pt idx="7">
                  <c:v>-1.1574253788453515</c:v>
                </c:pt>
                <c:pt idx="8">
                  <c:v>-1.0410154624672774</c:v>
                </c:pt>
                <c:pt idx="9">
                  <c:v>-0.80608454261229601</c:v>
                </c:pt>
                <c:pt idx="10">
                  <c:v>-0.46180886950574579</c:v>
                </c:pt>
                <c:pt idx="11">
                  <c:v>-0.15907788415476293</c:v>
                </c:pt>
                <c:pt idx="12">
                  <c:v>3.313498455269303E-2</c:v>
                </c:pt>
                <c:pt idx="13">
                  <c:v>0.21352984445305348</c:v>
                </c:pt>
                <c:pt idx="14">
                  <c:v>0.55424277842039205</c:v>
                </c:pt>
                <c:pt idx="15">
                  <c:v>0.92225977396387882</c:v>
                </c:pt>
                <c:pt idx="16">
                  <c:v>1.2528260179681863</c:v>
                </c:pt>
                <c:pt idx="17">
                  <c:v>1.251575033860205</c:v>
                </c:pt>
                <c:pt idx="18">
                  <c:v>1.0868919624793183</c:v>
                </c:pt>
                <c:pt idx="19">
                  <c:v>0.94079421666212548</c:v>
                </c:pt>
                <c:pt idx="20">
                  <c:v>0.80144923170379678</c:v>
                </c:pt>
                <c:pt idx="21">
                  <c:v>0.56118987893530581</c:v>
                </c:pt>
                <c:pt idx="22">
                  <c:v>0.31871300898045962</c:v>
                </c:pt>
                <c:pt idx="23">
                  <c:v>9.9898163901526948E-2</c:v>
                </c:pt>
                <c:pt idx="24">
                  <c:v>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4-4D24-982D-236C1E347D2F}"/>
            </c:ext>
          </c:extLst>
        </c:ser>
        <c:ser>
          <c:idx val="1"/>
          <c:order val="1"/>
          <c:tx>
            <c:strRef>
              <c:f>'longitudinal-acma'!$K$98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4-4D24-982D-236C1E347D2F}"/>
            </c:ext>
          </c:extLst>
        </c:ser>
        <c:ser>
          <c:idx val="2"/>
          <c:order val="2"/>
          <c:tx>
            <c:strRef>
              <c:f>'longitudinal-acma'!$C$129</c:f>
              <c:strCache>
                <c:ptCount val="1"/>
                <c:pt idx="0">
                  <c:v>openDomain-long-LNGC-FST1-Cy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'longitudinal-acma'!$A$130:$A$154</c:f>
              <c:numCache>
                <c:formatCode>General</c:formatCode>
                <c:ptCount val="25"/>
                <c:pt idx="0">
                  <c:v>180</c:v>
                </c:pt>
                <c:pt idx="1">
                  <c:v>195</c:v>
                </c:pt>
                <c:pt idx="2">
                  <c:v>210</c:v>
                </c:pt>
                <c:pt idx="3">
                  <c:v>225</c:v>
                </c:pt>
                <c:pt idx="4">
                  <c:v>240</c:v>
                </c:pt>
                <c:pt idx="5">
                  <c:v>255</c:v>
                </c:pt>
                <c:pt idx="6">
                  <c:v>270</c:v>
                </c:pt>
                <c:pt idx="7">
                  <c:v>285</c:v>
                </c:pt>
                <c:pt idx="8">
                  <c:v>300</c:v>
                </c:pt>
                <c:pt idx="9">
                  <c:v>315</c:v>
                </c:pt>
                <c:pt idx="10">
                  <c:v>330</c:v>
                </c:pt>
                <c:pt idx="11">
                  <c:v>345</c:v>
                </c:pt>
                <c:pt idx="12">
                  <c:v>0</c:v>
                </c:pt>
                <c:pt idx="13">
                  <c:v>15</c:v>
                </c:pt>
                <c:pt idx="14">
                  <c:v>30</c:v>
                </c:pt>
                <c:pt idx="15">
                  <c:v>45</c:v>
                </c:pt>
                <c:pt idx="16">
                  <c:v>60</c:v>
                </c:pt>
                <c:pt idx="17">
                  <c:v>75</c:v>
                </c:pt>
                <c:pt idx="18">
                  <c:v>90</c:v>
                </c:pt>
                <c:pt idx="19">
                  <c:v>105</c:v>
                </c:pt>
                <c:pt idx="20">
                  <c:v>120</c:v>
                </c:pt>
                <c:pt idx="21">
                  <c:v>135</c:v>
                </c:pt>
                <c:pt idx="22">
                  <c:v>150</c:v>
                </c:pt>
                <c:pt idx="23">
                  <c:v>165</c:v>
                </c:pt>
                <c:pt idx="24">
                  <c:v>180</c:v>
                </c:pt>
              </c:numCache>
            </c:numRef>
          </c:xVal>
          <c:yVal>
            <c:numRef>
              <c:f>'longitudinal-acma'!$C$130:$C$154</c:f>
              <c:numCache>
                <c:formatCode>0.000</c:formatCode>
                <c:ptCount val="25"/>
                <c:pt idx="0">
                  <c:v>8.6152820706655048E-3</c:v>
                </c:pt>
                <c:pt idx="1">
                  <c:v>-0.13035303079316454</c:v>
                </c:pt>
                <c:pt idx="2">
                  <c:v>-0.17547966543309407</c:v>
                </c:pt>
                <c:pt idx="3">
                  <c:v>-0.37844882183208794</c:v>
                </c:pt>
                <c:pt idx="4">
                  <c:v>-0.43434726662649292</c:v>
                </c:pt>
                <c:pt idx="5">
                  <c:v>-0.55917625086173628</c:v>
                </c:pt>
                <c:pt idx="6">
                  <c:v>-0.68059907542870879</c:v>
                </c:pt>
                <c:pt idx="7">
                  <c:v>-0.79758294508685079</c:v>
                </c:pt>
                <c:pt idx="8">
                  <c:v>-0.8436213849160844</c:v>
                </c:pt>
                <c:pt idx="9">
                  <c:v>-0.66767570648565144</c:v>
                </c:pt>
                <c:pt idx="10">
                  <c:v>-0.42449411085101391</c:v>
                </c:pt>
                <c:pt idx="11">
                  <c:v>-0.18502223024011757</c:v>
                </c:pt>
                <c:pt idx="12">
                  <c:v>4.3417601295727857E-3</c:v>
                </c:pt>
                <c:pt idx="13">
                  <c:v>0.19179351188720481</c:v>
                </c:pt>
                <c:pt idx="14">
                  <c:v>0.52236576592096462</c:v>
                </c:pt>
                <c:pt idx="15">
                  <c:v>0.87867340811195771</c:v>
                </c:pt>
                <c:pt idx="16">
                  <c:v>1.2172198731611918</c:v>
                </c:pt>
                <c:pt idx="17">
                  <c:v>1.2738060754016105</c:v>
                </c:pt>
                <c:pt idx="18">
                  <c:v>1.1010673146503713</c:v>
                </c:pt>
                <c:pt idx="19">
                  <c:v>0.92561666716406121</c:v>
                </c:pt>
                <c:pt idx="20">
                  <c:v>0.79471031839459216</c:v>
                </c:pt>
                <c:pt idx="21">
                  <c:v>0.57265269931638318</c:v>
                </c:pt>
                <c:pt idx="22">
                  <c:v>0.31747294290300521</c:v>
                </c:pt>
                <c:pt idx="23">
                  <c:v>9.8037080796873427E-2</c:v>
                </c:pt>
                <c:pt idx="24">
                  <c:v>8.6152820706655048E-3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74-4D24-982D-236C1E347D2F}"/>
            </c:ext>
          </c:extLst>
        </c:ser>
        <c:ser>
          <c:idx val="3"/>
          <c:order val="3"/>
          <c:tx>
            <c:strRef>
              <c:f>'longitudinal-acma'!$K$129</c:f>
              <c:strCache>
                <c:ptCount val="1"/>
                <c:pt idx="0">
                  <c:v>openDomain-long-LNGC-FST2-Cy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'longitudinal-acma'!$I$130:$I$154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'longitudinal-acma'!$K$130:$K$154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9.6404169295209952E-2</c:v>
                </c:pt>
                <c:pt idx="2">
                  <c:v>0.22862798022453668</c:v>
                </c:pt>
                <c:pt idx="3">
                  <c:v>0.2585179994245777</c:v>
                </c:pt>
                <c:pt idx="4">
                  <c:v>0.2778756697321636</c:v>
                </c:pt>
                <c:pt idx="5">
                  <c:v>0.16409331638386865</c:v>
                </c:pt>
                <c:pt idx="6">
                  <c:v>-0.14978942307065796</c:v>
                </c:pt>
                <c:pt idx="7">
                  <c:v>-5.6996132813126023E-2</c:v>
                </c:pt>
                <c:pt idx="8">
                  <c:v>0.20820593582145863</c:v>
                </c:pt>
                <c:pt idx="9">
                  <c:v>0.27522905014392851</c:v>
                </c:pt>
                <c:pt idx="10">
                  <c:v>0.22189221951176519</c:v>
                </c:pt>
                <c:pt idx="11">
                  <c:v>0.11412996379946054</c:v>
                </c:pt>
                <c:pt idx="12">
                  <c:v>1.5060106571838686E-2</c:v>
                </c:pt>
                <c:pt idx="13">
                  <c:v>-9.5236272365585795E-2</c:v>
                </c:pt>
                <c:pt idx="14">
                  <c:v>-0.34077902586507985</c:v>
                </c:pt>
                <c:pt idx="15">
                  <c:v>-0.62188462642368014</c:v>
                </c:pt>
                <c:pt idx="16">
                  <c:v>-0.87325186277180256</c:v>
                </c:pt>
                <c:pt idx="17">
                  <c:v>-0.97367162963430831</c:v>
                </c:pt>
                <c:pt idx="18">
                  <c:v>-1.1130393649259578</c:v>
                </c:pt>
                <c:pt idx="19">
                  <c:v>-1.215327831253102</c:v>
                </c:pt>
                <c:pt idx="20">
                  <c:v>-1.1466672095863408</c:v>
                </c:pt>
                <c:pt idx="21">
                  <c:v>-0.83658486032283685</c:v>
                </c:pt>
                <c:pt idx="22">
                  <c:v>-0.51141300739667939</c:v>
                </c:pt>
                <c:pt idx="23">
                  <c:v>-0.18832650344808199</c:v>
                </c:pt>
                <c:pt idx="24">
                  <c:v>9.6874683217140038E-3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74-4D24-982D-236C1E347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08602"/>
        <c:axId val="34863820"/>
      </c:scatterChart>
      <c:valAx>
        <c:axId val="78508602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863820"/>
        <c:crosses val="autoZero"/>
        <c:crossBetween val="midCat"/>
        <c:majorUnit val="45"/>
        <c:minorUnit val="15"/>
      </c:valAx>
      <c:valAx>
        <c:axId val="348638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50860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'longitudinal-marin'!$B$99:$B$123</c:f>
              <c:numCache>
                <c:formatCode>0.000</c:formatCode>
                <c:ptCount val="25"/>
                <c:pt idx="0">
                  <c:v>0.17973342291245667</c:v>
                </c:pt>
                <c:pt idx="1">
                  <c:v>0.66951348622626006</c:v>
                </c:pt>
                <c:pt idx="2">
                  <c:v>0.50444916098767589</c:v>
                </c:pt>
                <c:pt idx="3">
                  <c:v>0.32277978626843556</c:v>
                </c:pt>
                <c:pt idx="4">
                  <c:v>0.13943987089342857</c:v>
                </c:pt>
                <c:pt idx="5">
                  <c:v>0.40457193319277029</c:v>
                </c:pt>
                <c:pt idx="6">
                  <c:v>0.28081580798741324</c:v>
                </c:pt>
                <c:pt idx="7">
                  <c:v>-0.10324630767335627</c:v>
                </c:pt>
                <c:pt idx="8">
                  <c:v>-0.13776436731877556</c:v>
                </c:pt>
                <c:pt idx="9">
                  <c:v>-0.44049154741575453</c:v>
                </c:pt>
                <c:pt idx="10">
                  <c:v>-0.69739249531362812</c:v>
                </c:pt>
                <c:pt idx="11">
                  <c:v>-1.0023117037525273</c:v>
                </c:pt>
                <c:pt idx="12">
                  <c:v>-0.81123761476258704</c:v>
                </c:pt>
                <c:pt idx="13">
                  <c:v>-0.81107607551592908</c:v>
                </c:pt>
                <c:pt idx="14">
                  <c:v>-0.50023270214208415</c:v>
                </c:pt>
                <c:pt idx="15">
                  <c:v>-0.27389065980751132</c:v>
                </c:pt>
                <c:pt idx="16">
                  <c:v>-5.2202002116892514E-2</c:v>
                </c:pt>
                <c:pt idx="17">
                  <c:v>1.0500459255048453E-2</c:v>
                </c:pt>
                <c:pt idx="18">
                  <c:v>0.17310642225815909</c:v>
                </c:pt>
                <c:pt idx="19">
                  <c:v>4.5476952914842529E-2</c:v>
                </c:pt>
                <c:pt idx="20">
                  <c:v>3.771950834287633E-2</c:v>
                </c:pt>
                <c:pt idx="21">
                  <c:v>0.1537803309033719</c:v>
                </c:pt>
                <c:pt idx="22">
                  <c:v>0.22871788589617095</c:v>
                </c:pt>
                <c:pt idx="23">
                  <c:v>0.29598151917350374</c:v>
                </c:pt>
                <c:pt idx="24">
                  <c:v>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9-4D28-85CB-A0434398652C}"/>
            </c:ext>
          </c:extLst>
        </c:ser>
        <c:ser>
          <c:idx val="1"/>
          <c:order val="1"/>
          <c:tx>
            <c:strRef>
              <c:f>'longitudinal-marin'!$B$67</c:f>
              <c:strCache>
                <c:ptCount val="1"/>
                <c:pt idx="0">
                  <c:v>topoDomain-trans-FST1-Cx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'longitudinal-marin'!$A$68:$A$92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'longitudinal-marin'!$B$68:$B$72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9-4D28-85CB-A0434398652C}"/>
            </c:ext>
          </c:extLst>
        </c:ser>
        <c:ser>
          <c:idx val="2"/>
          <c:order val="2"/>
          <c:tx>
            <c:strRef>
              <c:f>'longitudinal-marin'!$J$98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09-4D28-85CB-A0434398652C}"/>
            </c:ext>
          </c:extLst>
        </c:ser>
        <c:ser>
          <c:idx val="3"/>
          <c:order val="3"/>
          <c:tx>
            <c:strRef>
              <c:f>'longitudinal-marin'!$J$67</c:f>
              <c:strCache>
                <c:ptCount val="1"/>
                <c:pt idx="0">
                  <c:v>topoDomain-trans-FST2-Cx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'longitudinal-marin'!$I$68:$I$72</c:f>
              <c:numCache>
                <c:formatCode>General</c:formatCode>
                <c:ptCount val="5"/>
              </c:numCache>
            </c:numRef>
          </c:xVal>
          <c:yVal>
            <c:numRef>
              <c:f>'longitudinal-marin'!$J$68:$J$92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09-4D28-85CB-A0434398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0368"/>
        <c:axId val="86347593"/>
      </c:scatterChart>
      <c:valAx>
        <c:axId val="8750368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6347593"/>
        <c:crosses val="autoZero"/>
        <c:crossBetween val="midCat"/>
        <c:majorUnit val="45"/>
        <c:minorUnit val="15"/>
      </c:valAx>
      <c:valAx>
        <c:axId val="8634759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5036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'longitudinal-marin'!$B$129</c:f>
              <c:strCache>
                <c:ptCount val="1"/>
                <c:pt idx="0">
                  <c:v>openDomain-long-LNGC-FST1-Cx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'longitudinal-marin'!$B$130:$B$154</c:f>
              <c:numCache>
                <c:formatCode>0.000</c:formatCode>
                <c:ptCount val="25"/>
                <c:pt idx="0">
                  <c:v>0.18136453656125834</c:v>
                </c:pt>
                <c:pt idx="1">
                  <c:v>0.49443054026511635</c:v>
                </c:pt>
                <c:pt idx="2">
                  <c:v>0.2230400475947695</c:v>
                </c:pt>
                <c:pt idx="3">
                  <c:v>0.19003521072884128</c:v>
                </c:pt>
                <c:pt idx="4">
                  <c:v>6.6537551573926407E-2</c:v>
                </c:pt>
                <c:pt idx="5">
                  <c:v>6.6746706087107116E-2</c:v>
                </c:pt>
                <c:pt idx="6">
                  <c:v>-0.15668340453668009</c:v>
                </c:pt>
                <c:pt idx="7">
                  <c:v>-0.21585838109610098</c:v>
                </c:pt>
                <c:pt idx="8">
                  <c:v>-0.13634291843768695</c:v>
                </c:pt>
                <c:pt idx="9">
                  <c:v>-0.42539593211934051</c:v>
                </c:pt>
                <c:pt idx="10">
                  <c:v>-0.69052468794955235</c:v>
                </c:pt>
                <c:pt idx="11">
                  <c:v>-1.0500471082219376</c:v>
                </c:pt>
                <c:pt idx="12">
                  <c:v>-0.8920955444155203</c:v>
                </c:pt>
                <c:pt idx="13">
                  <c:v>-0.77974430361761271</c:v>
                </c:pt>
                <c:pt idx="14">
                  <c:v>-0.50097034928061357</c:v>
                </c:pt>
                <c:pt idx="15">
                  <c:v>-0.29673848386764889</c:v>
                </c:pt>
                <c:pt idx="16">
                  <c:v>-7.9415749044620232E-2</c:v>
                </c:pt>
                <c:pt idx="17">
                  <c:v>-9.391522953083406E-2</c:v>
                </c:pt>
                <c:pt idx="18">
                  <c:v>3.0661444946451386E-2</c:v>
                </c:pt>
                <c:pt idx="19">
                  <c:v>3.7886402517717702E-2</c:v>
                </c:pt>
                <c:pt idx="20">
                  <c:v>4.7603522876586202E-2</c:v>
                </c:pt>
                <c:pt idx="21">
                  <c:v>0.16543602623348283</c:v>
                </c:pt>
                <c:pt idx="22">
                  <c:v>0.23739702131244031</c:v>
                </c:pt>
                <c:pt idx="23">
                  <c:v>0.30441397580531182</c:v>
                </c:pt>
                <c:pt idx="24">
                  <c:v>0.18136453656125834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38-4C22-B013-E9A17F1A6110}"/>
            </c:ext>
          </c:extLst>
        </c:ser>
        <c:ser>
          <c:idx val="1"/>
          <c:order val="1"/>
          <c:tx>
            <c:strRef>
              <c:f>'longitudinal-marin'!$J$129</c:f>
              <c:strCache>
                <c:ptCount val="1"/>
                <c:pt idx="0">
                  <c:v>openDomain-long-LNGC-FST2-Cx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'longitudinal-marin'!$J$130:$J$154</c:f>
              <c:numCache>
                <c:formatCode>0.000</c:formatCode>
                <c:ptCount val="25"/>
                <c:pt idx="0">
                  <c:v>0.74523754107757878</c:v>
                </c:pt>
                <c:pt idx="1">
                  <c:v>0.7444265183103127</c:v>
                </c:pt>
                <c:pt idx="2">
                  <c:v>0.7127488130562889</c:v>
                </c:pt>
                <c:pt idx="3">
                  <c:v>0.49593116228760786</c:v>
                </c:pt>
                <c:pt idx="4">
                  <c:v>8.3605492823558517E-2</c:v>
                </c:pt>
                <c:pt idx="5">
                  <c:v>0.18205260240456278</c:v>
                </c:pt>
                <c:pt idx="6">
                  <c:v>-0.19993613412297287</c:v>
                </c:pt>
                <c:pt idx="7">
                  <c:v>-0.17823890479944013</c:v>
                </c:pt>
                <c:pt idx="8">
                  <c:v>-6.0562446736328955E-2</c:v>
                </c:pt>
                <c:pt idx="9">
                  <c:v>-0.45236286954170574</c:v>
                </c:pt>
                <c:pt idx="10">
                  <c:v>-0.54691425292673257</c:v>
                </c:pt>
                <c:pt idx="11">
                  <c:v>-0.48262391813708094</c:v>
                </c:pt>
                <c:pt idx="12">
                  <c:v>-0.23283094049548267</c:v>
                </c:pt>
                <c:pt idx="13">
                  <c:v>-0.28298732890916328</c:v>
                </c:pt>
                <c:pt idx="14">
                  <c:v>-0.29259178557522403</c:v>
                </c:pt>
                <c:pt idx="15">
                  <c:v>-0.22559164944345392</c:v>
                </c:pt>
                <c:pt idx="16">
                  <c:v>-2.4595358526772373E-2</c:v>
                </c:pt>
                <c:pt idx="17">
                  <c:v>-8.0088669854806477E-2</c:v>
                </c:pt>
                <c:pt idx="18">
                  <c:v>-4.8486807748704092E-2</c:v>
                </c:pt>
                <c:pt idx="19">
                  <c:v>3.5065356998295549E-2</c:v>
                </c:pt>
                <c:pt idx="20">
                  <c:v>6.2811441129175277E-2</c:v>
                </c:pt>
                <c:pt idx="21">
                  <c:v>0.51957489153842373</c:v>
                </c:pt>
                <c:pt idx="22">
                  <c:v>0.67825458776148073</c:v>
                </c:pt>
                <c:pt idx="23">
                  <c:v>0.79822490036749738</c:v>
                </c:pt>
                <c:pt idx="24">
                  <c:v>0.74523754107757878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38-4C22-B013-E9A17F1A6110}"/>
            </c:ext>
          </c:extLst>
        </c:ser>
        <c:ser>
          <c:idx val="2"/>
          <c:order val="2"/>
          <c:tx>
            <c:strRef>
              <c:f>'longitudinal-marin'!$R$129</c:f>
              <c:strCache>
                <c:ptCount val="1"/>
                <c:pt idx="0">
                  <c:v>openDomain-long-LNGC-LNGC-Cx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'longitudinal-marin'!$Q$130:$Q$154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'longitudinal-marin'!$R$130:$R$154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38-4C22-B013-E9A17F1A6110}"/>
            </c:ext>
          </c:extLst>
        </c:ser>
        <c:ser>
          <c:idx val="3"/>
          <c:order val="3"/>
          <c:tx>
            <c:strRef>
              <c:f>'longitudinal-marin'!$B$191</c:f>
              <c:strCache>
                <c:ptCount val="1"/>
                <c:pt idx="0">
                  <c:v>openDomain-long-full-LNGC-FST1-Cx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'longitudinal-marin'!$B$192:$B$216</c:f>
              <c:numCache>
                <c:formatCode>0.000</c:formatCode>
                <c:ptCount val="25"/>
                <c:pt idx="0">
                  <c:v>0.17568708473902206</c:v>
                </c:pt>
                <c:pt idx="1">
                  <c:v>0.47098985635084273</c:v>
                </c:pt>
                <c:pt idx="2">
                  <c:v>0.15144137094487492</c:v>
                </c:pt>
                <c:pt idx="3">
                  <c:v>0.11005243598730736</c:v>
                </c:pt>
                <c:pt idx="4">
                  <c:v>5.7231754565363925E-2</c:v>
                </c:pt>
                <c:pt idx="5">
                  <c:v>0.11745215319608615</c:v>
                </c:pt>
                <c:pt idx="6">
                  <c:v>4.9773139194543771E-2</c:v>
                </c:pt>
                <c:pt idx="7">
                  <c:v>-0.27382936477624009</c:v>
                </c:pt>
                <c:pt idx="8">
                  <c:v>-0.13988793181949058</c:v>
                </c:pt>
                <c:pt idx="9">
                  <c:v>-0.45313688267808255</c:v>
                </c:pt>
                <c:pt idx="10">
                  <c:v>-0.74834761882340284</c:v>
                </c:pt>
                <c:pt idx="11">
                  <c:v>-1.1742869704440577</c:v>
                </c:pt>
                <c:pt idx="12">
                  <c:v>-1.0326107359246517</c:v>
                </c:pt>
                <c:pt idx="13">
                  <c:v>-0.8506334705561529</c:v>
                </c:pt>
                <c:pt idx="14">
                  <c:v>-0.52485040240031688</c:v>
                </c:pt>
                <c:pt idx="15">
                  <c:v>-0.31701990741250269</c:v>
                </c:pt>
                <c:pt idx="16">
                  <c:v>-9.9835423851485042E-2</c:v>
                </c:pt>
                <c:pt idx="17">
                  <c:v>-0.15079172924458056</c:v>
                </c:pt>
                <c:pt idx="18">
                  <c:v>3.0428437494667844E-2</c:v>
                </c:pt>
                <c:pt idx="19">
                  <c:v>0.1367265906684324</c:v>
                </c:pt>
                <c:pt idx="20">
                  <c:v>7.9000194582958677E-2</c:v>
                </c:pt>
                <c:pt idx="21">
                  <c:v>0.2207744242965933</c:v>
                </c:pt>
                <c:pt idx="22">
                  <c:v>0.25717369100531973</c:v>
                </c:pt>
                <c:pt idx="23">
                  <c:v>0.27533933085705375</c:v>
                </c:pt>
                <c:pt idx="24">
                  <c:v>0.17568708473902206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38-4C22-B013-E9A17F1A6110}"/>
            </c:ext>
          </c:extLst>
        </c:ser>
        <c:ser>
          <c:idx val="4"/>
          <c:order val="4"/>
          <c:tx>
            <c:strRef>
              <c:f>'longitudinal-marin'!$J$191</c:f>
              <c:strCache>
                <c:ptCount val="1"/>
                <c:pt idx="0">
                  <c:v>openDomain-long-LNGC-full-FST2-Cx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'longitudinal-marin'!$J$192:$J$216</c:f>
              <c:numCache>
                <c:formatCode>0.000</c:formatCode>
                <c:ptCount val="25"/>
                <c:pt idx="0">
                  <c:v>0.76392878875106263</c:v>
                </c:pt>
                <c:pt idx="1">
                  <c:v>0.72915187919297064</c:v>
                </c:pt>
                <c:pt idx="2">
                  <c:v>0.70323090510909636</c:v>
                </c:pt>
                <c:pt idx="3">
                  <c:v>0.4836912606129834</c:v>
                </c:pt>
                <c:pt idx="4">
                  <c:v>7.3312895500244377E-2</c:v>
                </c:pt>
                <c:pt idx="5">
                  <c:v>0.14961164699362781</c:v>
                </c:pt>
                <c:pt idx="6">
                  <c:v>-0.21922017881524056</c:v>
                </c:pt>
                <c:pt idx="7">
                  <c:v>-8.1673108704362701E-2</c:v>
                </c:pt>
                <c:pt idx="8">
                  <c:v>-3.8807797315235648E-2</c:v>
                </c:pt>
                <c:pt idx="9">
                  <c:v>-0.44268380266646035</c:v>
                </c:pt>
                <c:pt idx="10">
                  <c:v>-0.50584699859258575</c:v>
                </c:pt>
                <c:pt idx="11">
                  <c:v>-0.46292972791783066</c:v>
                </c:pt>
                <c:pt idx="12">
                  <c:v>-0.19602598534509319</c:v>
                </c:pt>
                <c:pt idx="13">
                  <c:v>-0.26632524355049342</c:v>
                </c:pt>
                <c:pt idx="14">
                  <c:v>-0.31873579764626164</c:v>
                </c:pt>
                <c:pt idx="15">
                  <c:v>-0.29505843946513194</c:v>
                </c:pt>
                <c:pt idx="16">
                  <c:v>-3.3451826581146218E-2</c:v>
                </c:pt>
                <c:pt idx="17">
                  <c:v>-9.416631867004488E-2</c:v>
                </c:pt>
                <c:pt idx="18">
                  <c:v>-9.378771071098236E-3</c:v>
                </c:pt>
                <c:pt idx="19">
                  <c:v>0.11418597805485389</c:v>
                </c:pt>
                <c:pt idx="20">
                  <c:v>8.6048229447250574E-2</c:v>
                </c:pt>
                <c:pt idx="21">
                  <c:v>0.56090862488394666</c:v>
                </c:pt>
                <c:pt idx="22">
                  <c:v>0.724527265143736</c:v>
                </c:pt>
                <c:pt idx="23">
                  <c:v>0.86613383167452207</c:v>
                </c:pt>
                <c:pt idx="24">
                  <c:v>0.76392878875106263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38-4C22-B013-E9A17F1A6110}"/>
            </c:ext>
          </c:extLst>
        </c:ser>
        <c:ser>
          <c:idx val="5"/>
          <c:order val="5"/>
          <c:tx>
            <c:strRef>
              <c:f>'longitudinal-marin'!$R$191</c:f>
              <c:strCache>
                <c:ptCount val="1"/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'longitudinal-marin'!$Q$192:$Q$216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'longitudinal-marin'!$R$192:$R$216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38-4C22-B013-E9A17F1A6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97816"/>
        <c:axId val="42463620"/>
      </c:scatterChart>
      <c:valAx>
        <c:axId val="22897816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463620"/>
        <c:crosses val="autoZero"/>
        <c:crossBetween val="midCat"/>
        <c:majorUnit val="45"/>
        <c:minorUnit val="15"/>
      </c:valAx>
      <c:valAx>
        <c:axId val="424636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289781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'longitudinal-marin'!$C$129</c:f>
              <c:strCache>
                <c:ptCount val="1"/>
                <c:pt idx="0">
                  <c:v>openDomain-long-LNGC-FST1-Cy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'longitudinal-marin'!$C$130:$C$154</c:f>
              <c:numCache>
                <c:formatCode>0.000</c:formatCode>
                <c:ptCount val="25"/>
                <c:pt idx="0">
                  <c:v>-8.6152820706655048E-3</c:v>
                </c:pt>
                <c:pt idx="1">
                  <c:v>0.13035303079316454</c:v>
                </c:pt>
                <c:pt idx="2">
                  <c:v>0.17547966543309407</c:v>
                </c:pt>
                <c:pt idx="3">
                  <c:v>0.37844882183208794</c:v>
                </c:pt>
                <c:pt idx="4">
                  <c:v>0.43434726662649292</c:v>
                </c:pt>
                <c:pt idx="5">
                  <c:v>0.55917625086173628</c:v>
                </c:pt>
                <c:pt idx="6">
                  <c:v>0.68059907542870879</c:v>
                </c:pt>
                <c:pt idx="7">
                  <c:v>0.79758294508685079</c:v>
                </c:pt>
                <c:pt idx="8">
                  <c:v>0.8436213849160844</c:v>
                </c:pt>
                <c:pt idx="9">
                  <c:v>0.66767570648565144</c:v>
                </c:pt>
                <c:pt idx="10">
                  <c:v>0.42449411085101391</c:v>
                </c:pt>
                <c:pt idx="11">
                  <c:v>0.18502223024011757</c:v>
                </c:pt>
                <c:pt idx="12">
                  <c:v>-4.3417601295727857E-3</c:v>
                </c:pt>
                <c:pt idx="13">
                  <c:v>-0.19179351188720481</c:v>
                </c:pt>
                <c:pt idx="14">
                  <c:v>-0.52236576592096462</c:v>
                </c:pt>
                <c:pt idx="15">
                  <c:v>-0.87867340811195771</c:v>
                </c:pt>
                <c:pt idx="16">
                  <c:v>-1.2172198731611918</c:v>
                </c:pt>
                <c:pt idx="17">
                  <c:v>-1.2738060754016105</c:v>
                </c:pt>
                <c:pt idx="18">
                  <c:v>-1.1010673146503713</c:v>
                </c:pt>
                <c:pt idx="19">
                  <c:v>-0.92561666716406121</c:v>
                </c:pt>
                <c:pt idx="20">
                  <c:v>-0.79471031839459216</c:v>
                </c:pt>
                <c:pt idx="21">
                  <c:v>-0.57265269931638318</c:v>
                </c:pt>
                <c:pt idx="22">
                  <c:v>-0.31747294290300521</c:v>
                </c:pt>
                <c:pt idx="23">
                  <c:v>-9.8037080796873427E-2</c:v>
                </c:pt>
                <c:pt idx="24">
                  <c:v>-8.6152820706655048E-3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C-46CC-B12B-C582BB2017BF}"/>
            </c:ext>
          </c:extLst>
        </c:ser>
        <c:ser>
          <c:idx val="1"/>
          <c:order val="1"/>
          <c:tx>
            <c:strRef>
              <c:f>'longitudinal-marin'!$K$129</c:f>
              <c:strCache>
                <c:ptCount val="1"/>
                <c:pt idx="0">
                  <c:v>openDomain-long-LNGC-FST2-Cy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9.6404169295209952E-2</c:v>
                </c:pt>
                <c:pt idx="2">
                  <c:v>0.22862798022453668</c:v>
                </c:pt>
                <c:pt idx="3">
                  <c:v>0.2585179994245777</c:v>
                </c:pt>
                <c:pt idx="4">
                  <c:v>0.2778756697321636</c:v>
                </c:pt>
                <c:pt idx="5">
                  <c:v>0.16409331638386865</c:v>
                </c:pt>
                <c:pt idx="6">
                  <c:v>-0.14978942307065796</c:v>
                </c:pt>
                <c:pt idx="7">
                  <c:v>-5.6996132813126023E-2</c:v>
                </c:pt>
                <c:pt idx="8">
                  <c:v>0.20820593582145863</c:v>
                </c:pt>
                <c:pt idx="9">
                  <c:v>0.27522905014392851</c:v>
                </c:pt>
                <c:pt idx="10">
                  <c:v>0.22189221951176519</c:v>
                </c:pt>
                <c:pt idx="11">
                  <c:v>0.11412996379946054</c:v>
                </c:pt>
                <c:pt idx="12">
                  <c:v>1.5060106571838686E-2</c:v>
                </c:pt>
                <c:pt idx="13">
                  <c:v>-9.5236272365585795E-2</c:v>
                </c:pt>
                <c:pt idx="14">
                  <c:v>-0.34077902586507985</c:v>
                </c:pt>
                <c:pt idx="15">
                  <c:v>-0.62188462642368014</c:v>
                </c:pt>
                <c:pt idx="16">
                  <c:v>-0.87325186277180256</c:v>
                </c:pt>
                <c:pt idx="17">
                  <c:v>-0.97367162963430831</c:v>
                </c:pt>
                <c:pt idx="18">
                  <c:v>-1.1130393649259578</c:v>
                </c:pt>
                <c:pt idx="19">
                  <c:v>-1.215327831253102</c:v>
                </c:pt>
                <c:pt idx="20">
                  <c:v>-1.1466672095863408</c:v>
                </c:pt>
                <c:pt idx="21">
                  <c:v>-0.83658486032283685</c:v>
                </c:pt>
                <c:pt idx="22">
                  <c:v>-0.51141300739667939</c:v>
                </c:pt>
                <c:pt idx="23">
                  <c:v>-0.18832650344808199</c:v>
                </c:pt>
                <c:pt idx="24">
                  <c:v>9.6874683217140038E-3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C-46CC-B12B-C582BB2017BF}"/>
            </c:ext>
          </c:extLst>
        </c:ser>
        <c:ser>
          <c:idx val="2"/>
          <c:order val="2"/>
          <c:tx>
            <c:strRef>
              <c:f>'longitudinal-marin'!$S$129</c:f>
              <c:strCache>
                <c:ptCount val="1"/>
                <c:pt idx="0">
                  <c:v>openDomain-long-LNGC-LNGC-Cy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'longitudinal-marin'!$Q$130:$Q$154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'longitudinal-marin'!$S$130:$S$154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0C-46CC-B12B-C582BB2017BF}"/>
            </c:ext>
          </c:extLst>
        </c:ser>
        <c:ser>
          <c:idx val="3"/>
          <c:order val="3"/>
          <c:tx>
            <c:strRef>
              <c:f>'longitudinal-marin'!$C$191</c:f>
              <c:strCache>
                <c:ptCount val="1"/>
                <c:pt idx="0">
                  <c:v>openDomain-long-full-LNGC-FST1-Cy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'longitudinal-marin'!$C$192:$C$216</c:f>
              <c:numCache>
                <c:formatCode>0.000</c:formatCode>
                <c:ptCount val="25"/>
                <c:pt idx="0">
                  <c:v>-8.5419744535567468E-3</c:v>
                </c:pt>
                <c:pt idx="1">
                  <c:v>9.6072544943017299E-2</c:v>
                </c:pt>
                <c:pt idx="2">
                  <c:v>7.0662200773818601E-2</c:v>
                </c:pt>
                <c:pt idx="3">
                  <c:v>0.17425560992913447</c:v>
                </c:pt>
                <c:pt idx="4">
                  <c:v>0.25394670955345994</c:v>
                </c:pt>
                <c:pt idx="5">
                  <c:v>0.33949895103404065</c:v>
                </c:pt>
                <c:pt idx="6">
                  <c:v>0.48442610082469462</c:v>
                </c:pt>
                <c:pt idx="7">
                  <c:v>0.6442898672756282</c:v>
                </c:pt>
                <c:pt idx="8">
                  <c:v>0.72430872564190152</c:v>
                </c:pt>
                <c:pt idx="9">
                  <c:v>0.55678728263182464</c:v>
                </c:pt>
                <c:pt idx="10">
                  <c:v>0.38005141676759335</c:v>
                </c:pt>
                <c:pt idx="11">
                  <c:v>0.17758987583279359</c:v>
                </c:pt>
                <c:pt idx="12">
                  <c:v>1.1289059667185519E-2</c:v>
                </c:pt>
                <c:pt idx="13">
                  <c:v>-0.17050009518068573</c:v>
                </c:pt>
                <c:pt idx="14">
                  <c:v>-0.45075170512303836</c:v>
                </c:pt>
                <c:pt idx="15">
                  <c:v>-0.73199381591732204</c:v>
                </c:pt>
                <c:pt idx="16">
                  <c:v>-1.0346274715000183</c:v>
                </c:pt>
                <c:pt idx="17">
                  <c:v>-1.0266600000327442</c:v>
                </c:pt>
                <c:pt idx="18">
                  <c:v>-0.91924520150500766</c:v>
                </c:pt>
                <c:pt idx="19">
                  <c:v>-0.81171398614934498</c:v>
                </c:pt>
                <c:pt idx="20">
                  <c:v>-0.66216913045800996</c:v>
                </c:pt>
                <c:pt idx="21">
                  <c:v>-0.48676563954298957</c:v>
                </c:pt>
                <c:pt idx="22">
                  <c:v>-0.26569025395375129</c:v>
                </c:pt>
                <c:pt idx="23">
                  <c:v>-8.0324998185502289E-2</c:v>
                </c:pt>
                <c:pt idx="24">
                  <c:v>-8.5419744535567468E-3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0C-46CC-B12B-C582BB2017BF}"/>
            </c:ext>
          </c:extLst>
        </c:ser>
        <c:ser>
          <c:idx val="4"/>
          <c:order val="4"/>
          <c:tx>
            <c:strRef>
              <c:f>'longitudinal-marin'!$K$191</c:f>
              <c:strCache>
                <c:ptCount val="1"/>
                <c:pt idx="0">
                  <c:v>openDomain-long-LNGC-full-FST2-Cy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'longitudinal-marin'!$K$192:$K$216</c:f>
              <c:numCache>
                <c:formatCode>0.000</c:formatCode>
                <c:ptCount val="25"/>
                <c:pt idx="0">
                  <c:v>1.3004696052818888E-2</c:v>
                </c:pt>
                <c:pt idx="1">
                  <c:v>8.4333435106295138E-2</c:v>
                </c:pt>
                <c:pt idx="2">
                  <c:v>0.17563173011827862</c:v>
                </c:pt>
                <c:pt idx="3">
                  <c:v>0.13802608440277966</c:v>
                </c:pt>
                <c:pt idx="4">
                  <c:v>0.1374649777429896</c:v>
                </c:pt>
                <c:pt idx="5">
                  <c:v>0.11291665007329398</c:v>
                </c:pt>
                <c:pt idx="6">
                  <c:v>-0.12174237067142167</c:v>
                </c:pt>
                <c:pt idx="7">
                  <c:v>-8.5322782312607814E-2</c:v>
                </c:pt>
                <c:pt idx="8">
                  <c:v>-2.6571241512031766E-3</c:v>
                </c:pt>
                <c:pt idx="9">
                  <c:v>0.18949062004875664</c:v>
                </c:pt>
                <c:pt idx="10">
                  <c:v>0.16461354253530552</c:v>
                </c:pt>
                <c:pt idx="11">
                  <c:v>8.2215628737120031E-2</c:v>
                </c:pt>
                <c:pt idx="12">
                  <c:v>-5.7300182444565667E-4</c:v>
                </c:pt>
                <c:pt idx="13">
                  <c:v>-7.3012433106630276E-2</c:v>
                </c:pt>
                <c:pt idx="14">
                  <c:v>-0.27245632597570973</c:v>
                </c:pt>
                <c:pt idx="15">
                  <c:v>-0.49865279368126059</c:v>
                </c:pt>
                <c:pt idx="16">
                  <c:v>-0.68944084212802015</c:v>
                </c:pt>
                <c:pt idx="17">
                  <c:v>-0.86898373472454693</c:v>
                </c:pt>
                <c:pt idx="18">
                  <c:v>-0.83658119352048865</c:v>
                </c:pt>
                <c:pt idx="19">
                  <c:v>-0.89752269471891744</c:v>
                </c:pt>
                <c:pt idx="20">
                  <c:v>-0.8662010397762534</c:v>
                </c:pt>
                <c:pt idx="21">
                  <c:v>-0.58065742670107967</c:v>
                </c:pt>
                <c:pt idx="22">
                  <c:v>-0.40254812693116232</c:v>
                </c:pt>
                <c:pt idx="23">
                  <c:v>-0.14237870934372371</c:v>
                </c:pt>
                <c:pt idx="24">
                  <c:v>1.3004696052818888E-2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0C-46CC-B12B-C582BB2017BF}"/>
            </c:ext>
          </c:extLst>
        </c:ser>
        <c:ser>
          <c:idx val="5"/>
          <c:order val="5"/>
          <c:tx>
            <c:strRef>
              <c:f>'longitudinal-marin'!$S$191</c:f>
              <c:strCache>
                <c:ptCount val="1"/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'longitudinal-marin'!$Q$192:$Q$216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'longitudinal-marin'!$S$192:$S$216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0C-46CC-B12B-C582BB201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4390"/>
        <c:axId val="33114501"/>
      </c:scatterChart>
      <c:valAx>
        <c:axId val="5515439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114501"/>
        <c:crosses val="autoZero"/>
        <c:crossBetween val="midCat"/>
        <c:majorUnit val="45"/>
        <c:minorUnit val="15"/>
      </c:valAx>
      <c:valAx>
        <c:axId val="331145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15439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'longitudinal-marin'!$B$99:$B$123</c:f>
              <c:numCache>
                <c:formatCode>0.000</c:formatCode>
                <c:ptCount val="25"/>
                <c:pt idx="0">
                  <c:v>0.17973342291245667</c:v>
                </c:pt>
                <c:pt idx="1">
                  <c:v>0.66951348622626006</c:v>
                </c:pt>
                <c:pt idx="2">
                  <c:v>0.50444916098767589</c:v>
                </c:pt>
                <c:pt idx="3">
                  <c:v>0.32277978626843556</c:v>
                </c:pt>
                <c:pt idx="4">
                  <c:v>0.13943987089342857</c:v>
                </c:pt>
                <c:pt idx="5">
                  <c:v>0.40457193319277029</c:v>
                </c:pt>
                <c:pt idx="6">
                  <c:v>0.28081580798741324</c:v>
                </c:pt>
                <c:pt idx="7">
                  <c:v>-0.10324630767335627</c:v>
                </c:pt>
                <c:pt idx="8">
                  <c:v>-0.13776436731877556</c:v>
                </c:pt>
                <c:pt idx="9">
                  <c:v>-0.44049154741575453</c:v>
                </c:pt>
                <c:pt idx="10">
                  <c:v>-0.69739249531362812</c:v>
                </c:pt>
                <c:pt idx="11">
                  <c:v>-1.0023117037525273</c:v>
                </c:pt>
                <c:pt idx="12">
                  <c:v>-0.81123761476258704</c:v>
                </c:pt>
                <c:pt idx="13">
                  <c:v>-0.81107607551592908</c:v>
                </c:pt>
                <c:pt idx="14">
                  <c:v>-0.50023270214208415</c:v>
                </c:pt>
                <c:pt idx="15">
                  <c:v>-0.27389065980751132</c:v>
                </c:pt>
                <c:pt idx="16">
                  <c:v>-5.2202002116892514E-2</c:v>
                </c:pt>
                <c:pt idx="17">
                  <c:v>1.0500459255048453E-2</c:v>
                </c:pt>
                <c:pt idx="18">
                  <c:v>0.17310642225815909</c:v>
                </c:pt>
                <c:pt idx="19">
                  <c:v>4.5476952914842529E-2</c:v>
                </c:pt>
                <c:pt idx="20">
                  <c:v>3.771950834287633E-2</c:v>
                </c:pt>
                <c:pt idx="21">
                  <c:v>0.1537803309033719</c:v>
                </c:pt>
                <c:pt idx="22">
                  <c:v>0.22871788589617095</c:v>
                </c:pt>
                <c:pt idx="23">
                  <c:v>0.29598151917350374</c:v>
                </c:pt>
                <c:pt idx="24">
                  <c:v>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E-434D-BFFD-8B4390692047}"/>
            </c:ext>
          </c:extLst>
        </c:ser>
        <c:ser>
          <c:idx val="1"/>
          <c:order val="1"/>
          <c:tx>
            <c:strRef>
              <c:f>'longitudinal-marin'!$J$98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3E-434D-BFFD-8B4390692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9193"/>
        <c:axId val="80851425"/>
      </c:scatterChart>
      <c:valAx>
        <c:axId val="24419193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0851425"/>
        <c:crosses val="autoZero"/>
        <c:crossBetween val="midCat"/>
        <c:majorUnit val="45"/>
        <c:minorUnit val="15"/>
      </c:valAx>
      <c:valAx>
        <c:axId val="808514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41919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0.16273091032669537</c:v>
                </c:pt>
                <c:pt idx="2">
                  <c:v>0.35842049519945629</c:v>
                </c:pt>
                <c:pt idx="3">
                  <c:v>0.60480998321408241</c:v>
                </c:pt>
                <c:pt idx="4">
                  <c:v>0.79547344402048403</c:v>
                </c:pt>
                <c:pt idx="5">
                  <c:v>0.87949420614767093</c:v>
                </c:pt>
                <c:pt idx="6">
                  <c:v>1.0238709387462637</c:v>
                </c:pt>
                <c:pt idx="7">
                  <c:v>1.1574253788453515</c:v>
                </c:pt>
                <c:pt idx="8">
                  <c:v>1.0410154624672774</c:v>
                </c:pt>
                <c:pt idx="9">
                  <c:v>0.80608454261229601</c:v>
                </c:pt>
                <c:pt idx="10">
                  <c:v>0.46180886950574579</c:v>
                </c:pt>
                <c:pt idx="11">
                  <c:v>0.15907788415476293</c:v>
                </c:pt>
                <c:pt idx="12">
                  <c:v>-3.313498455269303E-2</c:v>
                </c:pt>
                <c:pt idx="13">
                  <c:v>-0.21352984445305348</c:v>
                </c:pt>
                <c:pt idx="14">
                  <c:v>-0.55424277842039205</c:v>
                </c:pt>
                <c:pt idx="15">
                  <c:v>-0.92225977396387882</c:v>
                </c:pt>
                <c:pt idx="16">
                  <c:v>-1.2528260179681863</c:v>
                </c:pt>
                <c:pt idx="17">
                  <c:v>-1.251575033860205</c:v>
                </c:pt>
                <c:pt idx="18">
                  <c:v>-1.0868919624793183</c:v>
                </c:pt>
                <c:pt idx="19">
                  <c:v>-0.94079421666212548</c:v>
                </c:pt>
                <c:pt idx="20">
                  <c:v>-0.80144923170379678</c:v>
                </c:pt>
                <c:pt idx="21">
                  <c:v>-0.56118987893530581</c:v>
                </c:pt>
                <c:pt idx="22">
                  <c:v>-0.31871300898045962</c:v>
                </c:pt>
                <c:pt idx="23">
                  <c:v>-9.9898163901526948E-2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7-4E22-A96C-351B7F7FE860}"/>
            </c:ext>
          </c:extLst>
        </c:ser>
        <c:ser>
          <c:idx val="1"/>
          <c:order val="1"/>
          <c:tx>
            <c:strRef>
              <c:f>'longitudinal-marin'!$K$98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F7-4E22-A96C-351B7F7FE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58939"/>
        <c:axId val="26323179"/>
      </c:scatterChart>
      <c:valAx>
        <c:axId val="4965893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323179"/>
        <c:crosses val="autoZero"/>
        <c:crossBetween val="midCat"/>
        <c:majorUnit val="45"/>
        <c:minorUnit val="15"/>
      </c:valAx>
      <c:valAx>
        <c:axId val="263231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96589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'longitudinal-marin'!$G$98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'longitudinal-marin'!$G$99:$G$123</c:f>
              <c:numCache>
                <c:formatCode>0.000</c:formatCode>
                <c:ptCount val="25"/>
                <c:pt idx="0">
                  <c:v>3.630820805666847E-4</c:v>
                </c:pt>
                <c:pt idx="1">
                  <c:v>-7.619030472421095E-3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5">
                  <c:v>-3.1391999341475817E-2</c:v>
                </c:pt>
                <c:pt idx="6">
                  <c:v>2.3440980057131244E-2</c:v>
                </c:pt>
                <c:pt idx="7">
                  <c:v>1.9623090263882041E-2</c:v>
                </c:pt>
                <c:pt idx="8">
                  <c:v>8.3387397257222703E-2</c:v>
                </c:pt>
                <c:pt idx="9">
                  <c:v>0.10979344213221577</c:v>
                </c:pt>
                <c:pt idx="10">
                  <c:v>5.0831532812837393E-2</c:v>
                </c:pt>
                <c:pt idx="11">
                  <c:v>7.0068831741784974E-3</c:v>
                </c:pt>
                <c:pt idx="12">
                  <c:v>2.9667909026279788E-3</c:v>
                </c:pt>
                <c:pt idx="13">
                  <c:v>-3.8803764720218702E-2</c:v>
                </c:pt>
                <c:pt idx="14">
                  <c:v>-9.4140341356023713E-2</c:v>
                </c:pt>
                <c:pt idx="15">
                  <c:v>-0.19283455786214185</c:v>
                </c:pt>
                <c:pt idx="16">
                  <c:v>-0.16155473632305825</c:v>
                </c:pt>
                <c:pt idx="17">
                  <c:v>-4.8201256376626977E-2</c:v>
                </c:pt>
                <c:pt idx="18">
                  <c:v>-1.2226071265083056E-2</c:v>
                </c:pt>
                <c:pt idx="19">
                  <c:v>4.0179459256616548E-2</c:v>
                </c:pt>
                <c:pt idx="20">
                  <c:v>5.3081768514876303E-2</c:v>
                </c:pt>
                <c:pt idx="21">
                  <c:v>5.4309641488841716E-2</c:v>
                </c:pt>
                <c:pt idx="22">
                  <c:v>3.5569294904548736E-2</c:v>
                </c:pt>
                <c:pt idx="23">
                  <c:v>1.2928246705518912E-2</c:v>
                </c:pt>
                <c:pt idx="24">
                  <c:v>3.630820805666847E-4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3-4EED-9E7E-BF9D2C52D1AE}"/>
            </c:ext>
          </c:extLst>
        </c:ser>
        <c:ser>
          <c:idx val="1"/>
          <c:order val="1"/>
          <c:tx>
            <c:strRef>
              <c:f>'longitudinal-marin'!$O$98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63-4EED-9E7E-BF9D2C52D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77149"/>
        <c:axId val="79576063"/>
      </c:scatterChart>
      <c:valAx>
        <c:axId val="84577149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9576063"/>
        <c:crosses val="autoZero"/>
        <c:crossBetween val="midCat"/>
        <c:majorUnit val="45"/>
        <c:minorUnit val="15"/>
      </c:valAx>
      <c:valAx>
        <c:axId val="795760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57714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0.16273091032669537</c:v>
                </c:pt>
                <c:pt idx="2">
                  <c:v>0.35842049519945629</c:v>
                </c:pt>
                <c:pt idx="3">
                  <c:v>0.60480998321408241</c:v>
                </c:pt>
                <c:pt idx="4">
                  <c:v>0.79547344402048403</c:v>
                </c:pt>
                <c:pt idx="5">
                  <c:v>0.87949420614767093</c:v>
                </c:pt>
                <c:pt idx="6">
                  <c:v>1.0238709387462637</c:v>
                </c:pt>
                <c:pt idx="7">
                  <c:v>1.1574253788453515</c:v>
                </c:pt>
                <c:pt idx="8">
                  <c:v>1.0410154624672774</c:v>
                </c:pt>
                <c:pt idx="9">
                  <c:v>0.80608454261229601</c:v>
                </c:pt>
                <c:pt idx="10">
                  <c:v>0.46180886950574579</c:v>
                </c:pt>
                <c:pt idx="11">
                  <c:v>0.15907788415476293</c:v>
                </c:pt>
                <c:pt idx="12">
                  <c:v>-3.313498455269303E-2</c:v>
                </c:pt>
                <c:pt idx="13">
                  <c:v>-0.21352984445305348</c:v>
                </c:pt>
                <c:pt idx="14">
                  <c:v>-0.55424277842039205</c:v>
                </c:pt>
                <c:pt idx="15">
                  <c:v>-0.92225977396387882</c:v>
                </c:pt>
                <c:pt idx="16">
                  <c:v>-1.2528260179681863</c:v>
                </c:pt>
                <c:pt idx="17">
                  <c:v>-1.251575033860205</c:v>
                </c:pt>
                <c:pt idx="18">
                  <c:v>-1.0868919624793183</c:v>
                </c:pt>
                <c:pt idx="19">
                  <c:v>-0.94079421666212548</c:v>
                </c:pt>
                <c:pt idx="20">
                  <c:v>-0.80144923170379678</c:v>
                </c:pt>
                <c:pt idx="21">
                  <c:v>-0.56118987893530581</c:v>
                </c:pt>
                <c:pt idx="22">
                  <c:v>-0.31871300898045962</c:v>
                </c:pt>
                <c:pt idx="23">
                  <c:v>-9.9898163901526948E-2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1-42E9-B906-A39F8C9BEEC4}"/>
            </c:ext>
          </c:extLst>
        </c:ser>
        <c:ser>
          <c:idx val="1"/>
          <c:order val="1"/>
          <c:tx>
            <c:strRef>
              <c:f>'longitudinal-marin'!$C$67</c:f>
              <c:strCache>
                <c:ptCount val="1"/>
                <c:pt idx="0">
                  <c:v>topoDomain-trans-FST1-Cy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'longitudinal-marin'!$A$68:$A$92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'longitudinal-marin'!$C$68:$C$72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21-42E9-B906-A39F8C9BEEC4}"/>
            </c:ext>
          </c:extLst>
        </c:ser>
        <c:ser>
          <c:idx val="2"/>
          <c:order val="2"/>
          <c:tx>
            <c:strRef>
              <c:f>'longitudinal-marin'!$K$98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21-42E9-B906-A39F8C9BEEC4}"/>
            </c:ext>
          </c:extLst>
        </c:ser>
        <c:ser>
          <c:idx val="3"/>
          <c:order val="3"/>
          <c:tx>
            <c:strRef>
              <c:f>'longitudinal-marin'!$K$67</c:f>
              <c:strCache>
                <c:ptCount val="1"/>
                <c:pt idx="0">
                  <c:v>topoDomain-trans-FST2-Cy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'longitudinal-marin'!$I$68:$I$72</c:f>
              <c:numCache>
                <c:formatCode>General</c:formatCode>
                <c:ptCount val="5"/>
              </c:numCache>
            </c:numRef>
          </c:xVal>
          <c:yVal>
            <c:numRef>
              <c:f>'longitudinal-marin'!$K$68:$K$92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21-42E9-B906-A39F8C9BE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29162"/>
        <c:axId val="92034491"/>
      </c:scatterChart>
      <c:valAx>
        <c:axId val="29129162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034491"/>
        <c:crosses val="autoZero"/>
        <c:crossBetween val="midCat"/>
        <c:majorUnit val="45"/>
        <c:minorUnit val="15"/>
      </c:valAx>
      <c:valAx>
        <c:axId val="920344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1291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'longitudinal-marin'!$G$98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'longitudinal-marin'!$G$99:$G$123</c:f>
              <c:numCache>
                <c:formatCode>0.000</c:formatCode>
                <c:ptCount val="25"/>
                <c:pt idx="0">
                  <c:v>3.630820805666847E-4</c:v>
                </c:pt>
                <c:pt idx="1">
                  <c:v>-7.619030472421095E-3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5">
                  <c:v>-3.1391999341475817E-2</c:v>
                </c:pt>
                <c:pt idx="6">
                  <c:v>2.3440980057131244E-2</c:v>
                </c:pt>
                <c:pt idx="7">
                  <c:v>1.9623090263882041E-2</c:v>
                </c:pt>
                <c:pt idx="8">
                  <c:v>8.3387397257222703E-2</c:v>
                </c:pt>
                <c:pt idx="9">
                  <c:v>0.10979344213221577</c:v>
                </c:pt>
                <c:pt idx="10">
                  <c:v>5.0831532812837393E-2</c:v>
                </c:pt>
                <c:pt idx="11">
                  <c:v>7.0068831741784974E-3</c:v>
                </c:pt>
                <c:pt idx="12">
                  <c:v>2.9667909026279788E-3</c:v>
                </c:pt>
                <c:pt idx="13">
                  <c:v>-3.8803764720218702E-2</c:v>
                </c:pt>
                <c:pt idx="14">
                  <c:v>-9.4140341356023713E-2</c:v>
                </c:pt>
                <c:pt idx="15">
                  <c:v>-0.19283455786214185</c:v>
                </c:pt>
                <c:pt idx="16">
                  <c:v>-0.16155473632305825</c:v>
                </c:pt>
                <c:pt idx="17">
                  <c:v>-4.8201256376626977E-2</c:v>
                </c:pt>
                <c:pt idx="18">
                  <c:v>-1.2226071265083056E-2</c:v>
                </c:pt>
                <c:pt idx="19">
                  <c:v>4.0179459256616548E-2</c:v>
                </c:pt>
                <c:pt idx="20">
                  <c:v>5.3081768514876303E-2</c:v>
                </c:pt>
                <c:pt idx="21">
                  <c:v>5.4309641488841716E-2</c:v>
                </c:pt>
                <c:pt idx="22">
                  <c:v>3.5569294904548736E-2</c:v>
                </c:pt>
                <c:pt idx="23">
                  <c:v>1.2928246705518912E-2</c:v>
                </c:pt>
                <c:pt idx="24">
                  <c:v>3.630820805666847E-4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8-4301-8BFB-EE18355FE466}"/>
            </c:ext>
          </c:extLst>
        </c:ser>
        <c:ser>
          <c:idx val="1"/>
          <c:order val="1"/>
          <c:tx>
            <c:strRef>
              <c:f>'longitudinal-marin'!$G$67</c:f>
              <c:strCache>
                <c:ptCount val="1"/>
                <c:pt idx="0">
                  <c:v>topoDomain-trans-FST1-Cnz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'longitudinal-marin'!$A$68:$A$92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'longitudinal-marin'!$G$68:$G$72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E8-4301-8BFB-EE18355FE466}"/>
            </c:ext>
          </c:extLst>
        </c:ser>
        <c:ser>
          <c:idx val="2"/>
          <c:order val="2"/>
          <c:tx>
            <c:strRef>
              <c:f>'longitudinal-marin'!$O$98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E8-4301-8BFB-EE18355FE466}"/>
            </c:ext>
          </c:extLst>
        </c:ser>
        <c:ser>
          <c:idx val="3"/>
          <c:order val="3"/>
          <c:tx>
            <c:strRef>
              <c:f>'longitudinal-marin'!$O$67</c:f>
              <c:strCache>
                <c:ptCount val="1"/>
                <c:pt idx="0">
                  <c:v>topoDomain-trans-FST2-Cnz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'longitudinal-marin'!$I$68:$I$72</c:f>
              <c:numCache>
                <c:formatCode>General</c:formatCode>
                <c:ptCount val="5"/>
              </c:numCache>
            </c:numRef>
          </c:xVal>
          <c:yVal>
            <c:numRef>
              <c:f>'longitudinal-marin'!$O$68:$O$92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E8-4301-8BFB-EE18355FE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1009"/>
        <c:axId val="64215154"/>
      </c:scatterChart>
      <c:valAx>
        <c:axId val="42721009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215154"/>
        <c:crosses val="autoZero"/>
        <c:crossBetween val="midCat"/>
        <c:majorUnit val="45"/>
        <c:minorUnit val="15"/>
      </c:valAx>
      <c:valAx>
        <c:axId val="642151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72100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'longitudinal-marin'!$B$99:$B$123</c:f>
              <c:numCache>
                <c:formatCode>0.000</c:formatCode>
                <c:ptCount val="25"/>
                <c:pt idx="0">
                  <c:v>0.17973342291245667</c:v>
                </c:pt>
                <c:pt idx="1">
                  <c:v>0.66951348622626006</c:v>
                </c:pt>
                <c:pt idx="2">
                  <c:v>0.50444916098767589</c:v>
                </c:pt>
                <c:pt idx="3">
                  <c:v>0.32277978626843556</c:v>
                </c:pt>
                <c:pt idx="4">
                  <c:v>0.13943987089342857</c:v>
                </c:pt>
                <c:pt idx="5">
                  <c:v>0.40457193319277029</c:v>
                </c:pt>
                <c:pt idx="6">
                  <c:v>0.28081580798741324</c:v>
                </c:pt>
                <c:pt idx="7">
                  <c:v>-0.10324630767335627</c:v>
                </c:pt>
                <c:pt idx="8">
                  <c:v>-0.13776436731877556</c:v>
                </c:pt>
                <c:pt idx="9">
                  <c:v>-0.44049154741575453</c:v>
                </c:pt>
                <c:pt idx="10">
                  <c:v>-0.69739249531362812</c:v>
                </c:pt>
                <c:pt idx="11">
                  <c:v>-1.0023117037525273</c:v>
                </c:pt>
                <c:pt idx="12">
                  <c:v>-0.81123761476258704</c:v>
                </c:pt>
                <c:pt idx="13">
                  <c:v>-0.81107607551592908</c:v>
                </c:pt>
                <c:pt idx="14">
                  <c:v>-0.50023270214208415</c:v>
                </c:pt>
                <c:pt idx="15">
                  <c:v>-0.27389065980751132</c:v>
                </c:pt>
                <c:pt idx="16">
                  <c:v>-5.2202002116892514E-2</c:v>
                </c:pt>
                <c:pt idx="17">
                  <c:v>1.0500459255048453E-2</c:v>
                </c:pt>
                <c:pt idx="18">
                  <c:v>0.17310642225815909</c:v>
                </c:pt>
                <c:pt idx="19">
                  <c:v>4.5476952914842529E-2</c:v>
                </c:pt>
                <c:pt idx="20">
                  <c:v>3.771950834287633E-2</c:v>
                </c:pt>
                <c:pt idx="21">
                  <c:v>0.1537803309033719</c:v>
                </c:pt>
                <c:pt idx="22">
                  <c:v>0.22871788589617095</c:v>
                </c:pt>
                <c:pt idx="23">
                  <c:v>0.29598151917350374</c:v>
                </c:pt>
                <c:pt idx="24">
                  <c:v>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2-471A-9E78-50CB1214C7BB}"/>
            </c:ext>
          </c:extLst>
        </c:ser>
        <c:ser>
          <c:idx val="1"/>
          <c:order val="1"/>
          <c:tx>
            <c:strRef>
              <c:f>'longitudinal-marin'!$J$98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C2-471A-9E78-50CB1214C7BB}"/>
            </c:ext>
          </c:extLst>
        </c:ser>
        <c:ser>
          <c:idx val="2"/>
          <c:order val="2"/>
          <c:tx>
            <c:strRef>
              <c:f>'longitudinal-marin'!$B$5</c:f>
              <c:strCache>
                <c:ptCount val="1"/>
                <c:pt idx="0">
                  <c:v>Open Domain FST1 (Long/trans) factors-Cx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'longitudinal-marin'!$B$6:$B$30</c:f>
              <c:numCache>
                <c:formatCode>0.000</c:formatCode>
                <c:ptCount val="25"/>
                <c:pt idx="0">
                  <c:v>0.76561541767876973</c:v>
                </c:pt>
                <c:pt idx="1">
                  <c:v>0.53585801560910462</c:v>
                </c:pt>
                <c:pt idx="2">
                  <c:v>0.3061006135394394</c:v>
                </c:pt>
                <c:pt idx="3">
                  <c:v>0.22329886075602687</c:v>
                </c:pt>
                <c:pt idx="4">
                  <c:v>0.11993828163179525</c:v>
                </c:pt>
                <c:pt idx="5">
                  <c:v>0.51902410765977969</c:v>
                </c:pt>
                <c:pt idx="6">
                  <c:v>0.91810993368776406</c:v>
                </c:pt>
                <c:pt idx="7">
                  <c:v>0.51902410765977969</c:v>
                </c:pt>
                <c:pt idx="8">
                  <c:v>0.11993828163179525</c:v>
                </c:pt>
                <c:pt idx="9">
                  <c:v>0.22329886075602687</c:v>
                </c:pt>
                <c:pt idx="10">
                  <c:v>0.3061006135394394</c:v>
                </c:pt>
                <c:pt idx="11">
                  <c:v>0.53585801560910462</c:v>
                </c:pt>
                <c:pt idx="12">
                  <c:v>0.76561541767876973</c:v>
                </c:pt>
                <c:pt idx="13">
                  <c:v>0.53585801560910462</c:v>
                </c:pt>
                <c:pt idx="14">
                  <c:v>0.3061006135394394</c:v>
                </c:pt>
                <c:pt idx="15">
                  <c:v>0.22329886075602687</c:v>
                </c:pt>
                <c:pt idx="16">
                  <c:v>0.11993828163179525</c:v>
                </c:pt>
                <c:pt idx="17">
                  <c:v>0.51902410765977969</c:v>
                </c:pt>
                <c:pt idx="18">
                  <c:v>0.91810993368776406</c:v>
                </c:pt>
                <c:pt idx="19">
                  <c:v>0.51902410765977969</c:v>
                </c:pt>
                <c:pt idx="20">
                  <c:v>0.11993828163179525</c:v>
                </c:pt>
                <c:pt idx="21">
                  <c:v>0.22329886075602687</c:v>
                </c:pt>
                <c:pt idx="22">
                  <c:v>0.3061006135394394</c:v>
                </c:pt>
                <c:pt idx="23">
                  <c:v>0.53585801560910462</c:v>
                </c:pt>
                <c:pt idx="24">
                  <c:v>0.76561541767876973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C2-471A-9E78-50CB1214C7BB}"/>
            </c:ext>
          </c:extLst>
        </c:ser>
        <c:ser>
          <c:idx val="3"/>
          <c:order val="3"/>
          <c:tx>
            <c:strRef>
              <c:f>'longitudinal-marin'!$J$5</c:f>
              <c:strCache>
                <c:ptCount val="1"/>
                <c:pt idx="0">
                  <c:v>Open Domain FST2 (Long/trans) factors-Cx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'longitudinal-marin'!$J$6:$J$30</c:f>
              <c:numCache>
                <c:formatCode>0.000</c:formatCode>
                <c:ptCount val="25"/>
                <c:pt idx="0">
                  <c:v>0.60290487583331998</c:v>
                </c:pt>
                <c:pt idx="1">
                  <c:v>0.49531400400070569</c:v>
                </c:pt>
                <c:pt idx="2">
                  <c:v>0.38772313216809146</c:v>
                </c:pt>
                <c:pt idx="3">
                  <c:v>0.35279736793436656</c:v>
                </c:pt>
                <c:pt idx="4">
                  <c:v>8.4459723482979587E-2</c:v>
                </c:pt>
                <c:pt idx="5">
                  <c:v>0.50295936072043101</c:v>
                </c:pt>
                <c:pt idx="6">
                  <c:v>0.92145899795788233</c:v>
                </c:pt>
                <c:pt idx="7">
                  <c:v>0.50295936072043101</c:v>
                </c:pt>
                <c:pt idx="8">
                  <c:v>8.4459723482979587E-2</c:v>
                </c:pt>
                <c:pt idx="9">
                  <c:v>0.35279736793436656</c:v>
                </c:pt>
                <c:pt idx="10">
                  <c:v>0.38772313216809146</c:v>
                </c:pt>
                <c:pt idx="11">
                  <c:v>0.49531400400070569</c:v>
                </c:pt>
                <c:pt idx="12">
                  <c:v>0.60290487583331998</c:v>
                </c:pt>
                <c:pt idx="13">
                  <c:v>0.49531400400070569</c:v>
                </c:pt>
                <c:pt idx="14">
                  <c:v>0.38772313216809146</c:v>
                </c:pt>
                <c:pt idx="15">
                  <c:v>0.35279736793436656</c:v>
                </c:pt>
                <c:pt idx="16">
                  <c:v>8.4459723482979587E-2</c:v>
                </c:pt>
                <c:pt idx="17">
                  <c:v>0.50295936072043101</c:v>
                </c:pt>
                <c:pt idx="18">
                  <c:v>0.92145899795788233</c:v>
                </c:pt>
                <c:pt idx="19">
                  <c:v>0.50295936072043101</c:v>
                </c:pt>
                <c:pt idx="20">
                  <c:v>8.4459723482979587E-2</c:v>
                </c:pt>
                <c:pt idx="21">
                  <c:v>0.35279736793436656</c:v>
                </c:pt>
                <c:pt idx="22">
                  <c:v>0.38772313216809146</c:v>
                </c:pt>
                <c:pt idx="23">
                  <c:v>0.49531400400070569</c:v>
                </c:pt>
                <c:pt idx="24">
                  <c:v>0.60290487583331998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C2-471A-9E78-50CB1214C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433"/>
        <c:axId val="26615584"/>
      </c:scatterChart>
      <c:valAx>
        <c:axId val="13195433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615584"/>
        <c:crosses val="autoZero"/>
        <c:crossBetween val="midCat"/>
        <c:majorUnit val="45"/>
        <c:minorUnit val="15"/>
      </c:valAx>
      <c:valAx>
        <c:axId val="266155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19543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0.16273091032669537</c:v>
                </c:pt>
                <c:pt idx="2">
                  <c:v>0.35842049519945629</c:v>
                </c:pt>
                <c:pt idx="3">
                  <c:v>0.60480998321408241</c:v>
                </c:pt>
                <c:pt idx="4">
                  <c:v>0.79547344402048403</c:v>
                </c:pt>
                <c:pt idx="5">
                  <c:v>0.87949420614767093</c:v>
                </c:pt>
                <c:pt idx="6">
                  <c:v>1.0238709387462637</c:v>
                </c:pt>
                <c:pt idx="7">
                  <c:v>1.1574253788453515</c:v>
                </c:pt>
                <c:pt idx="8">
                  <c:v>1.0410154624672774</c:v>
                </c:pt>
                <c:pt idx="9">
                  <c:v>0.80608454261229601</c:v>
                </c:pt>
                <c:pt idx="10">
                  <c:v>0.46180886950574579</c:v>
                </c:pt>
                <c:pt idx="11">
                  <c:v>0.15907788415476293</c:v>
                </c:pt>
                <c:pt idx="12">
                  <c:v>-3.313498455269303E-2</c:v>
                </c:pt>
                <c:pt idx="13">
                  <c:v>-0.21352984445305348</c:v>
                </c:pt>
                <c:pt idx="14">
                  <c:v>-0.55424277842039205</c:v>
                </c:pt>
                <c:pt idx="15">
                  <c:v>-0.92225977396387882</c:v>
                </c:pt>
                <c:pt idx="16">
                  <c:v>-1.2528260179681863</c:v>
                </c:pt>
                <c:pt idx="17">
                  <c:v>-1.251575033860205</c:v>
                </c:pt>
                <c:pt idx="18">
                  <c:v>-1.0868919624793183</c:v>
                </c:pt>
                <c:pt idx="19">
                  <c:v>-0.94079421666212548</c:v>
                </c:pt>
                <c:pt idx="20">
                  <c:v>-0.80144923170379678</c:v>
                </c:pt>
                <c:pt idx="21">
                  <c:v>-0.56118987893530581</c:v>
                </c:pt>
                <c:pt idx="22">
                  <c:v>-0.31871300898045962</c:v>
                </c:pt>
                <c:pt idx="23">
                  <c:v>-9.9898163901526948E-2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6-4925-8FE1-7650F9003C34}"/>
            </c:ext>
          </c:extLst>
        </c:ser>
        <c:ser>
          <c:idx val="1"/>
          <c:order val="1"/>
          <c:tx>
            <c:strRef>
              <c:f>'longitudinal-marin'!$K$98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56-4925-8FE1-7650F9003C34}"/>
            </c:ext>
          </c:extLst>
        </c:ser>
        <c:ser>
          <c:idx val="2"/>
          <c:order val="2"/>
          <c:tx>
            <c:strRef>
              <c:f>'longitudinal-marin'!$C$5</c:f>
              <c:strCache>
                <c:ptCount val="1"/>
                <c:pt idx="0">
                  <c:v>Open Domain FST1 (Long/trans) factors-Cy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'longitudinal-marin'!$C$6:$C$30</c:f>
              <c:numCache>
                <c:formatCode>0.000</c:formatCode>
                <c:ptCount val="25"/>
                <c:pt idx="0">
                  <c:v>1</c:v>
                </c:pt>
                <c:pt idx="1">
                  <c:v>1.0445993129126903</c:v>
                </c:pt>
                <c:pt idx="2">
                  <c:v>1.0891986258253807</c:v>
                </c:pt>
                <c:pt idx="3">
                  <c:v>1.1527613087700792</c:v>
                </c:pt>
                <c:pt idx="4">
                  <c:v>1.2620882382490113</c:v>
                </c:pt>
                <c:pt idx="5">
                  <c:v>1.2742130250981027</c:v>
                </c:pt>
                <c:pt idx="6">
                  <c:v>1.286337811947194</c:v>
                </c:pt>
                <c:pt idx="7">
                  <c:v>1.2742130250981027</c:v>
                </c:pt>
                <c:pt idx="8">
                  <c:v>1.2620882382490113</c:v>
                </c:pt>
                <c:pt idx="9">
                  <c:v>1.1527613087700792</c:v>
                </c:pt>
                <c:pt idx="10">
                  <c:v>1.0891986258253807</c:v>
                </c:pt>
                <c:pt idx="11">
                  <c:v>1.0445993129126903</c:v>
                </c:pt>
                <c:pt idx="12">
                  <c:v>1</c:v>
                </c:pt>
                <c:pt idx="13">
                  <c:v>1.0445993129126903</c:v>
                </c:pt>
                <c:pt idx="14">
                  <c:v>1.0891986258253807</c:v>
                </c:pt>
                <c:pt idx="15">
                  <c:v>1.1527613087700792</c:v>
                </c:pt>
                <c:pt idx="16">
                  <c:v>1.2620882382490113</c:v>
                </c:pt>
                <c:pt idx="17">
                  <c:v>1.2742130250981027</c:v>
                </c:pt>
                <c:pt idx="18">
                  <c:v>1.286337811947194</c:v>
                </c:pt>
                <c:pt idx="19">
                  <c:v>1.2742130250981027</c:v>
                </c:pt>
                <c:pt idx="20">
                  <c:v>1.2620882382490113</c:v>
                </c:pt>
                <c:pt idx="21">
                  <c:v>1.1527613087700792</c:v>
                </c:pt>
                <c:pt idx="22">
                  <c:v>1.0891986258253807</c:v>
                </c:pt>
                <c:pt idx="23">
                  <c:v>1.0445993129126903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56-4925-8FE1-7650F9003C34}"/>
            </c:ext>
          </c:extLst>
        </c:ser>
        <c:ser>
          <c:idx val="3"/>
          <c:order val="3"/>
          <c:tx>
            <c:strRef>
              <c:f>'longitudinal-marin'!$K$5</c:f>
              <c:strCache>
                <c:ptCount val="1"/>
                <c:pt idx="0">
                  <c:v>Open Domain FST2 (Long/trans) factors-Cy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'longitudinal-marin'!$K$6:$K$30</c:f>
              <c:numCache>
                <c:formatCode>0.000</c:formatCode>
                <c:ptCount val="25"/>
                <c:pt idx="0">
                  <c:v>1</c:v>
                </c:pt>
                <c:pt idx="1">
                  <c:v>1.0982757425751253</c:v>
                </c:pt>
                <c:pt idx="2">
                  <c:v>1.1965514851502506</c:v>
                </c:pt>
                <c:pt idx="3">
                  <c:v>1.2648308148868026</c:v>
                </c:pt>
                <c:pt idx="4">
                  <c:v>1.3458853922989618</c:v>
                </c:pt>
                <c:pt idx="5">
                  <c:v>1.3029003647720678</c:v>
                </c:pt>
                <c:pt idx="6">
                  <c:v>1.2599153372451737</c:v>
                </c:pt>
                <c:pt idx="7">
                  <c:v>1.3029003647720678</c:v>
                </c:pt>
                <c:pt idx="8">
                  <c:v>1.3458853922989618</c:v>
                </c:pt>
                <c:pt idx="9">
                  <c:v>1.2648308148868026</c:v>
                </c:pt>
                <c:pt idx="10">
                  <c:v>1.1965514851502506</c:v>
                </c:pt>
                <c:pt idx="11">
                  <c:v>1.0982757425751253</c:v>
                </c:pt>
                <c:pt idx="12">
                  <c:v>1</c:v>
                </c:pt>
                <c:pt idx="13">
                  <c:v>1.0982757425751253</c:v>
                </c:pt>
                <c:pt idx="14">
                  <c:v>1.1965514851502506</c:v>
                </c:pt>
                <c:pt idx="15">
                  <c:v>1.2648308148868026</c:v>
                </c:pt>
                <c:pt idx="16">
                  <c:v>1.3458853922989618</c:v>
                </c:pt>
                <c:pt idx="17">
                  <c:v>1.3029003647720678</c:v>
                </c:pt>
                <c:pt idx="18">
                  <c:v>1.2599153372451737</c:v>
                </c:pt>
                <c:pt idx="19">
                  <c:v>1.3029003647720678</c:v>
                </c:pt>
                <c:pt idx="20">
                  <c:v>1.3458853922989618</c:v>
                </c:pt>
                <c:pt idx="21">
                  <c:v>1.2648308148868026</c:v>
                </c:pt>
                <c:pt idx="22">
                  <c:v>1.1965514851502506</c:v>
                </c:pt>
                <c:pt idx="23">
                  <c:v>1.0982757425751253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56-4925-8FE1-7650F900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87139"/>
        <c:axId val="8512628"/>
      </c:scatterChart>
      <c:valAx>
        <c:axId val="39987139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12628"/>
        <c:crosses val="autoZero"/>
        <c:crossBetween val="midCat"/>
        <c:majorUnit val="45"/>
        <c:minorUnit val="15"/>
      </c:valAx>
      <c:valAx>
        <c:axId val="85126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987139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'longitudinal-marin'!$G$98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'longitudinal-marin'!$G$99:$G$123</c:f>
              <c:numCache>
                <c:formatCode>0.000</c:formatCode>
                <c:ptCount val="25"/>
                <c:pt idx="0">
                  <c:v>3.630820805666847E-4</c:v>
                </c:pt>
                <c:pt idx="1">
                  <c:v>-7.619030472421095E-3</c:v>
                </c:pt>
                <c:pt idx="2">
                  <c:v>-2.47297853177957E-2</c:v>
                </c:pt>
                <c:pt idx="3">
                  <c:v>-4.3340836834848642E-2</c:v>
                </c:pt>
                <c:pt idx="4">
                  <c:v>-5.1174243105358778E-2</c:v>
                </c:pt>
                <c:pt idx="5">
                  <c:v>-3.1391999341475817E-2</c:v>
                </c:pt>
                <c:pt idx="6">
                  <c:v>2.3440980057131244E-2</c:v>
                </c:pt>
                <c:pt idx="7">
                  <c:v>1.9623090263882041E-2</c:v>
                </c:pt>
                <c:pt idx="8">
                  <c:v>8.3387397257222703E-2</c:v>
                </c:pt>
                <c:pt idx="9">
                  <c:v>0.10979344213221577</c:v>
                </c:pt>
                <c:pt idx="10">
                  <c:v>5.0831532812837393E-2</c:v>
                </c:pt>
                <c:pt idx="11">
                  <c:v>7.0068831741784974E-3</c:v>
                </c:pt>
                <c:pt idx="12">
                  <c:v>2.9667909026279788E-3</c:v>
                </c:pt>
                <c:pt idx="13">
                  <c:v>-3.8803764720218702E-2</c:v>
                </c:pt>
                <c:pt idx="14">
                  <c:v>-9.4140341356023713E-2</c:v>
                </c:pt>
                <c:pt idx="15">
                  <c:v>-0.19283455786214185</c:v>
                </c:pt>
                <c:pt idx="16">
                  <c:v>-0.16155473632305825</c:v>
                </c:pt>
                <c:pt idx="17">
                  <c:v>-4.8201256376626977E-2</c:v>
                </c:pt>
                <c:pt idx="18">
                  <c:v>-1.2226071265083056E-2</c:v>
                </c:pt>
                <c:pt idx="19">
                  <c:v>4.0179459256616548E-2</c:v>
                </c:pt>
                <c:pt idx="20">
                  <c:v>5.3081768514876303E-2</c:v>
                </c:pt>
                <c:pt idx="21">
                  <c:v>5.4309641488841716E-2</c:v>
                </c:pt>
                <c:pt idx="22">
                  <c:v>3.5569294904548736E-2</c:v>
                </c:pt>
                <c:pt idx="23">
                  <c:v>1.2928246705518912E-2</c:v>
                </c:pt>
                <c:pt idx="24">
                  <c:v>3.630820805666847E-4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E-4424-B71E-285BEE63CC0B}"/>
            </c:ext>
          </c:extLst>
        </c:ser>
        <c:ser>
          <c:idx val="1"/>
          <c:order val="1"/>
          <c:tx>
            <c:strRef>
              <c:f>'longitudinal-marin'!$O$98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'longitudinal-marin'!$O$99:$O$123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E-4424-B71E-285BEE63CC0B}"/>
            </c:ext>
          </c:extLst>
        </c:ser>
        <c:ser>
          <c:idx val="2"/>
          <c:order val="2"/>
          <c:tx>
            <c:strRef>
              <c:f>'longitudinal-marin'!$G$5</c:f>
              <c:strCache>
                <c:ptCount val="1"/>
                <c:pt idx="0">
                  <c:v>Open Domain FST1 (Long/trans) factors-Cnz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'longitudinal-marin'!$G$6:$G$30</c:f>
              <c:numCache>
                <c:formatCode>0.000</c:formatCode>
                <c:ptCount val="25"/>
                <c:pt idx="0">
                  <c:v>1.681036193937316</c:v>
                </c:pt>
                <c:pt idx="1">
                  <c:v>1.681036193937316</c:v>
                </c:pt>
                <c:pt idx="2">
                  <c:v>1.681036193937316</c:v>
                </c:pt>
                <c:pt idx="3">
                  <c:v>2.2341680549195182</c:v>
                </c:pt>
                <c:pt idx="4">
                  <c:v>1.9956788069968132</c:v>
                </c:pt>
                <c:pt idx="5">
                  <c:v>1.9956788069968132</c:v>
                </c:pt>
                <c:pt idx="6">
                  <c:v>1.9956788069968132</c:v>
                </c:pt>
                <c:pt idx="7">
                  <c:v>1.9956788069968132</c:v>
                </c:pt>
                <c:pt idx="8">
                  <c:v>1.9956788069968132</c:v>
                </c:pt>
                <c:pt idx="9">
                  <c:v>2.2341680549195182</c:v>
                </c:pt>
                <c:pt idx="10">
                  <c:v>1.681036193937316</c:v>
                </c:pt>
                <c:pt idx="11">
                  <c:v>1.681036193937316</c:v>
                </c:pt>
                <c:pt idx="12">
                  <c:v>1.681036193937316</c:v>
                </c:pt>
                <c:pt idx="13">
                  <c:v>1.681036193937316</c:v>
                </c:pt>
                <c:pt idx="14">
                  <c:v>1.681036193937316</c:v>
                </c:pt>
                <c:pt idx="15">
                  <c:v>2.2341680549195182</c:v>
                </c:pt>
                <c:pt idx="16">
                  <c:v>1.9956788069968132</c:v>
                </c:pt>
                <c:pt idx="17">
                  <c:v>1.9956788069968132</c:v>
                </c:pt>
                <c:pt idx="18">
                  <c:v>1.9956788069968132</c:v>
                </c:pt>
                <c:pt idx="19">
                  <c:v>1.9956788069968132</c:v>
                </c:pt>
                <c:pt idx="20">
                  <c:v>1.9956788069968132</c:v>
                </c:pt>
                <c:pt idx="21">
                  <c:v>2.2341680549195182</c:v>
                </c:pt>
                <c:pt idx="22">
                  <c:v>1.681036193937316</c:v>
                </c:pt>
                <c:pt idx="23">
                  <c:v>1.681036193937316</c:v>
                </c:pt>
                <c:pt idx="24">
                  <c:v>1.681036193937316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4E-4424-B71E-285BEE63CC0B}"/>
            </c:ext>
          </c:extLst>
        </c:ser>
        <c:ser>
          <c:idx val="3"/>
          <c:order val="3"/>
          <c:tx>
            <c:strRef>
              <c:f>'longitudinal-marin'!$O$5</c:f>
              <c:strCache>
                <c:ptCount val="1"/>
                <c:pt idx="0">
                  <c:v>Open Domain FST2 (Long/trans) factors-Cnz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'longitudinal-marin'!$O$6:$O$30</c:f>
              <c:numCache>
                <c:formatCode>0.000</c:formatCode>
                <c:ptCount val="25"/>
                <c:pt idx="0">
                  <c:v>1.6855992404799247</c:v>
                </c:pt>
                <c:pt idx="1">
                  <c:v>1.6855992404799247</c:v>
                </c:pt>
                <c:pt idx="2">
                  <c:v>1.6855992404799247</c:v>
                </c:pt>
                <c:pt idx="3">
                  <c:v>1.5641282379046808</c:v>
                </c:pt>
                <c:pt idx="4">
                  <c:v>1.7539783303069845</c:v>
                </c:pt>
                <c:pt idx="5">
                  <c:v>1.7539783303069845</c:v>
                </c:pt>
                <c:pt idx="6">
                  <c:v>1.7539783303069845</c:v>
                </c:pt>
                <c:pt idx="7">
                  <c:v>1.7539783303069845</c:v>
                </c:pt>
                <c:pt idx="8">
                  <c:v>1.7539783303069845</c:v>
                </c:pt>
                <c:pt idx="9">
                  <c:v>1.5641282379046808</c:v>
                </c:pt>
                <c:pt idx="10">
                  <c:v>1.6855992404799247</c:v>
                </c:pt>
                <c:pt idx="11">
                  <c:v>1.6855992404799247</c:v>
                </c:pt>
                <c:pt idx="12">
                  <c:v>1.6855992404799247</c:v>
                </c:pt>
                <c:pt idx="13">
                  <c:v>1.6855992404799247</c:v>
                </c:pt>
                <c:pt idx="14">
                  <c:v>1.6855992404799247</c:v>
                </c:pt>
                <c:pt idx="15">
                  <c:v>1.5641282379046808</c:v>
                </c:pt>
                <c:pt idx="16">
                  <c:v>1.7539783303069845</c:v>
                </c:pt>
                <c:pt idx="17">
                  <c:v>1.7539783303069845</c:v>
                </c:pt>
                <c:pt idx="18">
                  <c:v>1.7539783303069845</c:v>
                </c:pt>
                <c:pt idx="19">
                  <c:v>1.7539783303069845</c:v>
                </c:pt>
                <c:pt idx="20">
                  <c:v>1.7539783303069845</c:v>
                </c:pt>
                <c:pt idx="21">
                  <c:v>1.5641282379046808</c:v>
                </c:pt>
                <c:pt idx="22">
                  <c:v>1.6855992404799247</c:v>
                </c:pt>
                <c:pt idx="23">
                  <c:v>1.6855992404799247</c:v>
                </c:pt>
                <c:pt idx="24">
                  <c:v>1.6855992404799247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4E-4424-B71E-285BEE63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21765"/>
        <c:axId val="32290394"/>
      </c:scatterChart>
      <c:valAx>
        <c:axId val="81621765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2290394"/>
        <c:crosses val="autoZero"/>
        <c:crossBetween val="midCat"/>
        <c:majorUnit val="45"/>
        <c:minorUnit val="15"/>
      </c:valAx>
      <c:valAx>
        <c:axId val="322903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162176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'longitudinal-marin'!$G$129</c:f>
              <c:strCache>
                <c:ptCount val="1"/>
                <c:pt idx="0">
                  <c:v>openDomain-long-LNGC-FST1-Cnz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'longitudinal-marin'!$G$130:$G$154</c:f>
              <c:numCache>
                <c:formatCode>0.000</c:formatCode>
                <c:ptCount val="25"/>
                <c:pt idx="0">
                  <c:v>-2.702982192781729E-3</c:v>
                </c:pt>
                <c:pt idx="1">
                  <c:v>9.8934966964245551E-3</c:v>
                </c:pt>
                <c:pt idx="2">
                  <c:v>2.9488240441747231E-2</c:v>
                </c:pt>
                <c:pt idx="3">
                  <c:v>4.5698075801451604E-2</c:v>
                </c:pt>
                <c:pt idx="4">
                  <c:v>9.7794187258205503E-2</c:v>
                </c:pt>
                <c:pt idx="5">
                  <c:v>0.11199183561362323</c:v>
                </c:pt>
                <c:pt idx="6">
                  <c:v>0.12627076167231299</c:v>
                </c:pt>
                <c:pt idx="7">
                  <c:v>0.13096957769987769</c:v>
                </c:pt>
                <c:pt idx="8">
                  <c:v>0.14708732001215077</c:v>
                </c:pt>
                <c:pt idx="9">
                  <c:v>0.17068985599201345</c:v>
                </c:pt>
                <c:pt idx="10">
                  <c:v>9.5979006885149681E-2</c:v>
                </c:pt>
                <c:pt idx="11">
                  <c:v>4.2261221483028841E-2</c:v>
                </c:pt>
                <c:pt idx="12">
                  <c:v>1.0277496579856243E-2</c:v>
                </c:pt>
                <c:pt idx="13">
                  <c:v>-4.6622187530698966E-2</c:v>
                </c:pt>
                <c:pt idx="14">
                  <c:v>-8.6781061239142115E-2</c:v>
                </c:pt>
                <c:pt idx="15">
                  <c:v>-0.15530895152611335</c:v>
                </c:pt>
                <c:pt idx="16">
                  <c:v>-0.10102183895954814</c:v>
                </c:pt>
                <c:pt idx="17">
                  <c:v>-1.4319242356195545E-2</c:v>
                </c:pt>
                <c:pt idx="18">
                  <c:v>2.00611058650088E-2</c:v>
                </c:pt>
                <c:pt idx="19">
                  <c:v>4.0464947385740892E-2</c:v>
                </c:pt>
                <c:pt idx="20">
                  <c:v>4.8960952321409006E-2</c:v>
                </c:pt>
                <c:pt idx="21">
                  <c:v>6.1054183780424501E-2</c:v>
                </c:pt>
                <c:pt idx="22">
                  <c:v>3.0750966061762371E-2</c:v>
                </c:pt>
                <c:pt idx="23">
                  <c:v>8.7460972076043361E-3</c:v>
                </c:pt>
                <c:pt idx="24">
                  <c:v>-2.702982192781729E-3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1-4BD0-93B2-CCDA858F7758}"/>
            </c:ext>
          </c:extLst>
        </c:ser>
        <c:ser>
          <c:idx val="1"/>
          <c:order val="1"/>
          <c:tx>
            <c:strRef>
              <c:f>'longitudinal-marin'!$O$129</c:f>
              <c:strCache>
                <c:ptCount val="1"/>
                <c:pt idx="0">
                  <c:v>openDomain-long-LNGC-FST2-Cnz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'longitudinal-marin'!$O$130:$O$154</c:f>
              <c:numCache>
                <c:formatCode>0.000</c:formatCode>
                <c:ptCount val="25"/>
                <c:pt idx="0">
                  <c:v>-2.5518124841581304E-2</c:v>
                </c:pt>
                <c:pt idx="1">
                  <c:v>-5.8069304611235847E-3</c:v>
                </c:pt>
                <c:pt idx="2">
                  <c:v>-2.7493435018298717E-2</c:v>
                </c:pt>
                <c:pt idx="3">
                  <c:v>-7.7176320401736095E-2</c:v>
                </c:pt>
                <c:pt idx="4">
                  <c:v>-6.412812738363817E-2</c:v>
                </c:pt>
                <c:pt idx="5">
                  <c:v>-6.5049386307442295E-2</c:v>
                </c:pt>
                <c:pt idx="6">
                  <c:v>7.6675930736968094E-3</c:v>
                </c:pt>
                <c:pt idx="7">
                  <c:v>2.5387246753204216E-2</c:v>
                </c:pt>
                <c:pt idx="8">
                  <c:v>4.3021385245726719E-2</c:v>
                </c:pt>
                <c:pt idx="9">
                  <c:v>7.0492979696582247E-2</c:v>
                </c:pt>
                <c:pt idx="10">
                  <c:v>4.4865985375486278E-2</c:v>
                </c:pt>
                <c:pt idx="11">
                  <c:v>1.3635063691431075E-2</c:v>
                </c:pt>
                <c:pt idx="12">
                  <c:v>8.2107705145526531E-3</c:v>
                </c:pt>
                <c:pt idx="13">
                  <c:v>-9.4125755546560688E-3</c:v>
                </c:pt>
                <c:pt idx="14">
                  <c:v>-2.65942326719012E-2</c:v>
                </c:pt>
                <c:pt idx="15">
                  <c:v>-2.4247607736278268E-2</c:v>
                </c:pt>
                <c:pt idx="16">
                  <c:v>-1.2574604548419003E-2</c:v>
                </c:pt>
                <c:pt idx="17">
                  <c:v>-1.7978925231948467E-2</c:v>
                </c:pt>
                <c:pt idx="18">
                  <c:v>-1.7630714454490135E-2</c:v>
                </c:pt>
                <c:pt idx="19">
                  <c:v>2.4745887980116461E-2</c:v>
                </c:pt>
                <c:pt idx="20">
                  <c:v>9.9603493512147923E-2</c:v>
                </c:pt>
                <c:pt idx="21">
                  <c:v>9.7261938745945326E-2</c:v>
                </c:pt>
                <c:pt idx="22">
                  <c:v>7.594344203160279E-2</c:v>
                </c:pt>
                <c:pt idx="23">
                  <c:v>2.2830764483111051E-2</c:v>
                </c:pt>
                <c:pt idx="24">
                  <c:v>-2.5518124841581304E-2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1-4BD0-93B2-CCDA858F7758}"/>
            </c:ext>
          </c:extLst>
        </c:ser>
        <c:ser>
          <c:idx val="2"/>
          <c:order val="2"/>
          <c:tx>
            <c:strRef>
              <c:f>'longitudinal-marin'!$W$129</c:f>
              <c:strCache>
                <c:ptCount val="1"/>
                <c:pt idx="0">
                  <c:v>openDomain-long-LNGC-LNGC-Cnz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'longitudinal-marin'!$Q$130:$Q$154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'longitudinal-marin'!$W$130:$W$154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1-4BD0-93B2-CCDA858F7758}"/>
            </c:ext>
          </c:extLst>
        </c:ser>
        <c:ser>
          <c:idx val="3"/>
          <c:order val="3"/>
          <c:tx>
            <c:strRef>
              <c:f>'longitudinal-marin'!$G$191</c:f>
              <c:strCache>
                <c:ptCount val="1"/>
                <c:pt idx="0">
                  <c:v>openDomain-long-full-LNGC-FST1-Cnz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'longitudinal-marin'!$G$192:$G$216</c:f>
              <c:numCache>
                <c:formatCode>0.000</c:formatCode>
                <c:ptCount val="25"/>
                <c:pt idx="0">
                  <c:v>-5.1662959538290899E-4</c:v>
                </c:pt>
                <c:pt idx="1">
                  <c:v>1.2314711065874654E-2</c:v>
                </c:pt>
                <c:pt idx="2">
                  <c:v>2.5181753920444874E-2</c:v>
                </c:pt>
                <c:pt idx="3">
                  <c:v>8.3081062336370387E-2</c:v>
                </c:pt>
                <c:pt idx="4">
                  <c:v>7.8101351491990448E-2</c:v>
                </c:pt>
                <c:pt idx="5">
                  <c:v>0.14054526504444118</c:v>
                </c:pt>
                <c:pt idx="6">
                  <c:v>0.15611227741073283</c:v>
                </c:pt>
                <c:pt idx="7">
                  <c:v>0.14910479916108629</c:v>
                </c:pt>
                <c:pt idx="8">
                  <c:v>0.19689927120522102</c:v>
                </c:pt>
                <c:pt idx="9">
                  <c:v>0.17644456300572398</c:v>
                </c:pt>
                <c:pt idx="10">
                  <c:v>8.5263316098226141E-2</c:v>
                </c:pt>
                <c:pt idx="11">
                  <c:v>2.4856577402069157E-2</c:v>
                </c:pt>
                <c:pt idx="12">
                  <c:v>-2.1914542431814145E-3</c:v>
                </c:pt>
                <c:pt idx="13">
                  <c:v>-3.3787141766557331E-2</c:v>
                </c:pt>
                <c:pt idx="14">
                  <c:v>-7.3776030583076399E-2</c:v>
                </c:pt>
                <c:pt idx="15">
                  <c:v>-0.14180173890474021</c:v>
                </c:pt>
                <c:pt idx="16">
                  <c:v>-0.10527239667434292</c:v>
                </c:pt>
                <c:pt idx="17">
                  <c:v>-4.8567981449852013E-2</c:v>
                </c:pt>
                <c:pt idx="18">
                  <c:v>3.6151708242358395E-2</c:v>
                </c:pt>
                <c:pt idx="19">
                  <c:v>2.8429620401801605E-2</c:v>
                </c:pt>
                <c:pt idx="20">
                  <c:v>1.8990350135164581E-2</c:v>
                </c:pt>
                <c:pt idx="21">
                  <c:v>3.030262742259995E-2</c:v>
                </c:pt>
                <c:pt idx="22">
                  <c:v>1.1119436201842171E-2</c:v>
                </c:pt>
                <c:pt idx="23">
                  <c:v>-4.6662161531216761E-4</c:v>
                </c:pt>
                <c:pt idx="24">
                  <c:v>-5.1662959538290899E-4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A1-4BD0-93B2-CCDA858F7758}"/>
            </c:ext>
          </c:extLst>
        </c:ser>
        <c:ser>
          <c:idx val="4"/>
          <c:order val="4"/>
          <c:tx>
            <c:strRef>
              <c:f>'longitudinal-marin'!$O$191</c:f>
              <c:strCache>
                <c:ptCount val="1"/>
                <c:pt idx="0">
                  <c:v>openDomain-long-LNGC-full-FST2-Cnz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'longitudinal-marin'!$O$192:$O$216</c:f>
              <c:numCache>
                <c:formatCode>0.000</c:formatCode>
                <c:ptCount val="25"/>
                <c:pt idx="0">
                  <c:v>-2.4769705174683552E-2</c:v>
                </c:pt>
                <c:pt idx="1">
                  <c:v>-2.3793821821235888E-2</c:v>
                </c:pt>
                <c:pt idx="2">
                  <c:v>-4.3810245965361115E-2</c:v>
                </c:pt>
                <c:pt idx="3">
                  <c:v>-7.1374800547647693E-2</c:v>
                </c:pt>
                <c:pt idx="4">
                  <c:v>-5.611046244187385E-2</c:v>
                </c:pt>
                <c:pt idx="5">
                  <c:v>-3.7222839151924869E-2</c:v>
                </c:pt>
                <c:pt idx="6">
                  <c:v>-1.5783610186505832E-3</c:v>
                </c:pt>
                <c:pt idx="7">
                  <c:v>3.6870203348025343E-3</c:v>
                </c:pt>
                <c:pt idx="8">
                  <c:v>1.8707554762955332E-2</c:v>
                </c:pt>
                <c:pt idx="9">
                  <c:v>5.3136870431442863E-2</c:v>
                </c:pt>
                <c:pt idx="10">
                  <c:v>1.7398197352894443E-2</c:v>
                </c:pt>
                <c:pt idx="11">
                  <c:v>-1.7502713395726264E-3</c:v>
                </c:pt>
                <c:pt idx="12">
                  <c:v>-1.135762927773755E-3</c:v>
                </c:pt>
                <c:pt idx="13">
                  <c:v>1.0276780823772276E-3</c:v>
                </c:pt>
                <c:pt idx="14">
                  <c:v>-9.2929210270160465E-3</c:v>
                </c:pt>
                <c:pt idx="15">
                  <c:v>-1.6033837743517569E-2</c:v>
                </c:pt>
                <c:pt idx="16">
                  <c:v>-1.3246900837502917E-2</c:v>
                </c:pt>
                <c:pt idx="17">
                  <c:v>-2.3109690485044757E-2</c:v>
                </c:pt>
                <c:pt idx="18">
                  <c:v>-2.491007002876405E-2</c:v>
                </c:pt>
                <c:pt idx="19">
                  <c:v>4.4306388094853551E-2</c:v>
                </c:pt>
                <c:pt idx="20">
                  <c:v>6.1917547762153413E-2</c:v>
                </c:pt>
                <c:pt idx="21">
                  <c:v>4.7056306954310852E-2</c:v>
                </c:pt>
                <c:pt idx="22">
                  <c:v>3.683041104278402E-2</c:v>
                </c:pt>
                <c:pt idx="23">
                  <c:v>2.7071800165795997E-3</c:v>
                </c:pt>
                <c:pt idx="24">
                  <c:v>-2.4769705174683552E-2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A1-4BD0-93B2-CCDA858F7758}"/>
            </c:ext>
          </c:extLst>
        </c:ser>
        <c:ser>
          <c:idx val="5"/>
          <c:order val="5"/>
          <c:tx>
            <c:strRef>
              <c:f>'longitudinal-marin'!$W$191</c:f>
              <c:strCache>
                <c:ptCount val="1"/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'longitudinal-marin'!$Q$192:$Q$216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'longitudinal-marin'!$W$192:$W$216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A1-4BD0-93B2-CCDA858F7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2780"/>
        <c:axId val="62650537"/>
      </c:scatterChart>
      <c:valAx>
        <c:axId val="754278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650537"/>
        <c:crosses val="autoZero"/>
        <c:crossBetween val="midCat"/>
        <c:majorUnit val="45"/>
        <c:minorUnit val="15"/>
      </c:valAx>
      <c:valAx>
        <c:axId val="626505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42780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3582313243479605"/>
          <c:y val="0.21921201762538101"/>
          <c:w val="0.353895689487914"/>
          <c:h val="0.3661048551886699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B-43F4-B564-04D7A44F8131}"/>
            </c:ext>
          </c:extLst>
        </c:ser>
        <c:ser>
          <c:idx val="1"/>
          <c:order val="1"/>
          <c:tx>
            <c:strRef>
              <c:f>'longitudinal-marin'!$Q$94</c:f>
              <c:strCache>
                <c:ptCount val="1"/>
                <c:pt idx="0">
                  <c:v>openDomain-trans-FST2-noApp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'longitudinal-marin'!$Q$99:$Q$123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'longitudinal-marin'!$R$99:$R$123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4B-43F4-B564-04D7A44F8131}"/>
            </c:ext>
          </c:extLst>
        </c:ser>
        <c:ser>
          <c:idx val="2"/>
          <c:order val="2"/>
          <c:tx>
            <c:strRef>
              <c:f>'longitudinal-marin'!$Z$98</c:f>
              <c:strCache>
                <c:ptCount val="1"/>
                <c:pt idx="0">
                  <c:v>openDomain-trans-FST2-hull-Cx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'longitudinal-marin'!$Y$99:$Y$123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'longitudinal-marin'!$Z$99:$Z$123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4B-43F4-B564-04D7A44F8131}"/>
            </c:ext>
          </c:extLst>
        </c:ser>
        <c:ser>
          <c:idx val="3"/>
          <c:order val="3"/>
          <c:tx>
            <c:strRef>
              <c:f>'longitudinal-marin'!$AH$98</c:f>
              <c:strCache>
                <c:ptCount val="1"/>
                <c:pt idx="0">
                  <c:v>openDomain-trans-FST2-topsides-Cx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'longitudinal-marin'!$AG$99:$AG$123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'longitudinal-marin'!$AH$99:$AH$123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4B-43F4-B564-04D7A44F8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0810"/>
        <c:axId val="17832831"/>
      </c:scatterChart>
      <c:valAx>
        <c:axId val="3556081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7832831"/>
        <c:crosses val="autoZero"/>
        <c:crossBetween val="midCat"/>
        <c:majorUnit val="45"/>
        <c:minorUnit val="15"/>
      </c:valAx>
      <c:valAx>
        <c:axId val="178328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556081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8-4964-B65E-23D9B9068882}"/>
            </c:ext>
          </c:extLst>
        </c:ser>
        <c:ser>
          <c:idx val="1"/>
          <c:order val="1"/>
          <c:tx>
            <c:strRef>
              <c:f>'longitudinal-marin'!$S$98</c:f>
              <c:strCache>
                <c:ptCount val="1"/>
                <c:pt idx="0">
                  <c:v>openDomain-trans-FST2-noApp-Cy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'longitudinal-marin'!$Q$99:$Q$123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'longitudinal-marin'!$S$99:$S$123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E8-4964-B65E-23D9B9068882}"/>
            </c:ext>
          </c:extLst>
        </c:ser>
        <c:ser>
          <c:idx val="2"/>
          <c:order val="2"/>
          <c:tx>
            <c:strRef>
              <c:f>'longitudinal-marin'!$AA$98</c:f>
              <c:strCache>
                <c:ptCount val="1"/>
                <c:pt idx="0">
                  <c:v>openDomain-trans-FST2-hull-Cy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'longitudinal-marin'!$Y$99:$Y$123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'longitudinal-marin'!$AA$99:$AA$123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E8-4964-B65E-23D9B9068882}"/>
            </c:ext>
          </c:extLst>
        </c:ser>
        <c:ser>
          <c:idx val="3"/>
          <c:order val="3"/>
          <c:tx>
            <c:strRef>
              <c:f>'longitudinal-marin'!$AI$98</c:f>
              <c:strCache>
                <c:ptCount val="1"/>
                <c:pt idx="0">
                  <c:v>openDomain-trans-FST2-topsides-Cy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'longitudinal-marin'!$AG$99:$AG$123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'longitudinal-marin'!$AI$99:$AI$122</c:f>
              <c:numCache>
                <c:formatCode>0.000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E8-4964-B65E-23D9B906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1341"/>
        <c:axId val="90020441"/>
      </c:scatterChart>
      <c:valAx>
        <c:axId val="62101341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020441"/>
        <c:crosses val="autoZero"/>
        <c:crossBetween val="midCat"/>
        <c:majorUnit val="45"/>
        <c:minorUnit val="15"/>
      </c:valAx>
      <c:valAx>
        <c:axId val="900204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210134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'longitudinal-marin'!$O$98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'longitudinal-marin'!$O$99:$O$123</c:f>
              <c:numCache>
                <c:formatCode>0.000</c:formatCode>
                <c:ptCount val="25"/>
                <c:pt idx="0">
                  <c:v>3.4237135593225012E-3</c:v>
                </c:pt>
                <c:pt idx="1">
                  <c:v>-8.9443115039141447E-3</c:v>
                </c:pt>
                <c:pt idx="2">
                  <c:v>-5.3215836580409119E-2</c:v>
                </c:pt>
                <c:pt idx="3">
                  <c:v>-7.8704174053024364E-2</c:v>
                </c:pt>
                <c:pt idx="4">
                  <c:v>-7.6983872165764564E-2</c:v>
                </c:pt>
                <c:pt idx="5">
                  <c:v>-1.2950472830291338E-2</c:v>
                </c:pt>
                <c:pt idx="6">
                  <c:v>1.0741656481791241E-2</c:v>
                </c:pt>
                <c:pt idx="7">
                  <c:v>3.2910187468696832E-2</c:v>
                </c:pt>
                <c:pt idx="8">
                  <c:v>4.2217627817563649E-2</c:v>
                </c:pt>
                <c:pt idx="9">
                  <c:v>3.0875186399097053E-2</c:v>
                </c:pt>
                <c:pt idx="10">
                  <c:v>2.8579752960390239E-2</c:v>
                </c:pt>
                <c:pt idx="11">
                  <c:v>1.7230739696529374E-2</c:v>
                </c:pt>
                <c:pt idx="12">
                  <c:v>4.9041365002184551E-3</c:v>
                </c:pt>
                <c:pt idx="13">
                  <c:v>-1.1442096973607858E-2</c:v>
                </c:pt>
                <c:pt idx="14">
                  <c:v>-3.3319406541123371E-2</c:v>
                </c:pt>
                <c:pt idx="15">
                  <c:v>-3.8567565133158697E-2</c:v>
                </c:pt>
                <c:pt idx="16">
                  <c:v>-4.4468708228614977E-2</c:v>
                </c:pt>
                <c:pt idx="17">
                  <c:v>-3.6676783726183139E-2</c:v>
                </c:pt>
                <c:pt idx="18">
                  <c:v>-2.9691367649746309E-2</c:v>
                </c:pt>
                <c:pt idx="19">
                  <c:v>4.4460174282424929E-2</c:v>
                </c:pt>
                <c:pt idx="20">
                  <c:v>0.13678561545314069</c:v>
                </c:pt>
                <c:pt idx="21">
                  <c:v>0.13263596137152514</c:v>
                </c:pt>
                <c:pt idx="22">
                  <c:v>9.482063518868683E-2</c:v>
                </c:pt>
                <c:pt idx="23">
                  <c:v>4.9780928195313302E-2</c:v>
                </c:pt>
                <c:pt idx="24">
                  <c:v>3.4237135593225012E-3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6-4EC0-81F6-909F3FB90401}"/>
            </c:ext>
          </c:extLst>
        </c:ser>
        <c:ser>
          <c:idx val="1"/>
          <c:order val="1"/>
          <c:tx>
            <c:strRef>
              <c:f>'longitudinal-marin'!$W$98</c:f>
              <c:strCache>
                <c:ptCount val="1"/>
                <c:pt idx="0">
                  <c:v>openDomain-trans-FST2-noApp-Cnz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'longitudinal-marin'!$Q$99:$Q$123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'longitudinal-marin'!$W$99:$W$123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66-4EC0-81F6-909F3FB90401}"/>
            </c:ext>
          </c:extLst>
        </c:ser>
        <c:ser>
          <c:idx val="2"/>
          <c:order val="2"/>
          <c:tx>
            <c:strRef>
              <c:f>'longitudinal-marin'!$AE$98</c:f>
              <c:strCache>
                <c:ptCount val="1"/>
                <c:pt idx="0">
                  <c:v>openDomain-trans-FST2-hull-Cnz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'longitudinal-marin'!$Y$99:$Y$123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'longitudinal-marin'!$AE$99:$AE$123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66-4EC0-81F6-909F3FB90401}"/>
            </c:ext>
          </c:extLst>
        </c:ser>
        <c:ser>
          <c:idx val="3"/>
          <c:order val="3"/>
          <c:tx>
            <c:strRef>
              <c:f>'longitudinal-marin'!$AM$98</c:f>
              <c:strCache>
                <c:ptCount val="1"/>
                <c:pt idx="0">
                  <c:v>openDomain-trans-FST2-topsides-Cnz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'longitudinal-marin'!$AG$99:$AG$123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'longitudinal-marin'!$AM$99:$AM$123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66-4EC0-81F6-909F3FB9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2761"/>
        <c:axId val="69641942"/>
      </c:scatterChart>
      <c:valAx>
        <c:axId val="29192761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9641942"/>
        <c:crosses val="autoZero"/>
        <c:crossBetween val="midCat"/>
        <c:majorUnit val="45"/>
        <c:minorUnit val="15"/>
      </c:valAx>
      <c:valAx>
        <c:axId val="696419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919276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'longitudinal-marin'!$B$5</c:f>
              <c:strCache>
                <c:ptCount val="1"/>
                <c:pt idx="0">
                  <c:v>Open Domain FST1 (Long/trans) factors-Cx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'longitudinal-marin'!$B$6:$B$30</c:f>
              <c:numCache>
                <c:formatCode>0.000</c:formatCode>
                <c:ptCount val="25"/>
                <c:pt idx="0">
                  <c:v>0.76561541767876973</c:v>
                </c:pt>
                <c:pt idx="1">
                  <c:v>0.53585801560910462</c:v>
                </c:pt>
                <c:pt idx="2">
                  <c:v>0.3061006135394394</c:v>
                </c:pt>
                <c:pt idx="3">
                  <c:v>0.22329886075602687</c:v>
                </c:pt>
                <c:pt idx="4">
                  <c:v>0.11993828163179525</c:v>
                </c:pt>
                <c:pt idx="5">
                  <c:v>0.51902410765977969</c:v>
                </c:pt>
                <c:pt idx="6">
                  <c:v>0.91810993368776406</c:v>
                </c:pt>
                <c:pt idx="7">
                  <c:v>0.51902410765977969</c:v>
                </c:pt>
                <c:pt idx="8">
                  <c:v>0.11993828163179525</c:v>
                </c:pt>
                <c:pt idx="9">
                  <c:v>0.22329886075602687</c:v>
                </c:pt>
                <c:pt idx="10">
                  <c:v>0.3061006135394394</c:v>
                </c:pt>
                <c:pt idx="11">
                  <c:v>0.53585801560910462</c:v>
                </c:pt>
                <c:pt idx="12">
                  <c:v>0.76561541767876973</c:v>
                </c:pt>
                <c:pt idx="13">
                  <c:v>0.53585801560910462</c:v>
                </c:pt>
                <c:pt idx="14">
                  <c:v>0.3061006135394394</c:v>
                </c:pt>
                <c:pt idx="15">
                  <c:v>0.22329886075602687</c:v>
                </c:pt>
                <c:pt idx="16">
                  <c:v>0.11993828163179525</c:v>
                </c:pt>
                <c:pt idx="17">
                  <c:v>0.51902410765977969</c:v>
                </c:pt>
                <c:pt idx="18">
                  <c:v>0.91810993368776406</c:v>
                </c:pt>
                <c:pt idx="19">
                  <c:v>0.51902410765977969</c:v>
                </c:pt>
                <c:pt idx="20">
                  <c:v>0.11993828163179525</c:v>
                </c:pt>
                <c:pt idx="21">
                  <c:v>0.22329886075602687</c:v>
                </c:pt>
                <c:pt idx="22">
                  <c:v>0.3061006135394394</c:v>
                </c:pt>
                <c:pt idx="23">
                  <c:v>0.53585801560910462</c:v>
                </c:pt>
                <c:pt idx="24">
                  <c:v>0.76561541767876973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06-41AB-9386-27D54420B2F7}"/>
            </c:ext>
          </c:extLst>
        </c:ser>
        <c:ser>
          <c:idx val="1"/>
          <c:order val="1"/>
          <c:tx>
            <c:strRef>
              <c:f>'longitudinal-marin'!$B$36</c:f>
              <c:strCache>
                <c:ptCount val="1"/>
                <c:pt idx="0">
                  <c:v>topoDomain-long-FST1-Cx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'longitudinal-marin'!$A$37:$A$61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'longitudinal-marin'!$B$37:$B$41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06-41AB-9386-27D54420B2F7}"/>
            </c:ext>
          </c:extLst>
        </c:ser>
        <c:ser>
          <c:idx val="2"/>
          <c:order val="2"/>
          <c:tx>
            <c:strRef>
              <c:f>'longitudinal-marin'!$J$5</c:f>
              <c:strCache>
                <c:ptCount val="1"/>
                <c:pt idx="0">
                  <c:v>Open Domain FST2 (Long/trans) factors-Cx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'longitudinal-marin'!$J$6:$J$30</c:f>
              <c:numCache>
                <c:formatCode>0.000</c:formatCode>
                <c:ptCount val="25"/>
                <c:pt idx="0">
                  <c:v>0.60290487583331998</c:v>
                </c:pt>
                <c:pt idx="1">
                  <c:v>0.49531400400070569</c:v>
                </c:pt>
                <c:pt idx="2">
                  <c:v>0.38772313216809146</c:v>
                </c:pt>
                <c:pt idx="3">
                  <c:v>0.35279736793436656</c:v>
                </c:pt>
                <c:pt idx="4">
                  <c:v>8.4459723482979587E-2</c:v>
                </c:pt>
                <c:pt idx="5">
                  <c:v>0.50295936072043101</c:v>
                </c:pt>
                <c:pt idx="6">
                  <c:v>0.92145899795788233</c:v>
                </c:pt>
                <c:pt idx="7">
                  <c:v>0.50295936072043101</c:v>
                </c:pt>
                <c:pt idx="8">
                  <c:v>8.4459723482979587E-2</c:v>
                </c:pt>
                <c:pt idx="9">
                  <c:v>0.35279736793436656</c:v>
                </c:pt>
                <c:pt idx="10">
                  <c:v>0.38772313216809146</c:v>
                </c:pt>
                <c:pt idx="11">
                  <c:v>0.49531400400070569</c:v>
                </c:pt>
                <c:pt idx="12">
                  <c:v>0.60290487583331998</c:v>
                </c:pt>
                <c:pt idx="13">
                  <c:v>0.49531400400070569</c:v>
                </c:pt>
                <c:pt idx="14">
                  <c:v>0.38772313216809146</c:v>
                </c:pt>
                <c:pt idx="15">
                  <c:v>0.35279736793436656</c:v>
                </c:pt>
                <c:pt idx="16">
                  <c:v>8.4459723482979587E-2</c:v>
                </c:pt>
                <c:pt idx="17">
                  <c:v>0.50295936072043101</c:v>
                </c:pt>
                <c:pt idx="18">
                  <c:v>0.92145899795788233</c:v>
                </c:pt>
                <c:pt idx="19">
                  <c:v>0.50295936072043101</c:v>
                </c:pt>
                <c:pt idx="20">
                  <c:v>8.4459723482979587E-2</c:v>
                </c:pt>
                <c:pt idx="21">
                  <c:v>0.35279736793436656</c:v>
                </c:pt>
                <c:pt idx="22">
                  <c:v>0.38772313216809146</c:v>
                </c:pt>
                <c:pt idx="23">
                  <c:v>0.49531400400070569</c:v>
                </c:pt>
                <c:pt idx="24">
                  <c:v>0.60290487583331998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06-41AB-9386-27D54420B2F7}"/>
            </c:ext>
          </c:extLst>
        </c:ser>
        <c:ser>
          <c:idx val="3"/>
          <c:order val="3"/>
          <c:tx>
            <c:strRef>
              <c:f>'longitudinal-marin'!$J$36</c:f>
              <c:strCache>
                <c:ptCount val="1"/>
                <c:pt idx="0">
                  <c:v>topoDomain-long-FST2-Cx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'longitudinal-marin'!$I$37:$I$41</c:f>
              <c:numCache>
                <c:formatCode>General</c:formatCode>
                <c:ptCount val="5"/>
              </c:numCache>
            </c:numRef>
          </c:xVal>
          <c:yVal>
            <c:numRef>
              <c:f>'longitudinal-marin'!$J$37:$J$61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06-41AB-9386-27D54420B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3436"/>
        <c:axId val="47978639"/>
      </c:scatterChart>
      <c:valAx>
        <c:axId val="19923436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978639"/>
        <c:crosses val="autoZero"/>
        <c:crossBetween val="midCat"/>
        <c:majorUnit val="45"/>
        <c:minorUnit val="15"/>
      </c:valAx>
      <c:valAx>
        <c:axId val="47978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9234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'longitudinal-marin'!$C$5</c:f>
              <c:strCache>
                <c:ptCount val="1"/>
                <c:pt idx="0">
                  <c:v>Open Domain FST1 (Long/trans) factors-Cy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'longitudinal-marin'!$A$6:$A$11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</c:numCache>
            </c:numRef>
          </c:xVal>
          <c:yVal>
            <c:numRef>
              <c:f>'longitudinal-marin'!$C$6:$C$30</c:f>
              <c:numCache>
                <c:formatCode>0.000</c:formatCode>
                <c:ptCount val="25"/>
                <c:pt idx="0">
                  <c:v>1</c:v>
                </c:pt>
                <c:pt idx="1">
                  <c:v>1.0445993129126903</c:v>
                </c:pt>
                <c:pt idx="2">
                  <c:v>1.0891986258253807</c:v>
                </c:pt>
                <c:pt idx="3">
                  <c:v>1.1527613087700792</c:v>
                </c:pt>
                <c:pt idx="4">
                  <c:v>1.2620882382490113</c:v>
                </c:pt>
                <c:pt idx="5">
                  <c:v>1.2742130250981027</c:v>
                </c:pt>
                <c:pt idx="6">
                  <c:v>1.286337811947194</c:v>
                </c:pt>
                <c:pt idx="7">
                  <c:v>1.2742130250981027</c:v>
                </c:pt>
                <c:pt idx="8">
                  <c:v>1.2620882382490113</c:v>
                </c:pt>
                <c:pt idx="9">
                  <c:v>1.1527613087700792</c:v>
                </c:pt>
                <c:pt idx="10">
                  <c:v>1.0891986258253807</c:v>
                </c:pt>
                <c:pt idx="11">
                  <c:v>1.0445993129126903</c:v>
                </c:pt>
                <c:pt idx="12">
                  <c:v>1</c:v>
                </c:pt>
                <c:pt idx="13">
                  <c:v>1.0445993129126903</c:v>
                </c:pt>
                <c:pt idx="14">
                  <c:v>1.0891986258253807</c:v>
                </c:pt>
                <c:pt idx="15">
                  <c:v>1.1527613087700792</c:v>
                </c:pt>
                <c:pt idx="16">
                  <c:v>1.2620882382490113</c:v>
                </c:pt>
                <c:pt idx="17">
                  <c:v>1.2742130250981027</c:v>
                </c:pt>
                <c:pt idx="18">
                  <c:v>1.286337811947194</c:v>
                </c:pt>
                <c:pt idx="19">
                  <c:v>1.2742130250981027</c:v>
                </c:pt>
                <c:pt idx="20">
                  <c:v>1.2620882382490113</c:v>
                </c:pt>
                <c:pt idx="21">
                  <c:v>1.1527613087700792</c:v>
                </c:pt>
                <c:pt idx="22">
                  <c:v>1.0891986258253807</c:v>
                </c:pt>
                <c:pt idx="23">
                  <c:v>1.0445993129126903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E-4E4E-92C2-5DCB420ED408}"/>
            </c:ext>
          </c:extLst>
        </c:ser>
        <c:ser>
          <c:idx val="1"/>
          <c:order val="1"/>
          <c:tx>
            <c:strRef>
              <c:f>'longitudinal-marin'!$C$36</c:f>
              <c:strCache>
                <c:ptCount val="1"/>
                <c:pt idx="0">
                  <c:v>topoDomain-long-FST1-Cy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'longitudinal-marin'!$A$37:$A$61</c:f>
              <c:numCache>
                <c:formatCode>General</c:formatCode>
                <c:ptCount val="25"/>
              </c:numCache>
            </c:numRef>
          </c:xVal>
          <c:yVal>
            <c:numRef>
              <c:f>'longitudinal-marin'!$C$37:$C$41</c:f>
              <c:numCache>
                <c:formatCode>0.000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E-4E4E-92C2-5DCB420ED408}"/>
            </c:ext>
          </c:extLst>
        </c:ser>
        <c:ser>
          <c:idx val="2"/>
          <c:order val="2"/>
          <c:tx>
            <c:strRef>
              <c:f>'longitudinal-marin'!$K$5</c:f>
              <c:strCache>
                <c:ptCount val="1"/>
                <c:pt idx="0">
                  <c:v>Open Domain FST2 (Long/trans) factors-Cy [-]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'longitudinal-marin'!$I$6:$I$11</c:f>
              <c:numCache>
                <c:formatCode>General</c:formatCode>
                <c:ptCount val="6"/>
              </c:numCache>
            </c:numRef>
          </c:xVal>
          <c:yVal>
            <c:numRef>
              <c:f>'longitudinal-marin'!$K$6:$K$30</c:f>
              <c:numCache>
                <c:formatCode>0.000</c:formatCode>
                <c:ptCount val="25"/>
                <c:pt idx="0">
                  <c:v>1</c:v>
                </c:pt>
                <c:pt idx="1">
                  <c:v>1.0982757425751253</c:v>
                </c:pt>
                <c:pt idx="2">
                  <c:v>1.1965514851502506</c:v>
                </c:pt>
                <c:pt idx="3">
                  <c:v>1.2648308148868026</c:v>
                </c:pt>
                <c:pt idx="4">
                  <c:v>1.3458853922989618</c:v>
                </c:pt>
                <c:pt idx="5">
                  <c:v>1.3029003647720678</c:v>
                </c:pt>
                <c:pt idx="6">
                  <c:v>1.2599153372451737</c:v>
                </c:pt>
                <c:pt idx="7">
                  <c:v>1.3029003647720678</c:v>
                </c:pt>
                <c:pt idx="8">
                  <c:v>1.3458853922989618</c:v>
                </c:pt>
                <c:pt idx="9">
                  <c:v>1.2648308148868026</c:v>
                </c:pt>
                <c:pt idx="10">
                  <c:v>1.1965514851502506</c:v>
                </c:pt>
                <c:pt idx="11">
                  <c:v>1.0982757425751253</c:v>
                </c:pt>
                <c:pt idx="12">
                  <c:v>1</c:v>
                </c:pt>
                <c:pt idx="13">
                  <c:v>1.0982757425751253</c:v>
                </c:pt>
                <c:pt idx="14">
                  <c:v>1.1965514851502506</c:v>
                </c:pt>
                <c:pt idx="15">
                  <c:v>1.2648308148868026</c:v>
                </c:pt>
                <c:pt idx="16">
                  <c:v>1.3458853922989618</c:v>
                </c:pt>
                <c:pt idx="17">
                  <c:v>1.3029003647720678</c:v>
                </c:pt>
                <c:pt idx="18">
                  <c:v>1.2599153372451737</c:v>
                </c:pt>
                <c:pt idx="19">
                  <c:v>1.3029003647720678</c:v>
                </c:pt>
                <c:pt idx="20">
                  <c:v>1.3458853922989618</c:v>
                </c:pt>
                <c:pt idx="21">
                  <c:v>1.2648308148868026</c:v>
                </c:pt>
                <c:pt idx="22">
                  <c:v>1.1965514851502506</c:v>
                </c:pt>
                <c:pt idx="23">
                  <c:v>1.0982757425751253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9E-4E4E-92C2-5DCB420ED408}"/>
            </c:ext>
          </c:extLst>
        </c:ser>
        <c:ser>
          <c:idx val="3"/>
          <c:order val="3"/>
          <c:tx>
            <c:strRef>
              <c:f>'longitudinal-marin'!$K$36</c:f>
              <c:strCache>
                <c:ptCount val="1"/>
                <c:pt idx="0">
                  <c:v>topoDomain-long-FST2-Cy [-]</c:v>
                </c:pt>
              </c:strCache>
            </c:strRef>
          </c:tx>
          <c:spPr>
            <a:ln w="19080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'longitudinal-marin'!$I$37:$I$41</c:f>
              <c:numCache>
                <c:formatCode>General</c:formatCode>
                <c:ptCount val="5"/>
              </c:numCache>
            </c:numRef>
          </c:xVal>
          <c:yVal>
            <c:numRef>
              <c:f>'longitudinal-marin'!$K$37:$K$61</c:f>
              <c:numCache>
                <c:formatCode>0.000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9E-4E4E-92C2-5DCB420E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4836"/>
        <c:axId val="19858482"/>
      </c:scatterChart>
      <c:valAx>
        <c:axId val="11134836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58482"/>
        <c:crosses val="autoZero"/>
        <c:crossBetween val="midCat"/>
        <c:majorUnit val="45"/>
        <c:minorUnit val="15"/>
      </c:valAx>
      <c:valAx>
        <c:axId val="198584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113483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'longitudinal-marin'!$B$98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'longitudinal-marin'!$B$99:$B$123</c:f>
              <c:numCache>
                <c:formatCode>0.000</c:formatCode>
                <c:ptCount val="25"/>
                <c:pt idx="0">
                  <c:v>0.17973342291245667</c:v>
                </c:pt>
                <c:pt idx="1">
                  <c:v>0.66951348622626006</c:v>
                </c:pt>
                <c:pt idx="2">
                  <c:v>0.50444916098767589</c:v>
                </c:pt>
                <c:pt idx="3">
                  <c:v>0.32277978626843556</c:v>
                </c:pt>
                <c:pt idx="4">
                  <c:v>0.13943987089342857</c:v>
                </c:pt>
                <c:pt idx="5">
                  <c:v>0.40457193319277029</c:v>
                </c:pt>
                <c:pt idx="6">
                  <c:v>0.28081580798741324</c:v>
                </c:pt>
                <c:pt idx="7">
                  <c:v>-0.10324630767335627</c:v>
                </c:pt>
                <c:pt idx="8">
                  <c:v>-0.13776436731877556</c:v>
                </c:pt>
                <c:pt idx="9">
                  <c:v>-0.44049154741575453</c:v>
                </c:pt>
                <c:pt idx="10">
                  <c:v>-0.69739249531362812</c:v>
                </c:pt>
                <c:pt idx="11">
                  <c:v>-1.0023117037525273</c:v>
                </c:pt>
                <c:pt idx="12">
                  <c:v>-0.81123761476258704</c:v>
                </c:pt>
                <c:pt idx="13">
                  <c:v>-0.81107607551592908</c:v>
                </c:pt>
                <c:pt idx="14">
                  <c:v>-0.50023270214208415</c:v>
                </c:pt>
                <c:pt idx="15">
                  <c:v>-0.27389065980751132</c:v>
                </c:pt>
                <c:pt idx="16">
                  <c:v>-5.2202002116892514E-2</c:v>
                </c:pt>
                <c:pt idx="17">
                  <c:v>1.0500459255048453E-2</c:v>
                </c:pt>
                <c:pt idx="18">
                  <c:v>0.17310642225815909</c:v>
                </c:pt>
                <c:pt idx="19">
                  <c:v>4.5476952914842529E-2</c:v>
                </c:pt>
                <c:pt idx="20">
                  <c:v>3.771950834287633E-2</c:v>
                </c:pt>
                <c:pt idx="21">
                  <c:v>0.1537803309033719</c:v>
                </c:pt>
                <c:pt idx="22">
                  <c:v>0.22871788589617095</c:v>
                </c:pt>
                <c:pt idx="23">
                  <c:v>0.29598151917350374</c:v>
                </c:pt>
                <c:pt idx="24">
                  <c:v>0.17973342291245667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3-4807-B5AA-441A2BEB92B5}"/>
            </c:ext>
          </c:extLst>
        </c:ser>
        <c:ser>
          <c:idx val="1"/>
          <c:order val="1"/>
          <c:tx>
            <c:strRef>
              <c:f>'longitudinal-marin'!$J$98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'longitudinal-marin'!$J$99:$J$123</c:f>
              <c:numCache>
                <c:formatCode>0.000</c:formatCode>
                <c:ptCount val="25"/>
                <c:pt idx="0">
                  <c:v>0.69236329614215808</c:v>
                </c:pt>
                <c:pt idx="1">
                  <c:v>0.95474673072268501</c:v>
                </c:pt>
                <c:pt idx="2">
                  <c:v>0.90796016544859315</c:v>
                </c:pt>
                <c:pt idx="3">
                  <c:v>0.70221613735348265</c:v>
                </c:pt>
                <c:pt idx="4">
                  <c:v>8.3957844134965293E-2</c:v>
                </c:pt>
                <c:pt idx="5">
                  <c:v>9.5327761957611779E-2</c:v>
                </c:pt>
                <c:pt idx="6">
                  <c:v>-0.2231348601382141</c:v>
                </c:pt>
                <c:pt idx="7">
                  <c:v>-0.33233449627541001</c:v>
                </c:pt>
                <c:pt idx="8">
                  <c:v>-9.5213291575173914E-2</c:v>
                </c:pt>
                <c:pt idx="9">
                  <c:v>-0.51583544908168155</c:v>
                </c:pt>
                <c:pt idx="10">
                  <c:v>-0.66217970994544206</c:v>
                </c:pt>
                <c:pt idx="11">
                  <c:v>-0.6502602555528374</c:v>
                </c:pt>
                <c:pt idx="12">
                  <c:v>-0.21750904897029646</c:v>
                </c:pt>
                <c:pt idx="13">
                  <c:v>-0.28118756060645433</c:v>
                </c:pt>
                <c:pt idx="14">
                  <c:v>-0.29844167442394764</c:v>
                </c:pt>
                <c:pt idx="15">
                  <c:v>-0.2420495334771853</c:v>
                </c:pt>
                <c:pt idx="16">
                  <c:v>-2.8149619522508908E-2</c:v>
                </c:pt>
                <c:pt idx="17">
                  <c:v>-3.2761674242432419E-2</c:v>
                </c:pt>
                <c:pt idx="18">
                  <c:v>-2.6466021109773363E-2</c:v>
                </c:pt>
                <c:pt idx="19">
                  <c:v>-2.2447242207738895E-2</c:v>
                </c:pt>
                <c:pt idx="20">
                  <c:v>4.1073159238183894E-2</c:v>
                </c:pt>
                <c:pt idx="21">
                  <c:v>0.43419721168130265</c:v>
                </c:pt>
                <c:pt idx="22">
                  <c:v>0.64049517167506764</c:v>
                </c:pt>
                <c:pt idx="23">
                  <c:v>0.7450407196089176</c:v>
                </c:pt>
                <c:pt idx="24">
                  <c:v>0.69236329614215808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83-4807-B5AA-441A2BEB92B5}"/>
            </c:ext>
          </c:extLst>
        </c:ser>
        <c:ser>
          <c:idx val="2"/>
          <c:order val="2"/>
          <c:tx>
            <c:strRef>
              <c:f>'longitudinal-marin'!$B$129</c:f>
              <c:strCache>
                <c:ptCount val="1"/>
                <c:pt idx="0">
                  <c:v>openDomain-long-LNGC-FST1-Cx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'longitudinal-marin'!$B$130:$B$154</c:f>
              <c:numCache>
                <c:formatCode>0.000</c:formatCode>
                <c:ptCount val="25"/>
                <c:pt idx="0">
                  <c:v>0.18136453656125834</c:v>
                </c:pt>
                <c:pt idx="1">
                  <c:v>0.49443054026511635</c:v>
                </c:pt>
                <c:pt idx="2">
                  <c:v>0.2230400475947695</c:v>
                </c:pt>
                <c:pt idx="3">
                  <c:v>0.19003521072884128</c:v>
                </c:pt>
                <c:pt idx="4">
                  <c:v>6.6537551573926407E-2</c:v>
                </c:pt>
                <c:pt idx="5">
                  <c:v>6.6746706087107116E-2</c:v>
                </c:pt>
                <c:pt idx="6">
                  <c:v>-0.15668340453668009</c:v>
                </c:pt>
                <c:pt idx="7">
                  <c:v>-0.21585838109610098</c:v>
                </c:pt>
                <c:pt idx="8">
                  <c:v>-0.13634291843768695</c:v>
                </c:pt>
                <c:pt idx="9">
                  <c:v>-0.42539593211934051</c:v>
                </c:pt>
                <c:pt idx="10">
                  <c:v>-0.69052468794955235</c:v>
                </c:pt>
                <c:pt idx="11">
                  <c:v>-1.0500471082219376</c:v>
                </c:pt>
                <c:pt idx="12">
                  <c:v>-0.8920955444155203</c:v>
                </c:pt>
                <c:pt idx="13">
                  <c:v>-0.77974430361761271</c:v>
                </c:pt>
                <c:pt idx="14">
                  <c:v>-0.50097034928061357</c:v>
                </c:pt>
                <c:pt idx="15">
                  <c:v>-0.29673848386764889</c:v>
                </c:pt>
                <c:pt idx="16">
                  <c:v>-7.9415749044620232E-2</c:v>
                </c:pt>
                <c:pt idx="17">
                  <c:v>-9.391522953083406E-2</c:v>
                </c:pt>
                <c:pt idx="18">
                  <c:v>3.0661444946451386E-2</c:v>
                </c:pt>
                <c:pt idx="19">
                  <c:v>3.7886402517717702E-2</c:v>
                </c:pt>
                <c:pt idx="20">
                  <c:v>4.7603522876586202E-2</c:v>
                </c:pt>
                <c:pt idx="21">
                  <c:v>0.16543602623348283</c:v>
                </c:pt>
                <c:pt idx="22">
                  <c:v>0.23739702131244031</c:v>
                </c:pt>
                <c:pt idx="23">
                  <c:v>0.30441397580531182</c:v>
                </c:pt>
                <c:pt idx="24">
                  <c:v>0.18136453656125834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83-4807-B5AA-441A2BEB92B5}"/>
            </c:ext>
          </c:extLst>
        </c:ser>
        <c:ser>
          <c:idx val="3"/>
          <c:order val="3"/>
          <c:tx>
            <c:strRef>
              <c:f>'longitudinal-marin'!$J$129</c:f>
              <c:strCache>
                <c:ptCount val="1"/>
                <c:pt idx="0">
                  <c:v>openDomain-long-LNGC-FST2-Cx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'longitudinal-marin'!$J$130:$J$154</c:f>
              <c:numCache>
                <c:formatCode>0.000</c:formatCode>
                <c:ptCount val="25"/>
                <c:pt idx="0">
                  <c:v>0.74523754107757878</c:v>
                </c:pt>
                <c:pt idx="1">
                  <c:v>0.7444265183103127</c:v>
                </c:pt>
                <c:pt idx="2">
                  <c:v>0.7127488130562889</c:v>
                </c:pt>
                <c:pt idx="3">
                  <c:v>0.49593116228760786</c:v>
                </c:pt>
                <c:pt idx="4">
                  <c:v>8.3605492823558517E-2</c:v>
                </c:pt>
                <c:pt idx="5">
                  <c:v>0.18205260240456278</c:v>
                </c:pt>
                <c:pt idx="6">
                  <c:v>-0.19993613412297287</c:v>
                </c:pt>
                <c:pt idx="7">
                  <c:v>-0.17823890479944013</c:v>
                </c:pt>
                <c:pt idx="8">
                  <c:v>-6.0562446736328955E-2</c:v>
                </c:pt>
                <c:pt idx="9">
                  <c:v>-0.45236286954170574</c:v>
                </c:pt>
                <c:pt idx="10">
                  <c:v>-0.54691425292673257</c:v>
                </c:pt>
                <c:pt idx="11">
                  <c:v>-0.48262391813708094</c:v>
                </c:pt>
                <c:pt idx="12">
                  <c:v>-0.23283094049548267</c:v>
                </c:pt>
                <c:pt idx="13">
                  <c:v>-0.28298732890916328</c:v>
                </c:pt>
                <c:pt idx="14">
                  <c:v>-0.29259178557522403</c:v>
                </c:pt>
                <c:pt idx="15">
                  <c:v>-0.22559164944345392</c:v>
                </c:pt>
                <c:pt idx="16">
                  <c:v>-2.4595358526772373E-2</c:v>
                </c:pt>
                <c:pt idx="17">
                  <c:v>-8.0088669854806477E-2</c:v>
                </c:pt>
                <c:pt idx="18">
                  <c:v>-4.8486807748704092E-2</c:v>
                </c:pt>
                <c:pt idx="19">
                  <c:v>3.5065356998295549E-2</c:v>
                </c:pt>
                <c:pt idx="20">
                  <c:v>6.2811441129175277E-2</c:v>
                </c:pt>
                <c:pt idx="21">
                  <c:v>0.51957489153842373</c:v>
                </c:pt>
                <c:pt idx="22">
                  <c:v>0.67825458776148073</c:v>
                </c:pt>
                <c:pt idx="23">
                  <c:v>0.79822490036749738</c:v>
                </c:pt>
                <c:pt idx="24">
                  <c:v>0.74523754107757878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83-4807-B5AA-441A2BEB9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3728"/>
        <c:axId val="58898008"/>
      </c:scatterChart>
      <c:valAx>
        <c:axId val="8543728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8898008"/>
        <c:crosses val="autoZero"/>
        <c:crossBetween val="midCat"/>
        <c:majorUnit val="45"/>
        <c:minorUnit val="15"/>
      </c:valAx>
      <c:valAx>
        <c:axId val="588980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4372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'longitudinal-marin'!$C$98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0.16273091032669537</c:v>
                </c:pt>
                <c:pt idx="2">
                  <c:v>0.35842049519945629</c:v>
                </c:pt>
                <c:pt idx="3">
                  <c:v>0.60480998321408241</c:v>
                </c:pt>
                <c:pt idx="4">
                  <c:v>0.79547344402048403</c:v>
                </c:pt>
                <c:pt idx="5">
                  <c:v>0.87949420614767093</c:v>
                </c:pt>
                <c:pt idx="6">
                  <c:v>1.0238709387462637</c:v>
                </c:pt>
                <c:pt idx="7">
                  <c:v>1.1574253788453515</c:v>
                </c:pt>
                <c:pt idx="8">
                  <c:v>1.0410154624672774</c:v>
                </c:pt>
                <c:pt idx="9">
                  <c:v>0.80608454261229601</c:v>
                </c:pt>
                <c:pt idx="10">
                  <c:v>0.46180886950574579</c:v>
                </c:pt>
                <c:pt idx="11">
                  <c:v>0.15907788415476293</c:v>
                </c:pt>
                <c:pt idx="12">
                  <c:v>-3.313498455269303E-2</c:v>
                </c:pt>
                <c:pt idx="13">
                  <c:v>-0.21352984445305348</c:v>
                </c:pt>
                <c:pt idx="14">
                  <c:v>-0.55424277842039205</c:v>
                </c:pt>
                <c:pt idx="15">
                  <c:v>-0.92225977396387882</c:v>
                </c:pt>
                <c:pt idx="16">
                  <c:v>-1.2528260179681863</c:v>
                </c:pt>
                <c:pt idx="17">
                  <c:v>-1.251575033860205</c:v>
                </c:pt>
                <c:pt idx="18">
                  <c:v>-1.0868919624793183</c:v>
                </c:pt>
                <c:pt idx="19">
                  <c:v>-0.94079421666212548</c:v>
                </c:pt>
                <c:pt idx="20">
                  <c:v>-0.80144923170379678</c:v>
                </c:pt>
                <c:pt idx="21">
                  <c:v>-0.56118987893530581</c:v>
                </c:pt>
                <c:pt idx="22">
                  <c:v>-0.31871300898045962</c:v>
                </c:pt>
                <c:pt idx="23">
                  <c:v>-9.9898163901526948E-2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C3-4A2C-B251-A24897B822D1}"/>
            </c:ext>
          </c:extLst>
        </c:ser>
        <c:ser>
          <c:idx val="1"/>
          <c:order val="1"/>
          <c:tx>
            <c:strRef>
              <c:f>'longitudinal-marin'!$K$98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0.18486395647878812</c:v>
                </c:pt>
                <c:pt idx="2">
                  <c:v>0.51025377175112341</c:v>
                </c:pt>
                <c:pt idx="3">
                  <c:v>0.87371457437214439</c:v>
                </c:pt>
                <c:pt idx="4">
                  <c:v>1.1307056148726662</c:v>
                </c:pt>
                <c:pt idx="5">
                  <c:v>1.1860157439396202</c:v>
                </c:pt>
                <c:pt idx="6">
                  <c:v>1.0648697459768313</c:v>
                </c:pt>
                <c:pt idx="7">
                  <c:v>0.90517913324384103</c:v>
                </c:pt>
                <c:pt idx="8">
                  <c:v>0.82863331619784253</c:v>
                </c:pt>
                <c:pt idx="9">
                  <c:v>0.64279020421167343</c:v>
                </c:pt>
                <c:pt idx="10">
                  <c:v>0.39367147051218293</c:v>
                </c:pt>
                <c:pt idx="11">
                  <c:v>0.17031734029397377</c:v>
                </c:pt>
                <c:pt idx="12">
                  <c:v>1.5082188803506088E-2</c:v>
                </c:pt>
                <c:pt idx="13">
                  <c:v>-0.10462402451256629</c:v>
                </c:pt>
                <c:pt idx="14">
                  <c:v>-0.34879323743565871</c:v>
                </c:pt>
                <c:pt idx="15">
                  <c:v>-0.61254884039924962</c:v>
                </c:pt>
                <c:pt idx="16">
                  <c:v>-0.8493100641375525</c:v>
                </c:pt>
                <c:pt idx="17">
                  <c:v>-0.96872676662008483</c:v>
                </c:pt>
                <c:pt idx="18">
                  <c:v>-1.1362330045638613</c:v>
                </c:pt>
                <c:pt idx="19">
                  <c:v>-1.2816598194882913</c:v>
                </c:pt>
                <c:pt idx="20">
                  <c:v>-1.3355556234729316</c:v>
                </c:pt>
                <c:pt idx="21">
                  <c:v>-1.0189649031600629</c:v>
                </c:pt>
                <c:pt idx="22">
                  <c:v>-0.60229940838494145</c:v>
                </c:pt>
                <c:pt idx="23">
                  <c:v>-0.23293559907637373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C3-4A2C-B251-A24897B822D1}"/>
            </c:ext>
          </c:extLst>
        </c:ser>
        <c:ser>
          <c:idx val="2"/>
          <c:order val="2"/>
          <c:tx>
            <c:strRef>
              <c:f>'longitudinal-marin'!$C$129</c:f>
              <c:strCache>
                <c:ptCount val="1"/>
                <c:pt idx="0">
                  <c:v>openDomain-long-LNGC-FST1-Cy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'longitudinal-marin'!$C$130:$C$154</c:f>
              <c:numCache>
                <c:formatCode>0.000</c:formatCode>
                <c:ptCount val="25"/>
                <c:pt idx="0">
                  <c:v>-8.6152820706655048E-3</c:v>
                </c:pt>
                <c:pt idx="1">
                  <c:v>0.13035303079316454</c:v>
                </c:pt>
                <c:pt idx="2">
                  <c:v>0.17547966543309407</c:v>
                </c:pt>
                <c:pt idx="3">
                  <c:v>0.37844882183208794</c:v>
                </c:pt>
                <c:pt idx="4">
                  <c:v>0.43434726662649292</c:v>
                </c:pt>
                <c:pt idx="5">
                  <c:v>0.55917625086173628</c:v>
                </c:pt>
                <c:pt idx="6">
                  <c:v>0.68059907542870879</c:v>
                </c:pt>
                <c:pt idx="7">
                  <c:v>0.79758294508685079</c:v>
                </c:pt>
                <c:pt idx="8">
                  <c:v>0.8436213849160844</c:v>
                </c:pt>
                <c:pt idx="9">
                  <c:v>0.66767570648565144</c:v>
                </c:pt>
                <c:pt idx="10">
                  <c:v>0.42449411085101391</c:v>
                </c:pt>
                <c:pt idx="11">
                  <c:v>0.18502223024011757</c:v>
                </c:pt>
                <c:pt idx="12">
                  <c:v>-4.3417601295727857E-3</c:v>
                </c:pt>
                <c:pt idx="13">
                  <c:v>-0.19179351188720481</c:v>
                </c:pt>
                <c:pt idx="14">
                  <c:v>-0.52236576592096462</c:v>
                </c:pt>
                <c:pt idx="15">
                  <c:v>-0.87867340811195771</c:v>
                </c:pt>
                <c:pt idx="16">
                  <c:v>-1.2172198731611918</c:v>
                </c:pt>
                <c:pt idx="17">
                  <c:v>-1.2738060754016105</c:v>
                </c:pt>
                <c:pt idx="18">
                  <c:v>-1.1010673146503713</c:v>
                </c:pt>
                <c:pt idx="19">
                  <c:v>-0.92561666716406121</c:v>
                </c:pt>
                <c:pt idx="20">
                  <c:v>-0.79471031839459216</c:v>
                </c:pt>
                <c:pt idx="21">
                  <c:v>-0.57265269931638318</c:v>
                </c:pt>
                <c:pt idx="22">
                  <c:v>-0.31747294290300521</c:v>
                </c:pt>
                <c:pt idx="23">
                  <c:v>-9.8037080796873427E-2</c:v>
                </c:pt>
                <c:pt idx="24">
                  <c:v>-8.6152820706655048E-3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C3-4A2C-B251-A24897B822D1}"/>
            </c:ext>
          </c:extLst>
        </c:ser>
        <c:ser>
          <c:idx val="3"/>
          <c:order val="3"/>
          <c:tx>
            <c:strRef>
              <c:f>'longitudinal-marin'!$K$129</c:f>
              <c:strCache>
                <c:ptCount val="1"/>
                <c:pt idx="0">
                  <c:v>openDomain-long-LNGC-FST2-Cy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'longitudinal-marin'!$I$130:$I$154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'longitudinal-marin'!$K$130:$K$154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9.6404169295209952E-2</c:v>
                </c:pt>
                <c:pt idx="2">
                  <c:v>0.22862798022453668</c:v>
                </c:pt>
                <c:pt idx="3">
                  <c:v>0.2585179994245777</c:v>
                </c:pt>
                <c:pt idx="4">
                  <c:v>0.2778756697321636</c:v>
                </c:pt>
                <c:pt idx="5">
                  <c:v>0.16409331638386865</c:v>
                </c:pt>
                <c:pt idx="6">
                  <c:v>-0.14978942307065796</c:v>
                </c:pt>
                <c:pt idx="7">
                  <c:v>-5.6996132813126023E-2</c:v>
                </c:pt>
                <c:pt idx="8">
                  <c:v>0.20820593582145863</c:v>
                </c:pt>
                <c:pt idx="9">
                  <c:v>0.27522905014392851</c:v>
                </c:pt>
                <c:pt idx="10">
                  <c:v>0.22189221951176519</c:v>
                </c:pt>
                <c:pt idx="11">
                  <c:v>0.11412996379946054</c:v>
                </c:pt>
                <c:pt idx="12">
                  <c:v>1.5060106571838686E-2</c:v>
                </c:pt>
                <c:pt idx="13">
                  <c:v>-9.5236272365585795E-2</c:v>
                </c:pt>
                <c:pt idx="14">
                  <c:v>-0.34077902586507985</c:v>
                </c:pt>
                <c:pt idx="15">
                  <c:v>-0.62188462642368014</c:v>
                </c:pt>
                <c:pt idx="16">
                  <c:v>-0.87325186277180256</c:v>
                </c:pt>
                <c:pt idx="17">
                  <c:v>-0.97367162963430831</c:v>
                </c:pt>
                <c:pt idx="18">
                  <c:v>-1.1130393649259578</c:v>
                </c:pt>
                <c:pt idx="19">
                  <c:v>-1.215327831253102</c:v>
                </c:pt>
                <c:pt idx="20">
                  <c:v>-1.1466672095863408</c:v>
                </c:pt>
                <c:pt idx="21">
                  <c:v>-0.83658486032283685</c:v>
                </c:pt>
                <c:pt idx="22">
                  <c:v>-0.51141300739667939</c:v>
                </c:pt>
                <c:pt idx="23">
                  <c:v>-0.18832650344808199</c:v>
                </c:pt>
                <c:pt idx="24">
                  <c:v>9.6874683217140038E-3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C3-4A2C-B251-A24897B82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08602"/>
        <c:axId val="34863820"/>
      </c:scatterChart>
      <c:valAx>
        <c:axId val="78508602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4863820"/>
        <c:crosses val="autoZero"/>
        <c:crossBetween val="midCat"/>
        <c:majorUnit val="45"/>
        <c:minorUnit val="15"/>
      </c:valAx>
      <c:valAx>
        <c:axId val="348638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50860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Report_table_graphs!$B$98</c:f>
              <c:strCache>
                <c:ptCount val="1"/>
                <c:pt idx="0">
                  <c:v>openDomain-trans-FST1-Cx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Report_table_graphs!$B$99:$B$123</c:f>
              <c:numCache>
                <c:formatCode>0.000</c:formatCode>
                <c:ptCount val="25"/>
                <c:pt idx="0">
                  <c:v>0.23475679663999094</c:v>
                </c:pt>
                <c:pt idx="1">
                  <c:v>1.2494232925959512</c:v>
                </c:pt>
                <c:pt idx="2">
                  <c:v>1.647984808507025</c:v>
                </c:pt>
                <c:pt idx="3">
                  <c:v>1.4455057458671952</c:v>
                </c:pt>
                <c:pt idx="4">
                  <c:v>1.1625968706263632</c:v>
                </c:pt>
                <c:pt idx="5">
                  <c:v>0.7794858219918509</c:v>
                </c:pt>
                <c:pt idx="6">
                  <c:v>0.30586294482128396</c:v>
                </c:pt>
                <c:pt idx="7">
                  <c:v>-0.19892391538204662</c:v>
                </c:pt>
                <c:pt idx="8">
                  <c:v>-1.1486271559376309</c:v>
                </c:pt>
                <c:pt idx="9">
                  <c:v>-1.9726547010780735</c:v>
                </c:pt>
                <c:pt idx="10">
                  <c:v>-2.2783113279313074</c:v>
                </c:pt>
                <c:pt idx="11">
                  <c:v>-1.8704800050685242</c:v>
                </c:pt>
                <c:pt idx="12">
                  <c:v>-1.0595889215791094</c:v>
                </c:pt>
                <c:pt idx="13">
                  <c:v>-1.5136025810754865</c:v>
                </c:pt>
                <c:pt idx="14">
                  <c:v>-1.6342100604043117</c:v>
                </c:pt>
                <c:pt idx="15">
                  <c:v>-1.2265654149788088</c:v>
                </c:pt>
                <c:pt idx="16">
                  <c:v>-0.43524053710516003</c:v>
                </c:pt>
                <c:pt idx="17">
                  <c:v>2.0231159015703187E-2</c:v>
                </c:pt>
                <c:pt idx="18">
                  <c:v>0.18854650832808664</c:v>
                </c:pt>
                <c:pt idx="19">
                  <c:v>8.7620116760843553E-2</c:v>
                </c:pt>
                <c:pt idx="20">
                  <c:v>0.31449098511077062</c:v>
                </c:pt>
                <c:pt idx="21">
                  <c:v>0.6886749461359325</c:v>
                </c:pt>
                <c:pt idx="22">
                  <c:v>0.74719839091959839</c:v>
                </c:pt>
                <c:pt idx="23">
                  <c:v>0.55235064243102605</c:v>
                </c:pt>
                <c:pt idx="24">
                  <c:v>0.23475679663999094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B5-47E3-AF95-FAAEDB92F4A3}"/>
            </c:ext>
          </c:extLst>
        </c:ser>
        <c:ser>
          <c:idx val="1"/>
          <c:order val="1"/>
          <c:tx>
            <c:strRef>
              <c:f>Report_table_graphs!$B$67</c:f>
              <c:strCache>
                <c:ptCount val="1"/>
                <c:pt idx="0">
                  <c:v>topoDomain-trans-FST1-Cx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Report_table_graphs!$A$68:$A$92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Report_table_graphs!$B$68:$B$72</c:f>
              <c:numCache>
                <c:formatCode>0.000</c:formatCode>
                <c:ptCount val="5"/>
                <c:pt idx="0">
                  <c:v>0.60132787411053357</c:v>
                </c:pt>
                <c:pt idx="1">
                  <c:v>1.5250186967821473</c:v>
                </c:pt>
                <c:pt idx="2">
                  <c:v>1.5655836832242853</c:v>
                </c:pt>
                <c:pt idx="3">
                  <c:v>0.96170626231107981</c:v>
                </c:pt>
                <c:pt idx="4">
                  <c:v>0.19499316497209893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B5-47E3-AF95-FAAEDB92F4A3}"/>
            </c:ext>
          </c:extLst>
        </c:ser>
        <c:ser>
          <c:idx val="2"/>
          <c:order val="2"/>
          <c:tx>
            <c:strRef>
              <c:f>Report_table_graphs!$J$98</c:f>
              <c:strCache>
                <c:ptCount val="1"/>
                <c:pt idx="0">
                  <c:v>openDomain-trans-FST2-Cx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Report_table_graphs!$J$99:$J$123</c:f>
              <c:numCache>
                <c:formatCode>0.000</c:formatCode>
                <c:ptCount val="25"/>
                <c:pt idx="0">
                  <c:v>1.1483789962474444</c:v>
                </c:pt>
                <c:pt idx="1">
                  <c:v>1.9275585245139257</c:v>
                </c:pt>
                <c:pt idx="2">
                  <c:v>2.3417745553932048</c:v>
                </c:pt>
                <c:pt idx="3">
                  <c:v>1.9904234021499871</c:v>
                </c:pt>
                <c:pt idx="4">
                  <c:v>0.99405776709515947</c:v>
                </c:pt>
                <c:pt idx="5">
                  <c:v>0.18953372658392481</c:v>
                </c:pt>
                <c:pt idx="6">
                  <c:v>-0.24215386754345097</c:v>
                </c:pt>
                <c:pt idx="7">
                  <c:v>-0.66075814912636155</c:v>
                </c:pt>
                <c:pt idx="8">
                  <c:v>-1.1273218481985843</c:v>
                </c:pt>
                <c:pt idx="9">
                  <c:v>-1.4621295280684921</c:v>
                </c:pt>
                <c:pt idx="10">
                  <c:v>-1.7078674316970186</c:v>
                </c:pt>
                <c:pt idx="11">
                  <c:v>-1.312824289845661</c:v>
                </c:pt>
                <c:pt idx="12">
                  <c:v>-0.36076843576635687</c:v>
                </c:pt>
                <c:pt idx="13">
                  <c:v>-0.56769555945374339</c:v>
                </c:pt>
                <c:pt idx="14">
                  <c:v>-0.76972883396227909</c:v>
                </c:pt>
                <c:pt idx="15">
                  <c:v>-0.68608656264752954</c:v>
                </c:pt>
                <c:pt idx="16">
                  <c:v>-0.33329045326772411</c:v>
                </c:pt>
                <c:pt idx="17">
                  <c:v>-6.5137815897302553E-2</c:v>
                </c:pt>
                <c:pt idx="18">
                  <c:v>-2.8721865181659513E-2</c:v>
                </c:pt>
                <c:pt idx="19">
                  <c:v>-4.4630329924838896E-2</c:v>
                </c:pt>
                <c:pt idx="20">
                  <c:v>0.48630468517293923</c:v>
                </c:pt>
                <c:pt idx="21">
                  <c:v>1.2307269020274536</c:v>
                </c:pt>
                <c:pt idx="22">
                  <c:v>1.6519395376115726</c:v>
                </c:pt>
                <c:pt idx="23">
                  <c:v>1.5041785889176194</c:v>
                </c:pt>
                <c:pt idx="24">
                  <c:v>1.1483789962474444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B5-47E3-AF95-FAAEDB92F4A3}"/>
            </c:ext>
          </c:extLst>
        </c:ser>
        <c:ser>
          <c:idx val="3"/>
          <c:order val="3"/>
          <c:tx>
            <c:strRef>
              <c:f>Report_table_graphs!$J$67</c:f>
              <c:strCache>
                <c:ptCount val="1"/>
                <c:pt idx="0">
                  <c:v>topoDomain-trans-FST2-Cx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Report_table_graphs!$I$68:$I$72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Report_table_graphs!$J$68:$J$92</c:f>
              <c:numCache>
                <c:formatCode>0.000</c:formatCode>
                <c:ptCount val="25"/>
                <c:pt idx="0">
                  <c:v>1.589150775831764</c:v>
                </c:pt>
                <c:pt idx="1">
                  <c:v>1.8674097466133948</c:v>
                </c:pt>
                <c:pt idx="2">
                  <c:v>1.753453644783578</c:v>
                </c:pt>
                <c:pt idx="3">
                  <c:v>0.90086855231601204</c:v>
                </c:pt>
                <c:pt idx="4">
                  <c:v>-0.10243162002260599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B5-47E3-AF95-FAAEDB92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13117"/>
        <c:axId val="97712467"/>
      </c:scatterChart>
      <c:valAx>
        <c:axId val="69313117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7712467"/>
        <c:crosses val="autoZero"/>
        <c:crossBetween val="midCat"/>
        <c:majorUnit val="45"/>
        <c:minorUnit val="15"/>
      </c:valAx>
      <c:valAx>
        <c:axId val="977124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931311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Report_table_graphs!$B$129</c:f>
              <c:strCache>
                <c:ptCount val="1"/>
                <c:pt idx="0">
                  <c:v>openDomain-trans-LNGC-FST1-Cx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Report_table_graphs!$B$130:$B$154</c:f>
              <c:numCache>
                <c:formatCode>0.000</c:formatCode>
                <c:ptCount val="25"/>
                <c:pt idx="0">
                  <c:v>0.23688725745770403</c:v>
                </c:pt>
                <c:pt idx="1">
                  <c:v>0.92268945478608155</c:v>
                </c:pt>
                <c:pt idx="2">
                  <c:v>0.72864946272324937</c:v>
                </c:pt>
                <c:pt idx="3">
                  <c:v>0.8510352900388104</c:v>
                </c:pt>
                <c:pt idx="4">
                  <c:v>0.55476492299759206</c:v>
                </c:pt>
                <c:pt idx="5">
                  <c:v>0.12860039659440942</c:v>
                </c:pt>
                <c:pt idx="6">
                  <c:v>-0.17065865294293381</c:v>
                </c:pt>
                <c:pt idx="7">
                  <c:v>-0.41589278399683921</c:v>
                </c:pt>
                <c:pt idx="8">
                  <c:v>-1.1367756531334436</c:v>
                </c:pt>
                <c:pt idx="9">
                  <c:v>-1.9050519589713537</c:v>
                </c:pt>
                <c:pt idx="10">
                  <c:v>-2.2558748901709795</c:v>
                </c:pt>
                <c:pt idx="11">
                  <c:v>-1.9595621930342113</c:v>
                </c:pt>
                <c:pt idx="12">
                  <c:v>-1.1652006004793101</c:v>
                </c:pt>
                <c:pt idx="13">
                  <c:v>-1.4551322941979041</c:v>
                </c:pt>
                <c:pt idx="14">
                  <c:v>-1.6366198796137541</c:v>
                </c:pt>
                <c:pt idx="15">
                  <c:v>-1.3288848983061365</c:v>
                </c:pt>
                <c:pt idx="16">
                  <c:v>-0.66213845958226047</c:v>
                </c:pt>
                <c:pt idx="17">
                  <c:v>-0.18094579451094686</c:v>
                </c:pt>
                <c:pt idx="18">
                  <c:v>3.339626750719691E-2</c:v>
                </c:pt>
                <c:pt idx="19">
                  <c:v>7.2995458127259549E-2</c:v>
                </c:pt>
                <c:pt idx="20">
                  <c:v>0.39690015755542274</c:v>
                </c:pt>
                <c:pt idx="21">
                  <c:v>0.74087268369109982</c:v>
                </c:pt>
                <c:pt idx="22">
                  <c:v>0.77555225573519793</c:v>
                </c:pt>
                <c:pt idx="23">
                  <c:v>0.56808700614338559</c:v>
                </c:pt>
                <c:pt idx="24">
                  <c:v>0.23688725745770403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6-48C3-9B98-BE2362C3023A}"/>
            </c:ext>
          </c:extLst>
        </c:ser>
        <c:ser>
          <c:idx val="1"/>
          <c:order val="1"/>
          <c:tx>
            <c:strRef>
              <c:f>Report_table_graphs!$J$129</c:f>
              <c:strCache>
                <c:ptCount val="1"/>
                <c:pt idx="0">
                  <c:v>openDomain-trans-LNGC-FST2-Cx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Report_table_graphs!$J$130:$J$154</c:f>
              <c:numCache>
                <c:formatCode>0.000</c:formatCode>
                <c:ptCount val="25"/>
                <c:pt idx="0">
                  <c:v>1.2360781459057371</c:v>
                </c:pt>
                <c:pt idx="1">
                  <c:v>1.5029385648245313</c:v>
                </c:pt>
                <c:pt idx="2">
                  <c:v>1.8382932405159864</c:v>
                </c:pt>
                <c:pt idx="3">
                  <c:v>1.4057110606898562</c:v>
                </c:pt>
                <c:pt idx="4">
                  <c:v>0.98988594060939339</c:v>
                </c:pt>
                <c:pt idx="5">
                  <c:v>0.36196284754257985</c:v>
                </c:pt>
                <c:pt idx="6">
                  <c:v>-0.21697778692927958</c:v>
                </c:pt>
                <c:pt idx="7">
                  <c:v>-0.35438033113477307</c:v>
                </c:pt>
                <c:pt idx="8">
                  <c:v>-0.71705712780996211</c:v>
                </c:pt>
                <c:pt idx="9">
                  <c:v>-1.2822172460931229</c:v>
                </c:pt>
                <c:pt idx="10">
                  <c:v>-1.4105793736588981</c:v>
                </c:pt>
                <c:pt idx="11">
                  <c:v>-0.97437971516830635</c:v>
                </c:pt>
                <c:pt idx="12">
                  <c:v>-0.3861818834582646</c:v>
                </c:pt>
                <c:pt idx="13">
                  <c:v>-0.57132915004107188</c:v>
                </c:pt>
                <c:pt idx="14">
                  <c:v>-0.75464103454207965</c:v>
                </c:pt>
                <c:pt idx="15">
                  <c:v>-0.63943688345606464</c:v>
                </c:pt>
                <c:pt idx="16">
                  <c:v>-0.29120813462915085</c:v>
                </c:pt>
                <c:pt idx="17">
                  <c:v>-0.15923487285352186</c:v>
                </c:pt>
                <c:pt idx="18">
                  <c:v>-5.2619604188747969E-2</c:v>
                </c:pt>
                <c:pt idx="19">
                  <c:v>6.971807214815226E-2</c:v>
                </c:pt>
                <c:pt idx="20">
                  <c:v>0.74368513818107751</c:v>
                </c:pt>
                <c:pt idx="21">
                  <c:v>1.4727289338368421</c:v>
                </c:pt>
                <c:pt idx="22">
                  <c:v>1.7493271138319233</c:v>
                </c:pt>
                <c:pt idx="23">
                  <c:v>1.6115532650402513</c:v>
                </c:pt>
                <c:pt idx="24">
                  <c:v>1.2360781459057371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6-48C3-9B98-BE2362C3023A}"/>
            </c:ext>
          </c:extLst>
        </c:ser>
        <c:ser>
          <c:idx val="2"/>
          <c:order val="2"/>
          <c:tx>
            <c:strRef>
              <c:f>Report_table_graphs!$R$129</c:f>
              <c:strCache>
                <c:ptCount val="1"/>
                <c:pt idx="0">
                  <c:v>openDomain-trans-LNGC-full-LNGC-Cx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Report_table_graphs!$Q$130:$Q$154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Report_table_graphs!$R$130:$R$154</c:f>
              <c:numCache>
                <c:formatCode>0.000</c:formatCode>
                <c:ptCount val="25"/>
                <c:pt idx="0">
                  <c:v>0.625799249179807</c:v>
                </c:pt>
                <c:pt idx="1">
                  <c:v>0.78326752931315002</c:v>
                </c:pt>
                <c:pt idx="2">
                  <c:v>0.93012270248125195</c:v>
                </c:pt>
                <c:pt idx="3">
                  <c:v>0.60568159113913367</c:v>
                </c:pt>
                <c:pt idx="4">
                  <c:v>0.10216221695148898</c:v>
                </c:pt>
                <c:pt idx="5">
                  <c:v>-0.39187745592361117</c:v>
                </c:pt>
                <c:pt idx="6">
                  <c:v>-0.41234203004317949</c:v>
                </c:pt>
                <c:pt idx="7">
                  <c:v>-0.44650903968466116</c:v>
                </c:pt>
                <c:pt idx="8">
                  <c:v>-0.58630040727964639</c:v>
                </c:pt>
                <c:pt idx="9">
                  <c:v>-0.61166078541468372</c:v>
                </c:pt>
                <c:pt idx="10">
                  <c:v>-0.64515247175231138</c:v>
                </c:pt>
                <c:pt idx="11">
                  <c:v>-0.6840950108596906</c:v>
                </c:pt>
                <c:pt idx="12">
                  <c:v>-0.74575305719028429</c:v>
                </c:pt>
                <c:pt idx="13">
                  <c:v>-0.10582830892908414</c:v>
                </c:pt>
                <c:pt idx="14">
                  <c:v>-4.9197552079134545E-2</c:v>
                </c:pt>
                <c:pt idx="15">
                  <c:v>3.6263587577852932E-2</c:v>
                </c:pt>
                <c:pt idx="16">
                  <c:v>0.12265950921836158</c:v>
                </c:pt>
                <c:pt idx="17">
                  <c:v>0.16419859632547865</c:v>
                </c:pt>
                <c:pt idx="18">
                  <c:v>-5.5675085225116418E-2</c:v>
                </c:pt>
                <c:pt idx="19">
                  <c:v>6.5488714360673744E-2</c:v>
                </c:pt>
                <c:pt idx="20">
                  <c:v>0.34163155594591044</c:v>
                </c:pt>
                <c:pt idx="21">
                  <c:v>0.55079486711670622</c:v>
                </c:pt>
                <c:pt idx="22">
                  <c:v>0.63023220927168189</c:v>
                </c:pt>
                <c:pt idx="23">
                  <c:v>0.56909698856326318</c:v>
                </c:pt>
                <c:pt idx="24">
                  <c:v>0.625799249179807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66-48C3-9B98-BE2362C3023A}"/>
            </c:ext>
          </c:extLst>
        </c:ser>
        <c:ser>
          <c:idx val="3"/>
          <c:order val="3"/>
          <c:tx>
            <c:strRef>
              <c:f>Report_table_graphs!$B$191</c:f>
              <c:strCache>
                <c:ptCount val="1"/>
                <c:pt idx="0">
                  <c:v>openDomain-trans-full-LNGC-FST1-Cx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Report_table_graphs!$B$192:$B$216</c:f>
              <c:numCache>
                <c:formatCode>0.000</c:formatCode>
                <c:ptCount val="25"/>
                <c:pt idx="0">
                  <c:v>0.22947171736911826</c:v>
                </c:pt>
                <c:pt idx="1">
                  <c:v>0.87894524786658856</c:v>
                </c:pt>
                <c:pt idx="2">
                  <c:v>0.4947437680498557</c:v>
                </c:pt>
                <c:pt idx="3">
                  <c:v>0.49284817492888633</c:v>
                </c:pt>
                <c:pt idx="4">
                  <c:v>0.47717670944346741</c:v>
                </c:pt>
                <c:pt idx="5">
                  <c:v>0.22629421536056288</c:v>
                </c:pt>
                <c:pt idx="6">
                  <c:v>5.4212613727661611E-2</c:v>
                </c:pt>
                <c:pt idx="7">
                  <c:v>-0.52758505960523749</c:v>
                </c:pt>
                <c:pt idx="8">
                  <c:v>-1.1663326330532215</c:v>
                </c:pt>
                <c:pt idx="9">
                  <c:v>-2.0292843462966585</c:v>
                </c:pt>
                <c:pt idx="10">
                  <c:v>-2.44477660521573</c:v>
                </c:pt>
                <c:pt idx="11">
                  <c:v>-2.1914143975419629</c:v>
                </c:pt>
                <c:pt idx="12">
                  <c:v>-1.348732943565023</c:v>
                </c:pt>
                <c:pt idx="13">
                  <c:v>-1.5874232460426034</c:v>
                </c:pt>
                <c:pt idx="14">
                  <c:v>-1.7146336177882007</c:v>
                </c:pt>
                <c:pt idx="15">
                  <c:v>-1.4197112620241896</c:v>
                </c:pt>
                <c:pt idx="16">
                  <c:v>-0.83238998002301712</c:v>
                </c:pt>
                <c:pt idx="17">
                  <c:v>-0.29052933576531392</c:v>
                </c:pt>
                <c:pt idx="18">
                  <c:v>3.3142477145897124E-2</c:v>
                </c:pt>
                <c:pt idx="19">
                  <c:v>0.26343013484463557</c:v>
                </c:pt>
                <c:pt idx="20">
                  <c:v>0.65867372375306721</c:v>
                </c:pt>
                <c:pt idx="21">
                  <c:v>0.98869480815582067</c:v>
                </c:pt>
                <c:pt idx="22">
                  <c:v>0.84016065185764244</c:v>
                </c:pt>
                <c:pt idx="23">
                  <c:v>0.51382889279742916</c:v>
                </c:pt>
                <c:pt idx="24">
                  <c:v>0.22947171736911826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66-48C3-9B98-BE2362C3023A}"/>
            </c:ext>
          </c:extLst>
        </c:ser>
        <c:ser>
          <c:idx val="4"/>
          <c:order val="4"/>
          <c:tx>
            <c:strRef>
              <c:f>Report_table_graphs!$J$191</c:f>
              <c:strCache>
                <c:ptCount val="1"/>
                <c:pt idx="0">
                  <c:v>openDomain-trans-LNGC-full-FST2-Cx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Report_table_graphs!$J$192:$J$216</c:f>
              <c:numCache>
                <c:formatCode>0.000</c:formatCode>
                <c:ptCount val="25"/>
                <c:pt idx="0">
                  <c:v>1.2670801305018133</c:v>
                </c:pt>
                <c:pt idx="1">
                  <c:v>1.4721002703406945</c:v>
                </c:pt>
                <c:pt idx="2">
                  <c:v>1.8137450328968798</c:v>
                </c:pt>
                <c:pt idx="3">
                  <c:v>1.3710172030052332</c:v>
                </c:pt>
                <c:pt idx="4">
                  <c:v>0.86802196925281749</c:v>
                </c:pt>
                <c:pt idx="5">
                  <c:v>0.29746269515558166</c:v>
                </c:pt>
                <c:pt idx="6">
                  <c:v>-0.23790551647015398</c:v>
                </c:pt>
                <c:pt idx="7">
                  <c:v>-0.16238510520487268</c:v>
                </c:pt>
                <c:pt idx="8">
                  <c:v>-0.459482883851215</c:v>
                </c:pt>
                <c:pt idx="9">
                  <c:v>-1.2547820446007862</c:v>
                </c:pt>
                <c:pt idx="10">
                  <c:v>-1.3046603532886025</c:v>
                </c:pt>
                <c:pt idx="11">
                  <c:v>-0.9346186947647277</c:v>
                </c:pt>
                <c:pt idx="12">
                  <c:v>-0.32513584348468072</c:v>
                </c:pt>
                <c:pt idx="13">
                  <c:v>-0.53768971076802818</c:v>
                </c:pt>
                <c:pt idx="14">
                  <c:v>-0.82207062514928464</c:v>
                </c:pt>
                <c:pt idx="15">
                  <c:v>-0.83633968471109399</c:v>
                </c:pt>
                <c:pt idx="16">
                  <c:v>-0.39606838859574844</c:v>
                </c:pt>
                <c:pt idx="17">
                  <c:v>-0.18722450763251039</c:v>
                </c:pt>
                <c:pt idx="18">
                  <c:v>-1.0178175146027405E-2</c:v>
                </c:pt>
                <c:pt idx="19">
                  <c:v>0.22702823920265786</c:v>
                </c:pt>
                <c:pt idx="20">
                  <c:v>1.0188078518229</c:v>
                </c:pt>
                <c:pt idx="21">
                  <c:v>1.5898889160315293</c:v>
                </c:pt>
                <c:pt idx="22">
                  <c:v>1.8686717531974033</c:v>
                </c:pt>
                <c:pt idx="23">
                  <c:v>1.7486560538944262</c:v>
                </c:pt>
                <c:pt idx="24">
                  <c:v>1.2670801305018133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D66-48C3-9B98-BE2362C3023A}"/>
            </c:ext>
          </c:extLst>
        </c:ser>
        <c:ser>
          <c:idx val="5"/>
          <c:order val="5"/>
          <c:tx>
            <c:strRef>
              <c:f>Report_table_graphs!$R$191</c:f>
              <c:strCache>
                <c:ptCount val="1"/>
                <c:pt idx="0">
                  <c:v>openDomain-trans-LNGC-light-LNGC-Cx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Report_table_graphs!$Q$192:$Q$216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Report_table_graphs!$R$192:$R$216</c:f>
              <c:numCache>
                <c:formatCode>0.000</c:formatCode>
                <c:ptCount val="25"/>
                <c:pt idx="0">
                  <c:v>0.62632738746465022</c:v>
                </c:pt>
                <c:pt idx="1">
                  <c:v>0.75780435674143432</c:v>
                </c:pt>
                <c:pt idx="2">
                  <c:v>0.86739085770925761</c:v>
                </c:pt>
                <c:pt idx="3">
                  <c:v>0.65960473532134545</c:v>
                </c:pt>
                <c:pt idx="4">
                  <c:v>0.29731514617984733</c:v>
                </c:pt>
                <c:pt idx="5">
                  <c:v>-0.14454899252413772</c:v>
                </c:pt>
                <c:pt idx="6">
                  <c:v>-0.32885339980523309</c:v>
                </c:pt>
                <c:pt idx="7">
                  <c:v>-0.38086949145523502</c:v>
                </c:pt>
                <c:pt idx="8">
                  <c:v>-0.47648112154410022</c:v>
                </c:pt>
                <c:pt idx="9">
                  <c:v>-0.66519958713327032</c:v>
                </c:pt>
                <c:pt idx="10">
                  <c:v>-0.67973825353632911</c:v>
                </c:pt>
                <c:pt idx="11">
                  <c:v>-0.65976800737033015</c:v>
                </c:pt>
                <c:pt idx="12">
                  <c:v>-0.74547449617301231</c:v>
                </c:pt>
                <c:pt idx="13">
                  <c:v>-0.14322372238185632</c:v>
                </c:pt>
                <c:pt idx="14">
                  <c:v>-8.3047234322797495E-2</c:v>
                </c:pt>
                <c:pt idx="15">
                  <c:v>3.3051322024026601E-2</c:v>
                </c:pt>
                <c:pt idx="16">
                  <c:v>0.12823259019993669</c:v>
                </c:pt>
                <c:pt idx="17">
                  <c:v>0.15045823665118419</c:v>
                </c:pt>
                <c:pt idx="18">
                  <c:v>-1.1730397847322134E-2</c:v>
                </c:pt>
                <c:pt idx="19">
                  <c:v>0.12282865362787938</c:v>
                </c:pt>
                <c:pt idx="20">
                  <c:v>0.45481888322043179</c:v>
                </c:pt>
                <c:pt idx="21">
                  <c:v>0.57415235637273965</c:v>
                </c:pt>
                <c:pt idx="22">
                  <c:v>0.61665369556243965</c:v>
                </c:pt>
                <c:pt idx="23">
                  <c:v>0.56850964995829922</c:v>
                </c:pt>
                <c:pt idx="24">
                  <c:v>0.62632738746465022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66-48C3-9B98-BE2362C30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6793"/>
        <c:axId val="47228163"/>
      </c:scatterChart>
      <c:valAx>
        <c:axId val="23546793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228163"/>
        <c:crosses val="autoZero"/>
        <c:crossBetween val="midCat"/>
        <c:majorUnit val="45"/>
        <c:minorUnit val="15"/>
      </c:valAx>
      <c:valAx>
        <c:axId val="472281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354679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Report_table_graphs!$C$129</c:f>
              <c:strCache>
                <c:ptCount val="1"/>
                <c:pt idx="0">
                  <c:v>openDomain-trans-LNGC-FST1-Cy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Report_table_graphs!$C$130:$C$154</c:f>
              <c:numCache>
                <c:formatCode>0.000</c:formatCode>
                <c:ptCount val="25"/>
                <c:pt idx="0">
                  <c:v>-8.6152820706655048E-3</c:v>
                </c:pt>
                <c:pt idx="1">
                  <c:v>0.12478759001831712</c:v>
                </c:pt>
                <c:pt idx="2">
                  <c:v>0.16110896697112323</c:v>
                </c:pt>
                <c:pt idx="3">
                  <c:v>0.32829764405943501</c:v>
                </c:pt>
                <c:pt idx="4">
                  <c:v>0.3441496826157695</c:v>
                </c:pt>
                <c:pt idx="5">
                  <c:v>0.43884047631571249</c:v>
                </c:pt>
                <c:pt idx="6">
                  <c:v>0.52909824239594716</c:v>
                </c:pt>
                <c:pt idx="7">
                  <c:v>0.62594160425054846</c:v>
                </c:pt>
                <c:pt idx="8">
                  <c:v>0.66843296637206839</c:v>
                </c:pt>
                <c:pt idx="9">
                  <c:v>0.57919683928151411</c:v>
                </c:pt>
                <c:pt idx="10">
                  <c:v>0.38973067059218675</c:v>
                </c:pt>
                <c:pt idx="11">
                  <c:v>0.17712268039332141</c:v>
                </c:pt>
                <c:pt idx="12">
                  <c:v>-4.3417601295727857E-3</c:v>
                </c:pt>
                <c:pt idx="13">
                  <c:v>-0.18360486122896322</c:v>
                </c:pt>
                <c:pt idx="14">
                  <c:v>-0.47958724289164661</c:v>
                </c:pt>
                <c:pt idx="15">
                  <c:v>-0.76223360502049176</c:v>
                </c:pt>
                <c:pt idx="16">
                  <c:v>-0.96444910607037371</c:v>
                </c:pt>
                <c:pt idx="17">
                  <c:v>-0.99968062663897117</c:v>
                </c:pt>
                <c:pt idx="18">
                  <c:v>-0.85597057353358108</c:v>
                </c:pt>
                <c:pt idx="19">
                  <c:v>-0.72642222998214701</c:v>
                </c:pt>
                <c:pt idx="20">
                  <c:v>-0.62967888798104388</c:v>
                </c:pt>
                <c:pt idx="21">
                  <c:v>-0.49676606506455884</c:v>
                </c:pt>
                <c:pt idx="22">
                  <c:v>-0.2914738738881793</c:v>
                </c:pt>
                <c:pt idx="23">
                  <c:v>-9.385137400053753E-2</c:v>
                </c:pt>
                <c:pt idx="24">
                  <c:v>-8.6152820706655048E-3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A-4423-B698-671E725A047F}"/>
            </c:ext>
          </c:extLst>
        </c:ser>
        <c:ser>
          <c:idx val="1"/>
          <c:order val="1"/>
          <c:tx>
            <c:strRef>
              <c:f>Report_table_graphs!$K$129</c:f>
              <c:strCache>
                <c:ptCount val="1"/>
                <c:pt idx="0">
                  <c:v>openDomain-trans-LNGC-FST2-Cy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8.7777746114260216E-2</c:v>
                </c:pt>
                <c:pt idx="2">
                  <c:v>0.19107241356674923</c:v>
                </c:pt>
                <c:pt idx="3">
                  <c:v>0.20438939056660638</c:v>
                </c:pt>
                <c:pt idx="4">
                  <c:v>0.20646309954929581</c:v>
                </c:pt>
                <c:pt idx="5">
                  <c:v>0.12594463922233645</c:v>
                </c:pt>
                <c:pt idx="6">
                  <c:v>-0.11888848293423833</c:v>
                </c:pt>
                <c:pt idx="7">
                  <c:v>-4.3745580517276964E-2</c:v>
                </c:pt>
                <c:pt idx="8">
                  <c:v>0.15469811695170685</c:v>
                </c:pt>
                <c:pt idx="9">
                  <c:v>0.21760147436679936</c:v>
                </c:pt>
                <c:pt idx="10">
                  <c:v>0.18544310233663056</c:v>
                </c:pt>
                <c:pt idx="11">
                  <c:v>0.10391740377681492</c:v>
                </c:pt>
                <c:pt idx="12">
                  <c:v>1.5060106571838686E-2</c:v>
                </c:pt>
                <c:pt idx="13">
                  <c:v>-8.6714354759657594E-2</c:v>
                </c:pt>
                <c:pt idx="14">
                  <c:v>-0.2848009718715015</c:v>
                </c:pt>
                <c:pt idx="15">
                  <c:v>-0.49167415839669937</c:v>
                </c:pt>
                <c:pt idx="16">
                  <c:v>-0.64883077546459245</c:v>
                </c:pt>
                <c:pt idx="17">
                  <c:v>-0.74731088881431429</c:v>
                </c:pt>
                <c:pt idx="18">
                  <c:v>-0.8834239349444204</c:v>
                </c:pt>
                <c:pt idx="19">
                  <c:v>-0.9327864694133492</c:v>
                </c:pt>
                <c:pt idx="20">
                  <c:v>-0.85197983137900901</c:v>
                </c:pt>
                <c:pt idx="21">
                  <c:v>-0.66142036585162411</c:v>
                </c:pt>
                <c:pt idx="22">
                  <c:v>-0.42740576878099101</c:v>
                </c:pt>
                <c:pt idx="23">
                  <c:v>-0.17147469997517487</c:v>
                </c:pt>
                <c:pt idx="24">
                  <c:v>9.6874683217140038E-3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2A-4423-B698-671E725A047F}"/>
            </c:ext>
          </c:extLst>
        </c:ser>
        <c:ser>
          <c:idx val="2"/>
          <c:order val="2"/>
          <c:tx>
            <c:strRef>
              <c:f>Report_table_graphs!$S$129</c:f>
              <c:strCache>
                <c:ptCount val="1"/>
                <c:pt idx="0">
                  <c:v>openDomain-trans-LNGC-full-LNGC-Cy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Report_table_graphs!$Q$130:$Q$154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Report_table_graphs!$S$130:$S$154</c:f>
              <c:numCache>
                <c:formatCode>0.000</c:formatCode>
                <c:ptCount val="25"/>
                <c:pt idx="0">
                  <c:v>-5.4827371672498376E-2</c:v>
                </c:pt>
                <c:pt idx="1">
                  <c:v>7.5932035192153163E-2</c:v>
                </c:pt>
                <c:pt idx="2">
                  <c:v>0.33743390655969396</c:v>
                </c:pt>
                <c:pt idx="3">
                  <c:v>0.59925771705737119</c:v>
                </c:pt>
                <c:pt idx="4">
                  <c:v>0.85705067151114467</c:v>
                </c:pt>
                <c:pt idx="5">
                  <c:v>0.97624356519361599</c:v>
                </c:pt>
                <c:pt idx="6">
                  <c:v>1.0884299378285796</c:v>
                </c:pt>
                <c:pt idx="7">
                  <c:v>0.95925265000902682</c:v>
                </c:pt>
                <c:pt idx="8">
                  <c:v>0.69925820839565</c:v>
                </c:pt>
                <c:pt idx="9">
                  <c:v>0.48334004029659028</c:v>
                </c:pt>
                <c:pt idx="10">
                  <c:v>0.2592619893513684</c:v>
                </c:pt>
                <c:pt idx="11">
                  <c:v>7.4218008458163356E-2</c:v>
                </c:pt>
                <c:pt idx="12">
                  <c:v>-2.5953937427874454E-2</c:v>
                </c:pt>
                <c:pt idx="13">
                  <c:v>-3.6530938382215869E-2</c:v>
                </c:pt>
                <c:pt idx="14">
                  <c:v>1.6353832465489972E-2</c:v>
                </c:pt>
                <c:pt idx="15">
                  <c:v>3.8847430998169862E-2</c:v>
                </c:pt>
                <c:pt idx="16">
                  <c:v>8.4643932679412989E-2</c:v>
                </c:pt>
                <c:pt idx="17">
                  <c:v>0.11589890411499236</c:v>
                </c:pt>
                <c:pt idx="18">
                  <c:v>6.8611707543907122E-2</c:v>
                </c:pt>
                <c:pt idx="19">
                  <c:v>-4.7824516086850802E-2</c:v>
                </c:pt>
                <c:pt idx="20">
                  <c:v>-0.17057271593644452</c:v>
                </c:pt>
                <c:pt idx="21">
                  <c:v>-0.16313402763738669</c:v>
                </c:pt>
                <c:pt idx="22">
                  <c:v>-0.18450250653482358</c:v>
                </c:pt>
                <c:pt idx="23">
                  <c:v>-0.1239075457961288</c:v>
                </c:pt>
                <c:pt idx="24">
                  <c:v>-5.4827371672498376E-2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2A-4423-B698-671E725A047F}"/>
            </c:ext>
          </c:extLst>
        </c:ser>
        <c:ser>
          <c:idx val="3"/>
          <c:order val="3"/>
          <c:tx>
            <c:strRef>
              <c:f>Report_table_graphs!$C$191</c:f>
              <c:strCache>
                <c:ptCount val="1"/>
                <c:pt idx="0">
                  <c:v>openDomain-trans-full-LNGC-FST1-Cy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Report_table_graphs!$C$192:$C$216</c:f>
              <c:numCache>
                <c:formatCode>0.000</c:formatCode>
                <c:ptCount val="25"/>
                <c:pt idx="0">
                  <c:v>-8.5419744535567468E-3</c:v>
                </c:pt>
                <c:pt idx="1">
                  <c:v>9.197071427812363E-2</c:v>
                </c:pt>
                <c:pt idx="2">
                  <c:v>6.4875403896393735E-2</c:v>
                </c:pt>
                <c:pt idx="3">
                  <c:v>0.15116365253016151</c:v>
                </c:pt>
                <c:pt idx="4">
                  <c:v>0.2012115332805724</c:v>
                </c:pt>
                <c:pt idx="5">
                  <c:v>0.26643814209001854</c:v>
                </c:pt>
                <c:pt idx="6">
                  <c:v>0.37659322172252291</c:v>
                </c:pt>
                <c:pt idx="7">
                  <c:v>0.50563748336038539</c:v>
                </c:pt>
                <c:pt idx="8">
                  <c:v>0.57389705702890381</c:v>
                </c:pt>
                <c:pt idx="9">
                  <c:v>0.48300309734187746</c:v>
                </c:pt>
                <c:pt idx="10">
                  <c:v>0.34892755807472237</c:v>
                </c:pt>
                <c:pt idx="11">
                  <c:v>0.17000765139086102</c:v>
                </c:pt>
                <c:pt idx="12">
                  <c:v>1.1289059667185519E-2</c:v>
                </c:pt>
                <c:pt idx="13">
                  <c:v>-0.16322056990950412</c:v>
                </c:pt>
                <c:pt idx="14">
                  <c:v>-0.41383793041555161</c:v>
                </c:pt>
                <c:pt idx="15">
                  <c:v>-0.63499165902636989</c:v>
                </c:pt>
                <c:pt idx="16">
                  <c:v>-0.8197742757950377</c:v>
                </c:pt>
                <c:pt idx="17">
                  <c:v>-0.80572084872048833</c:v>
                </c:pt>
                <c:pt idx="18">
                  <c:v>-0.71462192354705034</c:v>
                </c:pt>
                <c:pt idx="19">
                  <c:v>-0.63703161885890347</c:v>
                </c:pt>
                <c:pt idx="20">
                  <c:v>-0.52466151762628443</c:v>
                </c:pt>
                <c:pt idx="21">
                  <c:v>-0.42226056325774552</c:v>
                </c:pt>
                <c:pt idx="22">
                  <c:v>-0.24393186665326042</c:v>
                </c:pt>
                <c:pt idx="23">
                  <c:v>-7.689551121906206E-2</c:v>
                </c:pt>
                <c:pt idx="24">
                  <c:v>-8.5419744535567468E-3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2A-4423-B698-671E725A047F}"/>
            </c:ext>
          </c:extLst>
        </c:ser>
        <c:ser>
          <c:idx val="4"/>
          <c:order val="4"/>
          <c:tx>
            <c:strRef>
              <c:f>Report_table_graphs!$K$191</c:f>
              <c:strCache>
                <c:ptCount val="1"/>
                <c:pt idx="0">
                  <c:v>openDomain-trans-LNGC-full-FST2-Cy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Report_table_graphs!$K$192:$K$216</c:f>
              <c:numCache>
                <c:formatCode>0.000</c:formatCode>
                <c:ptCount val="25"/>
                <c:pt idx="0">
                  <c:v>1.3004696052818888E-2</c:v>
                </c:pt>
                <c:pt idx="1">
                  <c:v>7.6787123521966053E-2</c:v>
                </c:pt>
                <c:pt idx="2">
                  <c:v>0.14678159051068715</c:v>
                </c:pt>
                <c:pt idx="3">
                  <c:v>0.1091261240461891</c:v>
                </c:pt>
                <c:pt idx="4">
                  <c:v>0.10213720910380049</c:v>
                </c:pt>
                <c:pt idx="5">
                  <c:v>8.6665606309080934E-2</c:v>
                </c:pt>
                <c:pt idx="6">
                  <c:v>-9.6627421758047199E-2</c:v>
                </c:pt>
                <c:pt idx="7">
                  <c:v>-6.5486805146097546E-2</c:v>
                </c:pt>
                <c:pt idx="8">
                  <c:v>-1.9742573672372164E-3</c:v>
                </c:pt>
                <c:pt idx="9">
                  <c:v>0.14981499329277118</c:v>
                </c:pt>
                <c:pt idx="10">
                  <c:v>0.13757330510072874</c:v>
                </c:pt>
                <c:pt idx="11">
                  <c:v>7.4858822379477469E-2</c:v>
                </c:pt>
                <c:pt idx="12">
                  <c:v>-5.7300182444565667E-4</c:v>
                </c:pt>
                <c:pt idx="13">
                  <c:v>-6.6479145697453126E-2</c:v>
                </c:pt>
                <c:pt idx="14">
                  <c:v>-0.22770129773521403</c:v>
                </c:pt>
                <c:pt idx="15">
                  <c:v>-0.39424465929531299</c:v>
                </c:pt>
                <c:pt idx="16">
                  <c:v>-0.51225821015142914</c:v>
                </c:pt>
                <c:pt idx="17">
                  <c:v>-0.66696100348131282</c:v>
                </c:pt>
                <c:pt idx="18">
                  <c:v>-0.66399794398065481</c:v>
                </c:pt>
                <c:pt idx="19">
                  <c:v>-0.68886518032093114</c:v>
                </c:pt>
                <c:pt idx="20">
                  <c:v>-0.64359197650303646</c:v>
                </c:pt>
                <c:pt idx="21">
                  <c:v>-0.45907912731636463</c:v>
                </c:pt>
                <c:pt idx="22">
                  <c:v>-0.33642357385116151</c:v>
                </c:pt>
                <c:pt idx="23">
                  <c:v>-0.1296383993785464</c:v>
                </c:pt>
                <c:pt idx="24">
                  <c:v>1.3004696052818888E-2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2A-4423-B698-671E725A047F}"/>
            </c:ext>
          </c:extLst>
        </c:ser>
        <c:ser>
          <c:idx val="5"/>
          <c:order val="5"/>
          <c:tx>
            <c:strRef>
              <c:f>Report_table_graphs!$S$191</c:f>
              <c:strCache>
                <c:ptCount val="1"/>
                <c:pt idx="0">
                  <c:v>openDomain-trans-LNGC-light-LNGC-Cy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Report_table_graphs!$Q$192:$Q$216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Report_table_graphs!$S$192:$S$216</c:f>
              <c:numCache>
                <c:formatCode>0.000</c:formatCode>
                <c:ptCount val="25"/>
                <c:pt idx="0">
                  <c:v>-5.496424725937564E-2</c:v>
                </c:pt>
                <c:pt idx="1">
                  <c:v>0.10321089898161777</c:v>
                </c:pt>
                <c:pt idx="2">
                  <c:v>0.42850390587962761</c:v>
                </c:pt>
                <c:pt idx="3">
                  <c:v>0.74940707180917188</c:v>
                </c:pt>
                <c:pt idx="4">
                  <c:v>0.86816241447725595</c:v>
                </c:pt>
                <c:pt idx="5">
                  <c:v>0.92405340941073921</c:v>
                </c:pt>
                <c:pt idx="6">
                  <c:v>1.0736948907324553</c:v>
                </c:pt>
                <c:pt idx="7">
                  <c:v>1.0166406516760373</c:v>
                </c:pt>
                <c:pt idx="8">
                  <c:v>0.80910469207999514</c:v>
                </c:pt>
                <c:pt idx="9">
                  <c:v>0.50906049968371436</c:v>
                </c:pt>
                <c:pt idx="10">
                  <c:v>0.30464061917829088</c:v>
                </c:pt>
                <c:pt idx="11">
                  <c:v>0.11332964511144708</c:v>
                </c:pt>
                <c:pt idx="12">
                  <c:v>-6.2961242761024883E-3</c:v>
                </c:pt>
                <c:pt idx="13">
                  <c:v>-7.0180445552272652E-2</c:v>
                </c:pt>
                <c:pt idx="14">
                  <c:v>-5.4535292439095211E-2</c:v>
                </c:pt>
                <c:pt idx="15">
                  <c:v>-8.0670096268219346E-2</c:v>
                </c:pt>
                <c:pt idx="16">
                  <c:v>-1.5089160245071134E-2</c:v>
                </c:pt>
                <c:pt idx="17">
                  <c:v>8.0368225791437015E-2</c:v>
                </c:pt>
                <c:pt idx="18">
                  <c:v>-5.2146346792619952E-2</c:v>
                </c:pt>
                <c:pt idx="19">
                  <c:v>-0.16047680275914944</c:v>
                </c:pt>
                <c:pt idx="20">
                  <c:v>-0.24167618201588334</c:v>
                </c:pt>
                <c:pt idx="21">
                  <c:v>-0.29038886685305676</c:v>
                </c:pt>
                <c:pt idx="22">
                  <c:v>-0.21476275215425794</c:v>
                </c:pt>
                <c:pt idx="23">
                  <c:v>-0.17267708400989695</c:v>
                </c:pt>
                <c:pt idx="24">
                  <c:v>-5.496424725937564E-2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2A-4423-B698-671E725A0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85785"/>
        <c:axId val="40163201"/>
      </c:scatterChart>
      <c:valAx>
        <c:axId val="39085785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0163201"/>
        <c:crosses val="autoZero"/>
        <c:crossBetween val="midCat"/>
        <c:majorUnit val="45"/>
        <c:minorUnit val="15"/>
      </c:valAx>
      <c:valAx>
        <c:axId val="401632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08578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Report_table_graphs!$B$98</c:f>
              <c:strCache>
                <c:ptCount val="1"/>
                <c:pt idx="0">
                  <c:v>openDomain-trans-FST1-Cx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Report_table_graphs!$B$99:$B$123</c:f>
              <c:numCache>
                <c:formatCode>0.000</c:formatCode>
                <c:ptCount val="25"/>
                <c:pt idx="0">
                  <c:v>0.23475679663999094</c:v>
                </c:pt>
                <c:pt idx="1">
                  <c:v>1.2494232925959512</c:v>
                </c:pt>
                <c:pt idx="2">
                  <c:v>1.647984808507025</c:v>
                </c:pt>
                <c:pt idx="3">
                  <c:v>1.4455057458671952</c:v>
                </c:pt>
                <c:pt idx="4">
                  <c:v>1.1625968706263632</c:v>
                </c:pt>
                <c:pt idx="5">
                  <c:v>0.7794858219918509</c:v>
                </c:pt>
                <c:pt idx="6">
                  <c:v>0.30586294482128396</c:v>
                </c:pt>
                <c:pt idx="7">
                  <c:v>-0.19892391538204662</c:v>
                </c:pt>
                <c:pt idx="8">
                  <c:v>-1.1486271559376309</c:v>
                </c:pt>
                <c:pt idx="9">
                  <c:v>-1.9726547010780735</c:v>
                </c:pt>
                <c:pt idx="10">
                  <c:v>-2.2783113279313074</c:v>
                </c:pt>
                <c:pt idx="11">
                  <c:v>-1.8704800050685242</c:v>
                </c:pt>
                <c:pt idx="12">
                  <c:v>-1.0595889215791094</c:v>
                </c:pt>
                <c:pt idx="13">
                  <c:v>-1.5136025810754865</c:v>
                </c:pt>
                <c:pt idx="14">
                  <c:v>-1.6342100604043117</c:v>
                </c:pt>
                <c:pt idx="15">
                  <c:v>-1.2265654149788088</c:v>
                </c:pt>
                <c:pt idx="16">
                  <c:v>-0.43524053710516003</c:v>
                </c:pt>
                <c:pt idx="17">
                  <c:v>2.0231159015703187E-2</c:v>
                </c:pt>
                <c:pt idx="18">
                  <c:v>0.18854650832808664</c:v>
                </c:pt>
                <c:pt idx="19">
                  <c:v>8.7620116760843553E-2</c:v>
                </c:pt>
                <c:pt idx="20">
                  <c:v>0.31449098511077062</c:v>
                </c:pt>
                <c:pt idx="21">
                  <c:v>0.6886749461359325</c:v>
                </c:pt>
                <c:pt idx="22">
                  <c:v>0.74719839091959839</c:v>
                </c:pt>
                <c:pt idx="23">
                  <c:v>0.55235064243102605</c:v>
                </c:pt>
                <c:pt idx="24">
                  <c:v>0.23475679663999094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A-4B64-A425-5F51F379604D}"/>
            </c:ext>
          </c:extLst>
        </c:ser>
        <c:ser>
          <c:idx val="1"/>
          <c:order val="1"/>
          <c:tx>
            <c:strRef>
              <c:f>Report_table_graphs!$J$98</c:f>
              <c:strCache>
                <c:ptCount val="1"/>
                <c:pt idx="0">
                  <c:v>openDomain-trans-FST2-Cx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Report_table_graphs!$J$99:$J$123</c:f>
              <c:numCache>
                <c:formatCode>0.000</c:formatCode>
                <c:ptCount val="25"/>
                <c:pt idx="0">
                  <c:v>1.1483789962474444</c:v>
                </c:pt>
                <c:pt idx="1">
                  <c:v>1.9275585245139257</c:v>
                </c:pt>
                <c:pt idx="2">
                  <c:v>2.3417745553932048</c:v>
                </c:pt>
                <c:pt idx="3">
                  <c:v>1.9904234021499871</c:v>
                </c:pt>
                <c:pt idx="4">
                  <c:v>0.99405776709515947</c:v>
                </c:pt>
                <c:pt idx="5">
                  <c:v>0.18953372658392481</c:v>
                </c:pt>
                <c:pt idx="6">
                  <c:v>-0.24215386754345097</c:v>
                </c:pt>
                <c:pt idx="7">
                  <c:v>-0.66075814912636155</c:v>
                </c:pt>
                <c:pt idx="8">
                  <c:v>-1.1273218481985843</c:v>
                </c:pt>
                <c:pt idx="9">
                  <c:v>-1.4621295280684921</c:v>
                </c:pt>
                <c:pt idx="10">
                  <c:v>-1.7078674316970186</c:v>
                </c:pt>
                <c:pt idx="11">
                  <c:v>-1.312824289845661</c:v>
                </c:pt>
                <c:pt idx="12">
                  <c:v>-0.36076843576635687</c:v>
                </c:pt>
                <c:pt idx="13">
                  <c:v>-0.56769555945374339</c:v>
                </c:pt>
                <c:pt idx="14">
                  <c:v>-0.76972883396227909</c:v>
                </c:pt>
                <c:pt idx="15">
                  <c:v>-0.68608656264752954</c:v>
                </c:pt>
                <c:pt idx="16">
                  <c:v>-0.33329045326772411</c:v>
                </c:pt>
                <c:pt idx="17">
                  <c:v>-6.5137815897302553E-2</c:v>
                </c:pt>
                <c:pt idx="18">
                  <c:v>-2.8721865181659513E-2</c:v>
                </c:pt>
                <c:pt idx="19">
                  <c:v>-4.4630329924838896E-2</c:v>
                </c:pt>
                <c:pt idx="20">
                  <c:v>0.48630468517293923</c:v>
                </c:pt>
                <c:pt idx="21">
                  <c:v>1.2307269020274536</c:v>
                </c:pt>
                <c:pt idx="22">
                  <c:v>1.6519395376115726</c:v>
                </c:pt>
                <c:pt idx="23">
                  <c:v>1.5041785889176194</c:v>
                </c:pt>
                <c:pt idx="24">
                  <c:v>1.1483789962474444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AA-4B64-A425-5F51F3796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91896"/>
        <c:axId val="18431788"/>
      </c:scatterChart>
      <c:valAx>
        <c:axId val="78391896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431788"/>
        <c:crosses val="autoZero"/>
        <c:crossBetween val="midCat"/>
        <c:majorUnit val="45"/>
        <c:minorUnit val="15"/>
      </c:valAx>
      <c:valAx>
        <c:axId val="184317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391896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Report_table_graphs!$C$98</c:f>
              <c:strCache>
                <c:ptCount val="1"/>
                <c:pt idx="0">
                  <c:v>openDomain-trans-FST1-Cy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0.15578309148313288</c:v>
                </c:pt>
                <c:pt idx="2">
                  <c:v>0.32906807509773511</c:v>
                </c:pt>
                <c:pt idx="3">
                  <c:v>0.52466193878364553</c:v>
                </c:pt>
                <c:pt idx="4">
                  <c:v>0.63028354112871177</c:v>
                </c:pt>
                <c:pt idx="5">
                  <c:v>0.69022540880082273</c:v>
                </c:pt>
                <c:pt idx="6">
                  <c:v>0.79595805179385881</c:v>
                </c:pt>
                <c:pt idx="7">
                  <c:v>0.90834527355128891</c:v>
                </c:pt>
                <c:pt idx="8">
                  <c:v>0.82483572140055395</c:v>
                </c:pt>
                <c:pt idx="9">
                  <c:v>0.6992640510049174</c:v>
                </c:pt>
                <c:pt idx="10">
                  <c:v>0.4239895814739878</c:v>
                </c:pt>
                <c:pt idx="11">
                  <c:v>0.15228603177155162</c:v>
                </c:pt>
                <c:pt idx="12">
                  <c:v>-3.313498455269303E-2</c:v>
                </c:pt>
                <c:pt idx="13">
                  <c:v>-0.2044131580535519</c:v>
                </c:pt>
                <c:pt idx="14">
                  <c:v>-0.50885372537115903</c:v>
                </c:pt>
                <c:pt idx="15">
                  <c:v>-0.80004400472797754</c:v>
                </c:pt>
                <c:pt idx="16">
                  <c:v>-0.99266119436016986</c:v>
                </c:pt>
                <c:pt idx="17">
                  <c:v>-0.98223374679743614</c:v>
                </c:pt>
                <c:pt idx="18">
                  <c:v>-0.84495064390125918</c:v>
                </c:pt>
                <c:pt idx="19">
                  <c:v>-0.73833354245432625</c:v>
                </c:pt>
                <c:pt idx="20">
                  <c:v>-0.63501838256230547</c:v>
                </c:pt>
                <c:pt idx="21">
                  <c:v>-0.48682227158895425</c:v>
                </c:pt>
                <c:pt idx="22">
                  <c:v>-0.29261238622931884</c:v>
                </c:pt>
                <c:pt idx="23">
                  <c:v>-9.5632997903260769E-2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3-45BE-A941-77D7094DE4CA}"/>
            </c:ext>
          </c:extLst>
        </c:ser>
        <c:ser>
          <c:idx val="1"/>
          <c:order val="1"/>
          <c:tx>
            <c:strRef>
              <c:f>Report_table_graphs!$K$98</c:f>
              <c:strCache>
                <c:ptCount val="1"/>
                <c:pt idx="0">
                  <c:v>openDomain-trans-FST2-Cy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0.16832198810595408</c:v>
                </c:pt>
                <c:pt idx="2">
                  <c:v>0.42643695493558392</c:v>
                </c:pt>
                <c:pt idx="3">
                  <c:v>0.69077584455462404</c:v>
                </c:pt>
                <c:pt idx="4">
                  <c:v>0.8401202816692005</c:v>
                </c:pt>
                <c:pt idx="5">
                  <c:v>0.91028890313274591</c:v>
                </c:pt>
                <c:pt idx="6">
                  <c:v>0.8451915096971413</c:v>
                </c:pt>
                <c:pt idx="7">
                  <c:v>0.69474163774771447</c:v>
                </c:pt>
                <c:pt idx="8">
                  <c:v>0.61567895820789031</c:v>
                </c:pt>
                <c:pt idx="9">
                  <c:v>0.50820251740087519</c:v>
                </c:pt>
                <c:pt idx="10">
                  <c:v>0.32900504106829115</c:v>
                </c:pt>
                <c:pt idx="11">
                  <c:v>0.15507703001309214</c:v>
                </c:pt>
                <c:pt idx="12">
                  <c:v>1.5082188803506088E-2</c:v>
                </c:pt>
                <c:pt idx="13">
                  <c:v>-9.5262073500097993E-2</c:v>
                </c:pt>
                <c:pt idx="14">
                  <c:v>-0.29149872927687759</c:v>
                </c:pt>
                <c:pt idx="15">
                  <c:v>-0.48429310322746238</c:v>
                </c:pt>
                <c:pt idx="16">
                  <c:v>-0.63104189182617643</c:v>
                </c:pt>
                <c:pt idx="17">
                  <c:v>-0.74351561547805378</c:v>
                </c:pt>
                <c:pt idx="18">
                  <c:v>-0.90183282239285556</c:v>
                </c:pt>
                <c:pt idx="19">
                  <c:v>-0.98369749072294377</c:v>
                </c:pt>
                <c:pt idx="20">
                  <c:v>-0.99232492685845597</c:v>
                </c:pt>
                <c:pt idx="21">
                  <c:v>-0.80561359761879003</c:v>
                </c:pt>
                <c:pt idx="22">
                  <c:v>-0.50336271849540259</c:v>
                </c:pt>
                <c:pt idx="23">
                  <c:v>-0.21209209130869996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3-45BE-A941-77D7094DE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9395"/>
        <c:axId val="99940042"/>
      </c:scatterChart>
      <c:valAx>
        <c:axId val="4739395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940042"/>
        <c:crosses val="autoZero"/>
        <c:crossBetween val="midCat"/>
        <c:majorUnit val="45"/>
        <c:minorUnit val="15"/>
      </c:valAx>
      <c:valAx>
        <c:axId val="99940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739395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Report_table_graphs!$G$98</c:f>
              <c:strCache>
                <c:ptCount val="1"/>
                <c:pt idx="0">
                  <c:v>openDomain-trans-FST1-Cnz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Report_table_graphs!$G$99:$G$123</c:f>
              <c:numCache>
                <c:formatCode>0.000</c:formatCode>
                <c:ptCount val="25"/>
                <c:pt idx="0">
                  <c:v>2.1598706909235272E-4</c:v>
                </c:pt>
                <c:pt idx="1">
                  <c:v>-4.5323417186966296E-3</c:v>
                </c:pt>
                <c:pt idx="2">
                  <c:v>-1.4711036803957028E-2</c:v>
                </c:pt>
                <c:pt idx="3">
                  <c:v>-1.939909432480446E-2</c:v>
                </c:pt>
                <c:pt idx="4">
                  <c:v>-2.5642524701842213E-2</c:v>
                </c:pt>
                <c:pt idx="5">
                  <c:v>-1.5729985823077362E-2</c:v>
                </c:pt>
                <c:pt idx="6">
                  <c:v>1.1745868110112509E-2</c:v>
                </c:pt>
                <c:pt idx="7">
                  <c:v>9.8327898232340033E-3</c:v>
                </c:pt>
                <c:pt idx="8">
                  <c:v>4.1783976943017095E-2</c:v>
                </c:pt>
                <c:pt idx="9">
                  <c:v>4.9142875304503841E-2</c:v>
                </c:pt>
                <c:pt idx="10">
                  <c:v>3.0238214380012837E-2</c:v>
                </c:pt>
                <c:pt idx="11">
                  <c:v>4.1681929273438218E-3</c:v>
                </c:pt>
                <c:pt idx="12">
                  <c:v>1.7648584327498466E-3</c:v>
                </c:pt>
                <c:pt idx="13">
                  <c:v>-2.3083241669730314E-2</c:v>
                </c:pt>
                <c:pt idx="14">
                  <c:v>-5.6001376826711032E-2</c:v>
                </c:pt>
                <c:pt idx="15">
                  <c:v>-8.6311572416197829E-2</c:v>
                </c:pt>
                <c:pt idx="16">
                  <c:v>-8.0952273360147098E-2</c:v>
                </c:pt>
                <c:pt idx="17">
                  <c:v>-2.4152812670873821E-2</c:v>
                </c:pt>
                <c:pt idx="18">
                  <c:v>-6.1262720344670068E-3</c:v>
                </c:pt>
                <c:pt idx="19">
                  <c:v>2.0133229413344524E-2</c:v>
                </c:pt>
                <c:pt idx="20">
                  <c:v>2.6598352564938105E-2</c:v>
                </c:pt>
                <c:pt idx="21">
                  <c:v>2.4308664412802251E-2</c:v>
                </c:pt>
                <c:pt idx="22">
                  <c:v>2.1159148763619708E-2</c:v>
                </c:pt>
                <c:pt idx="23">
                  <c:v>7.6906414937077741E-3</c:v>
                </c:pt>
                <c:pt idx="24">
                  <c:v>2.1598706909235272E-4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1-46B4-B3D0-9ACCA4E87577}"/>
            </c:ext>
          </c:extLst>
        </c:ser>
        <c:ser>
          <c:idx val="1"/>
          <c:order val="1"/>
          <c:tx>
            <c:strRef>
              <c:f>Report_table_graphs!$O$98</c:f>
              <c:strCache>
                <c:ptCount val="1"/>
                <c:pt idx="0">
                  <c:v>openDomain-trans-FST2-Cnz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Report_table_graphs!$O$99:$O$123</c:f>
              <c:numCache>
                <c:formatCode>0.000</c:formatCode>
                <c:ptCount val="25"/>
                <c:pt idx="0">
                  <c:v>2.0311551388381617E-3</c:v>
                </c:pt>
                <c:pt idx="1">
                  <c:v>-5.3063096429537522E-3</c:v>
                </c:pt>
                <c:pt idx="2">
                  <c:v>-3.1570871238205754E-2</c:v>
                </c:pt>
                <c:pt idx="3">
                  <c:v>-5.0318236155915921E-2</c:v>
                </c:pt>
                <c:pt idx="4">
                  <c:v>-4.3891005285276646E-2</c:v>
                </c:pt>
                <c:pt idx="5">
                  <c:v>-7.3834850787607639E-3</c:v>
                </c:pt>
                <c:pt idx="6">
                  <c:v>6.1241671554238741E-3</c:v>
                </c:pt>
                <c:pt idx="7">
                  <c:v>1.8763166511262901E-2</c:v>
                </c:pt>
                <c:pt idx="8">
                  <c:v>2.4069640478497044E-2</c:v>
                </c:pt>
                <c:pt idx="9">
                  <c:v>1.9739549258734508E-2</c:v>
                </c:pt>
                <c:pt idx="10">
                  <c:v>1.6955247886949094E-2</c:v>
                </c:pt>
                <c:pt idx="11">
                  <c:v>1.0222322888341732E-2</c:v>
                </c:pt>
                <c:pt idx="12">
                  <c:v>2.9094320775928605E-3</c:v>
                </c:pt>
                <c:pt idx="13">
                  <c:v>-6.7881479172653509E-3</c:v>
                </c:pt>
                <c:pt idx="14">
                  <c:v>-1.9767098691641942E-2</c:v>
                </c:pt>
                <c:pt idx="15">
                  <c:v>-2.4657546739789142E-2</c:v>
                </c:pt>
                <c:pt idx="16">
                  <c:v>-2.5353054516261887E-2</c:v>
                </c:pt>
                <c:pt idx="17">
                  <c:v>-2.0910625343794242E-2</c:v>
                </c:pt>
                <c:pt idx="18">
                  <c:v>-1.6928012813333716E-2</c:v>
                </c:pt>
                <c:pt idx="19">
                  <c:v>2.5348189036430928E-2</c:v>
                </c:pt>
                <c:pt idx="20">
                  <c:v>7.7985920971555114E-2</c:v>
                </c:pt>
                <c:pt idx="21">
                  <c:v>8.4798648958096537E-2</c:v>
                </c:pt>
                <c:pt idx="22">
                  <c:v>5.6253368482587503E-2</c:v>
                </c:pt>
                <c:pt idx="23">
                  <c:v>2.9533074647767193E-2</c:v>
                </c:pt>
                <c:pt idx="24">
                  <c:v>2.0311551388381617E-3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41-46B4-B3D0-9ACCA4E87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17252"/>
        <c:axId val="99176012"/>
      </c:scatterChart>
      <c:valAx>
        <c:axId val="88317252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176012"/>
        <c:crosses val="autoZero"/>
        <c:crossBetween val="midCat"/>
        <c:majorUnit val="45"/>
        <c:minorUnit val="15"/>
      </c:valAx>
      <c:valAx>
        <c:axId val="991760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831725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Report_table_graphs!$C$98</c:f>
              <c:strCache>
                <c:ptCount val="1"/>
                <c:pt idx="0">
                  <c:v>openDomain-trans-FST1-Cy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0.15578309148313288</c:v>
                </c:pt>
                <c:pt idx="2">
                  <c:v>0.32906807509773511</c:v>
                </c:pt>
                <c:pt idx="3">
                  <c:v>0.52466193878364553</c:v>
                </c:pt>
                <c:pt idx="4">
                  <c:v>0.63028354112871177</c:v>
                </c:pt>
                <c:pt idx="5">
                  <c:v>0.69022540880082273</c:v>
                </c:pt>
                <c:pt idx="6">
                  <c:v>0.79595805179385881</c:v>
                </c:pt>
                <c:pt idx="7">
                  <c:v>0.90834527355128891</c:v>
                </c:pt>
                <c:pt idx="8">
                  <c:v>0.82483572140055395</c:v>
                </c:pt>
                <c:pt idx="9">
                  <c:v>0.6992640510049174</c:v>
                </c:pt>
                <c:pt idx="10">
                  <c:v>0.4239895814739878</c:v>
                </c:pt>
                <c:pt idx="11">
                  <c:v>0.15228603177155162</c:v>
                </c:pt>
                <c:pt idx="12">
                  <c:v>-3.313498455269303E-2</c:v>
                </c:pt>
                <c:pt idx="13">
                  <c:v>-0.2044131580535519</c:v>
                </c:pt>
                <c:pt idx="14">
                  <c:v>-0.50885372537115903</c:v>
                </c:pt>
                <c:pt idx="15">
                  <c:v>-0.80004400472797754</c:v>
                </c:pt>
                <c:pt idx="16">
                  <c:v>-0.99266119436016986</c:v>
                </c:pt>
                <c:pt idx="17">
                  <c:v>-0.98223374679743614</c:v>
                </c:pt>
                <c:pt idx="18">
                  <c:v>-0.84495064390125918</c:v>
                </c:pt>
                <c:pt idx="19">
                  <c:v>-0.73833354245432625</c:v>
                </c:pt>
                <c:pt idx="20">
                  <c:v>-0.63501838256230547</c:v>
                </c:pt>
                <c:pt idx="21">
                  <c:v>-0.48682227158895425</c:v>
                </c:pt>
                <c:pt idx="22">
                  <c:v>-0.29261238622931884</c:v>
                </c:pt>
                <c:pt idx="23">
                  <c:v>-9.5632997903260769E-2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3-493B-A2D5-21D44D8991A6}"/>
            </c:ext>
          </c:extLst>
        </c:ser>
        <c:ser>
          <c:idx val="1"/>
          <c:order val="1"/>
          <c:tx>
            <c:strRef>
              <c:f>Report_table_graphs!$C$67</c:f>
              <c:strCache>
                <c:ptCount val="1"/>
                <c:pt idx="0">
                  <c:v>topoDomain-trans-FST1-Cy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Report_table_graphs!$A$68:$A$92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Report_table_graphs!$C$68:$C$72</c:f>
              <c:numCache>
                <c:formatCode>0.000</c:formatCode>
                <c:ptCount val="5"/>
                <c:pt idx="0">
                  <c:v>9.424939953919657E-3</c:v>
                </c:pt>
                <c:pt idx="1">
                  <c:v>0.10885488038066543</c:v>
                </c:pt>
                <c:pt idx="2">
                  <c:v>0.15726359911453683</c:v>
                </c:pt>
                <c:pt idx="3">
                  <c:v>0.19592889961856805</c:v>
                </c:pt>
                <c:pt idx="4">
                  <c:v>0.34655610238922979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33-493B-A2D5-21D44D8991A6}"/>
            </c:ext>
          </c:extLst>
        </c:ser>
        <c:ser>
          <c:idx val="2"/>
          <c:order val="2"/>
          <c:tx>
            <c:strRef>
              <c:f>Report_table_graphs!$K$98</c:f>
              <c:strCache>
                <c:ptCount val="1"/>
                <c:pt idx="0">
                  <c:v>openDomain-trans-FST2-Cy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0.16832198810595408</c:v>
                </c:pt>
                <c:pt idx="2">
                  <c:v>0.42643695493558392</c:v>
                </c:pt>
                <c:pt idx="3">
                  <c:v>0.69077584455462404</c:v>
                </c:pt>
                <c:pt idx="4">
                  <c:v>0.8401202816692005</c:v>
                </c:pt>
                <c:pt idx="5">
                  <c:v>0.91028890313274591</c:v>
                </c:pt>
                <c:pt idx="6">
                  <c:v>0.8451915096971413</c:v>
                </c:pt>
                <c:pt idx="7">
                  <c:v>0.69474163774771447</c:v>
                </c:pt>
                <c:pt idx="8">
                  <c:v>0.61567895820789031</c:v>
                </c:pt>
                <c:pt idx="9">
                  <c:v>0.50820251740087519</c:v>
                </c:pt>
                <c:pt idx="10">
                  <c:v>0.32900504106829115</c:v>
                </c:pt>
                <c:pt idx="11">
                  <c:v>0.15507703001309214</c:v>
                </c:pt>
                <c:pt idx="12">
                  <c:v>1.5082188803506088E-2</c:v>
                </c:pt>
                <c:pt idx="13">
                  <c:v>-9.5262073500097993E-2</c:v>
                </c:pt>
                <c:pt idx="14">
                  <c:v>-0.29149872927687759</c:v>
                </c:pt>
                <c:pt idx="15">
                  <c:v>-0.48429310322746238</c:v>
                </c:pt>
                <c:pt idx="16">
                  <c:v>-0.63104189182617643</c:v>
                </c:pt>
                <c:pt idx="17">
                  <c:v>-0.74351561547805378</c:v>
                </c:pt>
                <c:pt idx="18">
                  <c:v>-0.90183282239285556</c:v>
                </c:pt>
                <c:pt idx="19">
                  <c:v>-0.98369749072294377</c:v>
                </c:pt>
                <c:pt idx="20">
                  <c:v>-0.99232492685845597</c:v>
                </c:pt>
                <c:pt idx="21">
                  <c:v>-0.80561359761879003</c:v>
                </c:pt>
                <c:pt idx="22">
                  <c:v>-0.50336271849540259</c:v>
                </c:pt>
                <c:pt idx="23">
                  <c:v>-0.21209209130869996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33-493B-A2D5-21D44D8991A6}"/>
            </c:ext>
          </c:extLst>
        </c:ser>
        <c:ser>
          <c:idx val="3"/>
          <c:order val="3"/>
          <c:tx>
            <c:strRef>
              <c:f>Report_table_graphs!$K$67</c:f>
              <c:strCache>
                <c:ptCount val="1"/>
                <c:pt idx="0">
                  <c:v>topoDomain-trans-FST2-Cy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Report_table_graphs!$I$68:$I$72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Report_table_graphs!$K$68:$K$92</c:f>
              <c:numCache>
                <c:formatCode>0.000</c:formatCode>
                <c:ptCount val="25"/>
                <c:pt idx="0">
                  <c:v>-0.10704279711922482</c:v>
                </c:pt>
                <c:pt idx="1">
                  <c:v>0.1466218396324121</c:v>
                </c:pt>
                <c:pt idx="2">
                  <c:v>0.25389895434305076</c:v>
                </c:pt>
                <c:pt idx="3">
                  <c:v>0.32122380440566184</c:v>
                </c:pt>
                <c:pt idx="4">
                  <c:v>0.37750491954182042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33-493B-A2D5-21D44D899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57511"/>
        <c:axId val="99005398"/>
      </c:scatterChart>
      <c:valAx>
        <c:axId val="92457511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005398"/>
        <c:crosses val="autoZero"/>
        <c:crossBetween val="midCat"/>
        <c:majorUnit val="45"/>
        <c:minorUnit val="15"/>
      </c:valAx>
      <c:valAx>
        <c:axId val="990053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45751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Report_table_graphs!$G$98</c:f>
              <c:strCache>
                <c:ptCount val="1"/>
                <c:pt idx="0">
                  <c:v>openDomain-trans-FST1-Cnz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Report_table_graphs!$G$99:$G$123</c:f>
              <c:numCache>
                <c:formatCode>0.000</c:formatCode>
                <c:ptCount val="25"/>
                <c:pt idx="0">
                  <c:v>2.1598706909235272E-4</c:v>
                </c:pt>
                <c:pt idx="1">
                  <c:v>-4.5323417186966296E-3</c:v>
                </c:pt>
                <c:pt idx="2">
                  <c:v>-1.4711036803957028E-2</c:v>
                </c:pt>
                <c:pt idx="3">
                  <c:v>-1.939909432480446E-2</c:v>
                </c:pt>
                <c:pt idx="4">
                  <c:v>-2.5642524701842213E-2</c:v>
                </c:pt>
                <c:pt idx="5">
                  <c:v>-1.5729985823077362E-2</c:v>
                </c:pt>
                <c:pt idx="6">
                  <c:v>1.1745868110112509E-2</c:v>
                </c:pt>
                <c:pt idx="7">
                  <c:v>9.8327898232340033E-3</c:v>
                </c:pt>
                <c:pt idx="8">
                  <c:v>4.1783976943017095E-2</c:v>
                </c:pt>
                <c:pt idx="9">
                  <c:v>4.9142875304503841E-2</c:v>
                </c:pt>
                <c:pt idx="10">
                  <c:v>3.0238214380012837E-2</c:v>
                </c:pt>
                <c:pt idx="11">
                  <c:v>4.1681929273438218E-3</c:v>
                </c:pt>
                <c:pt idx="12">
                  <c:v>1.7648584327498466E-3</c:v>
                </c:pt>
                <c:pt idx="13">
                  <c:v>-2.3083241669730314E-2</c:v>
                </c:pt>
                <c:pt idx="14">
                  <c:v>-5.6001376826711032E-2</c:v>
                </c:pt>
                <c:pt idx="15">
                  <c:v>-8.6311572416197829E-2</c:v>
                </c:pt>
                <c:pt idx="16">
                  <c:v>-8.0952273360147098E-2</c:v>
                </c:pt>
                <c:pt idx="17">
                  <c:v>-2.4152812670873821E-2</c:v>
                </c:pt>
                <c:pt idx="18">
                  <c:v>-6.1262720344670068E-3</c:v>
                </c:pt>
                <c:pt idx="19">
                  <c:v>2.0133229413344524E-2</c:v>
                </c:pt>
                <c:pt idx="20">
                  <c:v>2.6598352564938105E-2</c:v>
                </c:pt>
                <c:pt idx="21">
                  <c:v>2.4308664412802251E-2</c:v>
                </c:pt>
                <c:pt idx="22">
                  <c:v>2.1159148763619708E-2</c:v>
                </c:pt>
                <c:pt idx="23">
                  <c:v>7.6906414937077741E-3</c:v>
                </c:pt>
                <c:pt idx="24">
                  <c:v>2.1598706909235272E-4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9-49CB-8186-598AF5AD0BE1}"/>
            </c:ext>
          </c:extLst>
        </c:ser>
        <c:ser>
          <c:idx val="1"/>
          <c:order val="1"/>
          <c:tx>
            <c:strRef>
              <c:f>Report_table_graphs!$G$67</c:f>
              <c:strCache>
                <c:ptCount val="1"/>
                <c:pt idx="0">
                  <c:v>topoDomain-trans-FST1-Cnz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Report_table_graphs!$A$68:$A$92</c:f>
              <c:numCache>
                <c:formatCode>General</c:formatCode>
                <c:ptCount val="2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Report_table_graphs!$G$68:$G$72</c:f>
              <c:numCache>
                <c:formatCode>0.000</c:formatCode>
                <c:ptCount val="5"/>
                <c:pt idx="0">
                  <c:v>4.5307356751141305E-3</c:v>
                </c:pt>
                <c:pt idx="1">
                  <c:v>6.4080127189404604E-3</c:v>
                </c:pt>
                <c:pt idx="2">
                  <c:v>-8.2741769666030193E-3</c:v>
                </c:pt>
                <c:pt idx="3">
                  <c:v>-4.6099437157393246E-3</c:v>
                </c:pt>
                <c:pt idx="4">
                  <c:v>1.7229994623474385E-2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69-49CB-8186-598AF5AD0BE1}"/>
            </c:ext>
          </c:extLst>
        </c:ser>
        <c:ser>
          <c:idx val="2"/>
          <c:order val="2"/>
          <c:tx>
            <c:strRef>
              <c:f>Report_table_graphs!$O$98</c:f>
              <c:strCache>
                <c:ptCount val="1"/>
                <c:pt idx="0">
                  <c:v>openDomain-trans-FST2-Cnz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Report_table_graphs!$O$99:$O$123</c:f>
              <c:numCache>
                <c:formatCode>0.000</c:formatCode>
                <c:ptCount val="25"/>
                <c:pt idx="0">
                  <c:v>2.0311551388381617E-3</c:v>
                </c:pt>
                <c:pt idx="1">
                  <c:v>-5.3063096429537522E-3</c:v>
                </c:pt>
                <c:pt idx="2">
                  <c:v>-3.1570871238205754E-2</c:v>
                </c:pt>
                <c:pt idx="3">
                  <c:v>-5.0318236155915921E-2</c:v>
                </c:pt>
                <c:pt idx="4">
                  <c:v>-4.3891005285276646E-2</c:v>
                </c:pt>
                <c:pt idx="5">
                  <c:v>-7.3834850787607639E-3</c:v>
                </c:pt>
                <c:pt idx="6">
                  <c:v>6.1241671554238741E-3</c:v>
                </c:pt>
                <c:pt idx="7">
                  <c:v>1.8763166511262901E-2</c:v>
                </c:pt>
                <c:pt idx="8">
                  <c:v>2.4069640478497044E-2</c:v>
                </c:pt>
                <c:pt idx="9">
                  <c:v>1.9739549258734508E-2</c:v>
                </c:pt>
                <c:pt idx="10">
                  <c:v>1.6955247886949094E-2</c:v>
                </c:pt>
                <c:pt idx="11">
                  <c:v>1.0222322888341732E-2</c:v>
                </c:pt>
                <c:pt idx="12">
                  <c:v>2.9094320775928605E-3</c:v>
                </c:pt>
                <c:pt idx="13">
                  <c:v>-6.7881479172653509E-3</c:v>
                </c:pt>
                <c:pt idx="14">
                  <c:v>-1.9767098691641942E-2</c:v>
                </c:pt>
                <c:pt idx="15">
                  <c:v>-2.4657546739789142E-2</c:v>
                </c:pt>
                <c:pt idx="16">
                  <c:v>-2.5353054516261887E-2</c:v>
                </c:pt>
                <c:pt idx="17">
                  <c:v>-2.0910625343794242E-2</c:v>
                </c:pt>
                <c:pt idx="18">
                  <c:v>-1.6928012813333716E-2</c:v>
                </c:pt>
                <c:pt idx="19">
                  <c:v>2.5348189036430928E-2</c:v>
                </c:pt>
                <c:pt idx="20">
                  <c:v>7.7985920971555114E-2</c:v>
                </c:pt>
                <c:pt idx="21">
                  <c:v>8.4798648958096537E-2</c:v>
                </c:pt>
                <c:pt idx="22">
                  <c:v>5.6253368482587503E-2</c:v>
                </c:pt>
                <c:pt idx="23">
                  <c:v>2.9533074647767193E-2</c:v>
                </c:pt>
                <c:pt idx="24">
                  <c:v>2.0311551388381617E-3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69-49CB-8186-598AF5AD0BE1}"/>
            </c:ext>
          </c:extLst>
        </c:ser>
        <c:ser>
          <c:idx val="3"/>
          <c:order val="3"/>
          <c:tx>
            <c:strRef>
              <c:f>Report_table_graphs!$O$67</c:f>
              <c:strCache>
                <c:ptCount val="1"/>
                <c:pt idx="0">
                  <c:v>topoDomain-trans-FST2-Cnz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Report_table_graphs!$I$68:$I$72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Report_table_graphs!$O$68:$O$92</c:f>
              <c:numCache>
                <c:formatCode>0.000</c:formatCode>
                <c:ptCount val="25"/>
                <c:pt idx="0">
                  <c:v>1.640230870897056E-2</c:v>
                </c:pt>
                <c:pt idx="1">
                  <c:v>-1.043127390857875E-2</c:v>
                </c:pt>
                <c:pt idx="2">
                  <c:v>-2.6552275706858041E-2</c:v>
                </c:pt>
                <c:pt idx="3">
                  <c:v>-3.7428951092547284E-2</c:v>
                </c:pt>
                <c:pt idx="4">
                  <c:v>1.0485674134024139E-2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69-49CB-8186-598AF5AD0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0171"/>
        <c:axId val="24289588"/>
      </c:scatterChart>
      <c:valAx>
        <c:axId val="13320171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289588"/>
        <c:crosses val="autoZero"/>
        <c:crossBetween val="midCat"/>
        <c:majorUnit val="45"/>
        <c:minorUnit val="15"/>
      </c:valAx>
      <c:valAx>
        <c:axId val="242895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20171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Report_table_graphs!$B$98</c:f>
              <c:strCache>
                <c:ptCount val="1"/>
                <c:pt idx="0">
                  <c:v>openDomain-trans-FST1-Cx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Report_table_graphs!$B$99:$B$123</c:f>
              <c:numCache>
                <c:formatCode>0.000</c:formatCode>
                <c:ptCount val="25"/>
                <c:pt idx="0">
                  <c:v>0.23475679663999094</c:v>
                </c:pt>
                <c:pt idx="1">
                  <c:v>1.2494232925959512</c:v>
                </c:pt>
                <c:pt idx="2">
                  <c:v>1.647984808507025</c:v>
                </c:pt>
                <c:pt idx="3">
                  <c:v>1.4455057458671952</c:v>
                </c:pt>
                <c:pt idx="4">
                  <c:v>1.1625968706263632</c:v>
                </c:pt>
                <c:pt idx="5">
                  <c:v>0.7794858219918509</c:v>
                </c:pt>
                <c:pt idx="6">
                  <c:v>0.30586294482128396</c:v>
                </c:pt>
                <c:pt idx="7">
                  <c:v>-0.19892391538204662</c:v>
                </c:pt>
                <c:pt idx="8">
                  <c:v>-1.1486271559376309</c:v>
                </c:pt>
                <c:pt idx="9">
                  <c:v>-1.9726547010780735</c:v>
                </c:pt>
                <c:pt idx="10">
                  <c:v>-2.2783113279313074</c:v>
                </c:pt>
                <c:pt idx="11">
                  <c:v>-1.8704800050685242</c:v>
                </c:pt>
                <c:pt idx="12">
                  <c:v>-1.0595889215791094</c:v>
                </c:pt>
                <c:pt idx="13">
                  <c:v>-1.5136025810754865</c:v>
                </c:pt>
                <c:pt idx="14">
                  <c:v>-1.6342100604043117</c:v>
                </c:pt>
                <c:pt idx="15">
                  <c:v>-1.2265654149788088</c:v>
                </c:pt>
                <c:pt idx="16">
                  <c:v>-0.43524053710516003</c:v>
                </c:pt>
                <c:pt idx="17">
                  <c:v>2.0231159015703187E-2</c:v>
                </c:pt>
                <c:pt idx="18">
                  <c:v>0.18854650832808664</c:v>
                </c:pt>
                <c:pt idx="19">
                  <c:v>8.7620116760843553E-2</c:v>
                </c:pt>
                <c:pt idx="20">
                  <c:v>0.31449098511077062</c:v>
                </c:pt>
                <c:pt idx="21">
                  <c:v>0.6886749461359325</c:v>
                </c:pt>
                <c:pt idx="22">
                  <c:v>0.74719839091959839</c:v>
                </c:pt>
                <c:pt idx="23">
                  <c:v>0.55235064243102605</c:v>
                </c:pt>
                <c:pt idx="24">
                  <c:v>0.23475679663999094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7-45C8-8D7A-97D8957542FA}"/>
            </c:ext>
          </c:extLst>
        </c:ser>
        <c:ser>
          <c:idx val="1"/>
          <c:order val="1"/>
          <c:tx>
            <c:strRef>
              <c:f>Report_table_graphs!$J$98</c:f>
              <c:strCache>
                <c:ptCount val="1"/>
                <c:pt idx="0">
                  <c:v>openDomain-trans-FST2-Cx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Report_table_graphs!$J$99:$J$123</c:f>
              <c:numCache>
                <c:formatCode>0.000</c:formatCode>
                <c:ptCount val="25"/>
                <c:pt idx="0">
                  <c:v>1.1483789962474444</c:v>
                </c:pt>
                <c:pt idx="1">
                  <c:v>1.9275585245139257</c:v>
                </c:pt>
                <c:pt idx="2">
                  <c:v>2.3417745553932048</c:v>
                </c:pt>
                <c:pt idx="3">
                  <c:v>1.9904234021499871</c:v>
                </c:pt>
                <c:pt idx="4">
                  <c:v>0.99405776709515947</c:v>
                </c:pt>
                <c:pt idx="5">
                  <c:v>0.18953372658392481</c:v>
                </c:pt>
                <c:pt idx="6">
                  <c:v>-0.24215386754345097</c:v>
                </c:pt>
                <c:pt idx="7">
                  <c:v>-0.66075814912636155</c:v>
                </c:pt>
                <c:pt idx="8">
                  <c:v>-1.1273218481985843</c:v>
                </c:pt>
                <c:pt idx="9">
                  <c:v>-1.4621295280684921</c:v>
                </c:pt>
                <c:pt idx="10">
                  <c:v>-1.7078674316970186</c:v>
                </c:pt>
                <c:pt idx="11">
                  <c:v>-1.312824289845661</c:v>
                </c:pt>
                <c:pt idx="12">
                  <c:v>-0.36076843576635687</c:v>
                </c:pt>
                <c:pt idx="13">
                  <c:v>-0.56769555945374339</c:v>
                </c:pt>
                <c:pt idx="14">
                  <c:v>-0.76972883396227909</c:v>
                </c:pt>
                <c:pt idx="15">
                  <c:v>-0.68608656264752954</c:v>
                </c:pt>
                <c:pt idx="16">
                  <c:v>-0.33329045326772411</c:v>
                </c:pt>
                <c:pt idx="17">
                  <c:v>-6.5137815897302553E-2</c:v>
                </c:pt>
                <c:pt idx="18">
                  <c:v>-2.8721865181659513E-2</c:v>
                </c:pt>
                <c:pt idx="19">
                  <c:v>-4.4630329924838896E-2</c:v>
                </c:pt>
                <c:pt idx="20">
                  <c:v>0.48630468517293923</c:v>
                </c:pt>
                <c:pt idx="21">
                  <c:v>1.2307269020274536</c:v>
                </c:pt>
                <c:pt idx="22">
                  <c:v>1.6519395376115726</c:v>
                </c:pt>
                <c:pt idx="23">
                  <c:v>1.5041785889176194</c:v>
                </c:pt>
                <c:pt idx="24">
                  <c:v>1.1483789962474444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27-45C8-8D7A-97D8957542FA}"/>
            </c:ext>
          </c:extLst>
        </c:ser>
        <c:ser>
          <c:idx val="2"/>
          <c:order val="2"/>
          <c:tx>
            <c:strRef>
              <c:f>Report_table_graphs!$B$5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Report_table_graphs!$A$6:$A$12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Report_table_graphs!$B$6:$B$30</c:f>
              <c:numCache>
                <c:formatCode>General</c:formatCode>
                <c:ptCount val="25"/>
                <c:pt idx="0" formatCode="0.000">
                  <c:v>0.17973342291245667</c:v>
                </c:pt>
                <c:pt idx="2" formatCode="0.000">
                  <c:v>0.50444916098767589</c:v>
                </c:pt>
                <c:pt idx="3" formatCode="0.000">
                  <c:v>0.32277978626843556</c:v>
                </c:pt>
                <c:pt idx="4" formatCode="0.000">
                  <c:v>0.13943987089342857</c:v>
                </c:pt>
                <c:pt idx="6" formatCode="0.000">
                  <c:v>0.28081580798741324</c:v>
                </c:pt>
                <c:pt idx="18" formatCode="0.000">
                  <c:v>0.1421122942067034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27-45C8-8D7A-97D8957542FA}"/>
            </c:ext>
          </c:extLst>
        </c:ser>
        <c:ser>
          <c:idx val="3"/>
          <c:order val="3"/>
          <c:tx>
            <c:strRef>
              <c:f>Report_table_graphs!$J$5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Report_table_graphs!$I$6:$I$11</c:f>
              <c:numCache>
                <c:formatCode>General</c:formatCode>
                <c:ptCount val="6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Report_table_graphs!$J$6:$J$30</c:f>
              <c:numCache>
                <c:formatCode>General</c:formatCode>
                <c:ptCount val="25"/>
                <c:pt idx="0" formatCode="0.000">
                  <c:v>0.69236329614215808</c:v>
                </c:pt>
                <c:pt idx="2" formatCode="0.000">
                  <c:v>0.90796016544859315</c:v>
                </c:pt>
                <c:pt idx="3" formatCode="0.000">
                  <c:v>0.70221613735348265</c:v>
                </c:pt>
                <c:pt idx="4" formatCode="0.000">
                  <c:v>8.3957844134965293E-2</c:v>
                </c:pt>
                <c:pt idx="6" formatCode="0.000">
                  <c:v>-0.2231348601382141</c:v>
                </c:pt>
                <c:pt idx="18" formatCode="0.000">
                  <c:v>-6.8140538029109701E-2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27-45C8-8D7A-97D895754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5127"/>
        <c:axId val="19948317"/>
      </c:scatterChart>
      <c:valAx>
        <c:axId val="57075127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948317"/>
        <c:crosses val="autoZero"/>
        <c:crossBetween val="midCat"/>
        <c:majorUnit val="45"/>
        <c:minorUnit val="15"/>
      </c:valAx>
      <c:valAx>
        <c:axId val="199483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707512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Report_table_graphs!$C$98</c:f>
              <c:strCache>
                <c:ptCount val="1"/>
                <c:pt idx="0">
                  <c:v>openDomain-trans-FST1-Cy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0.15578309148313288</c:v>
                </c:pt>
                <c:pt idx="2">
                  <c:v>0.32906807509773511</c:v>
                </c:pt>
                <c:pt idx="3">
                  <c:v>0.52466193878364553</c:v>
                </c:pt>
                <c:pt idx="4">
                  <c:v>0.63028354112871177</c:v>
                </c:pt>
                <c:pt idx="5">
                  <c:v>0.69022540880082273</c:v>
                </c:pt>
                <c:pt idx="6">
                  <c:v>0.79595805179385881</c:v>
                </c:pt>
                <c:pt idx="7">
                  <c:v>0.90834527355128891</c:v>
                </c:pt>
                <c:pt idx="8">
                  <c:v>0.82483572140055395</c:v>
                </c:pt>
                <c:pt idx="9">
                  <c:v>0.6992640510049174</c:v>
                </c:pt>
                <c:pt idx="10">
                  <c:v>0.4239895814739878</c:v>
                </c:pt>
                <c:pt idx="11">
                  <c:v>0.15228603177155162</c:v>
                </c:pt>
                <c:pt idx="12">
                  <c:v>-3.313498455269303E-2</c:v>
                </c:pt>
                <c:pt idx="13">
                  <c:v>-0.2044131580535519</c:v>
                </c:pt>
                <c:pt idx="14">
                  <c:v>-0.50885372537115903</c:v>
                </c:pt>
                <c:pt idx="15">
                  <c:v>-0.80004400472797754</c:v>
                </c:pt>
                <c:pt idx="16">
                  <c:v>-0.99266119436016986</c:v>
                </c:pt>
                <c:pt idx="17">
                  <c:v>-0.98223374679743614</c:v>
                </c:pt>
                <c:pt idx="18">
                  <c:v>-0.84495064390125918</c:v>
                </c:pt>
                <c:pt idx="19">
                  <c:v>-0.73833354245432625</c:v>
                </c:pt>
                <c:pt idx="20">
                  <c:v>-0.63501838256230547</c:v>
                </c:pt>
                <c:pt idx="21">
                  <c:v>-0.48682227158895425</c:v>
                </c:pt>
                <c:pt idx="22">
                  <c:v>-0.29261238622931884</c:v>
                </c:pt>
                <c:pt idx="23">
                  <c:v>-9.5632997903260769E-2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8-44A8-AE5C-17890CB05920}"/>
            </c:ext>
          </c:extLst>
        </c:ser>
        <c:ser>
          <c:idx val="1"/>
          <c:order val="1"/>
          <c:tx>
            <c:strRef>
              <c:f>Report_table_graphs!$K$98</c:f>
              <c:strCache>
                <c:ptCount val="1"/>
                <c:pt idx="0">
                  <c:v>openDomain-trans-FST2-Cy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0.16832198810595408</c:v>
                </c:pt>
                <c:pt idx="2">
                  <c:v>0.42643695493558392</c:v>
                </c:pt>
                <c:pt idx="3">
                  <c:v>0.69077584455462404</c:v>
                </c:pt>
                <c:pt idx="4">
                  <c:v>0.8401202816692005</c:v>
                </c:pt>
                <c:pt idx="5">
                  <c:v>0.91028890313274591</c:v>
                </c:pt>
                <c:pt idx="6">
                  <c:v>0.8451915096971413</c:v>
                </c:pt>
                <c:pt idx="7">
                  <c:v>0.69474163774771447</c:v>
                </c:pt>
                <c:pt idx="8">
                  <c:v>0.61567895820789031</c:v>
                </c:pt>
                <c:pt idx="9">
                  <c:v>0.50820251740087519</c:v>
                </c:pt>
                <c:pt idx="10">
                  <c:v>0.32900504106829115</c:v>
                </c:pt>
                <c:pt idx="11">
                  <c:v>0.15507703001309214</c:v>
                </c:pt>
                <c:pt idx="12">
                  <c:v>1.5082188803506088E-2</c:v>
                </c:pt>
                <c:pt idx="13">
                  <c:v>-9.5262073500097993E-2</c:v>
                </c:pt>
                <c:pt idx="14">
                  <c:v>-0.29149872927687759</c:v>
                </c:pt>
                <c:pt idx="15">
                  <c:v>-0.48429310322746238</c:v>
                </c:pt>
                <c:pt idx="16">
                  <c:v>-0.63104189182617643</c:v>
                </c:pt>
                <c:pt idx="17">
                  <c:v>-0.74351561547805378</c:v>
                </c:pt>
                <c:pt idx="18">
                  <c:v>-0.90183282239285556</c:v>
                </c:pt>
                <c:pt idx="19">
                  <c:v>-0.98369749072294377</c:v>
                </c:pt>
                <c:pt idx="20">
                  <c:v>-0.99232492685845597</c:v>
                </c:pt>
                <c:pt idx="21">
                  <c:v>-0.80561359761879003</c:v>
                </c:pt>
                <c:pt idx="22">
                  <c:v>-0.50336271849540259</c:v>
                </c:pt>
                <c:pt idx="23">
                  <c:v>-0.21209209130869996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8-44A8-AE5C-17890CB05920}"/>
            </c:ext>
          </c:extLst>
        </c:ser>
        <c:ser>
          <c:idx val="2"/>
          <c:order val="2"/>
          <c:tx>
            <c:strRef>
              <c:f>Report_table_graphs!$C$5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Report_table_graphs!$A$6:$A$12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Report_table_graphs!$C$6:$C$30</c:f>
              <c:numCache>
                <c:formatCode>General</c:formatCode>
                <c:ptCount val="25"/>
                <c:pt idx="0" formatCode="0.000">
                  <c:v>9.6128369382248082E-3</c:v>
                </c:pt>
                <c:pt idx="2" formatCode="0.000">
                  <c:v>0.35842049519945629</c:v>
                </c:pt>
                <c:pt idx="3" formatCode="0.000">
                  <c:v>0.60480998321408241</c:v>
                </c:pt>
                <c:pt idx="4" formatCode="0.000">
                  <c:v>0.79547344402048414</c:v>
                </c:pt>
                <c:pt idx="6" formatCode="0.000">
                  <c:v>1.0238709387462637</c:v>
                </c:pt>
                <c:pt idx="18" formatCode="0.000">
                  <c:v>-0.95592697050694575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8-44A8-AE5C-17890CB05920}"/>
            </c:ext>
          </c:extLst>
        </c:ser>
        <c:ser>
          <c:idx val="3"/>
          <c:order val="3"/>
          <c:tx>
            <c:strRef>
              <c:f>Report_table_graphs!$K$5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Report_table_graphs!$I$6:$I$11</c:f>
              <c:numCache>
                <c:formatCode>General</c:formatCode>
                <c:ptCount val="6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Report_table_graphs!$K$6:$K$30</c:f>
              <c:numCache>
                <c:formatCode>General</c:formatCode>
                <c:ptCount val="25"/>
                <c:pt idx="0" formatCode="0.000">
                  <c:v>-2.1392659801165399E-2</c:v>
                </c:pt>
                <c:pt idx="2" formatCode="0.000">
                  <c:v>0.51025377175112341</c:v>
                </c:pt>
                <c:pt idx="3" formatCode="0.000">
                  <c:v>0.87371457437214439</c:v>
                </c:pt>
                <c:pt idx="4" formatCode="0.000">
                  <c:v>1.1307056148726662</c:v>
                </c:pt>
                <c:pt idx="6" formatCode="0.000">
                  <c:v>1.0648697459768313</c:v>
                </c:pt>
                <c:pt idx="18" formatCode="0.000">
                  <c:v>-1.007988870887943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8-44A8-AE5C-17890CB05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73508"/>
        <c:axId val="53204409"/>
      </c:scatterChart>
      <c:valAx>
        <c:axId val="69073508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3204409"/>
        <c:crosses val="autoZero"/>
        <c:crossBetween val="midCat"/>
        <c:majorUnit val="45"/>
        <c:minorUnit val="15"/>
      </c:valAx>
      <c:valAx>
        <c:axId val="532044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907350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Report_table_graphs!$G$98</c:f>
              <c:strCache>
                <c:ptCount val="1"/>
                <c:pt idx="0">
                  <c:v>openDomain-trans-FST1-Cnz [-]</c:v>
                </c:pt>
              </c:strCache>
            </c:strRef>
          </c:tx>
          <c:spPr>
            <a:ln w="19080">
              <a:solidFill>
                <a:srgbClr val="D36F2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Report_table_graphs!$G$99:$G$123</c:f>
              <c:numCache>
                <c:formatCode>0.000</c:formatCode>
                <c:ptCount val="25"/>
                <c:pt idx="0">
                  <c:v>2.1598706909235272E-4</c:v>
                </c:pt>
                <c:pt idx="1">
                  <c:v>-4.5323417186966296E-3</c:v>
                </c:pt>
                <c:pt idx="2">
                  <c:v>-1.4711036803957028E-2</c:v>
                </c:pt>
                <c:pt idx="3">
                  <c:v>-1.939909432480446E-2</c:v>
                </c:pt>
                <c:pt idx="4">
                  <c:v>-2.5642524701842213E-2</c:v>
                </c:pt>
                <c:pt idx="5">
                  <c:v>-1.5729985823077362E-2</c:v>
                </c:pt>
                <c:pt idx="6">
                  <c:v>1.1745868110112509E-2</c:v>
                </c:pt>
                <c:pt idx="7">
                  <c:v>9.8327898232340033E-3</c:v>
                </c:pt>
                <c:pt idx="8">
                  <c:v>4.1783976943017095E-2</c:v>
                </c:pt>
                <c:pt idx="9">
                  <c:v>4.9142875304503841E-2</c:v>
                </c:pt>
                <c:pt idx="10">
                  <c:v>3.0238214380012837E-2</c:v>
                </c:pt>
                <c:pt idx="11">
                  <c:v>4.1681929273438218E-3</c:v>
                </c:pt>
                <c:pt idx="12">
                  <c:v>1.7648584327498466E-3</c:v>
                </c:pt>
                <c:pt idx="13">
                  <c:v>-2.3083241669730314E-2</c:v>
                </c:pt>
                <c:pt idx="14">
                  <c:v>-5.6001376826711032E-2</c:v>
                </c:pt>
                <c:pt idx="15">
                  <c:v>-8.6311572416197829E-2</c:v>
                </c:pt>
                <c:pt idx="16">
                  <c:v>-8.0952273360147098E-2</c:v>
                </c:pt>
                <c:pt idx="17">
                  <c:v>-2.4152812670873821E-2</c:v>
                </c:pt>
                <c:pt idx="18">
                  <c:v>-6.1262720344670068E-3</c:v>
                </c:pt>
                <c:pt idx="19">
                  <c:v>2.0133229413344524E-2</c:v>
                </c:pt>
                <c:pt idx="20">
                  <c:v>2.6598352564938105E-2</c:v>
                </c:pt>
                <c:pt idx="21">
                  <c:v>2.4308664412802251E-2</c:v>
                </c:pt>
                <c:pt idx="22">
                  <c:v>2.1159148763619708E-2</c:v>
                </c:pt>
                <c:pt idx="23">
                  <c:v>7.6906414937077741E-3</c:v>
                </c:pt>
                <c:pt idx="24">
                  <c:v>2.1598706909235272E-4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B1-4951-9E57-033049E15509}"/>
            </c:ext>
          </c:extLst>
        </c:ser>
        <c:ser>
          <c:idx val="1"/>
          <c:order val="1"/>
          <c:tx>
            <c:strRef>
              <c:f>Report_table_graphs!$O$98</c:f>
              <c:strCache>
                <c:ptCount val="1"/>
                <c:pt idx="0">
                  <c:v>openDomain-trans-FST2-Cnz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Report_table_graphs!$I$99:$I$105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</c:numCache>
            </c:numRef>
          </c:xVal>
          <c:yVal>
            <c:numRef>
              <c:f>Report_table_graphs!$O$99:$O$123</c:f>
              <c:numCache>
                <c:formatCode>0.000</c:formatCode>
                <c:ptCount val="25"/>
                <c:pt idx="0">
                  <c:v>2.0311551388381617E-3</c:v>
                </c:pt>
                <c:pt idx="1">
                  <c:v>-5.3063096429537522E-3</c:v>
                </c:pt>
                <c:pt idx="2">
                  <c:v>-3.1570871238205754E-2</c:v>
                </c:pt>
                <c:pt idx="3">
                  <c:v>-5.0318236155915921E-2</c:v>
                </c:pt>
                <c:pt idx="4">
                  <c:v>-4.3891005285276646E-2</c:v>
                </c:pt>
                <c:pt idx="5">
                  <c:v>-7.3834850787607639E-3</c:v>
                </c:pt>
                <c:pt idx="6">
                  <c:v>6.1241671554238741E-3</c:v>
                </c:pt>
                <c:pt idx="7">
                  <c:v>1.8763166511262901E-2</c:v>
                </c:pt>
                <c:pt idx="8">
                  <c:v>2.4069640478497044E-2</c:v>
                </c:pt>
                <c:pt idx="9">
                  <c:v>1.9739549258734508E-2</c:v>
                </c:pt>
                <c:pt idx="10">
                  <c:v>1.6955247886949094E-2</c:v>
                </c:pt>
                <c:pt idx="11">
                  <c:v>1.0222322888341732E-2</c:v>
                </c:pt>
                <c:pt idx="12">
                  <c:v>2.9094320775928605E-3</c:v>
                </c:pt>
                <c:pt idx="13">
                  <c:v>-6.7881479172653509E-3</c:v>
                </c:pt>
                <c:pt idx="14">
                  <c:v>-1.9767098691641942E-2</c:v>
                </c:pt>
                <c:pt idx="15">
                  <c:v>-2.4657546739789142E-2</c:v>
                </c:pt>
                <c:pt idx="16">
                  <c:v>-2.5353054516261887E-2</c:v>
                </c:pt>
                <c:pt idx="17">
                  <c:v>-2.0910625343794242E-2</c:v>
                </c:pt>
                <c:pt idx="18">
                  <c:v>-1.6928012813333716E-2</c:v>
                </c:pt>
                <c:pt idx="19">
                  <c:v>2.5348189036430928E-2</c:v>
                </c:pt>
                <c:pt idx="20">
                  <c:v>7.7985920971555114E-2</c:v>
                </c:pt>
                <c:pt idx="21">
                  <c:v>8.4798648958096537E-2</c:v>
                </c:pt>
                <c:pt idx="22">
                  <c:v>5.6253368482587503E-2</c:v>
                </c:pt>
                <c:pt idx="23">
                  <c:v>2.9533074647767193E-2</c:v>
                </c:pt>
                <c:pt idx="24">
                  <c:v>2.0311551388381617E-3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1-4951-9E57-033049E15509}"/>
            </c:ext>
          </c:extLst>
        </c:ser>
        <c:ser>
          <c:idx val="2"/>
          <c:order val="2"/>
          <c:tx>
            <c:strRef>
              <c:f>Report_table_graphs!$G$5</c:f>
              <c:strCache>
                <c:ptCount val="1"/>
                <c:pt idx="0">
                  <c:v>openDomain-long-FST1-Cnz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Report_table_graphs!$A$6:$A$12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Report_table_graphs!$G$6:$G$30</c:f>
              <c:numCache>
                <c:formatCode>General</c:formatCode>
                <c:ptCount val="25"/>
                <c:pt idx="0" formatCode="0.000">
                  <c:v>-4.4743413136131855E-3</c:v>
                </c:pt>
                <c:pt idx="2" formatCode="0.000">
                  <c:v>-2.47297853177957E-2</c:v>
                </c:pt>
                <c:pt idx="3" formatCode="0.000">
                  <c:v>-4.3340836834848642E-2</c:v>
                </c:pt>
                <c:pt idx="4" formatCode="0.000">
                  <c:v>-5.1174243105358778E-2</c:v>
                </c:pt>
                <c:pt idx="6" formatCode="0.000">
                  <c:v>6.4067428635522852E-3</c:v>
                </c:pt>
                <c:pt idx="18" formatCode="0.000">
                  <c:v>-1.6863755722814011E-2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1-4951-9E57-033049E15509}"/>
            </c:ext>
          </c:extLst>
        </c:ser>
        <c:ser>
          <c:idx val="3"/>
          <c:order val="3"/>
          <c:tx>
            <c:strRef>
              <c:f>Report_table_graphs!$O$5</c:f>
              <c:strCache>
                <c:ptCount val="1"/>
                <c:pt idx="0">
                  <c:v>openDomain-long-FST2-Cnz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Report_table_graphs!$I$6:$I$11</c:f>
              <c:numCache>
                <c:formatCode>General</c:formatCode>
                <c:ptCount val="6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Report_table_graphs!$O$6:$O$30</c:f>
              <c:numCache>
                <c:formatCode>General</c:formatCode>
                <c:ptCount val="25"/>
                <c:pt idx="0" formatCode="0.000">
                  <c:v>1.2896992232007033E-4</c:v>
                </c:pt>
                <c:pt idx="2" formatCode="0.000">
                  <c:v>-5.3215836580409119E-2</c:v>
                </c:pt>
                <c:pt idx="3" formatCode="0.000">
                  <c:v>-7.8704174053024364E-2</c:v>
                </c:pt>
                <c:pt idx="4" formatCode="0.000">
                  <c:v>-7.6983872165764564E-2</c:v>
                </c:pt>
                <c:pt idx="6" formatCode="0.000">
                  <c:v>9.5280357702242982E-3</c:v>
                </c:pt>
                <c:pt idx="18" formatCode="0.000">
                  <c:v>-1.5314643825442936E-2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B1-4951-9E57-033049E15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72927"/>
        <c:axId val="97984119"/>
      </c:scatterChart>
      <c:valAx>
        <c:axId val="61172927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7984119"/>
        <c:crosses val="autoZero"/>
        <c:crossBetween val="midCat"/>
        <c:majorUnit val="45"/>
        <c:minorUnit val="15"/>
      </c:valAx>
      <c:valAx>
        <c:axId val="979841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117292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Report_table_graphs!$G$129</c:f>
              <c:strCache>
                <c:ptCount val="1"/>
                <c:pt idx="0">
                  <c:v>openDomain-trans-LNGC-FST1-Cnz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Report_table_graphs!$G$130:$G$154</c:f>
              <c:numCache>
                <c:formatCode>0.000</c:formatCode>
                <c:ptCount val="25"/>
                <c:pt idx="0">
                  <c:v>-1.6079262317670955E-3</c:v>
                </c:pt>
                <c:pt idx="1">
                  <c:v>5.8853561464682373E-3</c:v>
                </c:pt>
                <c:pt idx="2">
                  <c:v>1.7541704662931736E-2</c:v>
                </c:pt>
                <c:pt idx="3">
                  <c:v>2.0454180114529385E-2</c:v>
                </c:pt>
                <c:pt idx="4">
                  <c:v>4.9002969273081863E-2</c:v>
                </c:pt>
                <c:pt idx="5">
                  <c:v>5.6117164355798096E-2</c:v>
                </c:pt>
                <c:pt idx="6">
                  <c:v>6.327208628443115E-2</c:v>
                </c:pt>
                <c:pt idx="7">
                  <c:v>6.5626581412149471E-2</c:v>
                </c:pt>
                <c:pt idx="8">
                  <c:v>7.3702902238809834E-2</c:v>
                </c:pt>
                <c:pt idx="9">
                  <c:v>7.6399738871999148E-2</c:v>
                </c:pt>
                <c:pt idx="10">
                  <c:v>5.7095145976808537E-2</c:v>
                </c:pt>
                <c:pt idx="11">
                  <c:v>2.5139983086292023E-2</c:v>
                </c:pt>
                <c:pt idx="12">
                  <c:v>6.1137866138291372E-3</c:v>
                </c:pt>
                <c:pt idx="13">
                  <c:v>-2.7734196145712171E-2</c:v>
                </c:pt>
                <c:pt idx="14">
                  <c:v>-5.1623553110943958E-2</c:v>
                </c:pt>
                <c:pt idx="15">
                  <c:v>-6.9515339808091589E-2</c:v>
                </c:pt>
                <c:pt idx="16">
                  <c:v>-5.0620289500177801E-2</c:v>
                </c:pt>
                <c:pt idx="17">
                  <c:v>-7.175123725317192E-3</c:v>
                </c:pt>
                <c:pt idx="18">
                  <c:v>1.0052271835866038E-2</c:v>
                </c:pt>
                <c:pt idx="19">
                  <c:v>2.0276282558030646E-2</c:v>
                </c:pt>
                <c:pt idx="20">
                  <c:v>2.4533483118502241E-2</c:v>
                </c:pt>
                <c:pt idx="21">
                  <c:v>2.7327480422068725E-2</c:v>
                </c:pt>
                <c:pt idx="22">
                  <c:v>1.8292863754311908E-2</c:v>
                </c:pt>
                <c:pt idx="23">
                  <c:v>5.2028012479132073E-3</c:v>
                </c:pt>
                <c:pt idx="24">
                  <c:v>-1.6079262317670955E-3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0-4448-A80F-BFC518E1B26B}"/>
            </c:ext>
          </c:extLst>
        </c:ser>
        <c:ser>
          <c:idx val="1"/>
          <c:order val="1"/>
          <c:tx>
            <c:strRef>
              <c:f>Report_table_graphs!$O$129</c:f>
              <c:strCache>
                <c:ptCount val="1"/>
                <c:pt idx="0">
                  <c:v>openDomain-trans-LNGC-FST2-Cnz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Report_table_graphs!$O$130:$O$154</c:f>
              <c:numCache>
                <c:formatCode>0.000</c:formatCode>
                <c:ptCount val="25"/>
                <c:pt idx="0">
                  <c:v>-1.5138903856124051E-2</c:v>
                </c:pt>
                <c:pt idx="1">
                  <c:v>-3.4450243697726349E-3</c:v>
                </c:pt>
                <c:pt idx="2">
                  <c:v>-1.6310778005850769E-2</c:v>
                </c:pt>
                <c:pt idx="3">
                  <c:v>-4.9341427724060617E-2</c:v>
                </c:pt>
                <c:pt idx="4">
                  <c:v>-3.6561527742714102E-2</c:v>
                </c:pt>
                <c:pt idx="5">
                  <c:v>-3.708676736961581E-2</c:v>
                </c:pt>
                <c:pt idx="6">
                  <c:v>4.3715437877472601E-3</c:v>
                </c:pt>
                <c:pt idx="7">
                  <c:v>1.4474093729972647E-2</c:v>
                </c:pt>
                <c:pt idx="8">
                  <c:v>2.4527888687311799E-2</c:v>
                </c:pt>
                <c:pt idx="9">
                  <c:v>4.5068542328099155E-2</c:v>
                </c:pt>
                <c:pt idx="10">
                  <c:v>2.6617231604062666E-2</c:v>
                </c:pt>
                <c:pt idx="11">
                  <c:v>8.089149166648232E-3</c:v>
                </c:pt>
                <c:pt idx="12">
                  <c:v>4.8711285087046424E-3</c:v>
                </c:pt>
                <c:pt idx="13">
                  <c:v>-5.584112361118599E-3</c:v>
                </c:pt>
                <c:pt idx="14">
                  <c:v>-1.577731647786533E-2</c:v>
                </c:pt>
                <c:pt idx="15">
                  <c:v>-1.5502314419411394E-2</c:v>
                </c:pt>
                <c:pt idx="16">
                  <c:v>-7.1691903663474409E-3</c:v>
                </c:pt>
                <c:pt idx="17">
                  <c:v>-1.0250369073146852E-2</c:v>
                </c:pt>
                <c:pt idx="18">
                  <c:v>-1.0051842802074058E-2</c:v>
                </c:pt>
                <c:pt idx="19">
                  <c:v>1.41084342677058E-2</c:v>
                </c:pt>
                <c:pt idx="20">
                  <c:v>5.6787185902527737E-2</c:v>
                </c:pt>
                <c:pt idx="21">
                  <c:v>6.2182841782997426E-2</c:v>
                </c:pt>
                <c:pt idx="22">
                  <c:v>4.5054269252031778E-2</c:v>
                </c:pt>
                <c:pt idx="23">
                  <c:v>1.3544598226450709E-2</c:v>
                </c:pt>
                <c:pt idx="24">
                  <c:v>-1.5138903856124051E-2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90-4448-A80F-BFC518E1B26B}"/>
            </c:ext>
          </c:extLst>
        </c:ser>
        <c:ser>
          <c:idx val="2"/>
          <c:order val="2"/>
          <c:tx>
            <c:strRef>
              <c:f>Report_table_graphs!$W$129</c:f>
              <c:strCache>
                <c:ptCount val="1"/>
                <c:pt idx="0">
                  <c:v>openDomain-trans-LNGC-full-LNGC-Cnz [-]</c:v>
                </c:pt>
              </c:strCache>
            </c:strRef>
          </c:tx>
          <c:spPr>
            <a:ln w="19080">
              <a:solidFill>
                <a:srgbClr val="FFD08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Report_table_graphs!$Q$130:$Q$154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Report_table_graphs!$W$130:$W$154</c:f>
              <c:numCache>
                <c:formatCode>0.000</c:formatCode>
                <c:ptCount val="25"/>
                <c:pt idx="0">
                  <c:v>1.283160290662076E-2</c:v>
                </c:pt>
                <c:pt idx="1">
                  <c:v>-4.4866364182412272E-2</c:v>
                </c:pt>
                <c:pt idx="2">
                  <c:v>-8.9004472876238749E-2</c:v>
                </c:pt>
                <c:pt idx="3">
                  <c:v>-0.13320795541702829</c:v>
                </c:pt>
                <c:pt idx="4">
                  <c:v>-0.12868145714161811</c:v>
                </c:pt>
                <c:pt idx="5">
                  <c:v>-7.7692038989349677E-2</c:v>
                </c:pt>
                <c:pt idx="6">
                  <c:v>-3.3919090289814623E-2</c:v>
                </c:pt>
                <c:pt idx="7">
                  <c:v>-6.0372473648677332E-3</c:v>
                </c:pt>
                <c:pt idx="8">
                  <c:v>6.2936291816842165E-3</c:v>
                </c:pt>
                <c:pt idx="9">
                  <c:v>2.4289769462206703E-2</c:v>
                </c:pt>
                <c:pt idx="10">
                  <c:v>2.6886161284603513E-2</c:v>
                </c:pt>
                <c:pt idx="11">
                  <c:v>1.6043399964240201E-2</c:v>
                </c:pt>
                <c:pt idx="12">
                  <c:v>-9.0480653247131341E-3</c:v>
                </c:pt>
                <c:pt idx="13">
                  <c:v>-4.4242065661305903E-3</c:v>
                </c:pt>
                <c:pt idx="14">
                  <c:v>7.3794722355854277E-3</c:v>
                </c:pt>
                <c:pt idx="15">
                  <c:v>1.1762718276124139E-2</c:v>
                </c:pt>
                <c:pt idx="16">
                  <c:v>6.8489404242657263E-3</c:v>
                </c:pt>
                <c:pt idx="17">
                  <c:v>7.1933656711325837E-3</c:v>
                </c:pt>
                <c:pt idx="18">
                  <c:v>9.5992838942828302E-3</c:v>
                </c:pt>
                <c:pt idx="19">
                  <c:v>2.3437645957862227E-2</c:v>
                </c:pt>
                <c:pt idx="20">
                  <c:v>6.5381504464654225E-2</c:v>
                </c:pt>
                <c:pt idx="21">
                  <c:v>7.6713723710255324E-2</c:v>
                </c:pt>
                <c:pt idx="22">
                  <c:v>6.3211069751552745E-2</c:v>
                </c:pt>
                <c:pt idx="23">
                  <c:v>5.7503634312775088E-2</c:v>
                </c:pt>
                <c:pt idx="24">
                  <c:v>1.283160290662076E-2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90-4448-A80F-BFC518E1B26B}"/>
            </c:ext>
          </c:extLst>
        </c:ser>
        <c:ser>
          <c:idx val="3"/>
          <c:order val="3"/>
          <c:tx>
            <c:strRef>
              <c:f>Report_table_graphs!$G$191</c:f>
              <c:strCache>
                <c:ptCount val="1"/>
                <c:pt idx="0">
                  <c:v>openDomain-trans-full-LNGC-FST1-Cnz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Report_table_graphs!$A$192:$A$216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Report_table_graphs!$G$192:$G$216</c:f>
              <c:numCache>
                <c:formatCode>0.000</c:formatCode>
                <c:ptCount val="25"/>
                <c:pt idx="0">
                  <c:v>-3.0732806185026942E-4</c:v>
                </c:pt>
                <c:pt idx="1">
                  <c:v>7.3256668180541606E-3</c:v>
                </c:pt>
                <c:pt idx="2">
                  <c:v>1.4979899904156302E-2</c:v>
                </c:pt>
                <c:pt idx="3">
                  <c:v>3.7186576969190095E-2</c:v>
                </c:pt>
                <c:pt idx="4">
                  <c:v>3.9135231189592508E-2</c:v>
                </c:pt>
                <c:pt idx="5">
                  <c:v>7.0424792081617574E-2</c:v>
                </c:pt>
                <c:pt idx="6">
                  <c:v>7.822515169445407E-2</c:v>
                </c:pt>
                <c:pt idx="7">
                  <c:v>7.4713826011644557E-2</c:v>
                </c:pt>
                <c:pt idx="8">
                  <c:v>9.8662806116342872E-2</c:v>
                </c:pt>
                <c:pt idx="9">
                  <c:v>7.8975510645764774E-2</c:v>
                </c:pt>
                <c:pt idx="10">
                  <c:v>5.072069025386227E-2</c:v>
                </c:pt>
                <c:pt idx="11">
                  <c:v>1.4786461761926842E-2</c:v>
                </c:pt>
                <c:pt idx="12">
                  <c:v>-1.303632992011076E-3</c:v>
                </c:pt>
                <c:pt idx="13">
                  <c:v>-2.009899720684849E-2</c:v>
                </c:pt>
                <c:pt idx="14">
                  <c:v>-4.3887235057252685E-2</c:v>
                </c:pt>
                <c:pt idx="15">
                  <c:v>-6.3469593790180814E-2</c:v>
                </c:pt>
                <c:pt idx="16">
                  <c:v>-5.2750170170299863E-2</c:v>
                </c:pt>
                <c:pt idx="17">
                  <c:v>-2.4336572237763695E-2</c:v>
                </c:pt>
                <c:pt idx="18">
                  <c:v>1.8114993312356262E-2</c:v>
                </c:pt>
                <c:pt idx="19">
                  <c:v>1.4245589171026861E-2</c:v>
                </c:pt>
                <c:pt idx="20">
                  <c:v>9.5157347307516429E-3</c:v>
                </c:pt>
                <c:pt idx="21">
                  <c:v>1.3563271283856732E-2</c:v>
                </c:pt>
                <c:pt idx="22">
                  <c:v>6.6146322381068273E-3</c:v>
                </c:pt>
                <c:pt idx="23">
                  <c:v>-2.7757975526942607E-4</c:v>
                </c:pt>
                <c:pt idx="24">
                  <c:v>-3.0732806185026942E-4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90-4448-A80F-BFC518E1B26B}"/>
            </c:ext>
          </c:extLst>
        </c:ser>
        <c:ser>
          <c:idx val="4"/>
          <c:order val="4"/>
          <c:tx>
            <c:strRef>
              <c:f>Report_table_graphs!$O$191</c:f>
              <c:strCache>
                <c:ptCount val="1"/>
                <c:pt idx="0">
                  <c:v>openDomain-trans-LNGC-full-FST2-Cnz [-]</c:v>
                </c:pt>
              </c:strCache>
            </c:strRef>
          </c:tx>
          <c:spPr>
            <a:ln w="19080">
              <a:solidFill>
                <a:srgbClr val="F1A78B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Report_table_graphs!$I$192:$I$216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Report_table_graphs!$O$192:$O$216</c:f>
              <c:numCache>
                <c:formatCode>0.000</c:formatCode>
                <c:ptCount val="25"/>
                <c:pt idx="0">
                  <c:v>-1.4694895785329797E-2</c:v>
                </c:pt>
                <c:pt idx="1">
                  <c:v>-1.4115942419659194E-2</c:v>
                </c:pt>
                <c:pt idx="2">
                  <c:v>-2.5990902768138077E-2</c:v>
                </c:pt>
                <c:pt idx="3">
                  <c:v>-4.5632320175525994E-2</c:v>
                </c:pt>
                <c:pt idx="4">
                  <c:v>-3.1990396615705789E-2</c:v>
                </c:pt>
                <c:pt idx="5">
                  <c:v>-2.1221949273119049E-2</c:v>
                </c:pt>
                <c:pt idx="6">
                  <c:v>-8.9987486810873859E-4</c:v>
                </c:pt>
                <c:pt idx="7">
                  <c:v>2.1020900150785929E-3</c:v>
                </c:pt>
                <c:pt idx="8">
                  <c:v>1.0665784428295133E-2</c:v>
                </c:pt>
                <c:pt idx="9">
                  <c:v>3.3972195593518252E-2</c:v>
                </c:pt>
                <c:pt idx="10">
                  <c:v>1.0321668956104191E-2</c:v>
                </c:pt>
                <c:pt idx="11">
                  <c:v>-1.0383674230146711E-3</c:v>
                </c:pt>
                <c:pt idx="12">
                  <c:v>-6.7380365421283652E-4</c:v>
                </c:pt>
                <c:pt idx="13">
                  <c:v>6.0968114940810399E-4</c:v>
                </c:pt>
                <c:pt idx="14">
                  <c:v>-5.513126017053829E-3</c:v>
                </c:pt>
                <c:pt idx="15">
                  <c:v>-1.0250973900322029E-2</c:v>
                </c:pt>
                <c:pt idx="16">
                  <c:v>-7.5524883110639224E-3</c:v>
                </c:pt>
                <c:pt idx="17">
                  <c:v>-1.3175584946365932E-2</c:v>
                </c:pt>
                <c:pt idx="18">
                  <c:v>-1.4202039784838302E-2</c:v>
                </c:pt>
                <c:pt idx="19">
                  <c:v>2.5260510537264715E-2</c:v>
                </c:pt>
                <c:pt idx="20">
                  <c:v>3.5301204520192954E-2</c:v>
                </c:pt>
                <c:pt idx="21">
                  <c:v>3.0084686034022295E-2</c:v>
                </c:pt>
                <c:pt idx="22">
                  <c:v>2.1850040127152436E-2</c:v>
                </c:pt>
                <c:pt idx="23">
                  <c:v>1.6060638564412322E-3</c:v>
                </c:pt>
                <c:pt idx="24">
                  <c:v>-1.4694895785329797E-2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90-4448-A80F-BFC518E1B26B}"/>
            </c:ext>
          </c:extLst>
        </c:ser>
        <c:ser>
          <c:idx val="5"/>
          <c:order val="5"/>
          <c:tx>
            <c:strRef>
              <c:f>Report_table_graphs!$W$191</c:f>
              <c:strCache>
                <c:ptCount val="1"/>
                <c:pt idx="0">
                  <c:v>openDomain-trans-LNGC-light-LNGC-Cnz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Report_table_graphs!$Q$192:$Q$216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Report_table_graphs!$W$192:$W$216</c:f>
              <c:numCache>
                <c:formatCode>0.000</c:formatCode>
                <c:ptCount val="25"/>
                <c:pt idx="0">
                  <c:v>1.4582584571417348E-2</c:v>
                </c:pt>
                <c:pt idx="1">
                  <c:v>-4.7638181489594304E-2</c:v>
                </c:pt>
                <c:pt idx="2">
                  <c:v>-8.8965701108110459E-2</c:v>
                </c:pt>
                <c:pt idx="3">
                  <c:v>-0.13415503211151447</c:v>
                </c:pt>
                <c:pt idx="4">
                  <c:v>-0.16655030001899607</c:v>
                </c:pt>
                <c:pt idx="5">
                  <c:v>-9.3171626409037117E-2</c:v>
                </c:pt>
                <c:pt idx="6">
                  <c:v>-2.0085378041739422E-2</c:v>
                </c:pt>
                <c:pt idx="7">
                  <c:v>2.2468959282973981E-2</c:v>
                </c:pt>
                <c:pt idx="8">
                  <c:v>3.6471115570450581E-2</c:v>
                </c:pt>
                <c:pt idx="9">
                  <c:v>6.3561293852584091E-2</c:v>
                </c:pt>
                <c:pt idx="10">
                  <c:v>4.4806958288460166E-2</c:v>
                </c:pt>
                <c:pt idx="11">
                  <c:v>2.3777583448270339E-2</c:v>
                </c:pt>
                <c:pt idx="12">
                  <c:v>-1.3173880905189447E-2</c:v>
                </c:pt>
                <c:pt idx="13">
                  <c:v>-4.8440423496839006E-3</c:v>
                </c:pt>
                <c:pt idx="14">
                  <c:v>2.1373354346460455E-3</c:v>
                </c:pt>
                <c:pt idx="15">
                  <c:v>3.669915063511889E-3</c:v>
                </c:pt>
                <c:pt idx="16">
                  <c:v>8.0264431494380221E-3</c:v>
                </c:pt>
                <c:pt idx="17">
                  <c:v>1.562788722761662E-2</c:v>
                </c:pt>
                <c:pt idx="18">
                  <c:v>4.1155297813131916E-2</c:v>
                </c:pt>
                <c:pt idx="19">
                  <c:v>4.6616983560581422E-2</c:v>
                </c:pt>
                <c:pt idx="20">
                  <c:v>7.1605648645282349E-2</c:v>
                </c:pt>
                <c:pt idx="21">
                  <c:v>9.1428311966638212E-2</c:v>
                </c:pt>
                <c:pt idx="22">
                  <c:v>7.311964869926936E-2</c:v>
                </c:pt>
                <c:pt idx="23">
                  <c:v>6.2829223941992599E-2</c:v>
                </c:pt>
                <c:pt idx="24">
                  <c:v>1.4582584571417348E-2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90-4448-A80F-BFC518E1B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76716"/>
        <c:axId val="60878901"/>
      </c:scatterChart>
      <c:valAx>
        <c:axId val="31776716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0878901"/>
        <c:crosses val="autoZero"/>
        <c:crossBetween val="midCat"/>
        <c:majorUnit val="45"/>
        <c:minorUnit val="15"/>
      </c:valAx>
      <c:valAx>
        <c:axId val="608789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1776716"/>
        <c:crosses val="autoZero"/>
        <c:crossBetween val="midCat"/>
      </c:valAx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63582313243479605"/>
          <c:y val="0.21921201762538101"/>
          <c:w val="0.353895689487914"/>
          <c:h val="0.36610485518866998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Report_table_graphs!$J$98</c:f>
              <c:strCache>
                <c:ptCount val="1"/>
                <c:pt idx="0">
                  <c:v>openDomain-trans-FST2-Cx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Report_table_graphs!$J$99:$J$123</c:f>
              <c:numCache>
                <c:formatCode>0.000</c:formatCode>
                <c:ptCount val="25"/>
                <c:pt idx="0">
                  <c:v>1.1483789962474444</c:v>
                </c:pt>
                <c:pt idx="1">
                  <c:v>1.9275585245139257</c:v>
                </c:pt>
                <c:pt idx="2">
                  <c:v>2.3417745553932048</c:v>
                </c:pt>
                <c:pt idx="3">
                  <c:v>1.9904234021499871</c:v>
                </c:pt>
                <c:pt idx="4">
                  <c:v>0.99405776709515947</c:v>
                </c:pt>
                <c:pt idx="5">
                  <c:v>0.18953372658392481</c:v>
                </c:pt>
                <c:pt idx="6">
                  <c:v>-0.24215386754345097</c:v>
                </c:pt>
                <c:pt idx="7">
                  <c:v>-0.66075814912636155</c:v>
                </c:pt>
                <c:pt idx="8">
                  <c:v>-1.1273218481985843</c:v>
                </c:pt>
                <c:pt idx="9">
                  <c:v>-1.4621295280684921</c:v>
                </c:pt>
                <c:pt idx="10">
                  <c:v>-1.7078674316970186</c:v>
                </c:pt>
                <c:pt idx="11">
                  <c:v>-1.312824289845661</c:v>
                </c:pt>
                <c:pt idx="12">
                  <c:v>-0.36076843576635687</c:v>
                </c:pt>
                <c:pt idx="13">
                  <c:v>-0.56769555945374339</c:v>
                </c:pt>
                <c:pt idx="14">
                  <c:v>-0.76972883396227909</c:v>
                </c:pt>
                <c:pt idx="15">
                  <c:v>-0.68608656264752954</c:v>
                </c:pt>
                <c:pt idx="16">
                  <c:v>-0.33329045326772411</c:v>
                </c:pt>
                <c:pt idx="17">
                  <c:v>-6.5137815897302553E-2</c:v>
                </c:pt>
                <c:pt idx="18">
                  <c:v>-2.8721865181659513E-2</c:v>
                </c:pt>
                <c:pt idx="19">
                  <c:v>-4.4630329924838896E-2</c:v>
                </c:pt>
                <c:pt idx="20">
                  <c:v>0.48630468517293923</c:v>
                </c:pt>
                <c:pt idx="21">
                  <c:v>1.2307269020274536</c:v>
                </c:pt>
                <c:pt idx="22">
                  <c:v>1.6519395376115726</c:v>
                </c:pt>
                <c:pt idx="23">
                  <c:v>1.5041785889176194</c:v>
                </c:pt>
                <c:pt idx="24">
                  <c:v>1.1483789962474444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A-48B3-AB07-3D8283F72B28}"/>
            </c:ext>
          </c:extLst>
        </c:ser>
        <c:ser>
          <c:idx val="1"/>
          <c:order val="1"/>
          <c:tx>
            <c:strRef>
              <c:f>Report_table_graphs!$Q$94</c:f>
              <c:strCache>
                <c:ptCount val="1"/>
                <c:pt idx="0">
                  <c:v>openDomain-trans-FST2-noApp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Report_table_graphs!$Q$99:$Q$123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Report_table_graphs!$R$99:$R$123</c:f>
              <c:numCache>
                <c:formatCode>0.000</c:formatCode>
                <c:ptCount val="25"/>
                <c:pt idx="0">
                  <c:v>1.0803787885787499</c:v>
                </c:pt>
                <c:pt idx="1">
                  <c:v>1.8195306071537467</c:v>
                </c:pt>
                <c:pt idx="2">
                  <c:v>2.2384892146471547</c:v>
                </c:pt>
                <c:pt idx="3">
                  <c:v>1.9111553331036659</c:v>
                </c:pt>
                <c:pt idx="4">
                  <c:v>0.95278790382651579</c:v>
                </c:pt>
                <c:pt idx="5">
                  <c:v>0.17031345213566576</c:v>
                </c:pt>
                <c:pt idx="6">
                  <c:v>-0.24920413172706879</c:v>
                </c:pt>
                <c:pt idx="7">
                  <c:v>-0.64683915487640864</c:v>
                </c:pt>
                <c:pt idx="8">
                  <c:v>-1.0925814494658912</c:v>
                </c:pt>
                <c:pt idx="9">
                  <c:v>-1.4076823337737494</c:v>
                </c:pt>
                <c:pt idx="10">
                  <c:v>-1.6260016560698438</c:v>
                </c:pt>
                <c:pt idx="11">
                  <c:v>-1.2187863656702531</c:v>
                </c:pt>
                <c:pt idx="12">
                  <c:v>-0.28423404789843243</c:v>
                </c:pt>
                <c:pt idx="13">
                  <c:v>-0.56542569222531536</c:v>
                </c:pt>
                <c:pt idx="14">
                  <c:v>-0.76180918150815868</c:v>
                </c:pt>
                <c:pt idx="15">
                  <c:v>-0.66910254565741445</c:v>
                </c:pt>
                <c:pt idx="16">
                  <c:v>-0.32181107780492429</c:v>
                </c:pt>
                <c:pt idx="17">
                  <c:v>-7.5299599489803776E-2</c:v>
                </c:pt>
                <c:pt idx="18">
                  <c:v>-2.9150494247093192E-2</c:v>
                </c:pt>
                <c:pt idx="19">
                  <c:v>-3.9032945846428121E-2</c:v>
                </c:pt>
                <c:pt idx="20">
                  <c:v>0.47678591777463641</c:v>
                </c:pt>
                <c:pt idx="21">
                  <c:v>1.2066086250264538</c:v>
                </c:pt>
                <c:pt idx="22">
                  <c:v>1.6475931154307961</c:v>
                </c:pt>
                <c:pt idx="23">
                  <c:v>1.4989455490043124</c:v>
                </c:pt>
                <c:pt idx="24">
                  <c:v>1.0803787885787499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4A-48B3-AB07-3D8283F72B28}"/>
            </c:ext>
          </c:extLst>
        </c:ser>
        <c:ser>
          <c:idx val="2"/>
          <c:order val="2"/>
          <c:tx>
            <c:strRef>
              <c:f>Report_table_graphs!$Z$98</c:f>
              <c:strCache>
                <c:ptCount val="1"/>
                <c:pt idx="0">
                  <c:v>openDomain-trans-FST2-hull-Cx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Report_table_graphs!$Y$99:$Y$123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Report_table_graphs!$Z$99:$Z$123</c:f>
              <c:numCache>
                <c:formatCode>0.000</c:formatCode>
                <c:ptCount val="25"/>
                <c:pt idx="0">
                  <c:v>0.3924368557375737</c:v>
                </c:pt>
                <c:pt idx="1">
                  <c:v>0.44829975656125282</c:v>
                </c:pt>
                <c:pt idx="2">
                  <c:v>0.41826512164677754</c:v>
                </c:pt>
                <c:pt idx="3">
                  <c:v>0.32978874110093448</c:v>
                </c:pt>
                <c:pt idx="4">
                  <c:v>8.0095158019597434E-2</c:v>
                </c:pt>
                <c:pt idx="5">
                  <c:v>-0.15045284094733882</c:v>
                </c:pt>
                <c:pt idx="6">
                  <c:v>-0.12090543110833048</c:v>
                </c:pt>
                <c:pt idx="7">
                  <c:v>-4.1808112366362782E-2</c:v>
                </c:pt>
                <c:pt idx="8">
                  <c:v>-5.7064831790557331E-2</c:v>
                </c:pt>
                <c:pt idx="9">
                  <c:v>-7.8470141685486661E-2</c:v>
                </c:pt>
                <c:pt idx="10">
                  <c:v>-0.1281599101744901</c:v>
                </c:pt>
                <c:pt idx="11">
                  <c:v>-0.11717796283170345</c:v>
                </c:pt>
                <c:pt idx="12">
                  <c:v>-5.3346620609973999E-2</c:v>
                </c:pt>
                <c:pt idx="13">
                  <c:v>-1.7331180090555873E-2</c:v>
                </c:pt>
                <c:pt idx="14">
                  <c:v>-1.0290410590047479E-2</c:v>
                </c:pt>
                <c:pt idx="15">
                  <c:v>-1.0752033459298477E-2</c:v>
                </c:pt>
                <c:pt idx="16">
                  <c:v>1.9166364183133874E-2</c:v>
                </c:pt>
                <c:pt idx="17">
                  <c:v>2.711041770885993E-2</c:v>
                </c:pt>
                <c:pt idx="18">
                  <c:v>-5.7777702981849678E-2</c:v>
                </c:pt>
                <c:pt idx="19">
                  <c:v>-0.16929212693660958</c:v>
                </c:pt>
                <c:pt idx="20">
                  <c:v>3.3755565147033401E-2</c:v>
                </c:pt>
                <c:pt idx="21">
                  <c:v>0.26792680646465611</c:v>
                </c:pt>
                <c:pt idx="22">
                  <c:v>0.45899045735950139</c:v>
                </c:pt>
                <c:pt idx="23">
                  <c:v>0.44865286373809815</c:v>
                </c:pt>
                <c:pt idx="24">
                  <c:v>0.3924368557375737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4A-48B3-AB07-3D8283F72B28}"/>
            </c:ext>
          </c:extLst>
        </c:ser>
        <c:ser>
          <c:idx val="3"/>
          <c:order val="3"/>
          <c:tx>
            <c:strRef>
              <c:f>Report_table_graphs!$AH$98</c:f>
              <c:strCache>
                <c:ptCount val="1"/>
                <c:pt idx="0">
                  <c:v>openDomain-trans-FST2-topsides-Cx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Report_table_graphs!$AG$99:$AG$123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Report_table_graphs!$AH$99:$AH$123</c:f>
              <c:numCache>
                <c:formatCode>0.000</c:formatCode>
                <c:ptCount val="25"/>
                <c:pt idx="0">
                  <c:v>0.68794193284117622</c:v>
                </c:pt>
                <c:pt idx="1">
                  <c:v>1.3712308417929728</c:v>
                </c:pt>
                <c:pt idx="2">
                  <c:v>1.8202241017998981</c:v>
                </c:pt>
                <c:pt idx="3">
                  <c:v>1.5813665964024921</c:v>
                </c:pt>
                <c:pt idx="4">
                  <c:v>0.87269275020667891</c:v>
                </c:pt>
                <c:pt idx="5">
                  <c:v>0.32076629308300464</c:v>
                </c:pt>
                <c:pt idx="6">
                  <c:v>-0.12829869621897785</c:v>
                </c:pt>
                <c:pt idx="7">
                  <c:v>-0.60503104690980625</c:v>
                </c:pt>
                <c:pt idx="8">
                  <c:v>-1.0355166176753339</c:v>
                </c:pt>
                <c:pt idx="9">
                  <c:v>-1.3292121920882629</c:v>
                </c:pt>
                <c:pt idx="10">
                  <c:v>-1.4978417458953535</c:v>
                </c:pt>
                <c:pt idx="11">
                  <c:v>-1.101608398438789</c:v>
                </c:pt>
                <c:pt idx="12">
                  <c:v>-0.23088742728845843</c:v>
                </c:pt>
                <c:pt idx="13">
                  <c:v>-0.5480945165345199</c:v>
                </c:pt>
                <c:pt idx="14">
                  <c:v>-0.7515187753178717</c:v>
                </c:pt>
                <c:pt idx="15">
                  <c:v>-0.65835051659787647</c:v>
                </c:pt>
                <c:pt idx="16">
                  <c:v>-0.34097744198805824</c:v>
                </c:pt>
                <c:pt idx="17">
                  <c:v>-0.10241001719866372</c:v>
                </c:pt>
                <c:pt idx="18">
                  <c:v>2.8627208734756483E-2</c:v>
                </c:pt>
                <c:pt idx="19">
                  <c:v>0.13025918109018148</c:v>
                </c:pt>
                <c:pt idx="20">
                  <c:v>0.44303035262760304</c:v>
                </c:pt>
                <c:pt idx="21">
                  <c:v>0.93868181416203722</c:v>
                </c:pt>
                <c:pt idx="22">
                  <c:v>1.1886026580712947</c:v>
                </c:pt>
                <c:pt idx="23">
                  <c:v>1.0502926852662142</c:v>
                </c:pt>
                <c:pt idx="24">
                  <c:v>0.68794193284117622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4A-48B3-AB07-3D8283F72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31880"/>
        <c:axId val="40707348"/>
      </c:scatterChart>
      <c:valAx>
        <c:axId val="94031880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0707348"/>
        <c:crosses val="autoZero"/>
        <c:crossBetween val="midCat"/>
        <c:majorUnit val="45"/>
        <c:minorUnit val="15"/>
      </c:valAx>
      <c:valAx>
        <c:axId val="407073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4031880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Report_table_graphs!$K$98</c:f>
              <c:strCache>
                <c:ptCount val="1"/>
                <c:pt idx="0">
                  <c:v>openDomain-trans-FST2-Cy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0.16832198810595408</c:v>
                </c:pt>
                <c:pt idx="2">
                  <c:v>0.42643695493558392</c:v>
                </c:pt>
                <c:pt idx="3">
                  <c:v>0.69077584455462404</c:v>
                </c:pt>
                <c:pt idx="4">
                  <c:v>0.8401202816692005</c:v>
                </c:pt>
                <c:pt idx="5">
                  <c:v>0.91028890313274591</c:v>
                </c:pt>
                <c:pt idx="6">
                  <c:v>0.8451915096971413</c:v>
                </c:pt>
                <c:pt idx="7">
                  <c:v>0.69474163774771447</c:v>
                </c:pt>
                <c:pt idx="8">
                  <c:v>0.61567895820789031</c:v>
                </c:pt>
                <c:pt idx="9">
                  <c:v>0.50820251740087519</c:v>
                </c:pt>
                <c:pt idx="10">
                  <c:v>0.32900504106829115</c:v>
                </c:pt>
                <c:pt idx="11">
                  <c:v>0.15507703001309214</c:v>
                </c:pt>
                <c:pt idx="12">
                  <c:v>1.5082188803506088E-2</c:v>
                </c:pt>
                <c:pt idx="13">
                  <c:v>-9.5262073500097993E-2</c:v>
                </c:pt>
                <c:pt idx="14">
                  <c:v>-0.29149872927687759</c:v>
                </c:pt>
                <c:pt idx="15">
                  <c:v>-0.48429310322746238</c:v>
                </c:pt>
                <c:pt idx="16">
                  <c:v>-0.63104189182617643</c:v>
                </c:pt>
                <c:pt idx="17">
                  <c:v>-0.74351561547805378</c:v>
                </c:pt>
                <c:pt idx="18">
                  <c:v>-0.90183282239285556</c:v>
                </c:pt>
                <c:pt idx="19">
                  <c:v>-0.98369749072294377</c:v>
                </c:pt>
                <c:pt idx="20">
                  <c:v>-0.99232492685845597</c:v>
                </c:pt>
                <c:pt idx="21">
                  <c:v>-0.80561359761879003</c:v>
                </c:pt>
                <c:pt idx="22">
                  <c:v>-0.50336271849540259</c:v>
                </c:pt>
                <c:pt idx="23">
                  <c:v>-0.21209209130869996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6-4D1C-BD3B-05FE211DF4A1}"/>
            </c:ext>
          </c:extLst>
        </c:ser>
        <c:ser>
          <c:idx val="1"/>
          <c:order val="1"/>
          <c:tx>
            <c:strRef>
              <c:f>Report_table_graphs!$S$98</c:f>
              <c:strCache>
                <c:ptCount val="1"/>
                <c:pt idx="0">
                  <c:v>openDomain-trans-FST2-noApp-Cy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Report_table_graphs!$Q$99:$Q$123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Report_table_graphs!$S$99:$S$123</c:f>
              <c:numCache>
                <c:formatCode>0.000</c:formatCode>
                <c:ptCount val="25"/>
                <c:pt idx="0">
                  <c:v>-1.0514907869324569E-2</c:v>
                </c:pt>
                <c:pt idx="1">
                  <c:v>0.17230035124292778</c:v>
                </c:pt>
                <c:pt idx="2">
                  <c:v>0.42269495948463892</c:v>
                </c:pt>
                <c:pt idx="3">
                  <c:v>0.67658856600134998</c:v>
                </c:pt>
                <c:pt idx="4">
                  <c:v>0.80933424051674108</c:v>
                </c:pt>
                <c:pt idx="5">
                  <c:v>0.87163082002036008</c:v>
                </c:pt>
                <c:pt idx="6">
                  <c:v>0.80644001353686268</c:v>
                </c:pt>
                <c:pt idx="7">
                  <c:v>0.65646175881199242</c:v>
                </c:pt>
                <c:pt idx="8">
                  <c:v>0.58363983854630619</c:v>
                </c:pt>
                <c:pt idx="9">
                  <c:v>0.48858489549077955</c:v>
                </c:pt>
                <c:pt idx="10">
                  <c:v>0.32454310796517527</c:v>
                </c:pt>
                <c:pt idx="11">
                  <c:v>0.15926377217692686</c:v>
                </c:pt>
                <c:pt idx="12">
                  <c:v>2.0218067118056102E-2</c:v>
                </c:pt>
                <c:pt idx="13">
                  <c:v>-8.8451814199046047E-2</c:v>
                </c:pt>
                <c:pt idx="14">
                  <c:v>-0.27949160205536877</c:v>
                </c:pt>
                <c:pt idx="15">
                  <c:v>-0.46756542946906571</c:v>
                </c:pt>
                <c:pt idx="16">
                  <c:v>-0.60771061851184405</c:v>
                </c:pt>
                <c:pt idx="17">
                  <c:v>-0.72004170605112039</c:v>
                </c:pt>
                <c:pt idx="18">
                  <c:v>-0.87088551374695244</c:v>
                </c:pt>
                <c:pt idx="19">
                  <c:v>-0.95367166132663805</c:v>
                </c:pt>
                <c:pt idx="20">
                  <c:v>-0.96787269791458874</c:v>
                </c:pt>
                <c:pt idx="21">
                  <c:v>-0.78769347011783886</c:v>
                </c:pt>
                <c:pt idx="22">
                  <c:v>-0.49023444660843324</c:v>
                </c:pt>
                <c:pt idx="23">
                  <c:v>-0.20473044823867903</c:v>
                </c:pt>
                <c:pt idx="24">
                  <c:v>-1.0514907869324569E-2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6-4D1C-BD3B-05FE211DF4A1}"/>
            </c:ext>
          </c:extLst>
        </c:ser>
        <c:ser>
          <c:idx val="2"/>
          <c:order val="2"/>
          <c:tx>
            <c:strRef>
              <c:f>Report_table_graphs!$AA$98</c:f>
              <c:strCache>
                <c:ptCount val="1"/>
                <c:pt idx="0">
                  <c:v>openDomain-trans-FST2-hull-Cy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Report_table_graphs!$Y$99:$Y$123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Report_table_graphs!$AA$99:$AA$123</c:f>
              <c:numCache>
                <c:formatCode>0.000</c:formatCode>
                <c:ptCount val="25"/>
                <c:pt idx="0">
                  <c:v>-1.506835326409987E-2</c:v>
                </c:pt>
                <c:pt idx="1">
                  <c:v>0.10222350199543961</c:v>
                </c:pt>
                <c:pt idx="2">
                  <c:v>0.25607642609056835</c:v>
                </c:pt>
                <c:pt idx="3">
                  <c:v>0.42377429980029774</c:v>
                </c:pt>
                <c:pt idx="4">
                  <c:v>0.53713233729358878</c:v>
                </c:pt>
                <c:pt idx="5">
                  <c:v>0.59532458484520734</c:v>
                </c:pt>
                <c:pt idx="6">
                  <c:v>0.56325136310261636</c:v>
                </c:pt>
                <c:pt idx="7">
                  <c:v>0.4501340250535929</c:v>
                </c:pt>
                <c:pt idx="8">
                  <c:v>0.37248182384129602</c:v>
                </c:pt>
                <c:pt idx="9">
                  <c:v>0.28155799062183323</c:v>
                </c:pt>
                <c:pt idx="10">
                  <c:v>0.16951348721708354</c:v>
                </c:pt>
                <c:pt idx="11">
                  <c:v>7.2877715164353277E-2</c:v>
                </c:pt>
                <c:pt idx="12">
                  <c:v>1.1851330427756638E-2</c:v>
                </c:pt>
                <c:pt idx="13">
                  <c:v>-4.0877361100064326E-2</c:v>
                </c:pt>
                <c:pt idx="14">
                  <c:v>-0.14007012949291728</c:v>
                </c:pt>
                <c:pt idx="15">
                  <c:v>-0.26559072238141412</c:v>
                </c:pt>
                <c:pt idx="16">
                  <c:v>-0.37735146301282912</c:v>
                </c:pt>
                <c:pt idx="17">
                  <c:v>-0.47191813005284172</c:v>
                </c:pt>
                <c:pt idx="18">
                  <c:v>-0.57407741843466065</c:v>
                </c:pt>
                <c:pt idx="19">
                  <c:v>-0.63600273138009134</c:v>
                </c:pt>
                <c:pt idx="20">
                  <c:v>-0.61709566148845285</c:v>
                </c:pt>
                <c:pt idx="21">
                  <c:v>-0.47916903304201486</c:v>
                </c:pt>
                <c:pt idx="22">
                  <c:v>-0.28672688406081681</c:v>
                </c:pt>
                <c:pt idx="23">
                  <c:v>-0.12187015698819267</c:v>
                </c:pt>
                <c:pt idx="24">
                  <c:v>-1.506835326409987E-2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6-4D1C-BD3B-05FE211DF4A1}"/>
            </c:ext>
          </c:extLst>
        </c:ser>
        <c:ser>
          <c:idx val="3"/>
          <c:order val="3"/>
          <c:tx>
            <c:strRef>
              <c:f>Report_table_graphs!$AI$98</c:f>
              <c:strCache>
                <c:ptCount val="1"/>
                <c:pt idx="0">
                  <c:v>openDomain-trans-FST2-topsides-Cy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Report_table_graphs!$AG$99:$AG$123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Report_table_graphs!$AI$99:$AI$122</c:f>
              <c:numCache>
                <c:formatCode>0.000</c:formatCode>
                <c:ptCount val="24"/>
                <c:pt idx="0">
                  <c:v>4.5534453947753024E-3</c:v>
                </c:pt>
                <c:pt idx="1">
                  <c:v>7.0076849247488152E-2</c:v>
                </c:pt>
                <c:pt idx="2">
                  <c:v>0.16661853433925022</c:v>
                </c:pt>
                <c:pt idx="3">
                  <c:v>0.25281426714623195</c:v>
                </c:pt>
                <c:pt idx="4">
                  <c:v>0.27220190416833201</c:v>
                </c:pt>
                <c:pt idx="5">
                  <c:v>0.27630623328479365</c:v>
                </c:pt>
                <c:pt idx="6">
                  <c:v>0.24318864948906663</c:v>
                </c:pt>
                <c:pt idx="7">
                  <c:v>0.20632773375839952</c:v>
                </c:pt>
                <c:pt idx="8">
                  <c:v>0.21115801375983054</c:v>
                </c:pt>
                <c:pt idx="9">
                  <c:v>0.20702690486894634</c:v>
                </c:pt>
                <c:pt idx="10">
                  <c:v>0.15502962263845099</c:v>
                </c:pt>
                <c:pt idx="11">
                  <c:v>8.6386056067393954E-2</c:v>
                </c:pt>
                <c:pt idx="12">
                  <c:v>8.3667366902994648E-3</c:v>
                </c:pt>
                <c:pt idx="13">
                  <c:v>-4.7574453098981714E-2</c:v>
                </c:pt>
                <c:pt idx="14">
                  <c:v>-0.13942147350763109</c:v>
                </c:pt>
                <c:pt idx="15">
                  <c:v>-0.20197470614247193</c:v>
                </c:pt>
                <c:pt idx="16">
                  <c:v>-0.23035915549901492</c:v>
                </c:pt>
                <c:pt idx="17">
                  <c:v>-0.24812357505309901</c:v>
                </c:pt>
                <c:pt idx="18">
                  <c:v>-0.29680809531229185</c:v>
                </c:pt>
                <c:pt idx="19">
                  <c:v>-0.31766892522064866</c:v>
                </c:pt>
                <c:pt idx="20">
                  <c:v>-0.35077703737131555</c:v>
                </c:pt>
                <c:pt idx="21">
                  <c:v>-0.30852443707582405</c:v>
                </c:pt>
                <c:pt idx="22">
                  <c:v>-0.20350756443797563</c:v>
                </c:pt>
                <c:pt idx="23">
                  <c:v>-8.2860292195665985E-2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6-4D1C-BD3B-05FE211DF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28608"/>
        <c:axId val="13984216"/>
      </c:scatterChart>
      <c:valAx>
        <c:axId val="23228608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984216"/>
        <c:crosses val="autoZero"/>
        <c:crossBetween val="midCat"/>
        <c:majorUnit val="45"/>
        <c:minorUnit val="15"/>
      </c:valAx>
      <c:valAx>
        <c:axId val="139842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3228608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Report_table_graphs!$O$98</c:f>
              <c:strCache>
                <c:ptCount val="1"/>
                <c:pt idx="0">
                  <c:v>openDomain-trans-FST2-Cnz [-]</c:v>
                </c:pt>
              </c:strCache>
            </c:strRef>
          </c:tx>
          <c:spPr>
            <a:ln w="19080">
              <a:solidFill>
                <a:srgbClr val="98B8D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Report_table_graphs!$O$99:$O$123</c:f>
              <c:numCache>
                <c:formatCode>0.000</c:formatCode>
                <c:ptCount val="25"/>
                <c:pt idx="0">
                  <c:v>2.0311551388381617E-3</c:v>
                </c:pt>
                <c:pt idx="1">
                  <c:v>-5.3063096429537522E-3</c:v>
                </c:pt>
                <c:pt idx="2">
                  <c:v>-3.1570871238205754E-2</c:v>
                </c:pt>
                <c:pt idx="3">
                  <c:v>-5.0318236155915921E-2</c:v>
                </c:pt>
                <c:pt idx="4">
                  <c:v>-4.3891005285276646E-2</c:v>
                </c:pt>
                <c:pt idx="5">
                  <c:v>-7.3834850787607639E-3</c:v>
                </c:pt>
                <c:pt idx="6">
                  <c:v>6.1241671554238741E-3</c:v>
                </c:pt>
                <c:pt idx="7">
                  <c:v>1.8763166511262901E-2</c:v>
                </c:pt>
                <c:pt idx="8">
                  <c:v>2.4069640478497044E-2</c:v>
                </c:pt>
                <c:pt idx="9">
                  <c:v>1.9739549258734508E-2</c:v>
                </c:pt>
                <c:pt idx="10">
                  <c:v>1.6955247886949094E-2</c:v>
                </c:pt>
                <c:pt idx="11">
                  <c:v>1.0222322888341732E-2</c:v>
                </c:pt>
                <c:pt idx="12">
                  <c:v>2.9094320775928605E-3</c:v>
                </c:pt>
                <c:pt idx="13">
                  <c:v>-6.7881479172653509E-3</c:v>
                </c:pt>
                <c:pt idx="14">
                  <c:v>-1.9767098691641942E-2</c:v>
                </c:pt>
                <c:pt idx="15">
                  <c:v>-2.4657546739789142E-2</c:v>
                </c:pt>
                <c:pt idx="16">
                  <c:v>-2.5353054516261887E-2</c:v>
                </c:pt>
                <c:pt idx="17">
                  <c:v>-2.0910625343794242E-2</c:v>
                </c:pt>
                <c:pt idx="18">
                  <c:v>-1.6928012813333716E-2</c:v>
                </c:pt>
                <c:pt idx="19">
                  <c:v>2.5348189036430928E-2</c:v>
                </c:pt>
                <c:pt idx="20">
                  <c:v>7.7985920971555114E-2</c:v>
                </c:pt>
                <c:pt idx="21">
                  <c:v>8.4798648958096537E-2</c:v>
                </c:pt>
                <c:pt idx="22">
                  <c:v>5.6253368482587503E-2</c:v>
                </c:pt>
                <c:pt idx="23">
                  <c:v>2.9533074647767193E-2</c:v>
                </c:pt>
                <c:pt idx="24">
                  <c:v>2.0311551388381617E-3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4-48DD-875B-84EEC285ADFA}"/>
            </c:ext>
          </c:extLst>
        </c:ser>
        <c:ser>
          <c:idx val="1"/>
          <c:order val="1"/>
          <c:tx>
            <c:strRef>
              <c:f>Report_table_graphs!$W$98</c:f>
              <c:strCache>
                <c:ptCount val="1"/>
                <c:pt idx="0">
                  <c:v>openDomain-trans-FST2-noApp-Cnz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Report_table_graphs!$Q$99:$Q$123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Report_table_graphs!$W$99:$W$123</c:f>
              <c:numCache>
                <c:formatCode>0.000</c:formatCode>
                <c:ptCount val="25"/>
                <c:pt idx="0">
                  <c:v>9.1443964070922294E-4</c:v>
                </c:pt>
                <c:pt idx="1">
                  <c:v>-7.7491825579666142E-3</c:v>
                </c:pt>
                <c:pt idx="2">
                  <c:v>-3.5939121476558658E-2</c:v>
                </c:pt>
                <c:pt idx="3">
                  <c:v>-5.7144794593064902E-2</c:v>
                </c:pt>
                <c:pt idx="4">
                  <c:v>-5.387961965324381E-2</c:v>
                </c:pt>
                <c:pt idx="5">
                  <c:v>-1.8989871317276738E-2</c:v>
                </c:pt>
                <c:pt idx="6">
                  <c:v>-5.0952171265562715E-3</c:v>
                </c:pt>
                <c:pt idx="7">
                  <c:v>7.9224023678137849E-3</c:v>
                </c:pt>
                <c:pt idx="8">
                  <c:v>1.568285406770303E-2</c:v>
                </c:pt>
                <c:pt idx="9">
                  <c:v>1.5553889744669638E-2</c:v>
                </c:pt>
                <c:pt idx="10">
                  <c:v>1.8226145250631865E-2</c:v>
                </c:pt>
                <c:pt idx="11">
                  <c:v>1.4260893705824014E-2</c:v>
                </c:pt>
                <c:pt idx="12">
                  <c:v>6.8605184989173193E-3</c:v>
                </c:pt>
                <c:pt idx="13">
                  <c:v>-4.6864738420725281E-3</c:v>
                </c:pt>
                <c:pt idx="14">
                  <c:v>-1.5899859075101677E-2</c:v>
                </c:pt>
                <c:pt idx="15">
                  <c:v>-1.9344466002344938E-2</c:v>
                </c:pt>
                <c:pt idx="16">
                  <c:v>-1.8229499121714465E-2</c:v>
                </c:pt>
                <c:pt idx="17">
                  <c:v>-1.4278763981711042E-2</c:v>
                </c:pt>
                <c:pt idx="18">
                  <c:v>-7.8561411207329138E-3</c:v>
                </c:pt>
                <c:pt idx="19">
                  <c:v>3.4632198330112177E-2</c:v>
                </c:pt>
                <c:pt idx="20">
                  <c:v>8.454650774305536E-2</c:v>
                </c:pt>
                <c:pt idx="21">
                  <c:v>8.9056536992703356E-2</c:v>
                </c:pt>
                <c:pt idx="22">
                  <c:v>5.9777108996574693E-2</c:v>
                </c:pt>
                <c:pt idx="23">
                  <c:v>3.1433512960759885E-2</c:v>
                </c:pt>
                <c:pt idx="24">
                  <c:v>9.1443964070922294E-4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F4-48DD-875B-84EEC285ADFA}"/>
            </c:ext>
          </c:extLst>
        </c:ser>
        <c:ser>
          <c:idx val="2"/>
          <c:order val="2"/>
          <c:tx>
            <c:strRef>
              <c:f>Report_table_graphs!$AE$98</c:f>
              <c:strCache>
                <c:ptCount val="1"/>
                <c:pt idx="0">
                  <c:v>openDomain-trans-FST2-hull-Cnz [-]</c:v>
                </c:pt>
              </c:strCache>
            </c:strRef>
          </c:tx>
          <c:spPr>
            <a:ln w="19080">
              <a:solidFill>
                <a:srgbClr val="3C65AE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Report_table_graphs!$Y$99:$Y$123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Report_table_graphs!$AE$99:$AE$123</c:f>
              <c:numCache>
                <c:formatCode>0.000</c:formatCode>
                <c:ptCount val="25"/>
                <c:pt idx="0">
                  <c:v>4.5801078196609874E-3</c:v>
                </c:pt>
                <c:pt idx="1">
                  <c:v>-1.7902883055801504E-2</c:v>
                </c:pt>
                <c:pt idx="2">
                  <c:v>-3.8696872527758434E-2</c:v>
                </c:pt>
                <c:pt idx="3">
                  <c:v>-5.3472920099157613E-2</c:v>
                </c:pt>
                <c:pt idx="4">
                  <c:v>-5.1685763482007971E-2</c:v>
                </c:pt>
                <c:pt idx="5">
                  <c:v>-2.4882934027179938E-2</c:v>
                </c:pt>
                <c:pt idx="6">
                  <c:v>-1.0236950364144759E-2</c:v>
                </c:pt>
                <c:pt idx="7">
                  <c:v>5.8060033744461517E-3</c:v>
                </c:pt>
                <c:pt idx="8">
                  <c:v>1.3276793006929273E-2</c:v>
                </c:pt>
                <c:pt idx="9">
                  <c:v>1.7767401768278943E-2</c:v>
                </c:pt>
                <c:pt idx="10">
                  <c:v>1.8499606147006686E-2</c:v>
                </c:pt>
                <c:pt idx="11">
                  <c:v>1.6044615539426637E-2</c:v>
                </c:pt>
                <c:pt idx="12">
                  <c:v>5.7354274981506487E-3</c:v>
                </c:pt>
                <c:pt idx="13">
                  <c:v>-9.1586249337194843E-3</c:v>
                </c:pt>
                <c:pt idx="14">
                  <c:v>-1.2741842955703334E-2</c:v>
                </c:pt>
                <c:pt idx="15">
                  <c:v>-1.403000625114159E-2</c:v>
                </c:pt>
                <c:pt idx="16">
                  <c:v>-1.7228120590270114E-2</c:v>
                </c:pt>
                <c:pt idx="17">
                  <c:v>-1.336284957574459E-2</c:v>
                </c:pt>
                <c:pt idx="18">
                  <c:v>-4.4867121244293595E-3</c:v>
                </c:pt>
                <c:pt idx="19">
                  <c:v>2.6172767841155211E-2</c:v>
                </c:pt>
                <c:pt idx="20">
                  <c:v>5.8760643709223556E-2</c:v>
                </c:pt>
                <c:pt idx="21">
                  <c:v>5.8697615953181584E-2</c:v>
                </c:pt>
                <c:pt idx="22">
                  <c:v>4.3585862044883877E-2</c:v>
                </c:pt>
                <c:pt idx="23">
                  <c:v>2.6961341356874606E-2</c:v>
                </c:pt>
                <c:pt idx="24">
                  <c:v>4.5801078196609874E-3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F4-48DD-875B-84EEC285ADFA}"/>
            </c:ext>
          </c:extLst>
        </c:ser>
        <c:ser>
          <c:idx val="3"/>
          <c:order val="3"/>
          <c:tx>
            <c:strRef>
              <c:f>Report_table_graphs!$AM$98</c:f>
              <c:strCache>
                <c:ptCount val="1"/>
                <c:pt idx="0">
                  <c:v>openDomain-trans-FST2-topsides-Cnz [-]</c:v>
                </c:pt>
              </c:strCache>
            </c:strRef>
          </c:tx>
          <c:spPr>
            <a:ln w="19080">
              <a:solidFill>
                <a:srgbClr val="639A3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Report_table_graphs!$AG$99:$AG$123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Report_table_graphs!$AM$99:$AM$123</c:f>
              <c:numCache>
                <c:formatCode>0.000</c:formatCode>
                <c:ptCount val="25"/>
                <c:pt idx="0">
                  <c:v>-3.6656681743318913E-3</c:v>
                </c:pt>
                <c:pt idx="1">
                  <c:v>1.0153700465495775E-2</c:v>
                </c:pt>
                <c:pt idx="2">
                  <c:v>2.7577510650593994E-3</c:v>
                </c:pt>
                <c:pt idx="3">
                  <c:v>-3.671874891216417E-3</c:v>
                </c:pt>
                <c:pt idx="4">
                  <c:v>-2.1938557785465933E-3</c:v>
                </c:pt>
                <c:pt idx="5">
                  <c:v>5.8930628069205461E-3</c:v>
                </c:pt>
                <c:pt idx="6">
                  <c:v>5.1417332976468437E-3</c:v>
                </c:pt>
                <c:pt idx="7">
                  <c:v>2.1163989887477597E-3</c:v>
                </c:pt>
                <c:pt idx="8">
                  <c:v>2.4060610515340081E-3</c:v>
                </c:pt>
                <c:pt idx="9">
                  <c:v>-2.2135120189894324E-3</c:v>
                </c:pt>
                <c:pt idx="10">
                  <c:v>-2.7346087789532333E-4</c:v>
                </c:pt>
                <c:pt idx="11">
                  <c:v>-1.7837217920237602E-3</c:v>
                </c:pt>
                <c:pt idx="12">
                  <c:v>1.125090982287177E-3</c:v>
                </c:pt>
                <c:pt idx="13">
                  <c:v>4.4721510731674623E-3</c:v>
                </c:pt>
                <c:pt idx="14">
                  <c:v>-3.1580160685797387E-3</c:v>
                </c:pt>
                <c:pt idx="15">
                  <c:v>-5.3144597696828414E-3</c:v>
                </c:pt>
                <c:pt idx="16">
                  <c:v>-1.0013785591635928E-3</c:v>
                </c:pt>
                <c:pt idx="17">
                  <c:v>-9.159144152061984E-4</c:v>
                </c:pt>
                <c:pt idx="18">
                  <c:v>-3.3694290425022888E-3</c:v>
                </c:pt>
                <c:pt idx="19">
                  <c:v>8.4594305120563283E-3</c:v>
                </c:pt>
                <c:pt idx="20">
                  <c:v>2.5785863747399655E-2</c:v>
                </c:pt>
                <c:pt idx="21">
                  <c:v>3.0358920743849861E-2</c:v>
                </c:pt>
                <c:pt idx="22">
                  <c:v>1.6191246836193982E-2</c:v>
                </c:pt>
                <c:pt idx="23">
                  <c:v>4.472171608505153E-3</c:v>
                </c:pt>
                <c:pt idx="24">
                  <c:v>-3.6656681743318913E-3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F4-48DD-875B-84EEC285A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87247"/>
        <c:axId val="7568065"/>
      </c:scatterChart>
      <c:valAx>
        <c:axId val="92187247"/>
        <c:scaling>
          <c:orientation val="minMax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68065"/>
        <c:crosses val="autoZero"/>
        <c:crossBetween val="midCat"/>
        <c:majorUnit val="45"/>
        <c:minorUnit val="15"/>
      </c:valAx>
      <c:valAx>
        <c:axId val="75680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Cnz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8724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Report_table_graphs!$B$5</c:f>
              <c:strCache>
                <c:ptCount val="1"/>
                <c:pt idx="0">
                  <c:v>openDomain-long-FST1-Cx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Report_table_graphs!$A$6:$A$12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Report_table_graphs!$B$6:$B$30</c:f>
              <c:numCache>
                <c:formatCode>General</c:formatCode>
                <c:ptCount val="25"/>
                <c:pt idx="0" formatCode="0.000">
                  <c:v>0.17973342291245667</c:v>
                </c:pt>
                <c:pt idx="2" formatCode="0.000">
                  <c:v>0.50444916098767589</c:v>
                </c:pt>
                <c:pt idx="3" formatCode="0.000">
                  <c:v>0.32277978626843556</c:v>
                </c:pt>
                <c:pt idx="4" formatCode="0.000">
                  <c:v>0.13943987089342857</c:v>
                </c:pt>
                <c:pt idx="6" formatCode="0.000">
                  <c:v>0.28081580798741324</c:v>
                </c:pt>
                <c:pt idx="18" formatCode="0.000">
                  <c:v>0.1421122942067034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5-4930-81E1-1C10DA0ED4C4}"/>
            </c:ext>
          </c:extLst>
        </c:ser>
        <c:ser>
          <c:idx val="1"/>
          <c:order val="1"/>
          <c:tx>
            <c:strRef>
              <c:f>Report_table_graphs!$B$36</c:f>
              <c:strCache>
                <c:ptCount val="1"/>
                <c:pt idx="0">
                  <c:v>topoDomain-long-FST1-Cx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Report_table_graphs!$A$37:$A$61</c:f>
              <c:numCache>
                <c:formatCode>General</c:formatCode>
                <c:ptCount val="25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Report_table_graphs!$B$37:$B$43</c:f>
              <c:numCache>
                <c:formatCode>General</c:formatCode>
                <c:ptCount val="7"/>
                <c:pt idx="0" formatCode="0.000">
                  <c:v>0.373139765871146</c:v>
                </c:pt>
                <c:pt idx="2" formatCode="0.000">
                  <c:v>0.81364600231163431</c:v>
                </c:pt>
                <c:pt idx="3" formatCode="0.000">
                  <c:v>0.67451451502980175</c:v>
                </c:pt>
                <c:pt idx="4" formatCode="0.000">
                  <c:v>0.32790572281245017</c:v>
                </c:pt>
                <c:pt idx="6" formatCode="0.000">
                  <c:v>0.25532706279470146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65-4930-81E1-1C10DA0ED4C4}"/>
            </c:ext>
          </c:extLst>
        </c:ser>
        <c:ser>
          <c:idx val="2"/>
          <c:order val="2"/>
          <c:tx>
            <c:strRef>
              <c:f>Report_table_graphs!$J$5</c:f>
              <c:strCache>
                <c:ptCount val="1"/>
                <c:pt idx="0">
                  <c:v>openDomain-long-FST2-Cx [-]</c:v>
                </c:pt>
              </c:strCache>
            </c:strRef>
          </c:tx>
          <c:spPr>
            <a:ln w="19080" cap="rnd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Report_table_graphs!$I$6:$I$11</c:f>
              <c:numCache>
                <c:formatCode>General</c:formatCode>
                <c:ptCount val="6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Report_table_graphs!$J$6:$J$30</c:f>
              <c:numCache>
                <c:formatCode>General</c:formatCode>
                <c:ptCount val="25"/>
                <c:pt idx="0" formatCode="0.000">
                  <c:v>0.69236329614215808</c:v>
                </c:pt>
                <c:pt idx="2" formatCode="0.000">
                  <c:v>0.90796016544859315</c:v>
                </c:pt>
                <c:pt idx="3" formatCode="0.000">
                  <c:v>0.70221613735348265</c:v>
                </c:pt>
                <c:pt idx="4" formatCode="0.000">
                  <c:v>8.3957844134965293E-2</c:v>
                </c:pt>
                <c:pt idx="6" formatCode="0.000">
                  <c:v>-0.2231348601382141</c:v>
                </c:pt>
                <c:pt idx="18" formatCode="0.000">
                  <c:v>-6.8140538029109701E-2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65-4930-81E1-1C10DA0ED4C4}"/>
            </c:ext>
          </c:extLst>
        </c:ser>
        <c:ser>
          <c:idx val="3"/>
          <c:order val="3"/>
          <c:tx>
            <c:strRef>
              <c:f>Report_table_graphs!$J$36</c:f>
              <c:strCache>
                <c:ptCount val="1"/>
                <c:pt idx="0">
                  <c:v>topoDomain-long-FST2-Cx [-]</c:v>
                </c:pt>
              </c:strCache>
            </c:strRef>
          </c:tx>
          <c:spPr>
            <a:ln w="19080" cap="rnd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Report_table_graphs!$I$37:$I$43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Report_table_graphs!$J$37:$J$61</c:f>
              <c:numCache>
                <c:formatCode>General</c:formatCode>
                <c:ptCount val="25"/>
                <c:pt idx="0" formatCode="0.000">
                  <c:v>0.92177447619751585</c:v>
                </c:pt>
                <c:pt idx="2" formatCode="0.000">
                  <c:v>0.94208337018132748</c:v>
                </c:pt>
                <c:pt idx="3" formatCode="0.000">
                  <c:v>0.68900394262536346</c:v>
                </c:pt>
                <c:pt idx="4" formatCode="0.000">
                  <c:v>0.21358990536555192</c:v>
                </c:pt>
                <c:pt idx="6" formatCode="0.000">
                  <c:v>-2.7196705811335632E-2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65-4930-81E1-1C10DA0ED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2272"/>
        <c:axId val="8930820"/>
      </c:scatterChart>
      <c:valAx>
        <c:axId val="35922272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30820"/>
        <c:crosses val="autoZero"/>
        <c:crossBetween val="midCat"/>
        <c:majorUnit val="45"/>
        <c:minorUnit val="15"/>
      </c:valAx>
      <c:valAx>
        <c:axId val="89308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592227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Report_table_graphs!$C$5</c:f>
              <c:strCache>
                <c:ptCount val="1"/>
                <c:pt idx="0">
                  <c:v>openDomain-long-FST1-Cy [-]</c:v>
                </c:pt>
              </c:strCache>
            </c:strRef>
          </c:tx>
          <c:spPr>
            <a:ln w="19080">
              <a:solidFill>
                <a:srgbClr val="FFC0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Report_table_graphs!$A$6:$A$12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Report_table_graphs!$C$6:$C$30</c:f>
              <c:numCache>
                <c:formatCode>General</c:formatCode>
                <c:ptCount val="25"/>
                <c:pt idx="0" formatCode="0.000">
                  <c:v>9.6128369382248082E-3</c:v>
                </c:pt>
                <c:pt idx="2" formatCode="0.000">
                  <c:v>0.35842049519945629</c:v>
                </c:pt>
                <c:pt idx="3" formatCode="0.000">
                  <c:v>0.60480998321408241</c:v>
                </c:pt>
                <c:pt idx="4" formatCode="0.000">
                  <c:v>0.79547344402048414</c:v>
                </c:pt>
                <c:pt idx="6" formatCode="0.000">
                  <c:v>1.0238709387462637</c:v>
                </c:pt>
                <c:pt idx="18" formatCode="0.000">
                  <c:v>-0.95592697050694575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6-433E-86D1-253E379D5A6C}"/>
            </c:ext>
          </c:extLst>
        </c:ser>
        <c:ser>
          <c:idx val="1"/>
          <c:order val="1"/>
          <c:tx>
            <c:strRef>
              <c:f>Report_table_graphs!$C$36</c:f>
              <c:strCache>
                <c:ptCount val="1"/>
                <c:pt idx="0">
                  <c:v>topoDomain-long-FST1-Cy [-]</c:v>
                </c:pt>
              </c:strCache>
            </c:strRef>
          </c:tx>
          <c:spPr>
            <a:ln w="19080">
              <a:solidFill>
                <a:srgbClr val="70AD47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Report_table_graphs!$A$37:$A$61</c:f>
              <c:numCache>
                <c:formatCode>General</c:formatCode>
                <c:ptCount val="25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Report_table_graphs!$C$37:$C$43</c:f>
              <c:numCache>
                <c:formatCode>General</c:formatCode>
                <c:ptCount val="7"/>
                <c:pt idx="0" formatCode="0.000">
                  <c:v>2.8664274511544165E-2</c:v>
                </c:pt>
                <c:pt idx="2" formatCode="0.000">
                  <c:v>0.10052553405130123</c:v>
                </c:pt>
                <c:pt idx="3" formatCode="0.000">
                  <c:v>0.16628176022125524</c:v>
                </c:pt>
                <c:pt idx="4" formatCode="0.000">
                  <c:v>0.25282581913165503</c:v>
                </c:pt>
                <c:pt idx="6" formatCode="0.000">
                  <c:v>0.45608723894552172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33E-86D1-253E379D5A6C}"/>
            </c:ext>
          </c:extLst>
        </c:ser>
        <c:ser>
          <c:idx val="2"/>
          <c:order val="2"/>
          <c:tx>
            <c:strRef>
              <c:f>Report_table_graphs!$K$5</c:f>
              <c:strCache>
                <c:ptCount val="1"/>
                <c:pt idx="0">
                  <c:v>openDomain-long-FST2-Cy [-]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Report_table_graphs!$I$6:$I$11</c:f>
              <c:numCache>
                <c:formatCode>General</c:formatCode>
                <c:ptCount val="6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numCache>
            </c:numRef>
          </c:xVal>
          <c:yVal>
            <c:numRef>
              <c:f>Report_table_graphs!$K$6:$K$30</c:f>
              <c:numCache>
                <c:formatCode>General</c:formatCode>
                <c:ptCount val="25"/>
                <c:pt idx="0" formatCode="0.000">
                  <c:v>-2.1392659801165399E-2</c:v>
                </c:pt>
                <c:pt idx="2" formatCode="0.000">
                  <c:v>0.51025377175112341</c:v>
                </c:pt>
                <c:pt idx="3" formatCode="0.000">
                  <c:v>0.87371457437214439</c:v>
                </c:pt>
                <c:pt idx="4" formatCode="0.000">
                  <c:v>1.1307056148726662</c:v>
                </c:pt>
                <c:pt idx="6" formatCode="0.000">
                  <c:v>1.0648697459768313</c:v>
                </c:pt>
                <c:pt idx="18" formatCode="0.000">
                  <c:v>-1.007988870887943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33E-86D1-253E379D5A6C}"/>
            </c:ext>
          </c:extLst>
        </c:ser>
        <c:ser>
          <c:idx val="3"/>
          <c:order val="3"/>
          <c:tx>
            <c:strRef>
              <c:f>Report_table_graphs!$K$36</c:f>
              <c:strCache>
                <c:ptCount val="1"/>
                <c:pt idx="0">
                  <c:v>topoDomain-long-FST2-Cy [-]</c:v>
                </c:pt>
              </c:strCache>
            </c:strRef>
          </c:tx>
          <c:spPr>
            <a:ln w="19080">
              <a:solidFill>
                <a:srgbClr val="A5A5A5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Report_table_graphs!$I$37:$I$43</c:f>
              <c:numCache>
                <c:formatCode>General</c:formatCode>
                <c:ptCount val="7"/>
                <c:pt idx="0">
                  <c:v>0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6">
                  <c:v>90</c:v>
                </c:pt>
              </c:numCache>
            </c:numRef>
          </c:xVal>
          <c:yVal>
            <c:numRef>
              <c:f>Report_table_graphs!$K$37:$K$61</c:f>
              <c:numCache>
                <c:formatCode>General</c:formatCode>
                <c:ptCount val="25"/>
                <c:pt idx="0" formatCode="0.000">
                  <c:v>-0.12042295748690725</c:v>
                </c:pt>
                <c:pt idx="2" formatCode="0.000">
                  <c:v>0.13993162476047377</c:v>
                </c:pt>
                <c:pt idx="3" formatCode="0.000">
                  <c:v>0.31129846083641122</c:v>
                </c:pt>
                <c:pt idx="4" formatCode="0.000">
                  <c:v>0.46176796983780577</c:v>
                </c:pt>
                <c:pt idx="6" formatCode="0.000">
                  <c:v>0.48229210218771751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6-433E-86D1-253E379D5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38817"/>
        <c:axId val="30577988"/>
      </c:scatterChart>
      <c:valAx>
        <c:axId val="79538817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577988"/>
        <c:crosses val="autoZero"/>
        <c:crossBetween val="midCat"/>
        <c:majorUnit val="45"/>
        <c:minorUnit val="15"/>
      </c:valAx>
      <c:valAx>
        <c:axId val="305779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953881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Report_table_graphs!$B$98</c:f>
              <c:strCache>
                <c:ptCount val="1"/>
                <c:pt idx="0">
                  <c:v>openDomain-trans-FST1-Cx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Report_table_graphs!$B$99:$B$123</c:f>
              <c:numCache>
                <c:formatCode>0.000</c:formatCode>
                <c:ptCount val="25"/>
                <c:pt idx="0">
                  <c:v>0.23475679663999094</c:v>
                </c:pt>
                <c:pt idx="1">
                  <c:v>1.2494232925959512</c:v>
                </c:pt>
                <c:pt idx="2">
                  <c:v>1.647984808507025</c:v>
                </c:pt>
                <c:pt idx="3">
                  <c:v>1.4455057458671952</c:v>
                </c:pt>
                <c:pt idx="4">
                  <c:v>1.1625968706263632</c:v>
                </c:pt>
                <c:pt idx="5">
                  <c:v>0.7794858219918509</c:v>
                </c:pt>
                <c:pt idx="6">
                  <c:v>0.30586294482128396</c:v>
                </c:pt>
                <c:pt idx="7">
                  <c:v>-0.19892391538204662</c:v>
                </c:pt>
                <c:pt idx="8">
                  <c:v>-1.1486271559376309</c:v>
                </c:pt>
                <c:pt idx="9">
                  <c:v>-1.9726547010780735</c:v>
                </c:pt>
                <c:pt idx="10">
                  <c:v>-2.2783113279313074</c:v>
                </c:pt>
                <c:pt idx="11">
                  <c:v>-1.8704800050685242</c:v>
                </c:pt>
                <c:pt idx="12">
                  <c:v>-1.0595889215791094</c:v>
                </c:pt>
                <c:pt idx="13">
                  <c:v>-1.5136025810754865</c:v>
                </c:pt>
                <c:pt idx="14">
                  <c:v>-1.6342100604043117</c:v>
                </c:pt>
                <c:pt idx="15">
                  <c:v>-1.2265654149788088</c:v>
                </c:pt>
                <c:pt idx="16">
                  <c:v>-0.43524053710516003</c:v>
                </c:pt>
                <c:pt idx="17">
                  <c:v>2.0231159015703187E-2</c:v>
                </c:pt>
                <c:pt idx="18">
                  <c:v>0.18854650832808664</c:v>
                </c:pt>
                <c:pt idx="19">
                  <c:v>8.7620116760843553E-2</c:v>
                </c:pt>
                <c:pt idx="20">
                  <c:v>0.31449098511077062</c:v>
                </c:pt>
                <c:pt idx="21">
                  <c:v>0.6886749461359325</c:v>
                </c:pt>
                <c:pt idx="22">
                  <c:v>0.74719839091959839</c:v>
                </c:pt>
                <c:pt idx="23">
                  <c:v>0.55235064243102605</c:v>
                </c:pt>
                <c:pt idx="24">
                  <c:v>0.23475679663999094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A-4F6D-B5D4-B442EA0A4A77}"/>
            </c:ext>
          </c:extLst>
        </c:ser>
        <c:ser>
          <c:idx val="1"/>
          <c:order val="1"/>
          <c:tx>
            <c:strRef>
              <c:f>Report_table_graphs!$J$98</c:f>
              <c:strCache>
                <c:ptCount val="1"/>
                <c:pt idx="0">
                  <c:v>openDomain-trans-FST2-Cx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Report_table_graphs!$J$99:$J$123</c:f>
              <c:numCache>
                <c:formatCode>0.000</c:formatCode>
                <c:ptCount val="25"/>
                <c:pt idx="0">
                  <c:v>1.1483789962474444</c:v>
                </c:pt>
                <c:pt idx="1">
                  <c:v>1.9275585245139257</c:v>
                </c:pt>
                <c:pt idx="2">
                  <c:v>2.3417745553932048</c:v>
                </c:pt>
                <c:pt idx="3">
                  <c:v>1.9904234021499871</c:v>
                </c:pt>
                <c:pt idx="4">
                  <c:v>0.99405776709515947</c:v>
                </c:pt>
                <c:pt idx="5">
                  <c:v>0.18953372658392481</c:v>
                </c:pt>
                <c:pt idx="6">
                  <c:v>-0.24215386754345097</c:v>
                </c:pt>
                <c:pt idx="7">
                  <c:v>-0.66075814912636155</c:v>
                </c:pt>
                <c:pt idx="8">
                  <c:v>-1.1273218481985843</c:v>
                </c:pt>
                <c:pt idx="9">
                  <c:v>-1.4621295280684921</c:v>
                </c:pt>
                <c:pt idx="10">
                  <c:v>-1.7078674316970186</c:v>
                </c:pt>
                <c:pt idx="11">
                  <c:v>-1.312824289845661</c:v>
                </c:pt>
                <c:pt idx="12">
                  <c:v>-0.36076843576635687</c:v>
                </c:pt>
                <c:pt idx="13">
                  <c:v>-0.56769555945374339</c:v>
                </c:pt>
                <c:pt idx="14">
                  <c:v>-0.76972883396227909</c:v>
                </c:pt>
                <c:pt idx="15">
                  <c:v>-0.68608656264752954</c:v>
                </c:pt>
                <c:pt idx="16">
                  <c:v>-0.33329045326772411</c:v>
                </c:pt>
                <c:pt idx="17">
                  <c:v>-6.5137815897302553E-2</c:v>
                </c:pt>
                <c:pt idx="18">
                  <c:v>-2.8721865181659513E-2</c:v>
                </c:pt>
                <c:pt idx="19">
                  <c:v>-4.4630329924838896E-2</c:v>
                </c:pt>
                <c:pt idx="20">
                  <c:v>0.48630468517293923</c:v>
                </c:pt>
                <c:pt idx="21">
                  <c:v>1.2307269020274536</c:v>
                </c:pt>
                <c:pt idx="22">
                  <c:v>1.6519395376115726</c:v>
                </c:pt>
                <c:pt idx="23">
                  <c:v>1.5041785889176194</c:v>
                </c:pt>
                <c:pt idx="24">
                  <c:v>1.1483789962474444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5A-4F6D-B5D4-B442EA0A4A77}"/>
            </c:ext>
          </c:extLst>
        </c:ser>
        <c:ser>
          <c:idx val="2"/>
          <c:order val="2"/>
          <c:tx>
            <c:strRef>
              <c:f>Report_table_graphs!$B$129</c:f>
              <c:strCache>
                <c:ptCount val="1"/>
                <c:pt idx="0">
                  <c:v>openDomain-trans-LNGC-FST1-Cx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Report_table_graphs!$B$130:$B$154</c:f>
              <c:numCache>
                <c:formatCode>0.000</c:formatCode>
                <c:ptCount val="25"/>
                <c:pt idx="0">
                  <c:v>0.23688725745770403</c:v>
                </c:pt>
                <c:pt idx="1">
                  <c:v>0.92268945478608155</c:v>
                </c:pt>
                <c:pt idx="2">
                  <c:v>0.72864946272324937</c:v>
                </c:pt>
                <c:pt idx="3">
                  <c:v>0.8510352900388104</c:v>
                </c:pt>
                <c:pt idx="4">
                  <c:v>0.55476492299759206</c:v>
                </c:pt>
                <c:pt idx="5">
                  <c:v>0.12860039659440942</c:v>
                </c:pt>
                <c:pt idx="6">
                  <c:v>-0.17065865294293381</c:v>
                </c:pt>
                <c:pt idx="7">
                  <c:v>-0.41589278399683921</c:v>
                </c:pt>
                <c:pt idx="8">
                  <c:v>-1.1367756531334436</c:v>
                </c:pt>
                <c:pt idx="9">
                  <c:v>-1.9050519589713537</c:v>
                </c:pt>
                <c:pt idx="10">
                  <c:v>-2.2558748901709795</c:v>
                </c:pt>
                <c:pt idx="11">
                  <c:v>-1.9595621930342113</c:v>
                </c:pt>
                <c:pt idx="12">
                  <c:v>-1.1652006004793101</c:v>
                </c:pt>
                <c:pt idx="13">
                  <c:v>-1.4551322941979041</c:v>
                </c:pt>
                <c:pt idx="14">
                  <c:v>-1.6366198796137541</c:v>
                </c:pt>
                <c:pt idx="15">
                  <c:v>-1.3288848983061365</c:v>
                </c:pt>
                <c:pt idx="16">
                  <c:v>-0.66213845958226047</c:v>
                </c:pt>
                <c:pt idx="17">
                  <c:v>-0.18094579451094686</c:v>
                </c:pt>
                <c:pt idx="18">
                  <c:v>3.339626750719691E-2</c:v>
                </c:pt>
                <c:pt idx="19">
                  <c:v>7.2995458127259549E-2</c:v>
                </c:pt>
                <c:pt idx="20">
                  <c:v>0.39690015755542274</c:v>
                </c:pt>
                <c:pt idx="21">
                  <c:v>0.74087268369109982</c:v>
                </c:pt>
                <c:pt idx="22">
                  <c:v>0.77555225573519793</c:v>
                </c:pt>
                <c:pt idx="23">
                  <c:v>0.56808700614338559</c:v>
                </c:pt>
                <c:pt idx="24">
                  <c:v>0.23688725745770403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5A-4F6D-B5D4-B442EA0A4A77}"/>
            </c:ext>
          </c:extLst>
        </c:ser>
        <c:ser>
          <c:idx val="3"/>
          <c:order val="3"/>
          <c:tx>
            <c:strRef>
              <c:f>Report_table_graphs!$J$129</c:f>
              <c:strCache>
                <c:ptCount val="1"/>
                <c:pt idx="0">
                  <c:v>openDomain-trans-LNGC-FST2-Cx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Report_table_graphs!$J$130:$J$154</c:f>
              <c:numCache>
                <c:formatCode>0.000</c:formatCode>
                <c:ptCount val="25"/>
                <c:pt idx="0">
                  <c:v>1.2360781459057371</c:v>
                </c:pt>
                <c:pt idx="1">
                  <c:v>1.5029385648245313</c:v>
                </c:pt>
                <c:pt idx="2">
                  <c:v>1.8382932405159864</c:v>
                </c:pt>
                <c:pt idx="3">
                  <c:v>1.4057110606898562</c:v>
                </c:pt>
                <c:pt idx="4">
                  <c:v>0.98988594060939339</c:v>
                </c:pt>
                <c:pt idx="5">
                  <c:v>0.36196284754257985</c:v>
                </c:pt>
                <c:pt idx="6">
                  <c:v>-0.21697778692927958</c:v>
                </c:pt>
                <c:pt idx="7">
                  <c:v>-0.35438033113477307</c:v>
                </c:pt>
                <c:pt idx="8">
                  <c:v>-0.71705712780996211</c:v>
                </c:pt>
                <c:pt idx="9">
                  <c:v>-1.2822172460931229</c:v>
                </c:pt>
                <c:pt idx="10">
                  <c:v>-1.4105793736588981</c:v>
                </c:pt>
                <c:pt idx="11">
                  <c:v>-0.97437971516830635</c:v>
                </c:pt>
                <c:pt idx="12">
                  <c:v>-0.3861818834582646</c:v>
                </c:pt>
                <c:pt idx="13">
                  <c:v>-0.57132915004107188</c:v>
                </c:pt>
                <c:pt idx="14">
                  <c:v>-0.75464103454207965</c:v>
                </c:pt>
                <c:pt idx="15">
                  <c:v>-0.63943688345606464</c:v>
                </c:pt>
                <c:pt idx="16">
                  <c:v>-0.29120813462915085</c:v>
                </c:pt>
                <c:pt idx="17">
                  <c:v>-0.15923487285352186</c:v>
                </c:pt>
                <c:pt idx="18">
                  <c:v>-5.2619604188747969E-2</c:v>
                </c:pt>
                <c:pt idx="19">
                  <c:v>6.971807214815226E-2</c:v>
                </c:pt>
                <c:pt idx="20">
                  <c:v>0.74368513818107751</c:v>
                </c:pt>
                <c:pt idx="21">
                  <c:v>1.4727289338368421</c:v>
                </c:pt>
                <c:pt idx="22">
                  <c:v>1.7493271138319233</c:v>
                </c:pt>
                <c:pt idx="23">
                  <c:v>1.6115532650402513</c:v>
                </c:pt>
                <c:pt idx="24">
                  <c:v>1.2360781459057371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5A-4F6D-B5D4-B442EA0A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7427"/>
        <c:axId val="7944342"/>
      </c:scatterChart>
      <c:valAx>
        <c:axId val="56927427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944342"/>
        <c:crosses val="autoZero"/>
        <c:crossBetween val="midCat"/>
        <c:majorUnit val="45"/>
        <c:minorUnit val="15"/>
      </c:valAx>
      <c:valAx>
        <c:axId val="79443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Cx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6927427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Report_table_graphs!$C$98</c:f>
              <c:strCache>
                <c:ptCount val="1"/>
                <c:pt idx="0">
                  <c:v>openDomain-trans-FST1-Cy [-]</c:v>
                </c:pt>
              </c:strCache>
            </c:strRef>
          </c:tx>
          <c:spPr>
            <a:ln w="19080">
              <a:solidFill>
                <a:srgbClr val="518ABD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Report_table_graphs!$A$99:$A$123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Report_table_graphs!$C$99:$C$123</c:f>
              <c:numCache>
                <c:formatCode>0.000</c:formatCode>
                <c:ptCount val="25"/>
                <c:pt idx="0">
                  <c:v>-1.069471695154617E-3</c:v>
                </c:pt>
                <c:pt idx="1">
                  <c:v>0.15578309148313288</c:v>
                </c:pt>
                <c:pt idx="2">
                  <c:v>0.32906807509773511</c:v>
                </c:pt>
                <c:pt idx="3">
                  <c:v>0.52466193878364553</c:v>
                </c:pt>
                <c:pt idx="4">
                  <c:v>0.63028354112871177</c:v>
                </c:pt>
                <c:pt idx="5">
                  <c:v>0.69022540880082273</c:v>
                </c:pt>
                <c:pt idx="6">
                  <c:v>0.79595805179385881</c:v>
                </c:pt>
                <c:pt idx="7">
                  <c:v>0.90834527355128891</c:v>
                </c:pt>
                <c:pt idx="8">
                  <c:v>0.82483572140055395</c:v>
                </c:pt>
                <c:pt idx="9">
                  <c:v>0.6992640510049174</c:v>
                </c:pt>
                <c:pt idx="10">
                  <c:v>0.4239895814739878</c:v>
                </c:pt>
                <c:pt idx="11">
                  <c:v>0.15228603177155162</c:v>
                </c:pt>
                <c:pt idx="12">
                  <c:v>-3.313498455269303E-2</c:v>
                </c:pt>
                <c:pt idx="13">
                  <c:v>-0.2044131580535519</c:v>
                </c:pt>
                <c:pt idx="14">
                  <c:v>-0.50885372537115903</c:v>
                </c:pt>
                <c:pt idx="15">
                  <c:v>-0.80004400472797754</c:v>
                </c:pt>
                <c:pt idx="16">
                  <c:v>-0.99266119436016986</c:v>
                </c:pt>
                <c:pt idx="17">
                  <c:v>-0.98223374679743614</c:v>
                </c:pt>
                <c:pt idx="18">
                  <c:v>-0.84495064390125918</c:v>
                </c:pt>
                <c:pt idx="19">
                  <c:v>-0.73833354245432625</c:v>
                </c:pt>
                <c:pt idx="20">
                  <c:v>-0.63501838256230547</c:v>
                </c:pt>
                <c:pt idx="21">
                  <c:v>-0.48682227158895425</c:v>
                </c:pt>
                <c:pt idx="22">
                  <c:v>-0.29261238622931884</c:v>
                </c:pt>
                <c:pt idx="23">
                  <c:v>-9.5632997903260769E-2</c:v>
                </c:pt>
                <c:pt idx="24">
                  <c:v>-1.069471695154617E-3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0-4AED-B1A5-52488EBBF22B}"/>
            </c:ext>
          </c:extLst>
        </c:ser>
        <c:ser>
          <c:idx val="1"/>
          <c:order val="1"/>
          <c:tx>
            <c:strRef>
              <c:f>Report_table_graphs!$K$98</c:f>
              <c:strCache>
                <c:ptCount val="1"/>
                <c:pt idx="0">
                  <c:v>openDomain-trans-FST2-Cy [-]</c:v>
                </c:pt>
              </c:strCache>
            </c:strRef>
          </c:tx>
          <c:spPr>
            <a:ln w="19080">
              <a:solidFill>
                <a:srgbClr val="929292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Report_table_graphs!$I$99:$I$123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Report_table_graphs!$K$99:$K$123</c:f>
              <c:numCache>
                <c:formatCode>0.000</c:formatCode>
                <c:ptCount val="25"/>
                <c:pt idx="0">
                  <c:v>-1.5221195426332487E-2</c:v>
                </c:pt>
                <c:pt idx="1">
                  <c:v>0.16832198810595408</c:v>
                </c:pt>
                <c:pt idx="2">
                  <c:v>0.42643695493558392</c:v>
                </c:pt>
                <c:pt idx="3">
                  <c:v>0.69077584455462404</c:v>
                </c:pt>
                <c:pt idx="4">
                  <c:v>0.8401202816692005</c:v>
                </c:pt>
                <c:pt idx="5">
                  <c:v>0.91028890313274591</c:v>
                </c:pt>
                <c:pt idx="6">
                  <c:v>0.8451915096971413</c:v>
                </c:pt>
                <c:pt idx="7">
                  <c:v>0.69474163774771447</c:v>
                </c:pt>
                <c:pt idx="8">
                  <c:v>0.61567895820789031</c:v>
                </c:pt>
                <c:pt idx="9">
                  <c:v>0.50820251740087519</c:v>
                </c:pt>
                <c:pt idx="10">
                  <c:v>0.32900504106829115</c:v>
                </c:pt>
                <c:pt idx="11">
                  <c:v>0.15507703001309214</c:v>
                </c:pt>
                <c:pt idx="12">
                  <c:v>1.5082188803506088E-2</c:v>
                </c:pt>
                <c:pt idx="13">
                  <c:v>-9.5262073500097993E-2</c:v>
                </c:pt>
                <c:pt idx="14">
                  <c:v>-0.29149872927687759</c:v>
                </c:pt>
                <c:pt idx="15">
                  <c:v>-0.48429310322746238</c:v>
                </c:pt>
                <c:pt idx="16">
                  <c:v>-0.63104189182617643</c:v>
                </c:pt>
                <c:pt idx="17">
                  <c:v>-0.74351561547805378</c:v>
                </c:pt>
                <c:pt idx="18">
                  <c:v>-0.90183282239285556</c:v>
                </c:pt>
                <c:pt idx="19">
                  <c:v>-0.98369749072294377</c:v>
                </c:pt>
                <c:pt idx="20">
                  <c:v>-0.99232492685845597</c:v>
                </c:pt>
                <c:pt idx="21">
                  <c:v>-0.80561359761879003</c:v>
                </c:pt>
                <c:pt idx="22">
                  <c:v>-0.50336271849540259</c:v>
                </c:pt>
                <c:pt idx="23">
                  <c:v>-0.21209209130869996</c:v>
                </c:pt>
                <c:pt idx="24">
                  <c:v>-1.5221195426332487E-2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50-4AED-B1A5-52488EBBF22B}"/>
            </c:ext>
          </c:extLst>
        </c:ser>
        <c:ser>
          <c:idx val="2"/>
          <c:order val="2"/>
          <c:tx>
            <c:strRef>
              <c:f>Report_table_graphs!$C$129</c:f>
              <c:strCache>
                <c:ptCount val="1"/>
                <c:pt idx="0">
                  <c:v>openDomain-trans-LNGC-FST1-Cy [-]</c:v>
                </c:pt>
              </c:strCache>
            </c:strRef>
          </c:tx>
          <c:spPr>
            <a:ln w="19080">
              <a:solidFill>
                <a:srgbClr val="E3AB00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Report_table_graphs!$A$130:$A$154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Report_table_graphs!$C$130:$C$154</c:f>
              <c:numCache>
                <c:formatCode>0.000</c:formatCode>
                <c:ptCount val="25"/>
                <c:pt idx="0">
                  <c:v>-8.6152820706655048E-3</c:v>
                </c:pt>
                <c:pt idx="1">
                  <c:v>0.12478759001831712</c:v>
                </c:pt>
                <c:pt idx="2">
                  <c:v>0.16110896697112323</c:v>
                </c:pt>
                <c:pt idx="3">
                  <c:v>0.32829764405943501</c:v>
                </c:pt>
                <c:pt idx="4">
                  <c:v>0.3441496826157695</c:v>
                </c:pt>
                <c:pt idx="5">
                  <c:v>0.43884047631571249</c:v>
                </c:pt>
                <c:pt idx="6">
                  <c:v>0.52909824239594716</c:v>
                </c:pt>
                <c:pt idx="7">
                  <c:v>0.62594160425054846</c:v>
                </c:pt>
                <c:pt idx="8">
                  <c:v>0.66843296637206839</c:v>
                </c:pt>
                <c:pt idx="9">
                  <c:v>0.57919683928151411</c:v>
                </c:pt>
                <c:pt idx="10">
                  <c:v>0.38973067059218675</c:v>
                </c:pt>
                <c:pt idx="11">
                  <c:v>0.17712268039332141</c:v>
                </c:pt>
                <c:pt idx="12">
                  <c:v>-4.3417601295727857E-3</c:v>
                </c:pt>
                <c:pt idx="13">
                  <c:v>-0.18360486122896322</c:v>
                </c:pt>
                <c:pt idx="14">
                  <c:v>-0.47958724289164661</c:v>
                </c:pt>
                <c:pt idx="15">
                  <c:v>-0.76223360502049176</c:v>
                </c:pt>
                <c:pt idx="16">
                  <c:v>-0.96444910607037371</c:v>
                </c:pt>
                <c:pt idx="17">
                  <c:v>-0.99968062663897117</c:v>
                </c:pt>
                <c:pt idx="18">
                  <c:v>-0.85597057353358108</c:v>
                </c:pt>
                <c:pt idx="19">
                  <c:v>-0.72642222998214701</c:v>
                </c:pt>
                <c:pt idx="20">
                  <c:v>-0.62967888798104388</c:v>
                </c:pt>
                <c:pt idx="21">
                  <c:v>-0.49676606506455884</c:v>
                </c:pt>
                <c:pt idx="22">
                  <c:v>-0.2914738738881793</c:v>
                </c:pt>
                <c:pt idx="23">
                  <c:v>-9.385137400053753E-2</c:v>
                </c:pt>
                <c:pt idx="24">
                  <c:v>-8.6152820706655048E-3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50-4AED-B1A5-52488EBBF22B}"/>
            </c:ext>
          </c:extLst>
        </c:ser>
        <c:ser>
          <c:idx val="3"/>
          <c:order val="3"/>
          <c:tx>
            <c:strRef>
              <c:f>Report_table_graphs!$K$129</c:f>
              <c:strCache>
                <c:ptCount val="1"/>
                <c:pt idx="0">
                  <c:v>openDomain-trans-LNGC-FST2-Cy [-]</c:v>
                </c:pt>
              </c:strCache>
            </c:strRef>
          </c:tx>
          <c:spPr>
            <a:ln w="19080">
              <a:solidFill>
                <a:srgbClr val="BFBFBF"/>
              </a:solidFill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Report_table_graphs!$I$130:$I$154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Report_table_graphs!$K$130:$K$154</c:f>
              <c:numCache>
                <c:formatCode>0.000</c:formatCode>
                <c:ptCount val="25"/>
                <c:pt idx="0">
                  <c:v>9.6874683217140038E-3</c:v>
                </c:pt>
                <c:pt idx="1">
                  <c:v>8.7777746114260216E-2</c:v>
                </c:pt>
                <c:pt idx="2">
                  <c:v>0.19107241356674923</c:v>
                </c:pt>
                <c:pt idx="3">
                  <c:v>0.20438939056660638</c:v>
                </c:pt>
                <c:pt idx="4">
                  <c:v>0.20646309954929581</c:v>
                </c:pt>
                <c:pt idx="5">
                  <c:v>0.12594463922233645</c:v>
                </c:pt>
                <c:pt idx="6">
                  <c:v>-0.11888848293423833</c:v>
                </c:pt>
                <c:pt idx="7">
                  <c:v>-4.3745580517276964E-2</c:v>
                </c:pt>
                <c:pt idx="8">
                  <c:v>0.15469811695170685</c:v>
                </c:pt>
                <c:pt idx="9">
                  <c:v>0.21760147436679936</c:v>
                </c:pt>
                <c:pt idx="10">
                  <c:v>0.18544310233663056</c:v>
                </c:pt>
                <c:pt idx="11">
                  <c:v>0.10391740377681492</c:v>
                </c:pt>
                <c:pt idx="12">
                  <c:v>1.5060106571838686E-2</c:v>
                </c:pt>
                <c:pt idx="13">
                  <c:v>-8.6714354759657594E-2</c:v>
                </c:pt>
                <c:pt idx="14">
                  <c:v>-0.2848009718715015</c:v>
                </c:pt>
                <c:pt idx="15">
                  <c:v>-0.49167415839669937</c:v>
                </c:pt>
                <c:pt idx="16">
                  <c:v>-0.64883077546459245</c:v>
                </c:pt>
                <c:pt idx="17">
                  <c:v>-0.74731088881431429</c:v>
                </c:pt>
                <c:pt idx="18">
                  <c:v>-0.8834239349444204</c:v>
                </c:pt>
                <c:pt idx="19">
                  <c:v>-0.9327864694133492</c:v>
                </c:pt>
                <c:pt idx="20">
                  <c:v>-0.85197983137900901</c:v>
                </c:pt>
                <c:pt idx="21">
                  <c:v>-0.66142036585162411</c:v>
                </c:pt>
                <c:pt idx="22">
                  <c:v>-0.42740576878099101</c:v>
                </c:pt>
                <c:pt idx="23">
                  <c:v>-0.17147469997517487</c:v>
                </c:pt>
                <c:pt idx="24">
                  <c:v>9.6874683217140038E-3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50-4AED-B1A5-52488EBBF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71543"/>
        <c:axId val="33495638"/>
      </c:scatterChart>
      <c:valAx>
        <c:axId val="71171543"/>
        <c:scaling>
          <c:orientation val="minMax"/>
          <c:max val="36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Heading [deg]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3495638"/>
        <c:crosses val="autoZero"/>
        <c:crossBetween val="midCat"/>
        <c:majorUnit val="45"/>
        <c:minorUnit val="15"/>
      </c:valAx>
      <c:valAx>
        <c:axId val="334956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GB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GB" sz="1000" b="0" strike="noStrike" spc="-1">
                    <a:solidFill>
                      <a:srgbClr val="595959"/>
                    </a:solidFill>
                    <a:latin typeface="Calibri"/>
                  </a:rPr>
                  <a:t>Cy [-]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1171543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C34B2D-370B-45A6-9B22-4F571E75656D}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28C9AC-4E49-4EC8-8FED-01DFF4690F75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DA51AB-02B1-4A93-A7CE-7BAAA3006BBF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18" Type="http://schemas.openxmlformats.org/officeDocument/2006/relationships/chart" Target="../charts/chart4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17" Type="http://schemas.openxmlformats.org/officeDocument/2006/relationships/chart" Target="../charts/chart39.xml"/><Relationship Id="rId2" Type="http://schemas.openxmlformats.org/officeDocument/2006/relationships/chart" Target="../charts/chart24.xml"/><Relationship Id="rId16" Type="http://schemas.openxmlformats.org/officeDocument/2006/relationships/chart" Target="../charts/chart38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10" Type="http://schemas.openxmlformats.org/officeDocument/2006/relationships/chart" Target="../charts/chart32.xml"/><Relationship Id="rId19" Type="http://schemas.openxmlformats.org/officeDocument/2006/relationships/chart" Target="../charts/chart41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13" Type="http://schemas.openxmlformats.org/officeDocument/2006/relationships/chart" Target="../charts/chart54.xml"/><Relationship Id="rId18" Type="http://schemas.openxmlformats.org/officeDocument/2006/relationships/chart" Target="../charts/chart5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12" Type="http://schemas.openxmlformats.org/officeDocument/2006/relationships/chart" Target="../charts/chart53.xml"/><Relationship Id="rId17" Type="http://schemas.openxmlformats.org/officeDocument/2006/relationships/chart" Target="../charts/chart58.xml"/><Relationship Id="rId2" Type="http://schemas.openxmlformats.org/officeDocument/2006/relationships/chart" Target="../charts/chart43.xml"/><Relationship Id="rId16" Type="http://schemas.openxmlformats.org/officeDocument/2006/relationships/chart" Target="../charts/chart57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11" Type="http://schemas.openxmlformats.org/officeDocument/2006/relationships/chart" Target="../charts/chart52.xml"/><Relationship Id="rId5" Type="http://schemas.openxmlformats.org/officeDocument/2006/relationships/chart" Target="../charts/chart46.xml"/><Relationship Id="rId15" Type="http://schemas.openxmlformats.org/officeDocument/2006/relationships/chart" Target="../charts/chart56.xml"/><Relationship Id="rId10" Type="http://schemas.openxmlformats.org/officeDocument/2006/relationships/chart" Target="../charts/chart51.xml"/><Relationship Id="rId19" Type="http://schemas.openxmlformats.org/officeDocument/2006/relationships/chart" Target="../charts/chart60.xml"/><Relationship Id="rId4" Type="http://schemas.openxmlformats.org/officeDocument/2006/relationships/chart" Target="../charts/chart45.xml"/><Relationship Id="rId9" Type="http://schemas.openxmlformats.org/officeDocument/2006/relationships/chart" Target="../charts/chart50.xml"/><Relationship Id="rId14" Type="http://schemas.openxmlformats.org/officeDocument/2006/relationships/chart" Target="../charts/chart55.xml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8.xml"/><Relationship Id="rId13" Type="http://schemas.openxmlformats.org/officeDocument/2006/relationships/chart" Target="../charts/chart73.xml"/><Relationship Id="rId18" Type="http://schemas.openxmlformats.org/officeDocument/2006/relationships/chart" Target="../charts/chart78.xml"/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12" Type="http://schemas.openxmlformats.org/officeDocument/2006/relationships/chart" Target="../charts/chart72.xml"/><Relationship Id="rId17" Type="http://schemas.openxmlformats.org/officeDocument/2006/relationships/chart" Target="../charts/chart77.xml"/><Relationship Id="rId2" Type="http://schemas.openxmlformats.org/officeDocument/2006/relationships/chart" Target="../charts/chart62.xml"/><Relationship Id="rId16" Type="http://schemas.openxmlformats.org/officeDocument/2006/relationships/chart" Target="../charts/chart76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11" Type="http://schemas.openxmlformats.org/officeDocument/2006/relationships/chart" Target="../charts/chart71.xml"/><Relationship Id="rId5" Type="http://schemas.openxmlformats.org/officeDocument/2006/relationships/chart" Target="../charts/chart65.xml"/><Relationship Id="rId15" Type="http://schemas.openxmlformats.org/officeDocument/2006/relationships/chart" Target="../charts/chart75.xml"/><Relationship Id="rId10" Type="http://schemas.openxmlformats.org/officeDocument/2006/relationships/chart" Target="../charts/chart70.xml"/><Relationship Id="rId19" Type="http://schemas.openxmlformats.org/officeDocument/2006/relationships/chart" Target="../charts/chart79.xml"/><Relationship Id="rId4" Type="http://schemas.openxmlformats.org/officeDocument/2006/relationships/chart" Target="../charts/chart64.xml"/><Relationship Id="rId9" Type="http://schemas.openxmlformats.org/officeDocument/2006/relationships/chart" Target="../charts/chart69.xml"/><Relationship Id="rId14" Type="http://schemas.openxmlformats.org/officeDocument/2006/relationships/chart" Target="../charts/chart74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CED95-5D15-00FE-29AF-13EF04A2F0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EA2D01-0EB1-6F9F-CF37-7472D8AD7C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A3494-A545-701F-F1B9-0D3BD99A8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23</xdr:col>
      <xdr:colOff>2375196</xdr:colOff>
      <xdr:row>10</xdr:row>
      <xdr:rowOff>149400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271B4-81D0-4F62-A2AD-5042F9082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25</xdr:col>
      <xdr:colOff>0</xdr:colOff>
      <xdr:row>1</xdr:row>
      <xdr:rowOff>0</xdr:rowOff>
    </xdr:from>
    <xdr:to>
      <xdr:col>37</xdr:col>
      <xdr:colOff>177120</xdr:colOff>
      <xdr:row>13</xdr:row>
      <xdr:rowOff>34920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B4E228-F021-4571-91D2-4957B011E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25</xdr:col>
      <xdr:colOff>0</xdr:colOff>
      <xdr:row>13</xdr:row>
      <xdr:rowOff>1080</xdr:rowOff>
    </xdr:from>
    <xdr:to>
      <xdr:col>37</xdr:col>
      <xdr:colOff>133920</xdr:colOff>
      <xdr:row>27</xdr:row>
      <xdr:rowOff>90360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BEAD7B-7A9F-418B-A087-C5E695A2D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38</xdr:col>
      <xdr:colOff>0</xdr:colOff>
      <xdr:row>1</xdr:row>
      <xdr:rowOff>2520</xdr:rowOff>
    </xdr:from>
    <xdr:to>
      <xdr:col>50</xdr:col>
      <xdr:colOff>81360</xdr:colOff>
      <xdr:row>13</xdr:row>
      <xdr:rowOff>35280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FC27CC-4C1D-4143-8DA2-371BB8720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0</xdr:colOff>
      <xdr:row>12</xdr:row>
      <xdr:rowOff>149760</xdr:rowOff>
    </xdr:from>
    <xdr:to>
      <xdr:col>50</xdr:col>
      <xdr:colOff>81360</xdr:colOff>
      <xdr:row>27</xdr:row>
      <xdr:rowOff>48600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1C5D-B647-46C0-8DBD-95F633AD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38</xdr:col>
      <xdr:colOff>0</xdr:colOff>
      <xdr:row>27</xdr:row>
      <xdr:rowOff>13680</xdr:rowOff>
    </xdr:from>
    <xdr:to>
      <xdr:col>50</xdr:col>
      <xdr:colOff>81360</xdr:colOff>
      <xdr:row>38</xdr:row>
      <xdr:rowOff>157007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01DC77-F6A9-45FB-A31B-DA766E76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0</xdr:colOff>
      <xdr:row>11</xdr:row>
      <xdr:rowOff>0</xdr:rowOff>
    </xdr:from>
    <xdr:to>
      <xdr:col>23</xdr:col>
      <xdr:colOff>2355498</xdr:colOff>
      <xdr:row>23</xdr:row>
      <xdr:rowOff>13320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45E690-2329-4884-8129-F97AB41BC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0</xdr:colOff>
      <xdr:row>23</xdr:row>
      <xdr:rowOff>0</xdr:rowOff>
    </xdr:from>
    <xdr:to>
      <xdr:col>23</xdr:col>
      <xdr:colOff>2330584</xdr:colOff>
      <xdr:row>34</xdr:row>
      <xdr:rowOff>119155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A3CFBB-6FFB-424D-8B0C-86CF12CF2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0</xdr:colOff>
      <xdr:row>36</xdr:row>
      <xdr:rowOff>0</xdr:rowOff>
    </xdr:from>
    <xdr:to>
      <xdr:col>23</xdr:col>
      <xdr:colOff>2420916</xdr:colOff>
      <xdr:row>48</xdr:row>
      <xdr:rowOff>13320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59DCFF4-71D8-440C-9588-B6C0139A9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17</xdr:col>
      <xdr:colOff>0</xdr:colOff>
      <xdr:row>48</xdr:row>
      <xdr:rowOff>0</xdr:rowOff>
    </xdr:from>
    <xdr:to>
      <xdr:col>23</xdr:col>
      <xdr:colOff>2398596</xdr:colOff>
      <xdr:row>60</xdr:row>
      <xdr:rowOff>3166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2F1BC44-41C6-41F2-A6D7-B066430CA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17</xdr:col>
      <xdr:colOff>0</xdr:colOff>
      <xdr:row>60</xdr:row>
      <xdr:rowOff>0</xdr:rowOff>
    </xdr:from>
    <xdr:to>
      <xdr:col>23</xdr:col>
      <xdr:colOff>2375916</xdr:colOff>
      <xdr:row>69</xdr:row>
      <xdr:rowOff>58665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644A1B-1DDC-4623-AA2B-C74EC9BD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25</xdr:col>
      <xdr:colOff>0</xdr:colOff>
      <xdr:row>27</xdr:row>
      <xdr:rowOff>0</xdr:rowOff>
    </xdr:from>
    <xdr:to>
      <xdr:col>37</xdr:col>
      <xdr:colOff>149760</xdr:colOff>
      <xdr:row>38</xdr:row>
      <xdr:rowOff>154473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A8C5DC-3808-4CB3-8AE7-190683BF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51</xdr:col>
      <xdr:colOff>0</xdr:colOff>
      <xdr:row>1</xdr:row>
      <xdr:rowOff>0</xdr:rowOff>
    </xdr:from>
    <xdr:to>
      <xdr:col>63</xdr:col>
      <xdr:colOff>81360</xdr:colOff>
      <xdr:row>13</xdr:row>
      <xdr:rowOff>32760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DAA2153-FCF7-4A41-B22A-6E20AD266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51</xdr:col>
      <xdr:colOff>0</xdr:colOff>
      <xdr:row>12</xdr:row>
      <xdr:rowOff>147240</xdr:rowOff>
    </xdr:from>
    <xdr:to>
      <xdr:col>63</xdr:col>
      <xdr:colOff>81360</xdr:colOff>
      <xdr:row>27</xdr:row>
      <xdr:rowOff>46080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8D4AFAC-E2F3-4377-9894-BB9A76E6F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51</xdr:col>
      <xdr:colOff>0</xdr:colOff>
      <xdr:row>27</xdr:row>
      <xdr:rowOff>11160</xdr:rowOff>
    </xdr:from>
    <xdr:to>
      <xdr:col>63</xdr:col>
      <xdr:colOff>81360</xdr:colOff>
      <xdr:row>38</xdr:row>
      <xdr:rowOff>154487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87F2C76-7387-4EBA-966C-BD6946B96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16</xdr:col>
      <xdr:colOff>775440</xdr:colOff>
      <xdr:row>68</xdr:row>
      <xdr:rowOff>176760</xdr:rowOff>
    </xdr:from>
    <xdr:to>
      <xdr:col>23</xdr:col>
      <xdr:colOff>2355498</xdr:colOff>
      <xdr:row>80</xdr:row>
      <xdr:rowOff>176400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5D97939-F802-4F29-8142-D40A5B47F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16</xdr:col>
      <xdr:colOff>820440</xdr:colOff>
      <xdr:row>81</xdr:row>
      <xdr:rowOff>5400</xdr:rowOff>
    </xdr:from>
    <xdr:to>
      <xdr:col>23</xdr:col>
      <xdr:colOff>2369796</xdr:colOff>
      <xdr:row>92</xdr:row>
      <xdr:rowOff>184723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465FAF5-A0B2-44A2-AC37-6B59B9F1BF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64</xdr:col>
      <xdr:colOff>9360</xdr:colOff>
      <xdr:row>2</xdr:row>
      <xdr:rowOff>47520</xdr:rowOff>
    </xdr:from>
    <xdr:to>
      <xdr:col>76</xdr:col>
      <xdr:colOff>186480</xdr:colOff>
      <xdr:row>14</xdr:row>
      <xdr:rowOff>82440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277643-7BF8-49E4-89D4-1CC982142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63</xdr:col>
      <xdr:colOff>561960</xdr:colOff>
      <xdr:row>14</xdr:row>
      <xdr:rowOff>20160</xdr:rowOff>
    </xdr:from>
    <xdr:to>
      <xdr:col>76</xdr:col>
      <xdr:colOff>86040</xdr:colOff>
      <xdr:row>28</xdr:row>
      <xdr:rowOff>109440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E51364B-C32C-41B2-BCBC-B18C8C34A5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0.69534</cdr:y>
    </cdr:from>
    <cdr:to>
      <cdr:x>0.35867</cdr:x>
      <cdr:y>0.91822</cdr:y>
    </cdr:to>
    <cdr:sp macro="" textlink="">
      <cdr:nvSpPr>
        <cdr:cNvPr id="3" name="TextBox 2"/>
        <cdr:cNvSpPr/>
      </cdr:nvSpPr>
      <cdr:spPr>
        <a:xfrm xmlns:a="http://schemas.openxmlformats.org/drawingml/2006/main">
          <a:off x="764640" y="2004840"/>
          <a:ext cx="2565000" cy="642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4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0.0937</cdr:x>
      <cdr:y>0.73031</cdr:y>
    </cdr:from>
    <cdr:to>
      <cdr:x>0.37164</cdr:x>
      <cdr:y>0.90342</cdr:y>
    </cdr:to>
    <cdr:sp macro="" textlink="">
      <cdr:nvSpPr>
        <cdr:cNvPr id="6" name="TextBox 1"/>
        <cdr:cNvSpPr/>
      </cdr:nvSpPr>
      <cdr:spPr>
        <a:xfrm xmlns:a="http://schemas.openxmlformats.org/drawingml/2006/main">
          <a:off x="865800" y="2006280"/>
          <a:ext cx="25682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0.99174</cdr:y>
    </cdr:to>
    <cdr:sp macro="" textlink="">
      <cdr:nvSpPr>
        <cdr:cNvPr id="7" name="TextBox 1"/>
        <cdr:cNvSpPr/>
      </cdr:nvSpPr>
      <cdr:spPr>
        <a:xfrm xmlns:a="http://schemas.openxmlformats.org/drawingml/2006/main">
          <a:off x="6246360" y="1882080"/>
          <a:ext cx="299304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0.09198</cdr:x>
      <cdr:y>0.68554</cdr:y>
    </cdr:from>
    <cdr:to>
      <cdr:x>0.36934</cdr:x>
      <cdr:y>0.89562</cdr:y>
    </cdr:to>
    <cdr:sp macro="" textlink="">
      <cdr:nvSpPr>
        <cdr:cNvPr id="17" name="TextBox 1"/>
        <cdr:cNvSpPr/>
      </cdr:nvSpPr>
      <cdr:spPr>
        <a:xfrm xmlns:a="http://schemas.openxmlformats.org/drawingml/2006/main">
          <a:off x="851400" y="1870200"/>
          <a:ext cx="2567160" cy="5731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0.68501</cdr:y>
    </cdr:from>
    <cdr:to>
      <cdr:x>0.99992</cdr:x>
      <cdr:y>0.99169</cdr:y>
    </cdr:to>
    <cdr:sp macro="" textlink="">
      <cdr:nvSpPr>
        <cdr:cNvPr id="18" name="TextBox 1"/>
        <cdr:cNvSpPr/>
      </cdr:nvSpPr>
      <cdr:spPr>
        <a:xfrm xmlns:a="http://schemas.openxmlformats.org/drawingml/2006/main">
          <a:off x="6257160" y="1868760"/>
          <a:ext cx="2998080" cy="836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5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0.69534</cdr:y>
    </cdr:from>
    <cdr:to>
      <cdr:x>0.35867</cdr:x>
      <cdr:y>0.91822</cdr:y>
    </cdr:to>
    <cdr:sp macro="" textlink="">
      <cdr:nvSpPr>
        <cdr:cNvPr id="26" name="TextBox 2"/>
        <cdr:cNvSpPr/>
      </cdr:nvSpPr>
      <cdr:spPr>
        <a:xfrm xmlns:a="http://schemas.openxmlformats.org/drawingml/2006/main">
          <a:off x="764640" y="2004840"/>
          <a:ext cx="2565000" cy="642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7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0.09371</cdr:x>
      <cdr:y>0.73031</cdr:y>
    </cdr:from>
    <cdr:to>
      <cdr:x>0.37165</cdr:x>
      <cdr:y>0.90342</cdr:y>
    </cdr:to>
    <cdr:sp macro="" textlink="">
      <cdr:nvSpPr>
        <cdr:cNvPr id="29" name="TextBox 1"/>
        <cdr:cNvSpPr/>
      </cdr:nvSpPr>
      <cdr:spPr>
        <a:xfrm xmlns:a="http://schemas.openxmlformats.org/drawingml/2006/main">
          <a:off x="879840" y="2006280"/>
          <a:ext cx="26096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0.6851</cdr:y>
    </cdr:from>
    <cdr:to>
      <cdr:x>0.99992</cdr:x>
      <cdr:y>0.99174</cdr:y>
    </cdr:to>
    <cdr:sp macro="" textlink="">
      <cdr:nvSpPr>
        <cdr:cNvPr id="30" name="TextBox 1"/>
        <cdr:cNvSpPr/>
      </cdr:nvSpPr>
      <cdr:spPr>
        <a:xfrm xmlns:a="http://schemas.openxmlformats.org/drawingml/2006/main">
          <a:off x="6347160" y="1882080"/>
          <a:ext cx="304128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26</xdr:col>
      <xdr:colOff>12435</xdr:colOff>
      <xdr:row>13</xdr:row>
      <xdr:rowOff>92250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0</xdr:colOff>
      <xdr:row>1</xdr:row>
      <xdr:rowOff>0</xdr:rowOff>
    </xdr:from>
    <xdr:to>
      <xdr:col>38</xdr:col>
      <xdr:colOff>596220</xdr:colOff>
      <xdr:row>16</xdr:row>
      <xdr:rowOff>92070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27</xdr:col>
      <xdr:colOff>0</xdr:colOff>
      <xdr:row>13</xdr:row>
      <xdr:rowOff>1080</xdr:rowOff>
    </xdr:from>
    <xdr:to>
      <xdr:col>38</xdr:col>
      <xdr:colOff>553020</xdr:colOff>
      <xdr:row>30</xdr:row>
      <xdr:rowOff>128460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40</xdr:col>
      <xdr:colOff>0</xdr:colOff>
      <xdr:row>1</xdr:row>
      <xdr:rowOff>2520</xdr:rowOff>
    </xdr:from>
    <xdr:to>
      <xdr:col>52</xdr:col>
      <xdr:colOff>81360</xdr:colOff>
      <xdr:row>16</xdr:row>
      <xdr:rowOff>92430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0</xdr:colOff>
      <xdr:row>12</xdr:row>
      <xdr:rowOff>149760</xdr:rowOff>
    </xdr:from>
    <xdr:to>
      <xdr:col>52</xdr:col>
      <xdr:colOff>81360</xdr:colOff>
      <xdr:row>30</xdr:row>
      <xdr:rowOff>124800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40</xdr:col>
      <xdr:colOff>0</xdr:colOff>
      <xdr:row>27</xdr:row>
      <xdr:rowOff>13680</xdr:rowOff>
    </xdr:from>
    <xdr:to>
      <xdr:col>52</xdr:col>
      <xdr:colOff>81360</xdr:colOff>
      <xdr:row>42</xdr:row>
      <xdr:rowOff>7920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0</xdr:colOff>
      <xdr:row>11</xdr:row>
      <xdr:rowOff>0</xdr:rowOff>
    </xdr:from>
    <xdr:to>
      <xdr:col>25</xdr:col>
      <xdr:colOff>768345</xdr:colOff>
      <xdr:row>25</xdr:row>
      <xdr:rowOff>127620</xdr:rowOff>
    </xdr:to>
    <xdr:graphicFrame macro="">
      <xdr:nvGraphicFramePr>
        <xdr:cNvPr id="11" name="Chart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0</xdr:colOff>
      <xdr:row>23</xdr:row>
      <xdr:rowOff>0</xdr:rowOff>
    </xdr:from>
    <xdr:to>
      <xdr:col>25</xdr:col>
      <xdr:colOff>752235</xdr:colOff>
      <xdr:row>35</xdr:row>
      <xdr:rowOff>345270</xdr:rowOff>
    </xdr:to>
    <xdr:graphicFrame macro="">
      <xdr:nvGraphicFramePr>
        <xdr:cNvPr id="12" name="Chart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0</xdr:colOff>
      <xdr:row>36</xdr:row>
      <xdr:rowOff>0</xdr:rowOff>
    </xdr:from>
    <xdr:to>
      <xdr:col>26</xdr:col>
      <xdr:colOff>58155</xdr:colOff>
      <xdr:row>50</xdr:row>
      <xdr:rowOff>127620</xdr:rowOff>
    </xdr:to>
    <xdr:graphicFrame macro="">
      <xdr:nvGraphicFramePr>
        <xdr:cNvPr id="13" name="Chart 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17</xdr:col>
      <xdr:colOff>0</xdr:colOff>
      <xdr:row>48</xdr:row>
      <xdr:rowOff>0</xdr:rowOff>
    </xdr:from>
    <xdr:to>
      <xdr:col>26</xdr:col>
      <xdr:colOff>35835</xdr:colOff>
      <xdr:row>62</xdr:row>
      <xdr:rowOff>155566</xdr:rowOff>
    </xdr:to>
    <xdr:graphicFrame macro="">
      <xdr:nvGraphicFramePr>
        <xdr:cNvPr id="14" name="Chart 1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17</xdr:col>
      <xdr:colOff>0</xdr:colOff>
      <xdr:row>60</xdr:row>
      <xdr:rowOff>0</xdr:rowOff>
    </xdr:from>
    <xdr:to>
      <xdr:col>26</xdr:col>
      <xdr:colOff>13155</xdr:colOff>
      <xdr:row>72</xdr:row>
      <xdr:rowOff>22635</xdr:rowOff>
    </xdr:to>
    <xdr:graphicFrame macro="">
      <xdr:nvGraphicFramePr>
        <xdr:cNvPr id="15" name="Chart 1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0</xdr:colOff>
      <xdr:row>27</xdr:row>
      <xdr:rowOff>0</xdr:rowOff>
    </xdr:from>
    <xdr:to>
      <xdr:col>38</xdr:col>
      <xdr:colOff>568860</xdr:colOff>
      <xdr:row>42</xdr:row>
      <xdr:rowOff>5386</xdr:rowOff>
    </xdr:to>
    <xdr:graphicFrame macro="">
      <xdr:nvGraphicFramePr>
        <xdr:cNvPr id="16" name="Chart 1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53</xdr:col>
      <xdr:colOff>0</xdr:colOff>
      <xdr:row>1</xdr:row>
      <xdr:rowOff>0</xdr:rowOff>
    </xdr:from>
    <xdr:to>
      <xdr:col>65</xdr:col>
      <xdr:colOff>81360</xdr:colOff>
      <xdr:row>16</xdr:row>
      <xdr:rowOff>89910</xdr:rowOff>
    </xdr:to>
    <xdr:graphicFrame macro="">
      <xdr:nvGraphicFramePr>
        <xdr:cNvPr id="19" name="Chart 1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53</xdr:col>
      <xdr:colOff>0</xdr:colOff>
      <xdr:row>12</xdr:row>
      <xdr:rowOff>147240</xdr:rowOff>
    </xdr:from>
    <xdr:to>
      <xdr:col>65</xdr:col>
      <xdr:colOff>81360</xdr:colOff>
      <xdr:row>30</xdr:row>
      <xdr:rowOff>122280</xdr:rowOff>
    </xdr:to>
    <xdr:graphicFrame macro="">
      <xdr:nvGraphicFramePr>
        <xdr:cNvPr id="20" name="Chart 1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53</xdr:col>
      <xdr:colOff>0</xdr:colOff>
      <xdr:row>27</xdr:row>
      <xdr:rowOff>11160</xdr:rowOff>
    </xdr:from>
    <xdr:to>
      <xdr:col>65</xdr:col>
      <xdr:colOff>81360</xdr:colOff>
      <xdr:row>42</xdr:row>
      <xdr:rowOff>5400</xdr:rowOff>
    </xdr:to>
    <xdr:graphicFrame macro="">
      <xdr:nvGraphicFramePr>
        <xdr:cNvPr id="21" name="Chart 15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16</xdr:col>
      <xdr:colOff>775440</xdr:colOff>
      <xdr:row>68</xdr:row>
      <xdr:rowOff>176760</xdr:rowOff>
    </xdr:from>
    <xdr:to>
      <xdr:col>25</xdr:col>
      <xdr:colOff>768345</xdr:colOff>
      <xdr:row>83</xdr:row>
      <xdr:rowOff>147825</xdr:rowOff>
    </xdr:to>
    <xdr:graphicFrame macro="">
      <xdr:nvGraphicFramePr>
        <xdr:cNvPr id="22" name="Chart 16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16</xdr:col>
      <xdr:colOff>820440</xdr:colOff>
      <xdr:row>81</xdr:row>
      <xdr:rowOff>5400</xdr:rowOff>
    </xdr:from>
    <xdr:to>
      <xdr:col>26</xdr:col>
      <xdr:colOff>7035</xdr:colOff>
      <xdr:row>95</xdr:row>
      <xdr:rowOff>107281</xdr:rowOff>
    </xdr:to>
    <xdr:graphicFrame macro="">
      <xdr:nvGraphicFramePr>
        <xdr:cNvPr id="23" name="Chart 17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66</xdr:col>
      <xdr:colOff>9360</xdr:colOff>
      <xdr:row>2</xdr:row>
      <xdr:rowOff>47520</xdr:rowOff>
    </xdr:from>
    <xdr:to>
      <xdr:col>78</xdr:col>
      <xdr:colOff>186480</xdr:colOff>
      <xdr:row>17</xdr:row>
      <xdr:rowOff>139590</xdr:rowOff>
    </xdr:to>
    <xdr:graphicFrame macro="">
      <xdr:nvGraphicFramePr>
        <xdr:cNvPr id="24" name="Chart 1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65</xdr:col>
      <xdr:colOff>561960</xdr:colOff>
      <xdr:row>14</xdr:row>
      <xdr:rowOff>20160</xdr:rowOff>
    </xdr:from>
    <xdr:to>
      <xdr:col>78</xdr:col>
      <xdr:colOff>86040</xdr:colOff>
      <xdr:row>31</xdr:row>
      <xdr:rowOff>147540</xdr:rowOff>
    </xdr:to>
    <xdr:graphicFrame macro="">
      <xdr:nvGraphicFramePr>
        <xdr:cNvPr id="28" name="Chart 19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0.69534</cdr:y>
    </cdr:from>
    <cdr:to>
      <cdr:x>0.35867</cdr:x>
      <cdr:y>0.91822</cdr:y>
    </cdr:to>
    <cdr:sp macro="" textlink="">
      <cdr:nvSpPr>
        <cdr:cNvPr id="3" name="TextBox 2"/>
        <cdr:cNvSpPr/>
      </cdr:nvSpPr>
      <cdr:spPr>
        <a:xfrm xmlns:a="http://schemas.openxmlformats.org/drawingml/2006/main">
          <a:off x="764640" y="2004840"/>
          <a:ext cx="2565000" cy="642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4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0.0937</cdr:x>
      <cdr:y>0.73031</cdr:y>
    </cdr:from>
    <cdr:to>
      <cdr:x>0.37164</cdr:x>
      <cdr:y>0.90342</cdr:y>
    </cdr:to>
    <cdr:sp macro="" textlink="">
      <cdr:nvSpPr>
        <cdr:cNvPr id="6" name="TextBox 1"/>
        <cdr:cNvSpPr/>
      </cdr:nvSpPr>
      <cdr:spPr>
        <a:xfrm xmlns:a="http://schemas.openxmlformats.org/drawingml/2006/main">
          <a:off x="865800" y="2006280"/>
          <a:ext cx="25682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0.99174</cdr:y>
    </cdr:to>
    <cdr:sp macro="" textlink="">
      <cdr:nvSpPr>
        <cdr:cNvPr id="7" name="TextBox 1"/>
        <cdr:cNvSpPr/>
      </cdr:nvSpPr>
      <cdr:spPr>
        <a:xfrm xmlns:a="http://schemas.openxmlformats.org/drawingml/2006/main">
          <a:off x="6246360" y="1882080"/>
          <a:ext cx="299304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0.09198</cdr:x>
      <cdr:y>0.68554</cdr:y>
    </cdr:from>
    <cdr:to>
      <cdr:x>0.36934</cdr:x>
      <cdr:y>0.89562</cdr:y>
    </cdr:to>
    <cdr:sp macro="" textlink="">
      <cdr:nvSpPr>
        <cdr:cNvPr id="17" name="TextBox 1"/>
        <cdr:cNvSpPr/>
      </cdr:nvSpPr>
      <cdr:spPr>
        <a:xfrm xmlns:a="http://schemas.openxmlformats.org/drawingml/2006/main">
          <a:off x="851400" y="1870200"/>
          <a:ext cx="2567160" cy="5731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0.68501</cdr:y>
    </cdr:from>
    <cdr:to>
      <cdr:x>0.99992</cdr:x>
      <cdr:y>0.99169</cdr:y>
    </cdr:to>
    <cdr:sp macro="" textlink="">
      <cdr:nvSpPr>
        <cdr:cNvPr id="18" name="TextBox 1"/>
        <cdr:cNvSpPr/>
      </cdr:nvSpPr>
      <cdr:spPr>
        <a:xfrm xmlns:a="http://schemas.openxmlformats.org/drawingml/2006/main">
          <a:off x="6257160" y="1868760"/>
          <a:ext cx="2998080" cy="836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5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0.69534</cdr:y>
    </cdr:from>
    <cdr:to>
      <cdr:x>0.35867</cdr:x>
      <cdr:y>0.91822</cdr:y>
    </cdr:to>
    <cdr:sp macro="" textlink="">
      <cdr:nvSpPr>
        <cdr:cNvPr id="26" name="TextBox 2"/>
        <cdr:cNvSpPr/>
      </cdr:nvSpPr>
      <cdr:spPr>
        <a:xfrm xmlns:a="http://schemas.openxmlformats.org/drawingml/2006/main">
          <a:off x="764640" y="2004840"/>
          <a:ext cx="2565000" cy="642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7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0.09371</cdr:x>
      <cdr:y>0.73031</cdr:y>
    </cdr:from>
    <cdr:to>
      <cdr:x>0.37165</cdr:x>
      <cdr:y>0.90342</cdr:y>
    </cdr:to>
    <cdr:sp macro="" textlink="">
      <cdr:nvSpPr>
        <cdr:cNvPr id="29" name="TextBox 1"/>
        <cdr:cNvSpPr/>
      </cdr:nvSpPr>
      <cdr:spPr>
        <a:xfrm xmlns:a="http://schemas.openxmlformats.org/drawingml/2006/main">
          <a:off x="879840" y="2006280"/>
          <a:ext cx="26096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0.6851</cdr:y>
    </cdr:from>
    <cdr:to>
      <cdr:x>0.99992</cdr:x>
      <cdr:y>0.99174</cdr:y>
    </cdr:to>
    <cdr:sp macro="" textlink="">
      <cdr:nvSpPr>
        <cdr:cNvPr id="30" name="TextBox 1"/>
        <cdr:cNvSpPr/>
      </cdr:nvSpPr>
      <cdr:spPr>
        <a:xfrm xmlns:a="http://schemas.openxmlformats.org/drawingml/2006/main">
          <a:off x="6347160" y="1882080"/>
          <a:ext cx="304128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26</xdr:col>
      <xdr:colOff>12435</xdr:colOff>
      <xdr:row>13</xdr:row>
      <xdr:rowOff>92250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E8AF2C-ECED-426A-85CF-49349FD04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0</xdr:colOff>
      <xdr:row>1</xdr:row>
      <xdr:rowOff>0</xdr:rowOff>
    </xdr:from>
    <xdr:to>
      <xdr:col>38</xdr:col>
      <xdr:colOff>596220</xdr:colOff>
      <xdr:row>16</xdr:row>
      <xdr:rowOff>92070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466D9E-E334-4BFE-ACEE-C90D5100CC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27</xdr:col>
      <xdr:colOff>0</xdr:colOff>
      <xdr:row>13</xdr:row>
      <xdr:rowOff>1080</xdr:rowOff>
    </xdr:from>
    <xdr:to>
      <xdr:col>38</xdr:col>
      <xdr:colOff>553020</xdr:colOff>
      <xdr:row>30</xdr:row>
      <xdr:rowOff>128460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77C353-A517-4200-818F-5EE7B1D09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40</xdr:col>
      <xdr:colOff>0</xdr:colOff>
      <xdr:row>1</xdr:row>
      <xdr:rowOff>2520</xdr:rowOff>
    </xdr:from>
    <xdr:to>
      <xdr:col>52</xdr:col>
      <xdr:colOff>81360</xdr:colOff>
      <xdr:row>16</xdr:row>
      <xdr:rowOff>92430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CE4872-B91B-4B24-91CC-338BFFA6D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0</xdr:colOff>
      <xdr:row>12</xdr:row>
      <xdr:rowOff>149760</xdr:rowOff>
    </xdr:from>
    <xdr:to>
      <xdr:col>52</xdr:col>
      <xdr:colOff>81360</xdr:colOff>
      <xdr:row>30</xdr:row>
      <xdr:rowOff>124800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FEACEB-D800-4A36-85D7-3240052E8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40</xdr:col>
      <xdr:colOff>0</xdr:colOff>
      <xdr:row>27</xdr:row>
      <xdr:rowOff>13680</xdr:rowOff>
    </xdr:from>
    <xdr:to>
      <xdr:col>52</xdr:col>
      <xdr:colOff>81360</xdr:colOff>
      <xdr:row>41</xdr:row>
      <xdr:rowOff>142390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4558B9-3005-473D-8C24-7B63BCC6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0</xdr:colOff>
      <xdr:row>11</xdr:row>
      <xdr:rowOff>0</xdr:rowOff>
    </xdr:from>
    <xdr:to>
      <xdr:col>25</xdr:col>
      <xdr:colOff>768345</xdr:colOff>
      <xdr:row>25</xdr:row>
      <xdr:rowOff>127620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BFD94E-CF84-4B44-8279-676E7BA835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0</xdr:colOff>
      <xdr:row>23</xdr:row>
      <xdr:rowOff>0</xdr:rowOff>
    </xdr:from>
    <xdr:to>
      <xdr:col>25</xdr:col>
      <xdr:colOff>752235</xdr:colOff>
      <xdr:row>35</xdr:row>
      <xdr:rowOff>334064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A5568F-2024-44B6-A5BF-3ED959B05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0</xdr:colOff>
      <xdr:row>36</xdr:row>
      <xdr:rowOff>0</xdr:rowOff>
    </xdr:from>
    <xdr:to>
      <xdr:col>26</xdr:col>
      <xdr:colOff>58155</xdr:colOff>
      <xdr:row>50</xdr:row>
      <xdr:rowOff>127620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8C8601-3DDD-4E19-B07A-74541B067A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17</xdr:col>
      <xdr:colOff>0</xdr:colOff>
      <xdr:row>48</xdr:row>
      <xdr:rowOff>0</xdr:rowOff>
    </xdr:from>
    <xdr:to>
      <xdr:col>26</xdr:col>
      <xdr:colOff>35835</xdr:colOff>
      <xdr:row>62</xdr:row>
      <xdr:rowOff>155566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DFA842E-6489-44D3-9A5E-DF8E82D87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17</xdr:col>
      <xdr:colOff>0</xdr:colOff>
      <xdr:row>60</xdr:row>
      <xdr:rowOff>0</xdr:rowOff>
    </xdr:from>
    <xdr:to>
      <xdr:col>26</xdr:col>
      <xdr:colOff>13155</xdr:colOff>
      <xdr:row>72</xdr:row>
      <xdr:rowOff>222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83F6746-A1D5-4171-8323-958C5B407D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0</xdr:colOff>
      <xdr:row>27</xdr:row>
      <xdr:rowOff>0</xdr:rowOff>
    </xdr:from>
    <xdr:to>
      <xdr:col>38</xdr:col>
      <xdr:colOff>568860</xdr:colOff>
      <xdr:row>41</xdr:row>
      <xdr:rowOff>139856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5EBD368-79E2-46DA-8011-30544029C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53</xdr:col>
      <xdr:colOff>0</xdr:colOff>
      <xdr:row>1</xdr:row>
      <xdr:rowOff>0</xdr:rowOff>
    </xdr:from>
    <xdr:to>
      <xdr:col>65</xdr:col>
      <xdr:colOff>81360</xdr:colOff>
      <xdr:row>16</xdr:row>
      <xdr:rowOff>89910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FBCDB55-FD6B-4D64-AAB5-644F1B46F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53</xdr:col>
      <xdr:colOff>0</xdr:colOff>
      <xdr:row>12</xdr:row>
      <xdr:rowOff>147240</xdr:rowOff>
    </xdr:from>
    <xdr:to>
      <xdr:col>65</xdr:col>
      <xdr:colOff>81360</xdr:colOff>
      <xdr:row>30</xdr:row>
      <xdr:rowOff>122280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1B33C99-A322-44AD-BCA9-83F26A8B1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53</xdr:col>
      <xdr:colOff>0</xdr:colOff>
      <xdr:row>27</xdr:row>
      <xdr:rowOff>11160</xdr:rowOff>
    </xdr:from>
    <xdr:to>
      <xdr:col>65</xdr:col>
      <xdr:colOff>81360</xdr:colOff>
      <xdr:row>41</xdr:row>
      <xdr:rowOff>139870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32F2C77-B5A5-45DD-929D-9CA99D93C6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16</xdr:col>
      <xdr:colOff>775440</xdr:colOff>
      <xdr:row>68</xdr:row>
      <xdr:rowOff>176760</xdr:rowOff>
    </xdr:from>
    <xdr:to>
      <xdr:col>25</xdr:col>
      <xdr:colOff>768345</xdr:colOff>
      <xdr:row>83</xdr:row>
      <xdr:rowOff>147824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AC3B71-C641-413B-9A16-6C167A464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16</xdr:col>
      <xdr:colOff>820440</xdr:colOff>
      <xdr:row>81</xdr:row>
      <xdr:rowOff>5400</xdr:rowOff>
    </xdr:from>
    <xdr:to>
      <xdr:col>26</xdr:col>
      <xdr:colOff>7035</xdr:colOff>
      <xdr:row>95</xdr:row>
      <xdr:rowOff>107282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7C191B-23A6-4A8E-8DF4-76F70F391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66</xdr:col>
      <xdr:colOff>9360</xdr:colOff>
      <xdr:row>2</xdr:row>
      <xdr:rowOff>47520</xdr:rowOff>
    </xdr:from>
    <xdr:to>
      <xdr:col>78</xdr:col>
      <xdr:colOff>186480</xdr:colOff>
      <xdr:row>17</xdr:row>
      <xdr:rowOff>139590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03076F0-D95E-4368-B82E-91A812DBC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65</xdr:col>
      <xdr:colOff>561960</xdr:colOff>
      <xdr:row>14</xdr:row>
      <xdr:rowOff>20160</xdr:rowOff>
    </xdr:from>
    <xdr:to>
      <xdr:col>78</xdr:col>
      <xdr:colOff>86040</xdr:colOff>
      <xdr:row>31</xdr:row>
      <xdr:rowOff>147540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540FFD8-4AAB-4553-9450-2B0A48F3C4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0.69534</cdr:y>
    </cdr:from>
    <cdr:to>
      <cdr:x>0.35867</cdr:x>
      <cdr:y>0.91822</cdr:y>
    </cdr:to>
    <cdr:sp macro="" textlink="">
      <cdr:nvSpPr>
        <cdr:cNvPr id="3" name="TextBox 2"/>
        <cdr:cNvSpPr/>
      </cdr:nvSpPr>
      <cdr:spPr>
        <a:xfrm xmlns:a="http://schemas.openxmlformats.org/drawingml/2006/main">
          <a:off x="764640" y="2004840"/>
          <a:ext cx="2565000" cy="642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4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0.0937</cdr:x>
      <cdr:y>0.73031</cdr:y>
    </cdr:from>
    <cdr:to>
      <cdr:x>0.37164</cdr:x>
      <cdr:y>0.90342</cdr:y>
    </cdr:to>
    <cdr:sp macro="" textlink="">
      <cdr:nvSpPr>
        <cdr:cNvPr id="6" name="TextBox 1"/>
        <cdr:cNvSpPr/>
      </cdr:nvSpPr>
      <cdr:spPr>
        <a:xfrm xmlns:a="http://schemas.openxmlformats.org/drawingml/2006/main">
          <a:off x="865800" y="2006280"/>
          <a:ext cx="25682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0.99174</cdr:y>
    </cdr:to>
    <cdr:sp macro="" textlink="">
      <cdr:nvSpPr>
        <cdr:cNvPr id="7" name="TextBox 1"/>
        <cdr:cNvSpPr/>
      </cdr:nvSpPr>
      <cdr:spPr>
        <a:xfrm xmlns:a="http://schemas.openxmlformats.org/drawingml/2006/main">
          <a:off x="6246360" y="1882080"/>
          <a:ext cx="299304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0.09198</cdr:x>
      <cdr:y>0.68554</cdr:y>
    </cdr:from>
    <cdr:to>
      <cdr:x>0.36934</cdr:x>
      <cdr:y>0.89562</cdr:y>
    </cdr:to>
    <cdr:sp macro="" textlink="">
      <cdr:nvSpPr>
        <cdr:cNvPr id="17" name="TextBox 1"/>
        <cdr:cNvSpPr/>
      </cdr:nvSpPr>
      <cdr:spPr>
        <a:xfrm xmlns:a="http://schemas.openxmlformats.org/drawingml/2006/main">
          <a:off x="851400" y="1870200"/>
          <a:ext cx="2567160" cy="5731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0.68501</cdr:y>
    </cdr:from>
    <cdr:to>
      <cdr:x>0.99992</cdr:x>
      <cdr:y>0.99169</cdr:y>
    </cdr:to>
    <cdr:sp macro="" textlink="">
      <cdr:nvSpPr>
        <cdr:cNvPr id="18" name="TextBox 1"/>
        <cdr:cNvSpPr/>
      </cdr:nvSpPr>
      <cdr:spPr>
        <a:xfrm xmlns:a="http://schemas.openxmlformats.org/drawingml/2006/main">
          <a:off x="6257160" y="1868760"/>
          <a:ext cx="2998080" cy="836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5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0.69534</cdr:y>
    </cdr:from>
    <cdr:to>
      <cdr:x>0.35867</cdr:x>
      <cdr:y>0.91822</cdr:y>
    </cdr:to>
    <cdr:sp macro="" textlink="">
      <cdr:nvSpPr>
        <cdr:cNvPr id="26" name="TextBox 2"/>
        <cdr:cNvSpPr/>
      </cdr:nvSpPr>
      <cdr:spPr>
        <a:xfrm xmlns:a="http://schemas.openxmlformats.org/drawingml/2006/main">
          <a:off x="764640" y="2004840"/>
          <a:ext cx="2565000" cy="642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0.99176</cdr:y>
    </cdr:to>
    <cdr:sp macro="" textlink="">
      <cdr:nvSpPr>
        <cdr:cNvPr id="27" name="TextBox 1"/>
        <cdr:cNvSpPr/>
      </cdr:nvSpPr>
      <cdr:spPr>
        <a:xfrm xmlns:a="http://schemas.openxmlformats.org/drawingml/2006/main">
          <a:off x="6275520" y="1975320"/>
          <a:ext cx="3007080" cy="8841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0.09371</cdr:x>
      <cdr:y>0.73031</cdr:y>
    </cdr:from>
    <cdr:to>
      <cdr:x>0.37165</cdr:x>
      <cdr:y>0.90342</cdr:y>
    </cdr:to>
    <cdr:sp macro="" textlink="">
      <cdr:nvSpPr>
        <cdr:cNvPr id="29" name="TextBox 1"/>
        <cdr:cNvSpPr/>
      </cdr:nvSpPr>
      <cdr:spPr>
        <a:xfrm xmlns:a="http://schemas.openxmlformats.org/drawingml/2006/main">
          <a:off x="879840" y="2006280"/>
          <a:ext cx="26096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0.6851</cdr:y>
    </cdr:from>
    <cdr:to>
      <cdr:x>0.99992</cdr:x>
      <cdr:y>0.99174</cdr:y>
    </cdr:to>
    <cdr:sp macro="" textlink="">
      <cdr:nvSpPr>
        <cdr:cNvPr id="30" name="TextBox 1"/>
        <cdr:cNvSpPr/>
      </cdr:nvSpPr>
      <cdr:spPr>
        <a:xfrm xmlns:a="http://schemas.openxmlformats.org/drawingml/2006/main">
          <a:off x="6347160" y="1882080"/>
          <a:ext cx="304128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26</xdr:col>
      <xdr:colOff>21960</xdr:colOff>
      <xdr:row>10</xdr:row>
      <xdr:rowOff>149400</xdr:rowOff>
    </xdr:to>
    <xdr:graphicFrame macro="">
      <xdr:nvGraphicFramePr>
        <xdr:cNvPr id="31" name="Chart 1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0</xdr:colOff>
      <xdr:row>1</xdr:row>
      <xdr:rowOff>0</xdr:rowOff>
    </xdr:from>
    <xdr:to>
      <xdr:col>39</xdr:col>
      <xdr:colOff>177120</xdr:colOff>
      <xdr:row>13</xdr:row>
      <xdr:rowOff>34920</xdr:rowOff>
    </xdr:to>
    <xdr:graphicFrame macro="">
      <xdr:nvGraphicFramePr>
        <xdr:cNvPr id="32" name="Chart 13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27</xdr:col>
      <xdr:colOff>0</xdr:colOff>
      <xdr:row>13</xdr:row>
      <xdr:rowOff>1080</xdr:rowOff>
    </xdr:from>
    <xdr:to>
      <xdr:col>39</xdr:col>
      <xdr:colOff>133920</xdr:colOff>
      <xdr:row>27</xdr:row>
      <xdr:rowOff>90360</xdr:rowOff>
    </xdr:to>
    <xdr:graphicFrame macro="">
      <xdr:nvGraphicFramePr>
        <xdr:cNvPr id="36" name="Chart 1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40</xdr:col>
      <xdr:colOff>0</xdr:colOff>
      <xdr:row>1</xdr:row>
      <xdr:rowOff>2520</xdr:rowOff>
    </xdr:from>
    <xdr:to>
      <xdr:col>52</xdr:col>
      <xdr:colOff>81360</xdr:colOff>
      <xdr:row>13</xdr:row>
      <xdr:rowOff>35280</xdr:rowOff>
    </xdr:to>
    <xdr:graphicFrame macro="">
      <xdr:nvGraphicFramePr>
        <xdr:cNvPr id="39" name="Chart 2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0</xdr:colOff>
      <xdr:row>12</xdr:row>
      <xdr:rowOff>149760</xdr:rowOff>
    </xdr:from>
    <xdr:to>
      <xdr:col>52</xdr:col>
      <xdr:colOff>81360</xdr:colOff>
      <xdr:row>27</xdr:row>
      <xdr:rowOff>48600</xdr:rowOff>
    </xdr:to>
    <xdr:graphicFrame macro="">
      <xdr:nvGraphicFramePr>
        <xdr:cNvPr id="40" name="Chart 2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40</xdr:col>
      <xdr:colOff>0</xdr:colOff>
      <xdr:row>27</xdr:row>
      <xdr:rowOff>13680</xdr:rowOff>
    </xdr:from>
    <xdr:to>
      <xdr:col>52</xdr:col>
      <xdr:colOff>81360</xdr:colOff>
      <xdr:row>39</xdr:row>
      <xdr:rowOff>7920</xdr:rowOff>
    </xdr:to>
    <xdr:graphicFrame macro="">
      <xdr:nvGraphicFramePr>
        <xdr:cNvPr id="41" name="Chart 23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17</xdr:col>
      <xdr:colOff>0</xdr:colOff>
      <xdr:row>11</xdr:row>
      <xdr:rowOff>0</xdr:rowOff>
    </xdr:from>
    <xdr:to>
      <xdr:col>26</xdr:col>
      <xdr:colOff>2535</xdr:colOff>
      <xdr:row>23</xdr:row>
      <xdr:rowOff>13320</xdr:rowOff>
    </xdr:to>
    <xdr:graphicFrame macro="">
      <xdr:nvGraphicFramePr>
        <xdr:cNvPr id="42" name="Chart 44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17</xdr:col>
      <xdr:colOff>0</xdr:colOff>
      <xdr:row>23</xdr:row>
      <xdr:rowOff>0</xdr:rowOff>
    </xdr:from>
    <xdr:to>
      <xdr:col>25</xdr:col>
      <xdr:colOff>761760</xdr:colOff>
      <xdr:row>34</xdr:row>
      <xdr:rowOff>135720</xdr:rowOff>
    </xdr:to>
    <xdr:graphicFrame macro="">
      <xdr:nvGraphicFramePr>
        <xdr:cNvPr id="43" name="Chart 46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17</xdr:col>
      <xdr:colOff>0</xdr:colOff>
      <xdr:row>36</xdr:row>
      <xdr:rowOff>0</xdr:rowOff>
    </xdr:from>
    <xdr:to>
      <xdr:col>26</xdr:col>
      <xdr:colOff>67680</xdr:colOff>
      <xdr:row>48</xdr:row>
      <xdr:rowOff>13320</xdr:rowOff>
    </xdr:to>
    <xdr:graphicFrame macro="">
      <xdr:nvGraphicFramePr>
        <xdr:cNvPr id="44" name="Chart 47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17</xdr:col>
      <xdr:colOff>0</xdr:colOff>
      <xdr:row>48</xdr:row>
      <xdr:rowOff>0</xdr:rowOff>
    </xdr:from>
    <xdr:to>
      <xdr:col>26</xdr:col>
      <xdr:colOff>45360</xdr:colOff>
      <xdr:row>59</xdr:row>
      <xdr:rowOff>190080</xdr:rowOff>
    </xdr:to>
    <xdr:graphicFrame macro="">
      <xdr:nvGraphicFramePr>
        <xdr:cNvPr id="45" name="Chart 48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17</xdr:col>
      <xdr:colOff>0</xdr:colOff>
      <xdr:row>60</xdr:row>
      <xdr:rowOff>0</xdr:rowOff>
    </xdr:from>
    <xdr:to>
      <xdr:col>26</xdr:col>
      <xdr:colOff>22680</xdr:colOff>
      <xdr:row>69</xdr:row>
      <xdr:rowOff>108360</xdr:rowOff>
    </xdr:to>
    <xdr:graphicFrame macro="">
      <xdr:nvGraphicFramePr>
        <xdr:cNvPr id="46" name="Chart 49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0</xdr:colOff>
      <xdr:row>27</xdr:row>
      <xdr:rowOff>0</xdr:rowOff>
    </xdr:from>
    <xdr:to>
      <xdr:col>39</xdr:col>
      <xdr:colOff>149760</xdr:colOff>
      <xdr:row>38</xdr:row>
      <xdr:rowOff>184680</xdr:rowOff>
    </xdr:to>
    <xdr:graphicFrame macro="">
      <xdr:nvGraphicFramePr>
        <xdr:cNvPr id="47" name="Chart 50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53</xdr:col>
      <xdr:colOff>0</xdr:colOff>
      <xdr:row>1</xdr:row>
      <xdr:rowOff>0</xdr:rowOff>
    </xdr:from>
    <xdr:to>
      <xdr:col>65</xdr:col>
      <xdr:colOff>81360</xdr:colOff>
      <xdr:row>13</xdr:row>
      <xdr:rowOff>32760</xdr:rowOff>
    </xdr:to>
    <xdr:graphicFrame macro="">
      <xdr:nvGraphicFramePr>
        <xdr:cNvPr id="50" name="Chart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53</xdr:col>
      <xdr:colOff>0</xdr:colOff>
      <xdr:row>12</xdr:row>
      <xdr:rowOff>147240</xdr:rowOff>
    </xdr:from>
    <xdr:to>
      <xdr:col>65</xdr:col>
      <xdr:colOff>81360</xdr:colOff>
      <xdr:row>27</xdr:row>
      <xdr:rowOff>46080</xdr:rowOff>
    </xdr:to>
    <xdr:graphicFrame macro="">
      <xdr:nvGraphicFramePr>
        <xdr:cNvPr id="51" name="Chart 16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53</xdr:col>
      <xdr:colOff>0</xdr:colOff>
      <xdr:row>27</xdr:row>
      <xdr:rowOff>11160</xdr:rowOff>
    </xdr:from>
    <xdr:to>
      <xdr:col>65</xdr:col>
      <xdr:colOff>81360</xdr:colOff>
      <xdr:row>39</xdr:row>
      <xdr:rowOff>5400</xdr:rowOff>
    </xdr:to>
    <xdr:graphicFrame macro="">
      <xdr:nvGraphicFramePr>
        <xdr:cNvPr id="52" name="Chart 18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16</xdr:col>
      <xdr:colOff>775440</xdr:colOff>
      <xdr:row>68</xdr:row>
      <xdr:rowOff>176760</xdr:rowOff>
    </xdr:from>
    <xdr:to>
      <xdr:col>26</xdr:col>
      <xdr:colOff>2535</xdr:colOff>
      <xdr:row>80</xdr:row>
      <xdr:rowOff>176400</xdr:rowOff>
    </xdr:to>
    <xdr:graphicFrame macro="">
      <xdr:nvGraphicFramePr>
        <xdr:cNvPr id="53" name="Chart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16</xdr:col>
      <xdr:colOff>820440</xdr:colOff>
      <xdr:row>81</xdr:row>
      <xdr:rowOff>5400</xdr:rowOff>
    </xdr:from>
    <xdr:to>
      <xdr:col>26</xdr:col>
      <xdr:colOff>16560</xdr:colOff>
      <xdr:row>92</xdr:row>
      <xdr:rowOff>181800</xdr:rowOff>
    </xdr:to>
    <xdr:graphicFrame macro="">
      <xdr:nvGraphicFramePr>
        <xdr:cNvPr id="54" name="Chart 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66</xdr:col>
      <xdr:colOff>9360</xdr:colOff>
      <xdr:row>2</xdr:row>
      <xdr:rowOff>47520</xdr:rowOff>
    </xdr:from>
    <xdr:to>
      <xdr:col>78</xdr:col>
      <xdr:colOff>186480</xdr:colOff>
      <xdr:row>14</xdr:row>
      <xdr:rowOff>82440</xdr:rowOff>
    </xdr:to>
    <xdr:graphicFrame macro="">
      <xdr:nvGraphicFramePr>
        <xdr:cNvPr id="55" name="Chart 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65</xdr:col>
      <xdr:colOff>561960</xdr:colOff>
      <xdr:row>14</xdr:row>
      <xdr:rowOff>20160</xdr:rowOff>
    </xdr:from>
    <xdr:to>
      <xdr:col>78</xdr:col>
      <xdr:colOff>86040</xdr:colOff>
      <xdr:row>28</xdr:row>
      <xdr:rowOff>109440</xdr:rowOff>
    </xdr:to>
    <xdr:graphicFrame macro="">
      <xdr:nvGraphicFramePr>
        <xdr:cNvPr id="59" name="Chart 5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0.99172</cdr:y>
    </cdr:to>
    <cdr:sp macro="" textlink="">
      <cdr:nvSpPr>
        <cdr:cNvPr id="33" name="TextBox 1"/>
        <cdr:cNvSpPr/>
      </cdr:nvSpPr>
      <cdr:spPr>
        <a:xfrm xmlns:a="http://schemas.openxmlformats.org/drawingml/2006/main">
          <a:off x="6275520" y="1877400"/>
          <a:ext cx="3007080" cy="840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0.69535</cdr:y>
    </cdr:from>
    <cdr:to>
      <cdr:x>0.35867</cdr:x>
      <cdr:y>0.91816</cdr:y>
    </cdr:to>
    <cdr:sp macro="" textlink="">
      <cdr:nvSpPr>
        <cdr:cNvPr id="34" name="TextBox 2"/>
        <cdr:cNvSpPr/>
      </cdr:nvSpPr>
      <cdr:spPr>
        <a:xfrm xmlns:a="http://schemas.openxmlformats.org/drawingml/2006/main">
          <a:off x="764640" y="1905480"/>
          <a:ext cx="2565000" cy="610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0.99172</cdr:y>
    </cdr:to>
    <cdr:sp macro="" textlink="">
      <cdr:nvSpPr>
        <cdr:cNvPr id="35" name="TextBox 1"/>
        <cdr:cNvSpPr/>
      </cdr:nvSpPr>
      <cdr:spPr>
        <a:xfrm xmlns:a="http://schemas.openxmlformats.org/drawingml/2006/main">
          <a:off x="6275520" y="1877400"/>
          <a:ext cx="3007080" cy="840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0.0937</cdr:x>
      <cdr:y>0.73031</cdr:y>
    </cdr:from>
    <cdr:to>
      <cdr:x>0.37164</cdr:x>
      <cdr:y>0.90342</cdr:y>
    </cdr:to>
    <cdr:sp macro="" textlink="">
      <cdr:nvSpPr>
        <cdr:cNvPr id="37" name="TextBox 1"/>
        <cdr:cNvSpPr/>
      </cdr:nvSpPr>
      <cdr:spPr>
        <a:xfrm xmlns:a="http://schemas.openxmlformats.org/drawingml/2006/main">
          <a:off x="865800" y="2006280"/>
          <a:ext cx="25682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0.99174</cdr:y>
    </cdr:to>
    <cdr:sp macro="" textlink="">
      <cdr:nvSpPr>
        <cdr:cNvPr id="38" name="TextBox 1"/>
        <cdr:cNvSpPr/>
      </cdr:nvSpPr>
      <cdr:spPr>
        <a:xfrm xmlns:a="http://schemas.openxmlformats.org/drawingml/2006/main">
          <a:off x="6246360" y="1882080"/>
          <a:ext cx="299304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0.09198</cdr:x>
      <cdr:y>0.68554</cdr:y>
    </cdr:from>
    <cdr:to>
      <cdr:x>0.36934</cdr:x>
      <cdr:y>0.89562</cdr:y>
    </cdr:to>
    <cdr:sp macro="" textlink="">
      <cdr:nvSpPr>
        <cdr:cNvPr id="48" name="TextBox 1"/>
        <cdr:cNvSpPr/>
      </cdr:nvSpPr>
      <cdr:spPr>
        <a:xfrm xmlns:a="http://schemas.openxmlformats.org/drawingml/2006/main">
          <a:off x="851400" y="1870200"/>
          <a:ext cx="2567160" cy="5731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0.68501</cdr:y>
    </cdr:from>
    <cdr:to>
      <cdr:x>0.99992</cdr:x>
      <cdr:y>0.99169</cdr:y>
    </cdr:to>
    <cdr:sp macro="" textlink="">
      <cdr:nvSpPr>
        <cdr:cNvPr id="49" name="TextBox 1"/>
        <cdr:cNvSpPr/>
      </cdr:nvSpPr>
      <cdr:spPr>
        <a:xfrm xmlns:a="http://schemas.openxmlformats.org/drawingml/2006/main">
          <a:off x="6257160" y="1868760"/>
          <a:ext cx="2998080" cy="836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0.676</cdr:x>
      <cdr:y>0.6851</cdr:y>
    </cdr:from>
    <cdr:to>
      <cdr:x>0.99992</cdr:x>
      <cdr:y>0.99172</cdr:y>
    </cdr:to>
    <cdr:sp macro="" textlink="">
      <cdr:nvSpPr>
        <cdr:cNvPr id="56" name="TextBox 1"/>
        <cdr:cNvSpPr/>
      </cdr:nvSpPr>
      <cdr:spPr>
        <a:xfrm xmlns:a="http://schemas.openxmlformats.org/drawingml/2006/main">
          <a:off x="6275520" y="1877400"/>
          <a:ext cx="3007080" cy="840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  <cdr:relSizeAnchor xmlns:cdr="http://schemas.openxmlformats.org/drawingml/2006/chartDrawing">
    <cdr:from>
      <cdr:x>0.08237</cdr:x>
      <cdr:y>0.69535</cdr:y>
    </cdr:from>
    <cdr:to>
      <cdr:x>0.35867</cdr:x>
      <cdr:y>0.91816</cdr:y>
    </cdr:to>
    <cdr:sp macro="" textlink="">
      <cdr:nvSpPr>
        <cdr:cNvPr id="57" name="TextBox 2"/>
        <cdr:cNvSpPr/>
      </cdr:nvSpPr>
      <cdr:spPr>
        <a:xfrm xmlns:a="http://schemas.openxmlformats.org/drawingml/2006/main">
          <a:off x="764640" y="1905480"/>
          <a:ext cx="2565000" cy="610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vertOverflow="clip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</a:pPr>
          <a:r>
            <a:rPr lang="en-US" sz="1100" b="0" strike="noStrike" spc="-1">
              <a:latin typeface="Times New Roman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</cdr:x>
      <cdr:y>0.6851</cdr:y>
    </cdr:from>
    <cdr:to>
      <cdr:x>0.99992</cdr:x>
      <cdr:y>0.99172</cdr:y>
    </cdr:to>
    <cdr:sp macro="" textlink="">
      <cdr:nvSpPr>
        <cdr:cNvPr id="58" name="TextBox 1"/>
        <cdr:cNvSpPr/>
      </cdr:nvSpPr>
      <cdr:spPr>
        <a:xfrm xmlns:a="http://schemas.openxmlformats.org/drawingml/2006/main">
          <a:off x="6275520" y="1877400"/>
          <a:ext cx="3007080" cy="840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0.09371</cdr:x>
      <cdr:y>0.73031</cdr:y>
    </cdr:from>
    <cdr:to>
      <cdr:x>0.37165</cdr:x>
      <cdr:y>0.90342</cdr:y>
    </cdr:to>
    <cdr:sp macro="" textlink="">
      <cdr:nvSpPr>
        <cdr:cNvPr id="60" name="TextBox 1"/>
        <cdr:cNvSpPr/>
      </cdr:nvSpPr>
      <cdr:spPr>
        <a:xfrm xmlns:a="http://schemas.openxmlformats.org/drawingml/2006/main">
          <a:off x="879840" y="2006280"/>
          <a:ext cx="2609640" cy="475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  <cdr:txBody>
        <a:bodyPr xmlns:a="http://schemas.openxmlformats.org/drawingml/2006/main" lIns="90000" tIns="45000" rIns="90000" bIns="45000" anchor="ctr">
          <a:noAutofit/>
        </a:bodyPr>
        <a:lstStyle xmlns:a="http://schemas.openxmlformats.org/drawingml/2006/main"/>
        <a:p xmlns:a="http://schemas.openxmlformats.org/drawingml/2006/main">
          <a:pPr>
            <a:lnSpc>
              <a:spcPct val="100000"/>
            </a:lnSpc>
            <a:tabLst>
              <a:tab pos="0" algn="l"/>
            </a:tabLst>
          </a:pPr>
          <a:r>
            <a:rPr lang="en-US" sz="1100" b="0" strike="noStrike" spc="-1">
              <a:latin typeface="Calibri"/>
            </a:rPr>
            <a:t>Note that reference area for LNGC is different from FSTs</a:t>
          </a:r>
          <a:endParaRPr sz="1100" b="0" strike="noStrike" spc="-1">
            <a:latin typeface="Times New Roman"/>
          </a:endParaRPr>
        </a:p>
      </cdr:txBody>
    </cdr:sp>
  </cdr:relSizeAnchor>
  <cdr:relSizeAnchor xmlns:cdr="http://schemas.openxmlformats.org/drawingml/2006/chartDrawing">
    <cdr:from>
      <cdr:x>0.67601</cdr:x>
      <cdr:y>0.6851</cdr:y>
    </cdr:from>
    <cdr:to>
      <cdr:x>0.99992</cdr:x>
      <cdr:y>0.99174</cdr:y>
    </cdr:to>
    <cdr:sp macro="" textlink="">
      <cdr:nvSpPr>
        <cdr:cNvPr id="61" name="TextBox 1"/>
        <cdr:cNvSpPr/>
      </cdr:nvSpPr>
      <cdr:spPr>
        <a:xfrm xmlns:a="http://schemas.openxmlformats.org/drawingml/2006/main">
          <a:off x="6347160" y="1882080"/>
          <a:ext cx="3041280" cy="842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/>
      </cdr:style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19080</xdr:colOff>
      <xdr:row>33</xdr:row>
      <xdr:rowOff>9360</xdr:rowOff>
    </xdr:from>
    <xdr:to>
      <xdr:col>14</xdr:col>
      <xdr:colOff>75960</xdr:colOff>
      <xdr:row>39</xdr:row>
      <xdr:rowOff>9000</xdr:rowOff>
    </xdr:to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9080" y="6296040"/>
          <a:ext cx="13748760" cy="11426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nl-NL" sz="1100" b="0" strike="noStrike" spc="-1">
              <a:solidFill>
                <a:srgbClr val="000000"/>
              </a:solidFill>
              <a:latin typeface="Calibri"/>
            </a:rPr>
            <a:t>Coordinate systems: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- The Local Coordinate System (LCS) of FST-1  is different from McDermotts definition. For the FST-1 , positive X is towards the aft and positive Y is towards starboard, indicated in green. The orientation is deliberately selected as it eases QA and interpretation of shielding effects.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- LCS FST-2 is oriented 0° in the GCS, which is equal to McDermotts definition.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- The LNGC (coefficients not yet provided) aligns with FST-2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19080</xdr:colOff>
      <xdr:row>8</xdr:row>
      <xdr:rowOff>0</xdr:rowOff>
    </xdr:from>
    <xdr:to>
      <xdr:col>9</xdr:col>
      <xdr:colOff>599760</xdr:colOff>
      <xdr:row>10</xdr:row>
      <xdr:rowOff>190080</xdr:rowOff>
    </xdr:to>
    <xdr:sp macro="" textlink="">
      <xdr:nvSpPr>
        <xdr:cNvPr id="63" name="TextBox 4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7640280" y="1523880"/>
          <a:ext cx="2857320" cy="5713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Reference position for moments are station 10 / Centreline / Waterline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6</xdr:col>
      <xdr:colOff>571185</xdr:colOff>
      <xdr:row>30</xdr:row>
      <xdr:rowOff>138240</xdr:rowOff>
    </xdr:to>
    <xdr:pic>
      <xdr:nvPicPr>
        <xdr:cNvPr id="64" name="Picture 8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76440"/>
          <a:ext cx="8220960" cy="33768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16</xdr:col>
      <xdr:colOff>266400</xdr:colOff>
      <xdr:row>6</xdr:row>
      <xdr:rowOff>190080</xdr:rowOff>
    </xdr:to>
    <xdr:sp macro="" textlink="">
      <xdr:nvSpPr>
        <xdr:cNvPr id="65" name="TextBox 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9138960" y="762120"/>
          <a:ext cx="6337080" cy="57096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reference areas are valid for transverse topsides, but will be used for longitudinal topsides as well to allow fair coefficient comparison in the tab "Report_table_graphs".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19080</xdr:colOff>
      <xdr:row>33</xdr:row>
      <xdr:rowOff>9360</xdr:rowOff>
    </xdr:from>
    <xdr:to>
      <xdr:col>14</xdr:col>
      <xdr:colOff>75960</xdr:colOff>
      <xdr:row>39</xdr:row>
      <xdr:rowOff>9000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19080" y="6296040"/>
          <a:ext cx="13748760" cy="114264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nl-NL" sz="1100" b="0" strike="noStrike" spc="-1">
              <a:solidFill>
                <a:srgbClr val="000000"/>
              </a:solidFill>
              <a:latin typeface="Calibri"/>
            </a:rPr>
            <a:t>Coordinate systems: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- The Local Coordinate System (LCS) of FST-1  is different from McDermotts definition. For the FST-1 , positive X is towards the aft and positive Y is towards starboard, indicated in green. The orientation is deliberately selected as it eases QA and interpretation of shielding effects.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- LCS FST-2 is oriented 0° in the GCS, which is equal to McDermotts definition.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- The LNGC (coefficients not yet provided) aligns with FST-2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19080</xdr:colOff>
      <xdr:row>8</xdr:row>
      <xdr:rowOff>0</xdr:rowOff>
    </xdr:from>
    <xdr:to>
      <xdr:col>9</xdr:col>
      <xdr:colOff>599760</xdr:colOff>
      <xdr:row>10</xdr:row>
      <xdr:rowOff>190080</xdr:rowOff>
    </xdr:to>
    <xdr:sp macro="" textlink="">
      <xdr:nvSpPr>
        <xdr:cNvPr id="67" name="TextBox 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7640280" y="1523880"/>
          <a:ext cx="2857320" cy="5713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Reference position for moments are station 10 / Centreline / Waterline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6</xdr:col>
      <xdr:colOff>599760</xdr:colOff>
      <xdr:row>30</xdr:row>
      <xdr:rowOff>138240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76440"/>
          <a:ext cx="8220960" cy="33768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16</xdr:col>
      <xdr:colOff>266400</xdr:colOff>
      <xdr:row>6</xdr:row>
      <xdr:rowOff>190080</xdr:rowOff>
    </xdr:to>
    <xdr:sp macro="" textlink="">
      <xdr:nvSpPr>
        <xdr:cNvPr id="69" name="TextBox 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9138960" y="762120"/>
          <a:ext cx="6337080" cy="57096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reference areas are valid for transverse topsides, but will be used for longitudinal topsides as well to allow fair coefficient comparison in the tab "Report_table_graphs".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19080</xdr:colOff>
      <xdr:row>7</xdr:row>
      <xdr:rowOff>0</xdr:rowOff>
    </xdr:from>
    <xdr:to>
      <xdr:col>9</xdr:col>
      <xdr:colOff>599760</xdr:colOff>
      <xdr:row>9</xdr:row>
      <xdr:rowOff>190080</xdr:rowOff>
    </xdr:to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640280" y="1333440"/>
          <a:ext cx="2857320" cy="5713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Reference position for moments are station 10 / Centreline / Waterline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19080</xdr:colOff>
      <xdr:row>7</xdr:row>
      <xdr:rowOff>0</xdr:rowOff>
    </xdr:from>
    <xdr:to>
      <xdr:col>9</xdr:col>
      <xdr:colOff>599760</xdr:colOff>
      <xdr:row>9</xdr:row>
      <xdr:rowOff>190080</xdr:rowOff>
    </xdr:to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7640280" y="1333440"/>
          <a:ext cx="2857320" cy="5713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Reference position for moments are station 10 / Centreline / Waterline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opLeftCell="A22" zoomScale="85" zoomScaleNormal="85" workbookViewId="0">
      <selection activeCell="J36" sqref="J36"/>
    </sheetView>
  </sheetViews>
  <sheetFormatPr defaultColWidth="8.5703125" defaultRowHeight="15" x14ac:dyDescent="0.25"/>
  <cols>
    <col min="2" max="2" width="38.7109375" customWidth="1"/>
    <col min="3" max="3" width="30.5703125" bestFit="1" customWidth="1"/>
    <col min="5" max="5" width="16.7109375" customWidth="1"/>
    <col min="6" max="6" width="12.42578125" customWidth="1"/>
    <col min="7" max="7" width="15.42578125" customWidth="1"/>
    <col min="8" max="8" width="28.5703125" customWidth="1"/>
    <col min="9" max="9" width="11.28515625" customWidth="1"/>
    <col min="10" max="10" width="35.140625" customWidth="1"/>
    <col min="11" max="11" width="12" customWidth="1"/>
  </cols>
  <sheetData>
    <row r="1" spans="1:11" ht="18.75" x14ac:dyDescent="0.3">
      <c r="A1" s="119" t="s">
        <v>194</v>
      </c>
    </row>
    <row r="2" spans="1:11" x14ac:dyDescent="0.25">
      <c r="A2" s="120" t="s">
        <v>195</v>
      </c>
      <c r="B2" s="120" t="s">
        <v>196</v>
      </c>
      <c r="C2" s="120" t="s">
        <v>5</v>
      </c>
    </row>
    <row r="3" spans="1:11" ht="30" x14ac:dyDescent="0.25">
      <c r="A3" t="s">
        <v>197</v>
      </c>
      <c r="B3" s="121">
        <v>45629</v>
      </c>
      <c r="C3" s="122" t="s">
        <v>225</v>
      </c>
    </row>
    <row r="4" spans="1:11" ht="60" x14ac:dyDescent="0.25">
      <c r="A4" t="s">
        <v>198</v>
      </c>
      <c r="B4" s="121">
        <v>45718</v>
      </c>
      <c r="C4" s="122" t="s">
        <v>226</v>
      </c>
    </row>
    <row r="8" spans="1:11" x14ac:dyDescent="0.25">
      <c r="B8" s="2" t="s">
        <v>0</v>
      </c>
      <c r="C8" s="2"/>
      <c r="D8" s="3" t="s">
        <v>1</v>
      </c>
      <c r="E8" s="3" t="s">
        <v>2</v>
      </c>
      <c r="F8" s="3" t="s">
        <v>3</v>
      </c>
      <c r="G8" s="3" t="s">
        <v>4</v>
      </c>
      <c r="H8" s="2" t="s">
        <v>5</v>
      </c>
      <c r="I8" s="3" t="s">
        <v>6</v>
      </c>
      <c r="J8" s="2" t="s">
        <v>7</v>
      </c>
      <c r="K8" s="4" t="s">
        <v>8</v>
      </c>
    </row>
    <row r="9" spans="1:11" x14ac:dyDescent="0.25">
      <c r="B9" s="5" t="s">
        <v>9</v>
      </c>
      <c r="C9" s="5"/>
      <c r="D9" s="6" t="s">
        <v>10</v>
      </c>
      <c r="E9" s="6" t="s">
        <v>11</v>
      </c>
      <c r="F9" s="6" t="s">
        <v>11</v>
      </c>
      <c r="G9" s="6" t="s">
        <v>11</v>
      </c>
      <c r="H9" s="7" t="s">
        <v>12</v>
      </c>
      <c r="I9" s="6" t="s">
        <v>11</v>
      </c>
      <c r="J9" s="6"/>
    </row>
    <row r="10" spans="1:11" x14ac:dyDescent="0.25">
      <c r="B10" s="5" t="s">
        <v>13</v>
      </c>
      <c r="C10" s="5"/>
      <c r="D10" s="6" t="s">
        <v>14</v>
      </c>
      <c r="E10" s="6" t="s">
        <v>11</v>
      </c>
      <c r="F10" s="6" t="s">
        <v>11</v>
      </c>
      <c r="G10" s="6" t="s">
        <v>11</v>
      </c>
      <c r="H10" s="7" t="s">
        <v>12</v>
      </c>
      <c r="I10" s="6" t="s">
        <v>11</v>
      </c>
      <c r="J10" s="6"/>
    </row>
    <row r="11" spans="1:11" x14ac:dyDescent="0.25">
      <c r="B11" s="5" t="s">
        <v>15</v>
      </c>
      <c r="C11" s="5"/>
      <c r="D11" s="6" t="s">
        <v>11</v>
      </c>
      <c r="E11" s="6" t="s">
        <v>11</v>
      </c>
      <c r="F11" s="6" t="s">
        <v>10</v>
      </c>
      <c r="G11" s="6" t="s">
        <v>11</v>
      </c>
      <c r="H11" s="7" t="s">
        <v>12</v>
      </c>
      <c r="I11" s="6" t="s">
        <v>11</v>
      </c>
      <c r="J11" s="6"/>
    </row>
    <row r="12" spans="1:11" x14ac:dyDescent="0.25">
      <c r="B12" s="5" t="s">
        <v>16</v>
      </c>
      <c r="C12" s="5"/>
      <c r="D12" s="6" t="s">
        <v>11</v>
      </c>
      <c r="E12" s="6" t="s">
        <v>11</v>
      </c>
      <c r="F12" s="6" t="s">
        <v>14</v>
      </c>
      <c r="G12" s="6" t="s">
        <v>11</v>
      </c>
      <c r="H12" s="7" t="s">
        <v>12</v>
      </c>
      <c r="I12" s="6" t="s">
        <v>11</v>
      </c>
      <c r="J12" s="6"/>
    </row>
    <row r="13" spans="1:11" x14ac:dyDescent="0.25">
      <c r="B13" s="5" t="s">
        <v>17</v>
      </c>
      <c r="C13" s="5"/>
      <c r="D13" s="6"/>
      <c r="E13" s="6"/>
      <c r="F13" s="6"/>
      <c r="G13" s="6"/>
      <c r="H13" s="7"/>
      <c r="I13" s="6"/>
      <c r="J13" s="6"/>
      <c r="K13" s="8" t="s">
        <v>18</v>
      </c>
    </row>
    <row r="14" spans="1:11" x14ac:dyDescent="0.25">
      <c r="B14" s="5" t="s">
        <v>19</v>
      </c>
      <c r="C14" s="5"/>
      <c r="D14" s="6" t="s">
        <v>11</v>
      </c>
      <c r="E14" s="6" t="s">
        <v>11</v>
      </c>
      <c r="F14" s="6" t="s">
        <v>11</v>
      </c>
      <c r="G14" s="6" t="s">
        <v>11</v>
      </c>
      <c r="H14" s="7" t="s">
        <v>20</v>
      </c>
      <c r="I14" s="6" t="s">
        <v>11</v>
      </c>
      <c r="J14" s="6"/>
      <c r="K14" s="8" t="s">
        <v>21</v>
      </c>
    </row>
    <row r="15" spans="1:11" ht="60" x14ac:dyDescent="0.25">
      <c r="B15" s="5" t="s">
        <v>22</v>
      </c>
      <c r="C15" s="5"/>
      <c r="D15" s="6" t="s">
        <v>10</v>
      </c>
      <c r="E15" s="6" t="s">
        <v>23</v>
      </c>
      <c r="F15" s="6" t="s">
        <v>11</v>
      </c>
      <c r="G15" s="6" t="s">
        <v>24</v>
      </c>
      <c r="H15" s="7" t="s">
        <v>187</v>
      </c>
      <c r="I15" s="6" t="s">
        <v>25</v>
      </c>
      <c r="J15" s="9" t="s">
        <v>26</v>
      </c>
    </row>
    <row r="16" spans="1:11" ht="60" x14ac:dyDescent="0.25">
      <c r="B16" s="5" t="s">
        <v>27</v>
      </c>
      <c r="C16" s="5"/>
      <c r="D16" s="6" t="s">
        <v>10</v>
      </c>
      <c r="E16" s="6" t="s">
        <v>23</v>
      </c>
      <c r="F16" s="6" t="s">
        <v>11</v>
      </c>
      <c r="G16" s="6" t="s">
        <v>24</v>
      </c>
      <c r="H16" s="7" t="s">
        <v>187</v>
      </c>
      <c r="I16" s="6" t="s">
        <v>25</v>
      </c>
      <c r="J16" s="10" t="str">
        <f>J15</f>
        <v>Cx coefficients decreased while Cy coefficients increased with change of truss structure from transverse to longitudinal.</v>
      </c>
    </row>
    <row r="17" spans="2:10" ht="43.5" customHeight="1" x14ac:dyDescent="0.25">
      <c r="B17" s="5" t="s">
        <v>28</v>
      </c>
      <c r="C17" s="5"/>
      <c r="D17" s="6" t="s">
        <v>10</v>
      </c>
      <c r="E17" s="6" t="s">
        <v>23</v>
      </c>
      <c r="F17" s="6" t="s">
        <v>11</v>
      </c>
      <c r="G17" s="6" t="s">
        <v>29</v>
      </c>
      <c r="H17" s="7" t="s">
        <v>187</v>
      </c>
      <c r="I17" s="6" t="s">
        <v>25</v>
      </c>
      <c r="J17" s="9" t="s">
        <v>30</v>
      </c>
    </row>
    <row r="18" spans="2:10" ht="50.25" customHeight="1" x14ac:dyDescent="0.25">
      <c r="B18" s="5" t="s">
        <v>31</v>
      </c>
      <c r="C18" s="5"/>
      <c r="D18" s="6" t="s">
        <v>10</v>
      </c>
      <c r="E18" s="6" t="s">
        <v>23</v>
      </c>
      <c r="F18" s="6" t="s">
        <v>11</v>
      </c>
      <c r="G18" s="6" t="s">
        <v>29</v>
      </c>
      <c r="H18" s="7" t="s">
        <v>187</v>
      </c>
      <c r="I18" s="6" t="s">
        <v>25</v>
      </c>
      <c r="J18" s="11" t="str">
        <f>J17</f>
        <v>Cx coefficients increased while Cy coefficients decreased with topography</v>
      </c>
    </row>
    <row r="19" spans="2:10" x14ac:dyDescent="0.25">
      <c r="B19" s="5" t="s">
        <v>32</v>
      </c>
      <c r="C19" s="5"/>
      <c r="D19" s="6" t="s">
        <v>10</v>
      </c>
      <c r="E19" s="6" t="s">
        <v>33</v>
      </c>
      <c r="F19" s="6" t="s">
        <v>11</v>
      </c>
      <c r="G19" s="6" t="s">
        <v>24</v>
      </c>
      <c r="H19" s="7" t="s">
        <v>187</v>
      </c>
      <c r="I19" s="6"/>
      <c r="J19" s="6" t="s">
        <v>11</v>
      </c>
    </row>
    <row r="20" spans="2:10" x14ac:dyDescent="0.25">
      <c r="B20" s="5" t="s">
        <v>34</v>
      </c>
      <c r="C20" s="5"/>
      <c r="D20" s="6" t="s">
        <v>10</v>
      </c>
      <c r="E20" s="6" t="s">
        <v>33</v>
      </c>
      <c r="F20" s="6" t="s">
        <v>11</v>
      </c>
      <c r="G20" s="6" t="s">
        <v>24</v>
      </c>
      <c r="H20" s="7" t="s">
        <v>187</v>
      </c>
      <c r="I20" s="6"/>
      <c r="J20" s="6" t="s">
        <v>11</v>
      </c>
    </row>
    <row r="21" spans="2:10" x14ac:dyDescent="0.25">
      <c r="B21" s="5" t="s">
        <v>35</v>
      </c>
      <c r="C21" s="5"/>
      <c r="D21" s="6" t="s">
        <v>10</v>
      </c>
      <c r="E21" s="6" t="s">
        <v>33</v>
      </c>
      <c r="F21" s="6" t="s">
        <v>11</v>
      </c>
      <c r="G21" s="6" t="s">
        <v>24</v>
      </c>
      <c r="H21" s="7" t="s">
        <v>187</v>
      </c>
      <c r="I21" s="6"/>
      <c r="J21" s="12" t="s">
        <v>36</v>
      </c>
    </row>
    <row r="22" spans="2:10" x14ac:dyDescent="0.25">
      <c r="B22" s="5" t="s">
        <v>37</v>
      </c>
      <c r="C22" s="5"/>
      <c r="D22" s="6" t="s">
        <v>10</v>
      </c>
      <c r="E22" s="6" t="s">
        <v>33</v>
      </c>
      <c r="F22" s="6" t="s">
        <v>11</v>
      </c>
      <c r="G22" s="6" t="s">
        <v>24</v>
      </c>
      <c r="H22" s="7" t="s">
        <v>187</v>
      </c>
      <c r="I22" s="6"/>
      <c r="J22" s="12" t="s">
        <v>36</v>
      </c>
    </row>
    <row r="23" spans="2:10" x14ac:dyDescent="0.25">
      <c r="B23" s="5" t="s">
        <v>38</v>
      </c>
      <c r="C23" s="5"/>
      <c r="D23" s="6" t="s">
        <v>10</v>
      </c>
      <c r="E23" s="6" t="s">
        <v>33</v>
      </c>
      <c r="F23" s="6" t="s">
        <v>11</v>
      </c>
      <c r="G23" s="6" t="s">
        <v>24</v>
      </c>
      <c r="H23" s="7" t="s">
        <v>187</v>
      </c>
      <c r="I23" s="6"/>
      <c r="J23" s="12" t="s">
        <v>36</v>
      </c>
    </row>
    <row r="24" spans="2:10" ht="45" x14ac:dyDescent="0.25">
      <c r="B24" s="5" t="s">
        <v>39</v>
      </c>
      <c r="C24" s="5"/>
      <c r="D24" s="6" t="s">
        <v>14</v>
      </c>
      <c r="E24" s="6" t="s">
        <v>33</v>
      </c>
      <c r="F24" s="6" t="s">
        <v>11</v>
      </c>
      <c r="G24" s="6" t="s">
        <v>24</v>
      </c>
      <c r="H24" s="7" t="s">
        <v>187</v>
      </c>
      <c r="I24" s="6"/>
      <c r="J24" s="9" t="s">
        <v>40</v>
      </c>
    </row>
    <row r="25" spans="2:10" ht="45" x14ac:dyDescent="0.25">
      <c r="B25" s="5" t="s">
        <v>41</v>
      </c>
      <c r="C25" s="5"/>
      <c r="D25" s="6" t="s">
        <v>14</v>
      </c>
      <c r="E25" s="6" t="s">
        <v>33</v>
      </c>
      <c r="F25" s="6" t="s">
        <v>11</v>
      </c>
      <c r="G25" s="6" t="s">
        <v>24</v>
      </c>
      <c r="H25" s="7" t="s">
        <v>187</v>
      </c>
      <c r="I25" s="6"/>
      <c r="J25" s="10" t="str">
        <f>J24</f>
        <v>Cx, Cy change marginally for FSTs when Draught changes from light to Full condition</v>
      </c>
    </row>
    <row r="26" spans="2:10" ht="29.25" customHeight="1" x14ac:dyDescent="0.25">
      <c r="B26" s="5" t="s">
        <v>42</v>
      </c>
      <c r="C26" s="5"/>
      <c r="D26" s="6" t="s">
        <v>10</v>
      </c>
      <c r="E26" s="6" t="s">
        <v>33</v>
      </c>
      <c r="F26" s="6" t="s">
        <v>11</v>
      </c>
      <c r="G26" s="6" t="s">
        <v>29</v>
      </c>
      <c r="H26" s="7" t="s">
        <v>187</v>
      </c>
      <c r="I26" s="6"/>
      <c r="J26" s="9" t="s">
        <v>43</v>
      </c>
    </row>
    <row r="27" spans="2:10" ht="31.5" customHeight="1" x14ac:dyDescent="0.25">
      <c r="B27" s="5" t="s">
        <v>44</v>
      </c>
      <c r="C27" s="5"/>
      <c r="D27" s="6" t="s">
        <v>10</v>
      </c>
      <c r="E27" s="6" t="s">
        <v>33</v>
      </c>
      <c r="F27" s="6" t="s">
        <v>11</v>
      </c>
      <c r="G27" s="6" t="s">
        <v>29</v>
      </c>
      <c r="H27" s="7" t="s">
        <v>187</v>
      </c>
      <c r="I27" s="6"/>
      <c r="J27" s="10" t="str">
        <f>J26</f>
        <v>Cx coefficient trend is mixed while Cy coefficients decreased with topography</v>
      </c>
    </row>
    <row r="28" spans="2:10" ht="30" x14ac:dyDescent="0.25">
      <c r="B28" s="5" t="s">
        <v>45</v>
      </c>
      <c r="C28" s="5"/>
      <c r="D28" s="6" t="s">
        <v>10</v>
      </c>
      <c r="E28" s="6" t="s">
        <v>33</v>
      </c>
      <c r="F28" s="6" t="s">
        <v>25</v>
      </c>
      <c r="G28" s="6" t="s">
        <v>24</v>
      </c>
      <c r="H28" s="7" t="s">
        <v>187</v>
      </c>
      <c r="I28" s="6"/>
      <c r="J28" s="9" t="s">
        <v>46</v>
      </c>
    </row>
    <row r="29" spans="2:10" ht="30" x14ac:dyDescent="0.25">
      <c r="B29" s="5" t="s">
        <v>47</v>
      </c>
      <c r="C29" s="5"/>
      <c r="D29" s="6" t="s">
        <v>10</v>
      </c>
      <c r="E29" s="6" t="s">
        <v>33</v>
      </c>
      <c r="F29" s="6" t="s">
        <v>25</v>
      </c>
      <c r="G29" s="6" t="s">
        <v>24</v>
      </c>
      <c r="H29" s="7" t="s">
        <v>187</v>
      </c>
      <c r="I29" s="6"/>
      <c r="J29" s="10" t="str">
        <f>J28</f>
        <v>Cx, Cy change for FSTs when LNGC is berthed</v>
      </c>
    </row>
    <row r="30" spans="2:10" x14ac:dyDescent="0.25">
      <c r="B30" s="5" t="s">
        <v>48</v>
      </c>
      <c r="C30" s="5"/>
      <c r="D30" s="6" t="s">
        <v>10</v>
      </c>
      <c r="E30" s="6" t="s">
        <v>33</v>
      </c>
      <c r="F30" s="6" t="s">
        <v>25</v>
      </c>
      <c r="G30" s="6" t="s">
        <v>24</v>
      </c>
      <c r="H30" s="7" t="s">
        <v>186</v>
      </c>
      <c r="I30" s="6"/>
      <c r="J30" s="6" t="s">
        <v>11</v>
      </c>
    </row>
    <row r="31" spans="2:10" ht="45" x14ac:dyDescent="0.25">
      <c r="B31" s="5" t="s">
        <v>49</v>
      </c>
      <c r="C31" s="5"/>
      <c r="D31" s="6" t="s">
        <v>14</v>
      </c>
      <c r="E31" s="6" t="s">
        <v>33</v>
      </c>
      <c r="F31" s="6" t="s">
        <v>25</v>
      </c>
      <c r="G31" s="6" t="s">
        <v>24</v>
      </c>
      <c r="H31" s="7" t="s">
        <v>187</v>
      </c>
      <c r="I31" s="6"/>
      <c r="J31" s="9" t="s">
        <v>50</v>
      </c>
    </row>
    <row r="32" spans="2:10" ht="45" x14ac:dyDescent="0.25">
      <c r="B32" s="5" t="s">
        <v>51</v>
      </c>
      <c r="C32" s="5"/>
      <c r="D32" s="6" t="s">
        <v>14</v>
      </c>
      <c r="E32" s="6" t="s">
        <v>33</v>
      </c>
      <c r="F32" s="6" t="s">
        <v>25</v>
      </c>
      <c r="G32" s="6" t="s">
        <v>24</v>
      </c>
      <c r="H32" s="7" t="s">
        <v>187</v>
      </c>
      <c r="I32" s="6"/>
      <c r="J32" s="10" t="str">
        <f>J31</f>
        <v>Cx, Cy change marginally for FSTs when Draught from light to Full condition</v>
      </c>
    </row>
    <row r="33" spans="2:10" x14ac:dyDescent="0.25">
      <c r="B33" s="5" t="s">
        <v>52</v>
      </c>
      <c r="C33" s="5"/>
      <c r="D33" s="6" t="s">
        <v>14</v>
      </c>
      <c r="E33" s="6" t="s">
        <v>33</v>
      </c>
      <c r="F33" s="6" t="s">
        <v>25</v>
      </c>
      <c r="G33" s="6" t="s">
        <v>24</v>
      </c>
      <c r="H33" s="7" t="s">
        <v>186</v>
      </c>
      <c r="I33" s="6"/>
      <c r="J33" s="6" t="s">
        <v>11</v>
      </c>
    </row>
    <row r="34" spans="2:10" ht="30" x14ac:dyDescent="0.25">
      <c r="B34" s="5" t="s">
        <v>269</v>
      </c>
      <c r="C34" s="6" t="s">
        <v>11</v>
      </c>
      <c r="D34" s="6" t="s">
        <v>11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10" t="s">
        <v>272</v>
      </c>
    </row>
    <row r="35" spans="2:10" ht="30" x14ac:dyDescent="0.25">
      <c r="B35" s="5" t="s">
        <v>270</v>
      </c>
      <c r="C35" s="6" t="s">
        <v>11</v>
      </c>
      <c r="D35" s="6" t="s">
        <v>11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10" t="s">
        <v>273</v>
      </c>
    </row>
    <row r="36" spans="2:10" ht="30" x14ac:dyDescent="0.25">
      <c r="B36" s="5" t="s">
        <v>271</v>
      </c>
      <c r="C36" s="6" t="s">
        <v>11</v>
      </c>
      <c r="D36" s="6" t="s">
        <v>11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  <c r="J36" s="10" t="s">
        <v>274</v>
      </c>
    </row>
    <row r="37" spans="2:10" x14ac:dyDescent="0.25">
      <c r="B37" s="211"/>
      <c r="C37" s="211"/>
      <c r="D37" s="108"/>
      <c r="E37" s="108"/>
      <c r="F37" s="108"/>
      <c r="G37" s="108"/>
      <c r="I37" s="108"/>
      <c r="J37" s="108"/>
    </row>
    <row r="38" spans="2:10" x14ac:dyDescent="0.25">
      <c r="B38" s="211"/>
      <c r="C38" s="211"/>
      <c r="D38" s="108"/>
      <c r="E38" s="108"/>
      <c r="F38" s="108"/>
      <c r="G38" s="108"/>
      <c r="I38" s="108"/>
      <c r="J38" s="108"/>
    </row>
    <row r="39" spans="2:10" x14ac:dyDescent="0.25">
      <c r="B39" s="211"/>
      <c r="C39" s="211"/>
      <c r="D39" s="108"/>
      <c r="E39" s="108"/>
      <c r="F39" s="108"/>
      <c r="G39" s="108"/>
      <c r="I39" s="108"/>
      <c r="J39" s="108"/>
    </row>
    <row r="40" spans="2:10" x14ac:dyDescent="0.25">
      <c r="B40" s="211"/>
      <c r="C40" s="211"/>
      <c r="D40" s="108"/>
      <c r="E40" s="108"/>
      <c r="F40" s="108"/>
      <c r="G40" s="108"/>
      <c r="I40" s="108"/>
      <c r="J40" s="108"/>
    </row>
    <row r="42" spans="2:10" ht="18.75" x14ac:dyDescent="0.3">
      <c r="B42" s="111" t="s">
        <v>184</v>
      </c>
      <c r="C42" s="111"/>
    </row>
    <row r="43" spans="2:10" x14ac:dyDescent="0.25">
      <c r="C43" s="216" t="s">
        <v>185</v>
      </c>
      <c r="D43" s="216"/>
      <c r="E43" s="216"/>
      <c r="F43" s="216"/>
      <c r="G43" s="216"/>
      <c r="H43" s="216"/>
    </row>
    <row r="44" spans="2:10" x14ac:dyDescent="0.25">
      <c r="C44" s="215" t="str">
        <f>D8</f>
        <v>FST</v>
      </c>
      <c r="D44" s="215"/>
      <c r="E44" s="114" t="str">
        <f>E8</f>
        <v>FST Truss</v>
      </c>
      <c r="F44" s="114" t="str">
        <f>F8</f>
        <v>LNGC</v>
      </c>
      <c r="G44" s="114" t="str">
        <f>G8</f>
        <v>Domain</v>
      </c>
      <c r="H44" s="217" t="s">
        <v>193</v>
      </c>
      <c r="I44" s="109"/>
    </row>
    <row r="45" spans="2:10" ht="30" x14ac:dyDescent="0.25">
      <c r="C45" s="112" t="s">
        <v>188</v>
      </c>
      <c r="D45" s="113" t="s">
        <v>189</v>
      </c>
      <c r="E45" s="115" t="s">
        <v>190</v>
      </c>
      <c r="F45" s="114" t="s">
        <v>191</v>
      </c>
      <c r="G45" s="115" t="s">
        <v>192</v>
      </c>
      <c r="H45" s="218"/>
      <c r="I45" s="109"/>
    </row>
    <row r="46" spans="2:10" x14ac:dyDescent="0.25">
      <c r="C46" s="7"/>
      <c r="D46" s="110" t="str">
        <f t="shared" ref="D46:H55" si="0">D15</f>
        <v>Light</v>
      </c>
      <c r="E46" s="110" t="str">
        <f t="shared" si="0"/>
        <v>Longitudinal</v>
      </c>
      <c r="F46" s="110" t="str">
        <f t="shared" si="0"/>
        <v>-</v>
      </c>
      <c r="G46" s="110" t="str">
        <f t="shared" si="0"/>
        <v>Open</v>
      </c>
      <c r="H46" s="110" t="str">
        <f t="shared" si="0"/>
        <v>FST Coefficients</v>
      </c>
    </row>
    <row r="47" spans="2:10" x14ac:dyDescent="0.25">
      <c r="C47" s="7"/>
      <c r="D47" s="110" t="str">
        <f t="shared" si="0"/>
        <v>Light</v>
      </c>
      <c r="E47" s="110" t="str">
        <f t="shared" si="0"/>
        <v>Longitudinal</v>
      </c>
      <c r="F47" s="110" t="str">
        <f t="shared" si="0"/>
        <v>-</v>
      </c>
      <c r="G47" s="110" t="str">
        <f t="shared" si="0"/>
        <v>Open</v>
      </c>
      <c r="H47" s="110" t="str">
        <f t="shared" si="0"/>
        <v>FST Coefficients</v>
      </c>
    </row>
    <row r="48" spans="2:10" x14ac:dyDescent="0.25">
      <c r="C48" s="7"/>
      <c r="D48" s="110" t="str">
        <f t="shared" si="0"/>
        <v>Light</v>
      </c>
      <c r="E48" s="110" t="str">
        <f t="shared" si="0"/>
        <v>Longitudinal</v>
      </c>
      <c r="F48" s="110" t="str">
        <f t="shared" si="0"/>
        <v>-</v>
      </c>
      <c r="G48" s="110" t="str">
        <f t="shared" si="0"/>
        <v>Topography</v>
      </c>
      <c r="H48" s="110" t="str">
        <f t="shared" si="0"/>
        <v>FST Coefficients</v>
      </c>
    </row>
    <row r="49" spans="3:8" x14ac:dyDescent="0.25">
      <c r="C49" s="7"/>
      <c r="D49" s="110" t="str">
        <f t="shared" si="0"/>
        <v>Light</v>
      </c>
      <c r="E49" s="110" t="str">
        <f t="shared" si="0"/>
        <v>Longitudinal</v>
      </c>
      <c r="F49" s="110" t="str">
        <f t="shared" si="0"/>
        <v>-</v>
      </c>
      <c r="G49" s="110" t="str">
        <f t="shared" si="0"/>
        <v>Topography</v>
      </c>
      <c r="H49" s="110" t="str">
        <f t="shared" si="0"/>
        <v>FST Coefficients</v>
      </c>
    </row>
    <row r="50" spans="3:8" x14ac:dyDescent="0.25">
      <c r="C50" s="7"/>
      <c r="D50" s="110" t="str">
        <f t="shared" si="0"/>
        <v>Light</v>
      </c>
      <c r="E50" s="110" t="str">
        <f t="shared" si="0"/>
        <v>Transverse</v>
      </c>
      <c r="F50" s="110" t="str">
        <f t="shared" si="0"/>
        <v>-</v>
      </c>
      <c r="G50" s="110" t="str">
        <f t="shared" si="0"/>
        <v>Open</v>
      </c>
      <c r="H50" s="110" t="str">
        <f t="shared" si="0"/>
        <v>FST Coefficients</v>
      </c>
    </row>
    <row r="51" spans="3:8" x14ac:dyDescent="0.25">
      <c r="C51" s="7"/>
      <c r="D51" s="110" t="str">
        <f t="shared" si="0"/>
        <v>Light</v>
      </c>
      <c r="E51" s="110" t="str">
        <f t="shared" si="0"/>
        <v>Transverse</v>
      </c>
      <c r="F51" s="110" t="str">
        <f t="shared" si="0"/>
        <v>-</v>
      </c>
      <c r="G51" s="110" t="str">
        <f t="shared" si="0"/>
        <v>Open</v>
      </c>
      <c r="H51" s="110" t="str">
        <f t="shared" si="0"/>
        <v>FST Coefficients</v>
      </c>
    </row>
    <row r="52" spans="3:8" x14ac:dyDescent="0.25">
      <c r="C52" s="7"/>
      <c r="D52" s="110" t="str">
        <f t="shared" si="0"/>
        <v>Light</v>
      </c>
      <c r="E52" s="110" t="str">
        <f t="shared" si="0"/>
        <v>Transverse</v>
      </c>
      <c r="F52" s="110" t="str">
        <f t="shared" si="0"/>
        <v>-</v>
      </c>
      <c r="G52" s="110" t="str">
        <f t="shared" si="0"/>
        <v>Open</v>
      </c>
      <c r="H52" s="110" t="str">
        <f t="shared" si="0"/>
        <v>FST Coefficients</v>
      </c>
    </row>
    <row r="53" spans="3:8" x14ac:dyDescent="0.25">
      <c r="C53" s="7"/>
      <c r="D53" s="110" t="str">
        <f t="shared" si="0"/>
        <v>Light</v>
      </c>
      <c r="E53" s="110" t="str">
        <f t="shared" si="0"/>
        <v>Transverse</v>
      </c>
      <c r="F53" s="110" t="str">
        <f t="shared" si="0"/>
        <v>-</v>
      </c>
      <c r="G53" s="110" t="str">
        <f t="shared" si="0"/>
        <v>Open</v>
      </c>
      <c r="H53" s="110" t="str">
        <f t="shared" si="0"/>
        <v>FST Coefficients</v>
      </c>
    </row>
    <row r="54" spans="3:8" x14ac:dyDescent="0.25">
      <c r="C54" s="7"/>
      <c r="D54" s="110" t="str">
        <f t="shared" si="0"/>
        <v>Light</v>
      </c>
      <c r="E54" s="110" t="str">
        <f t="shared" si="0"/>
        <v>Transverse</v>
      </c>
      <c r="F54" s="110" t="str">
        <f t="shared" si="0"/>
        <v>-</v>
      </c>
      <c r="G54" s="110" t="str">
        <f t="shared" si="0"/>
        <v>Open</v>
      </c>
      <c r="H54" s="110" t="str">
        <f t="shared" si="0"/>
        <v>FST Coefficients</v>
      </c>
    </row>
    <row r="55" spans="3:8" x14ac:dyDescent="0.25">
      <c r="C55" s="7"/>
      <c r="D55" s="110" t="str">
        <f t="shared" si="0"/>
        <v>Full</v>
      </c>
      <c r="E55" s="110" t="str">
        <f t="shared" si="0"/>
        <v>Transverse</v>
      </c>
      <c r="F55" s="110" t="str">
        <f t="shared" si="0"/>
        <v>-</v>
      </c>
      <c r="G55" s="110" t="str">
        <f t="shared" si="0"/>
        <v>Open</v>
      </c>
      <c r="H55" s="110" t="str">
        <f t="shared" si="0"/>
        <v>FST Coefficients</v>
      </c>
    </row>
    <row r="56" spans="3:8" x14ac:dyDescent="0.25">
      <c r="C56" s="7"/>
      <c r="D56" s="110" t="str">
        <f t="shared" ref="D56:H63" si="1">D25</f>
        <v>Full</v>
      </c>
      <c r="E56" s="110" t="str">
        <f t="shared" si="1"/>
        <v>Transverse</v>
      </c>
      <c r="F56" s="110" t="str">
        <f t="shared" si="1"/>
        <v>-</v>
      </c>
      <c r="G56" s="110" t="str">
        <f t="shared" si="1"/>
        <v>Open</v>
      </c>
      <c r="H56" s="110" t="str">
        <f t="shared" si="1"/>
        <v>FST Coefficients</v>
      </c>
    </row>
    <row r="57" spans="3:8" x14ac:dyDescent="0.25">
      <c r="C57" s="7"/>
      <c r="D57" s="110" t="str">
        <f t="shared" si="1"/>
        <v>Light</v>
      </c>
      <c r="E57" s="110" t="str">
        <f t="shared" si="1"/>
        <v>Transverse</v>
      </c>
      <c r="F57" s="110" t="str">
        <f t="shared" si="1"/>
        <v>-</v>
      </c>
      <c r="G57" s="110" t="str">
        <f t="shared" si="1"/>
        <v>Topography</v>
      </c>
      <c r="H57" s="110" t="str">
        <f t="shared" si="1"/>
        <v>FST Coefficients</v>
      </c>
    </row>
    <row r="58" spans="3:8" x14ac:dyDescent="0.25">
      <c r="C58" s="7"/>
      <c r="D58" s="110" t="str">
        <f t="shared" si="1"/>
        <v>Light</v>
      </c>
      <c r="E58" s="110" t="str">
        <f t="shared" si="1"/>
        <v>Transverse</v>
      </c>
      <c r="F58" s="110" t="str">
        <f t="shared" si="1"/>
        <v>-</v>
      </c>
      <c r="G58" s="110" t="str">
        <f t="shared" si="1"/>
        <v>Topography</v>
      </c>
      <c r="H58" s="110" t="str">
        <f t="shared" si="1"/>
        <v>FST Coefficients</v>
      </c>
    </row>
    <row r="59" spans="3:8" x14ac:dyDescent="0.25">
      <c r="C59" s="7"/>
      <c r="D59" s="110" t="str">
        <f t="shared" si="1"/>
        <v>Light</v>
      </c>
      <c r="E59" s="110" t="str">
        <f t="shared" si="1"/>
        <v>Transverse</v>
      </c>
      <c r="F59" s="110" t="str">
        <f t="shared" si="1"/>
        <v>Yes</v>
      </c>
      <c r="G59" s="110" t="str">
        <f t="shared" si="1"/>
        <v>Open</v>
      </c>
      <c r="H59" s="110" t="str">
        <f t="shared" si="1"/>
        <v>FST Coefficients</v>
      </c>
    </row>
    <row r="60" spans="3:8" x14ac:dyDescent="0.25">
      <c r="C60" s="7"/>
      <c r="D60" s="110" t="str">
        <f t="shared" si="1"/>
        <v>Light</v>
      </c>
      <c r="E60" s="110" t="str">
        <f t="shared" si="1"/>
        <v>Transverse</v>
      </c>
      <c r="F60" s="110" t="str">
        <f t="shared" si="1"/>
        <v>Yes</v>
      </c>
      <c r="G60" s="110" t="str">
        <f t="shared" si="1"/>
        <v>Open</v>
      </c>
      <c r="H60" s="110" t="str">
        <f t="shared" si="1"/>
        <v>FST Coefficients</v>
      </c>
    </row>
    <row r="61" spans="3:8" x14ac:dyDescent="0.25">
      <c r="C61" s="7"/>
      <c r="D61" s="110" t="str">
        <f t="shared" si="1"/>
        <v>Light</v>
      </c>
      <c r="E61" s="110" t="str">
        <f t="shared" si="1"/>
        <v>Transverse</v>
      </c>
      <c r="F61" s="110" t="str">
        <f t="shared" si="1"/>
        <v>Yes</v>
      </c>
      <c r="G61" s="110" t="str">
        <f t="shared" si="1"/>
        <v>Open</v>
      </c>
      <c r="H61" s="110" t="str">
        <f t="shared" si="1"/>
        <v>LNGC Coefficients</v>
      </c>
    </row>
    <row r="62" spans="3:8" x14ac:dyDescent="0.25">
      <c r="C62" s="7"/>
      <c r="D62" s="110" t="str">
        <f t="shared" si="1"/>
        <v>Full</v>
      </c>
      <c r="E62" s="110" t="str">
        <f t="shared" si="1"/>
        <v>Transverse</v>
      </c>
      <c r="F62" s="110" t="str">
        <f t="shared" si="1"/>
        <v>Yes</v>
      </c>
      <c r="G62" s="110" t="str">
        <f t="shared" si="1"/>
        <v>Open</v>
      </c>
      <c r="H62" s="110" t="str">
        <f t="shared" si="1"/>
        <v>FST Coefficients</v>
      </c>
    </row>
    <row r="63" spans="3:8" x14ac:dyDescent="0.25">
      <c r="C63" s="7"/>
      <c r="D63" s="110" t="str">
        <f t="shared" si="1"/>
        <v>Full</v>
      </c>
      <c r="E63" s="110" t="str">
        <f t="shared" si="1"/>
        <v>Transverse</v>
      </c>
      <c r="F63" s="110" t="str">
        <f t="shared" si="1"/>
        <v>Yes</v>
      </c>
      <c r="G63" s="110" t="str">
        <f t="shared" si="1"/>
        <v>Open</v>
      </c>
      <c r="H63" s="110" t="str">
        <f t="shared" si="1"/>
        <v>FST Coefficients</v>
      </c>
    </row>
    <row r="64" spans="3:8" x14ac:dyDescent="0.25">
      <c r="C64" s="7"/>
      <c r="D64" s="110" t="str">
        <f t="shared" ref="D64:H64" si="2">D33</f>
        <v>Full</v>
      </c>
      <c r="E64" s="110" t="str">
        <f t="shared" si="2"/>
        <v>Transverse</v>
      </c>
      <c r="F64" s="110" t="str">
        <f t="shared" si="2"/>
        <v>Yes</v>
      </c>
      <c r="G64" s="110" t="str">
        <f t="shared" si="2"/>
        <v>Open</v>
      </c>
      <c r="H64" s="110" t="str">
        <f t="shared" si="2"/>
        <v>LNGC Coefficients</v>
      </c>
    </row>
    <row r="65" spans="4:8" x14ac:dyDescent="0.25">
      <c r="D65" s="108"/>
      <c r="E65" s="108"/>
      <c r="F65" s="108"/>
      <c r="G65" s="108"/>
      <c r="H65" s="108"/>
    </row>
    <row r="66" spans="4:8" x14ac:dyDescent="0.25">
      <c r="D66" s="108"/>
      <c r="E66" s="108"/>
      <c r="F66" s="108"/>
      <c r="G66" s="108"/>
      <c r="H66" s="108"/>
    </row>
  </sheetData>
  <mergeCells count="3">
    <mergeCell ref="C44:D44"/>
    <mergeCell ref="C43:H43"/>
    <mergeCell ref="H44:H45"/>
  </mergeCells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02D3-6835-4210-B744-F85E611DA063}">
  <dimension ref="A2:K36"/>
  <sheetViews>
    <sheetView workbookViewId="0">
      <selection activeCell="B2" sqref="B2"/>
    </sheetView>
  </sheetViews>
  <sheetFormatPr defaultRowHeight="15" x14ac:dyDescent="0.25"/>
  <cols>
    <col min="1" max="1" width="26.85546875" customWidth="1"/>
  </cols>
  <sheetData>
    <row r="2" spans="1:11" x14ac:dyDescent="0.25">
      <c r="A2" t="s">
        <v>251</v>
      </c>
      <c r="B2" s="153">
        <v>0.02</v>
      </c>
    </row>
    <row r="7" spans="1:11" x14ac:dyDescent="0.25">
      <c r="A7" t="s">
        <v>100</v>
      </c>
      <c r="B7" t="s">
        <v>101</v>
      </c>
      <c r="C7" t="s">
        <v>102</v>
      </c>
      <c r="E7" s="127">
        <v>204.59</v>
      </c>
      <c r="J7" s="59" t="s">
        <v>91</v>
      </c>
      <c r="K7" s="60" t="s">
        <v>98</v>
      </c>
    </row>
    <row r="8" spans="1:11" x14ac:dyDescent="0.25">
      <c r="A8" s="7"/>
      <c r="B8" s="7"/>
      <c r="C8" s="128" t="s">
        <v>202</v>
      </c>
      <c r="D8" s="128"/>
      <c r="E8" s="128"/>
      <c r="J8" s="59" t="s">
        <v>93</v>
      </c>
      <c r="K8" s="60" t="s">
        <v>99</v>
      </c>
    </row>
    <row r="9" spans="1:11" ht="30" x14ac:dyDescent="0.25">
      <c r="A9" s="7" t="s">
        <v>203</v>
      </c>
      <c r="B9" s="129" t="s">
        <v>206</v>
      </c>
      <c r="C9" s="6" t="s">
        <v>199</v>
      </c>
      <c r="D9" s="6" t="s">
        <v>200</v>
      </c>
      <c r="E9" s="6" t="s">
        <v>201</v>
      </c>
      <c r="J9" s="59" t="s">
        <v>95</v>
      </c>
      <c r="K9">
        <v>1.204</v>
      </c>
    </row>
    <row r="10" spans="1:11" x14ac:dyDescent="0.25">
      <c r="A10" s="132" t="s">
        <v>204</v>
      </c>
      <c r="B10" s="130">
        <v>0</v>
      </c>
      <c r="C10" s="131">
        <v>0</v>
      </c>
      <c r="D10" s="130">
        <v>7881</v>
      </c>
      <c r="E10" s="130">
        <f>D10</f>
        <v>7881</v>
      </c>
    </row>
    <row r="11" spans="1:11" x14ac:dyDescent="0.25">
      <c r="A11" s="132" t="s">
        <v>204</v>
      </c>
      <c r="B11" s="130">
        <v>100</v>
      </c>
      <c r="C11" s="131">
        <v>0</v>
      </c>
      <c r="D11" s="130">
        <v>6322</v>
      </c>
      <c r="E11" s="130">
        <f t="shared" ref="E11:E13" si="0">D11</f>
        <v>6322</v>
      </c>
    </row>
    <row r="12" spans="1:11" x14ac:dyDescent="0.25">
      <c r="A12" s="132" t="s">
        <v>204</v>
      </c>
      <c r="B12" s="130">
        <v>0</v>
      </c>
      <c r="C12" s="131">
        <v>90</v>
      </c>
      <c r="D12" s="130">
        <v>1678</v>
      </c>
      <c r="E12" s="130">
        <f t="shared" si="0"/>
        <v>1678</v>
      </c>
    </row>
    <row r="13" spans="1:11" x14ac:dyDescent="0.25">
      <c r="A13" s="132" t="s">
        <v>204</v>
      </c>
      <c r="B13" s="130">
        <v>100</v>
      </c>
      <c r="C13" s="131">
        <v>90</v>
      </c>
      <c r="D13" s="130">
        <v>1360</v>
      </c>
      <c r="E13" s="130">
        <f t="shared" si="0"/>
        <v>1360</v>
      </c>
    </row>
    <row r="14" spans="1:11" x14ac:dyDescent="0.25">
      <c r="A14" s="133" t="s">
        <v>205</v>
      </c>
      <c r="B14" s="130">
        <v>15</v>
      </c>
      <c r="C14" s="131">
        <v>0</v>
      </c>
      <c r="D14" s="130">
        <v>8775</v>
      </c>
      <c r="E14" s="130">
        <f t="shared" ref="E14:E17" si="1">D14</f>
        <v>8775</v>
      </c>
      <c r="G14" s="51">
        <f>(D14-D10)/D10*100</f>
        <v>11.343738104301485</v>
      </c>
    </row>
    <row r="15" spans="1:11" x14ac:dyDescent="0.25">
      <c r="A15" s="133" t="s">
        <v>205</v>
      </c>
      <c r="B15" s="130">
        <v>95</v>
      </c>
      <c r="C15" s="131">
        <v>0</v>
      </c>
      <c r="D15" s="130">
        <v>7434</v>
      </c>
      <c r="E15" s="130">
        <f t="shared" si="1"/>
        <v>7434</v>
      </c>
      <c r="G15" s="51">
        <f>(D15-D11)/D11*100</f>
        <v>17.589370452388483</v>
      </c>
    </row>
    <row r="16" spans="1:11" x14ac:dyDescent="0.25">
      <c r="A16" s="133" t="s">
        <v>205</v>
      </c>
      <c r="B16" s="130">
        <v>15</v>
      </c>
      <c r="C16" s="131">
        <v>90</v>
      </c>
      <c r="D16" s="130">
        <v>2002</v>
      </c>
      <c r="E16" s="130">
        <f t="shared" si="1"/>
        <v>2002</v>
      </c>
      <c r="G16" s="51">
        <f>(D16-D12)/D12*100</f>
        <v>19.308700834326579</v>
      </c>
    </row>
    <row r="17" spans="1:10" x14ac:dyDescent="0.25">
      <c r="A17" s="133" t="s">
        <v>205</v>
      </c>
      <c r="B17" s="130">
        <v>95</v>
      </c>
      <c r="C17" s="131">
        <v>90</v>
      </c>
      <c r="D17" s="130">
        <v>1715</v>
      </c>
      <c r="E17" s="130">
        <f t="shared" si="1"/>
        <v>1715</v>
      </c>
      <c r="G17" s="51">
        <f>(D17-D13)/D13*100</f>
        <v>26.102941176470591</v>
      </c>
    </row>
    <row r="21" spans="1:10" x14ac:dyDescent="0.25">
      <c r="A21" s="7" t="s">
        <v>207</v>
      </c>
      <c r="B21" s="7"/>
      <c r="C21" s="7"/>
      <c r="D21" s="7"/>
      <c r="E21" s="7"/>
      <c r="F21" s="7"/>
      <c r="G21" s="7"/>
      <c r="H21" s="7"/>
      <c r="I21" s="7"/>
    </row>
    <row r="22" spans="1:10" ht="30" x14ac:dyDescent="0.25">
      <c r="A22" s="7"/>
      <c r="B22" s="129" t="s">
        <v>206</v>
      </c>
      <c r="C22" s="7"/>
      <c r="D22" s="7"/>
      <c r="E22" s="7"/>
      <c r="F22" s="7"/>
      <c r="G22" s="7"/>
      <c r="H22" s="7"/>
      <c r="I22" s="7"/>
    </row>
    <row r="23" spans="1:10" ht="18.75" x14ac:dyDescent="0.25">
      <c r="A23" s="7" t="s">
        <v>1</v>
      </c>
      <c r="B23" s="7">
        <v>15</v>
      </c>
      <c r="C23" s="7"/>
      <c r="D23" s="7">
        <f>D16</f>
        <v>2002</v>
      </c>
      <c r="E23" s="7">
        <f>D14</f>
        <v>8775</v>
      </c>
      <c r="F23" s="7">
        <v>0</v>
      </c>
      <c r="G23" s="7">
        <v>0</v>
      </c>
      <c r="H23" s="7">
        <v>0</v>
      </c>
      <c r="I23" s="7">
        <f>D14*E7</f>
        <v>1795277.25</v>
      </c>
      <c r="J23" s="123" t="str">
        <f>"WindAreasAndAreaMoment: ["&amp;D23&amp;", "&amp;E23&amp;", "&amp;F23&amp;", "&amp;G23&amp;", "&amp;H23&amp;", "&amp;I23&amp;"]"</f>
        <v>WindAreasAndAreaMoment: [2002, 8775, 0, 0, 0, 1795277.25]</v>
      </c>
    </row>
    <row r="24" spans="1:10" ht="18.75" x14ac:dyDescent="0.25">
      <c r="A24" s="7"/>
      <c r="B24" s="7">
        <v>95</v>
      </c>
      <c r="C24" s="7"/>
      <c r="D24" s="7">
        <f>D17</f>
        <v>1715</v>
      </c>
      <c r="E24" s="7">
        <f>D15</f>
        <v>7434</v>
      </c>
      <c r="F24" s="7">
        <v>0</v>
      </c>
      <c r="G24" s="7">
        <v>0</v>
      </c>
      <c r="H24" s="7">
        <v>0</v>
      </c>
      <c r="I24" s="7">
        <f>D15*E7</f>
        <v>1520922.06</v>
      </c>
      <c r="J24" s="123" t="str">
        <f>"WindAreasAndAreaMoment: ["&amp;D24&amp;", "&amp;E24&amp;", "&amp;F24&amp;", "&amp;G24&amp;", "&amp;H24&amp;", "&amp;I24&amp;"]"</f>
        <v>WindAreasAndAreaMoment: [1715, 7434, 0, 0, 0, 1520922.06]</v>
      </c>
    </row>
    <row r="28" spans="1:10" ht="18.75" x14ac:dyDescent="0.3">
      <c r="A28" s="219" t="s">
        <v>249</v>
      </c>
      <c r="B28" s="219"/>
      <c r="C28" s="219"/>
    </row>
    <row r="29" spans="1:10" x14ac:dyDescent="0.25">
      <c r="A29" s="128" t="s">
        <v>5</v>
      </c>
      <c r="B29" s="128" t="s">
        <v>95</v>
      </c>
      <c r="C29" s="128" t="s">
        <v>93</v>
      </c>
    </row>
    <row r="30" spans="1:10" x14ac:dyDescent="0.25">
      <c r="A30" s="155" t="s">
        <v>244</v>
      </c>
      <c r="B30" s="156">
        <v>26.4</v>
      </c>
      <c r="C30" s="155" t="s">
        <v>246</v>
      </c>
    </row>
    <row r="31" spans="1:10" x14ac:dyDescent="0.25">
      <c r="A31" s="155" t="s">
        <v>250</v>
      </c>
      <c r="B31" s="157">
        <f>(0.079-0.019)</f>
        <v>0.06</v>
      </c>
      <c r="C31" s="155" t="s">
        <v>248</v>
      </c>
    </row>
    <row r="32" spans="1:10" x14ac:dyDescent="0.25">
      <c r="A32" s="155" t="s">
        <v>245</v>
      </c>
      <c r="B32" s="156">
        <f>1/2*K9*I23*B31/1000*B30^2</f>
        <v>45194.659929619193</v>
      </c>
      <c r="C32" s="155" t="s">
        <v>208</v>
      </c>
      <c r="D32" s="154"/>
    </row>
    <row r="33" spans="1:3" x14ac:dyDescent="0.25">
      <c r="A33" s="158"/>
      <c r="B33" s="156">
        <f>B32/9.81</f>
        <v>4606.9989734576138</v>
      </c>
      <c r="C33" s="155" t="s">
        <v>209</v>
      </c>
    </row>
    <row r="34" spans="1:3" x14ac:dyDescent="0.25">
      <c r="A34" s="155" t="s">
        <v>247</v>
      </c>
      <c r="B34" s="156">
        <v>98.3</v>
      </c>
      <c r="C34" s="155" t="s">
        <v>242</v>
      </c>
    </row>
    <row r="35" spans="1:3" x14ac:dyDescent="0.25">
      <c r="A35" s="155" t="s">
        <v>240</v>
      </c>
      <c r="B35" s="156">
        <f>B33/B34</f>
        <v>46.866724043312452</v>
      </c>
      <c r="C35" s="155" t="s">
        <v>241</v>
      </c>
    </row>
    <row r="36" spans="1:3" x14ac:dyDescent="0.25">
      <c r="A36" s="155" t="s">
        <v>243</v>
      </c>
      <c r="B36" s="156">
        <f>B35/2</f>
        <v>23.433362021656226</v>
      </c>
      <c r="C36" s="155" t="s">
        <v>241</v>
      </c>
    </row>
  </sheetData>
  <mergeCells count="1">
    <mergeCell ref="A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BDE5-9F8F-487A-9CE5-4D1E68BE5B02}">
  <dimension ref="A5:E31"/>
  <sheetViews>
    <sheetView workbookViewId="0"/>
  </sheetViews>
  <sheetFormatPr defaultRowHeight="15" x14ac:dyDescent="0.25"/>
  <sheetData>
    <row r="5" spans="1:5" x14ac:dyDescent="0.25">
      <c r="B5" t="s">
        <v>237</v>
      </c>
    </row>
    <row r="6" spans="1:5" x14ac:dyDescent="0.25">
      <c r="A6" t="str">
        <f>orcaflex_comp!A6</f>
        <v>Direction</v>
      </c>
      <c r="B6" t="s">
        <v>235</v>
      </c>
      <c r="C6" t="s">
        <v>236</v>
      </c>
      <c r="D6" t="s">
        <v>238</v>
      </c>
      <c r="E6" t="s">
        <v>239</v>
      </c>
    </row>
    <row r="7" spans="1:5" x14ac:dyDescent="0.25">
      <c r="A7">
        <f>orcaflex_comp!A7</f>
        <v>0</v>
      </c>
      <c r="B7">
        <f>'orcaflex-acma'!G130</f>
        <v>1.0277496579856243E-2</v>
      </c>
      <c r="C7">
        <f>'orcaflex-acma'!O130</f>
        <v>-2.5518124841581304E-2</v>
      </c>
      <c r="D7">
        <f>Report_table_graphs!G6</f>
        <v>-4.4743413136131855E-3</v>
      </c>
      <c r="E7">
        <f>Report_table_graphs!O6</f>
        <v>1.2896992232007033E-4</v>
      </c>
    </row>
    <row r="8" spans="1:5" x14ac:dyDescent="0.25">
      <c r="A8">
        <f>orcaflex_comp!A8</f>
        <v>15</v>
      </c>
      <c r="B8">
        <f>'orcaflex-acma'!G131</f>
        <v>-4.6622187530698966E-2</v>
      </c>
      <c r="C8">
        <f>'orcaflex-acma'!O131</f>
        <v>-5.8069304611235847E-3</v>
      </c>
    </row>
    <row r="9" spans="1:5" x14ac:dyDescent="0.25">
      <c r="A9">
        <f>orcaflex_comp!A9</f>
        <v>30</v>
      </c>
      <c r="B9">
        <f>'orcaflex-acma'!G132</f>
        <v>-8.6781061239142115E-2</v>
      </c>
      <c r="C9">
        <f>'orcaflex-acma'!O132</f>
        <v>-2.7493435018298717E-2</v>
      </c>
      <c r="D9">
        <f>Report_table_graphs!G8</f>
        <v>-2.47297853177957E-2</v>
      </c>
      <c r="E9">
        <f>Report_table_graphs!O8</f>
        <v>-5.3215836580409119E-2</v>
      </c>
    </row>
    <row r="10" spans="1:5" x14ac:dyDescent="0.25">
      <c r="A10">
        <f>orcaflex_comp!A10</f>
        <v>45</v>
      </c>
      <c r="B10">
        <f>'orcaflex-acma'!G133</f>
        <v>-0.15530895152611335</v>
      </c>
      <c r="C10">
        <f>'orcaflex-acma'!O133</f>
        <v>-7.7176320401736095E-2</v>
      </c>
      <c r="D10">
        <f>Report_table_graphs!G9</f>
        <v>-4.3340836834848642E-2</v>
      </c>
      <c r="E10">
        <f>Report_table_graphs!O9</f>
        <v>-7.8704174053024364E-2</v>
      </c>
    </row>
    <row r="11" spans="1:5" x14ac:dyDescent="0.25">
      <c r="A11">
        <f>orcaflex_comp!A11</f>
        <v>60</v>
      </c>
      <c r="B11">
        <f>'orcaflex-acma'!G134</f>
        <v>-0.10102183895954814</v>
      </c>
      <c r="C11">
        <f>'orcaflex-acma'!O134</f>
        <v>-6.412812738363817E-2</v>
      </c>
      <c r="D11">
        <f>Report_table_graphs!G10</f>
        <v>-5.1174243105358778E-2</v>
      </c>
      <c r="E11">
        <f>Report_table_graphs!O10</f>
        <v>-7.6983872165764564E-2</v>
      </c>
    </row>
    <row r="12" spans="1:5" x14ac:dyDescent="0.25">
      <c r="A12">
        <f>orcaflex_comp!A12</f>
        <v>75</v>
      </c>
      <c r="B12">
        <f>'orcaflex-acma'!G135</f>
        <v>-1.4319242356195545E-2</v>
      </c>
      <c r="C12">
        <f>'orcaflex-acma'!O135</f>
        <v>-6.5049386307442295E-2</v>
      </c>
    </row>
    <row r="13" spans="1:5" x14ac:dyDescent="0.25">
      <c r="A13">
        <f>orcaflex_comp!A13</f>
        <v>90</v>
      </c>
      <c r="B13">
        <f>'orcaflex-acma'!G136</f>
        <v>2.00611058650088E-2</v>
      </c>
      <c r="C13">
        <f>'orcaflex-acma'!O136</f>
        <v>7.6675930736968094E-3</v>
      </c>
      <c r="D13">
        <f>Report_table_graphs!G12</f>
        <v>6.4067428635522852E-3</v>
      </c>
      <c r="E13">
        <f>Report_table_graphs!O12</f>
        <v>9.5280357702242982E-3</v>
      </c>
    </row>
    <row r="14" spans="1:5" x14ac:dyDescent="0.25">
      <c r="A14">
        <f>orcaflex_comp!A14</f>
        <v>105</v>
      </c>
      <c r="B14">
        <f>'orcaflex-acma'!G137</f>
        <v>4.0464947385740892E-2</v>
      </c>
      <c r="C14">
        <f>'orcaflex-acma'!O137</f>
        <v>2.5387246753204216E-2</v>
      </c>
    </row>
    <row r="15" spans="1:5" x14ac:dyDescent="0.25">
      <c r="A15">
        <f>orcaflex_comp!A15</f>
        <v>120</v>
      </c>
      <c r="B15">
        <f>'orcaflex-acma'!G138</f>
        <v>4.8960952321409006E-2</v>
      </c>
      <c r="C15">
        <f>'orcaflex-acma'!O138</f>
        <v>4.3021385245726719E-2</v>
      </c>
    </row>
    <row r="16" spans="1:5" x14ac:dyDescent="0.25">
      <c r="A16">
        <f>orcaflex_comp!A16</f>
        <v>135</v>
      </c>
      <c r="B16">
        <f>'orcaflex-acma'!G139</f>
        <v>6.1054183780424501E-2</v>
      </c>
      <c r="C16">
        <f>'orcaflex-acma'!O139</f>
        <v>7.0492979696582247E-2</v>
      </c>
    </row>
    <row r="17" spans="1:5" x14ac:dyDescent="0.25">
      <c r="A17">
        <f>orcaflex_comp!A17</f>
        <v>150</v>
      </c>
      <c r="B17">
        <f>'orcaflex-acma'!G140</f>
        <v>3.0750966061762371E-2</v>
      </c>
      <c r="C17">
        <f>'orcaflex-acma'!O140</f>
        <v>4.4865985375486278E-2</v>
      </c>
    </row>
    <row r="18" spans="1:5" x14ac:dyDescent="0.25">
      <c r="A18">
        <f>orcaflex_comp!A18</f>
        <v>165</v>
      </c>
      <c r="B18">
        <f>'orcaflex-acma'!G141</f>
        <v>8.7460972076043361E-3</v>
      </c>
      <c r="C18">
        <f>'orcaflex-acma'!O141</f>
        <v>1.3635063691431075E-2</v>
      </c>
    </row>
    <row r="19" spans="1:5" x14ac:dyDescent="0.25">
      <c r="A19">
        <f>orcaflex_comp!A19</f>
        <v>180</v>
      </c>
      <c r="B19">
        <f>'orcaflex-acma'!G142</f>
        <v>-2.702982192781729E-3</v>
      </c>
      <c r="C19">
        <f>'orcaflex-acma'!O142</f>
        <v>8.2107705145526531E-3</v>
      </c>
    </row>
    <row r="20" spans="1:5" x14ac:dyDescent="0.25">
      <c r="A20">
        <f>orcaflex_comp!A20</f>
        <v>195</v>
      </c>
      <c r="B20">
        <f>'orcaflex-acma'!G143</f>
        <v>9.8934966964245551E-3</v>
      </c>
      <c r="C20">
        <f>'orcaflex-acma'!O143</f>
        <v>-9.4125755546560688E-3</v>
      </c>
    </row>
    <row r="21" spans="1:5" x14ac:dyDescent="0.25">
      <c r="A21">
        <f>orcaflex_comp!A21</f>
        <v>210</v>
      </c>
      <c r="B21">
        <f>'orcaflex-acma'!G144</f>
        <v>2.9488240441747231E-2</v>
      </c>
      <c r="C21">
        <f>'orcaflex-acma'!O144</f>
        <v>-2.65942326719012E-2</v>
      </c>
    </row>
    <row r="22" spans="1:5" x14ac:dyDescent="0.25">
      <c r="A22">
        <f>orcaflex_comp!A22</f>
        <v>225</v>
      </c>
      <c r="B22">
        <f>'orcaflex-acma'!G145</f>
        <v>4.5698075801451604E-2</v>
      </c>
      <c r="C22">
        <f>'orcaflex-acma'!O145</f>
        <v>-2.4247607736278268E-2</v>
      </c>
    </row>
    <row r="23" spans="1:5" x14ac:dyDescent="0.25">
      <c r="A23">
        <f>orcaflex_comp!A23</f>
        <v>240</v>
      </c>
      <c r="B23">
        <f>'orcaflex-acma'!G146</f>
        <v>9.7794187258205503E-2</v>
      </c>
      <c r="C23">
        <f>'orcaflex-acma'!O146</f>
        <v>-1.2574604548419003E-2</v>
      </c>
    </row>
    <row r="24" spans="1:5" x14ac:dyDescent="0.25">
      <c r="A24">
        <f>orcaflex_comp!A24</f>
        <v>255</v>
      </c>
      <c r="B24">
        <f>'orcaflex-acma'!G147</f>
        <v>0.11199183561362323</v>
      </c>
      <c r="C24">
        <f>'orcaflex-acma'!O147</f>
        <v>-1.7978925231948467E-2</v>
      </c>
    </row>
    <row r="25" spans="1:5" x14ac:dyDescent="0.25">
      <c r="A25">
        <f>orcaflex_comp!A25</f>
        <v>270</v>
      </c>
      <c r="B25">
        <f>'orcaflex-acma'!G148</f>
        <v>0.12627076167231299</v>
      </c>
      <c r="C25">
        <f>'orcaflex-acma'!O148</f>
        <v>-1.7630714454490135E-2</v>
      </c>
      <c r="D25">
        <f>Report_table_graphs!G24</f>
        <v>-1.6863755722814011E-2</v>
      </c>
      <c r="E25">
        <f>Report_table_graphs!O24</f>
        <v>-1.5314643825442936E-2</v>
      </c>
    </row>
    <row r="26" spans="1:5" x14ac:dyDescent="0.25">
      <c r="A26">
        <f>orcaflex_comp!A26</f>
        <v>285</v>
      </c>
      <c r="B26">
        <f>'orcaflex-acma'!G149</f>
        <v>0.13096957769987769</v>
      </c>
      <c r="C26">
        <f>'orcaflex-acma'!O149</f>
        <v>2.4745887980116461E-2</v>
      </c>
    </row>
    <row r="27" spans="1:5" x14ac:dyDescent="0.25">
      <c r="A27">
        <f>orcaflex_comp!A27</f>
        <v>300</v>
      </c>
      <c r="B27">
        <f>'orcaflex-acma'!G150</f>
        <v>0.14708732001215077</v>
      </c>
      <c r="C27">
        <f>'orcaflex-acma'!O150</f>
        <v>9.9603493512147923E-2</v>
      </c>
    </row>
    <row r="28" spans="1:5" x14ac:dyDescent="0.25">
      <c r="A28">
        <f>orcaflex_comp!A28</f>
        <v>315</v>
      </c>
      <c r="B28">
        <f>'orcaflex-acma'!G151</f>
        <v>0.17068985599201345</v>
      </c>
      <c r="C28">
        <f>'orcaflex-acma'!O151</f>
        <v>9.7261938745945326E-2</v>
      </c>
    </row>
    <row r="29" spans="1:5" x14ac:dyDescent="0.25">
      <c r="A29">
        <f>orcaflex_comp!A29</f>
        <v>330</v>
      </c>
      <c r="B29">
        <f>'orcaflex-acma'!G152</f>
        <v>9.5979006885149681E-2</v>
      </c>
      <c r="C29">
        <f>'orcaflex-acma'!O152</f>
        <v>7.594344203160279E-2</v>
      </c>
    </row>
    <row r="30" spans="1:5" x14ac:dyDescent="0.25">
      <c r="A30">
        <f>orcaflex_comp!A30</f>
        <v>345</v>
      </c>
      <c r="B30">
        <f>'orcaflex-acma'!G153</f>
        <v>4.2261221483028841E-2</v>
      </c>
      <c r="C30">
        <f>'orcaflex-acma'!O153</f>
        <v>2.2830764483111051E-2</v>
      </c>
    </row>
    <row r="31" spans="1:5" x14ac:dyDescent="0.25">
      <c r="A31">
        <f>orcaflex_comp!A31</f>
        <v>360</v>
      </c>
      <c r="B31">
        <f>B7</f>
        <v>1.0277496579856243E-2</v>
      </c>
      <c r="C31">
        <f>C7</f>
        <v>-2.5518124841581304E-2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D917-FB30-41A8-AF62-2E0DB6CAA59B}">
  <sheetPr>
    <tabColor rgb="FF0000FF"/>
  </sheetPr>
  <dimension ref="A1:AQ72"/>
  <sheetViews>
    <sheetView topLeftCell="F1" zoomScale="70" zoomScaleNormal="70" workbookViewId="0">
      <selection activeCell="AD27" sqref="AD27"/>
    </sheetView>
  </sheetViews>
  <sheetFormatPr defaultColWidth="9.140625" defaultRowHeight="15" x14ac:dyDescent="0.25"/>
  <cols>
    <col min="1" max="1" width="26" style="134" customWidth="1"/>
    <col min="2" max="7" width="9.140625" style="134"/>
    <col min="8" max="8" width="1.85546875" style="147" customWidth="1"/>
    <col min="9" max="15" width="9.140625" style="134"/>
    <col min="16" max="16" width="1.85546875" style="147" customWidth="1"/>
    <col min="17" max="30" width="9.140625" style="134"/>
    <col min="31" max="31" width="1.85546875" style="147" customWidth="1"/>
    <col min="32" max="38" width="9.140625" style="134"/>
    <col min="39" max="39" width="1.85546875" style="147" customWidth="1"/>
    <col min="40" max="16384" width="9.140625" style="134"/>
  </cols>
  <sheetData>
    <row r="1" spans="1:43" x14ac:dyDescent="0.25">
      <c r="A1" s="220" t="s">
        <v>200</v>
      </c>
      <c r="B1" s="220"/>
      <c r="C1" s="220"/>
      <c r="D1" s="220"/>
      <c r="E1" s="220"/>
      <c r="F1" s="220"/>
      <c r="G1" s="220"/>
      <c r="I1" s="220" t="s">
        <v>201</v>
      </c>
      <c r="J1" s="220"/>
      <c r="K1" s="220"/>
      <c r="L1" s="220"/>
      <c r="M1" s="220"/>
      <c r="N1" s="220"/>
      <c r="O1" s="220"/>
      <c r="Q1" s="220" t="s">
        <v>200</v>
      </c>
      <c r="R1" s="220"/>
      <c r="S1" s="220"/>
      <c r="T1" s="220"/>
      <c r="U1" s="220"/>
      <c r="V1" s="220"/>
      <c r="W1" s="220"/>
      <c r="X1" s="220" t="s">
        <v>201</v>
      </c>
      <c r="Y1" s="220"/>
      <c r="Z1" s="220"/>
      <c r="AA1" s="220"/>
      <c r="AB1" s="220"/>
      <c r="AC1" s="220"/>
      <c r="AD1" s="220"/>
    </row>
    <row r="2" spans="1:43" ht="18.75" x14ac:dyDescent="0.3">
      <c r="A2" s="111" t="s">
        <v>234</v>
      </c>
      <c r="B2"/>
      <c r="C2"/>
      <c r="D2"/>
      <c r="E2"/>
      <c r="F2"/>
      <c r="G2"/>
      <c r="H2" s="144"/>
      <c r="I2"/>
      <c r="J2"/>
      <c r="K2"/>
      <c r="L2"/>
      <c r="M2"/>
      <c r="N2"/>
      <c r="O2"/>
      <c r="P2" s="144"/>
      <c r="Q2" s="153" t="s">
        <v>200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s="153" t="s">
        <v>201</v>
      </c>
      <c r="Y2" t="s">
        <v>227</v>
      </c>
      <c r="Z2" t="s">
        <v>228</v>
      </c>
      <c r="AA2" t="s">
        <v>229</v>
      </c>
      <c r="AB2" t="s">
        <v>230</v>
      </c>
      <c r="AC2" t="s">
        <v>231</v>
      </c>
      <c r="AD2" t="s">
        <v>232</v>
      </c>
      <c r="AE2" s="144"/>
      <c r="AM2" s="144"/>
    </row>
    <row r="3" spans="1:43" x14ac:dyDescent="0.25">
      <c r="A3" s="136" t="s">
        <v>211</v>
      </c>
      <c r="B3" t="s">
        <v>212</v>
      </c>
      <c r="C3"/>
      <c r="D3"/>
      <c r="E3"/>
      <c r="F3"/>
      <c r="G3"/>
      <c r="H3" s="144"/>
      <c r="I3" s="136" t="s">
        <v>211</v>
      </c>
      <c r="J3" t="s">
        <v>212</v>
      </c>
      <c r="K3"/>
      <c r="L3"/>
      <c r="M3"/>
      <c r="N3"/>
      <c r="O3"/>
      <c r="P3" s="144"/>
      <c r="R3" t="str">
        <f t="shared" ref="R3:W3" si="0">$Q$2&amp;", "&amp;R2</f>
        <v>FST1, Fx</v>
      </c>
      <c r="S3" t="str">
        <f t="shared" si="0"/>
        <v>FST1, Fy</v>
      </c>
      <c r="T3" t="str">
        <f t="shared" si="0"/>
        <v>FST1, Fz</v>
      </c>
      <c r="U3" t="str">
        <f t="shared" si="0"/>
        <v>FST1, Mx</v>
      </c>
      <c r="V3" t="str">
        <f t="shared" si="0"/>
        <v>FST1, My</v>
      </c>
      <c r="W3" t="str">
        <f t="shared" si="0"/>
        <v>FST1, Mz</v>
      </c>
      <c r="Y3" t="str">
        <f>$X$2&amp;", "&amp;Y2</f>
        <v>FST2, Fx</v>
      </c>
      <c r="Z3" t="str">
        <f t="shared" ref="Z3:AD3" si="1">$X$2&amp;", "&amp;Z2</f>
        <v>FST2, Fy</v>
      </c>
      <c r="AA3" t="str">
        <f t="shared" si="1"/>
        <v>FST2, Fz</v>
      </c>
      <c r="AB3" t="str">
        <f t="shared" si="1"/>
        <v>FST2, Mx</v>
      </c>
      <c r="AC3" t="str">
        <f t="shared" si="1"/>
        <v>FST2, My</v>
      </c>
      <c r="AD3" t="str">
        <f t="shared" si="1"/>
        <v>FST2, Mz</v>
      </c>
      <c r="AE3" s="144"/>
      <c r="AM3" s="144"/>
    </row>
    <row r="4" spans="1:43" x14ac:dyDescent="0.25">
      <c r="A4" s="120" t="s">
        <v>213</v>
      </c>
      <c r="B4" s="137">
        <v>2002</v>
      </c>
      <c r="C4" s="138">
        <v>8775</v>
      </c>
      <c r="D4">
        <v>0</v>
      </c>
      <c r="E4">
        <v>0</v>
      </c>
      <c r="F4">
        <v>0</v>
      </c>
      <c r="G4">
        <v>1795277.25</v>
      </c>
      <c r="H4" s="144"/>
      <c r="I4" s="120" t="s">
        <v>213</v>
      </c>
      <c r="J4" s="137">
        <v>2002</v>
      </c>
      <c r="K4" s="138">
        <v>8775</v>
      </c>
      <c r="L4">
        <v>0</v>
      </c>
      <c r="M4">
        <v>0</v>
      </c>
      <c r="N4">
        <v>0</v>
      </c>
      <c r="O4">
        <v>1795277.25</v>
      </c>
      <c r="P4" s="144"/>
      <c r="Q4"/>
      <c r="R4"/>
      <c r="S4"/>
      <c r="T4"/>
      <c r="U4"/>
      <c r="V4"/>
      <c r="W4"/>
      <c r="X4"/>
      <c r="Y4"/>
      <c r="Z4"/>
      <c r="AA4"/>
      <c r="AB4"/>
      <c r="AC4"/>
      <c r="AE4" s="144"/>
      <c r="AM4" s="144"/>
    </row>
    <row r="5" spans="1:43" x14ac:dyDescent="0.25">
      <c r="A5" s="120" t="s">
        <v>214</v>
      </c>
      <c r="B5" s="138"/>
      <c r="C5"/>
      <c r="D5"/>
      <c r="E5"/>
      <c r="F5"/>
      <c r="G5"/>
      <c r="H5" s="144"/>
      <c r="I5" s="120" t="s">
        <v>214</v>
      </c>
      <c r="J5" s="138"/>
      <c r="K5"/>
      <c r="L5"/>
      <c r="M5"/>
      <c r="N5"/>
      <c r="O5"/>
      <c r="P5" s="144"/>
      <c r="Q5"/>
      <c r="R5" s="120" t="s">
        <v>215</v>
      </c>
      <c r="S5"/>
      <c r="T5"/>
      <c r="U5"/>
      <c r="V5"/>
      <c r="W5"/>
      <c r="X5"/>
      <c r="Y5"/>
      <c r="Z5"/>
      <c r="AA5"/>
      <c r="AB5"/>
      <c r="AC5"/>
      <c r="AE5" s="144"/>
      <c r="AF5" s="135" t="s">
        <v>233</v>
      </c>
      <c r="AM5" s="144"/>
      <c r="AN5" s="134" t="s">
        <v>147</v>
      </c>
    </row>
    <row r="6" spans="1:43" x14ac:dyDescent="0.25">
      <c r="A6" t="s">
        <v>216</v>
      </c>
      <c r="B6" t="s">
        <v>217</v>
      </c>
      <c r="C6" t="s">
        <v>218</v>
      </c>
      <c r="D6" t="s">
        <v>219</v>
      </c>
      <c r="E6" t="s">
        <v>220</v>
      </c>
      <c r="F6" t="s">
        <v>221</v>
      </c>
      <c r="G6" t="s">
        <v>222</v>
      </c>
      <c r="H6" s="144"/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  <c r="P6" s="144"/>
      <c r="Q6" t="s">
        <v>216</v>
      </c>
      <c r="R6" t="str">
        <f>R3&amp;", ACMA"</f>
        <v>FST1, Fx, ACMA</v>
      </c>
      <c r="S6" t="str">
        <f t="shared" ref="S6:W6" si="2">S3&amp;", ACMA"</f>
        <v>FST1, Fy, ACMA</v>
      </c>
      <c r="T6" t="str">
        <f t="shared" si="2"/>
        <v>FST1, Fz, ACMA</v>
      </c>
      <c r="U6" t="str">
        <f t="shared" si="2"/>
        <v>FST1, Mx, ACMA</v>
      </c>
      <c r="V6" t="str">
        <f t="shared" si="2"/>
        <v>FST1, My, ACMA</v>
      </c>
      <c r="W6" t="str">
        <f t="shared" si="2"/>
        <v>FST1, Mz, ACMA</v>
      </c>
      <c r="X6" t="s">
        <v>216</v>
      </c>
      <c r="Y6" t="str">
        <f>Y3&amp;", ACMA"</f>
        <v>FST2, Fx, ACMA</v>
      </c>
      <c r="Z6" t="str">
        <f t="shared" ref="Z6:AD6" si="3">Z3&amp;", ACMA"</f>
        <v>FST2, Fy, ACMA</v>
      </c>
      <c r="AA6" t="str">
        <f t="shared" si="3"/>
        <v>FST2, Fz, ACMA</v>
      </c>
      <c r="AB6" t="str">
        <f t="shared" si="3"/>
        <v>FST2, Mx, ACMA</v>
      </c>
      <c r="AC6" t="str">
        <f t="shared" si="3"/>
        <v>FST2, My, ACMA</v>
      </c>
      <c r="AD6" t="str">
        <f t="shared" si="3"/>
        <v>FST2, Mz, ACMA</v>
      </c>
      <c r="AE6" s="144"/>
      <c r="AF6" s="134" t="str">
        <f>Q6</f>
        <v>Direction</v>
      </c>
      <c r="AG6" s="134" t="str">
        <f>R6</f>
        <v>FST1, Fx, ACMA</v>
      </c>
      <c r="AH6" s="134" t="str">
        <f>S6</f>
        <v>FST1, Fy, ACMA</v>
      </c>
      <c r="AI6" s="134" t="str">
        <f>Y6</f>
        <v>FST2, Fx, ACMA</v>
      </c>
      <c r="AJ6" s="134" t="str">
        <f>Z6</f>
        <v>FST2, Fy, ACMA</v>
      </c>
      <c r="AK6" s="134" t="str">
        <f t="shared" ref="AK6:AK31" si="4">R35</f>
        <v>Fx, Wood</v>
      </c>
      <c r="AL6" s="134" t="str">
        <f t="shared" ref="AL6:AL31" si="5">S35</f>
        <v>Fy, Wood</v>
      </c>
      <c r="AM6" s="144"/>
      <c r="AN6" s="134" t="str">
        <f>AF6</f>
        <v>Direction</v>
      </c>
      <c r="AO6" s="134" t="str">
        <f>W6</f>
        <v>FST1, Mz, ACMA</v>
      </c>
      <c r="AP6" s="134" t="str">
        <f>AD6</f>
        <v>FST2, Mz, ACMA</v>
      </c>
      <c r="AQ6" s="134" t="str">
        <f>W35</f>
        <v>Mz, Wood</v>
      </c>
    </row>
    <row r="7" spans="1:43" x14ac:dyDescent="0.25">
      <c r="A7">
        <f>'orcaflex-acma'!A161</f>
        <v>0</v>
      </c>
      <c r="B7" s="139">
        <f>'orcaflex-acma'!B161</f>
        <v>0.85256212204150716</v>
      </c>
      <c r="C7" s="151">
        <f>'orcaflex-acma'!C161</f>
        <v>2.589228798891623E-2</v>
      </c>
      <c r="D7">
        <f>'orcaflex-acma'!D161</f>
        <v>0</v>
      </c>
      <c r="E7">
        <f>'orcaflex-acma'!E161</f>
        <v>0</v>
      </c>
      <c r="F7">
        <f>'orcaflex-acma'!F161</f>
        <v>0</v>
      </c>
      <c r="G7" s="139">
        <f>'orcaflex-acma'!G161</f>
        <v>5.0322719776563817E-3</v>
      </c>
      <c r="H7" s="144"/>
      <c r="I7">
        <f>'orcaflex-acma'!I161</f>
        <v>0</v>
      </c>
      <c r="J7" s="139">
        <f>'orcaflex-acma'!J161</f>
        <v>0.68524292103502238</v>
      </c>
      <c r="K7" s="151">
        <f>'orcaflex-acma'!K161</f>
        <v>-1.7210341662862578E-2</v>
      </c>
      <c r="L7">
        <f>'orcaflex-acma'!L161</f>
        <v>0</v>
      </c>
      <c r="M7">
        <f>'orcaflex-acma'!M161</f>
        <v>0</v>
      </c>
      <c r="N7">
        <f>'orcaflex-acma'!N161</f>
        <v>0</v>
      </c>
      <c r="O7" s="139">
        <f>'orcaflex-acma'!O161</f>
        <v>2.2834735724865918E-3</v>
      </c>
      <c r="P7" s="144"/>
      <c r="Q7">
        <f>A7</f>
        <v>0</v>
      </c>
      <c r="R7" s="150">
        <f>1/2*inputs!$K$9*B7*B$4/1000</f>
        <v>1.0275112797329125</v>
      </c>
      <c r="S7" s="150">
        <f>1/2*inputs!$K$9*C7*C$4/1000</f>
        <v>0.13677730591584941</v>
      </c>
      <c r="T7">
        <f>1/2*inputs!$K$9*D7*D$4/1000</f>
        <v>0</v>
      </c>
      <c r="U7">
        <f>1/2*inputs!$K$9*E7*E$4/1000</f>
        <v>0</v>
      </c>
      <c r="V7">
        <f>1/2*inputs!$K$9*F7*F$4/1000</f>
        <v>0</v>
      </c>
      <c r="W7">
        <f>1/2*inputs!$K$9*G7*G$4/1000</f>
        <v>5.4386626851740036</v>
      </c>
      <c r="X7">
        <f>Q7</f>
        <v>0</v>
      </c>
      <c r="Y7">
        <f>1/2*inputs!$K$9*J7*J$4/1000</f>
        <v>0.82585750940309299</v>
      </c>
      <c r="Z7">
        <f>1/2*inputs!$K$9*K7*K$4/1000</f>
        <v>-9.0914490351154717E-2</v>
      </c>
      <c r="AA7">
        <f>1/2*inputs!$K$9*L7*L$4/1000</f>
        <v>0</v>
      </c>
      <c r="AB7">
        <f>1/2*inputs!$K$9*M7*M$4/1000</f>
        <v>0</v>
      </c>
      <c r="AC7">
        <f>1/2*inputs!$K$9*N7*N$4/1000</f>
        <v>0</v>
      </c>
      <c r="AD7">
        <f>1/2*inputs!$K$9*O7*O$4/1000</f>
        <v>2.4678798297081652</v>
      </c>
      <c r="AE7" s="144"/>
      <c r="AF7" s="134">
        <f>Q7</f>
        <v>0</v>
      </c>
      <c r="AG7" s="134">
        <f t="shared" ref="AG7:AG31" si="6">R7</f>
        <v>1.0275112797329125</v>
      </c>
      <c r="AH7" s="134">
        <f t="shared" ref="AH7:AH31" si="7">S7</f>
        <v>0.13677730591584941</v>
      </c>
      <c r="AI7" s="134">
        <f>Y7</f>
        <v>0.82585750940309299</v>
      </c>
      <c r="AJ7" s="134">
        <f t="shared" ref="AJ7:AJ31" si="8">Z7</f>
        <v>-9.0914490351154717E-2</v>
      </c>
      <c r="AK7" s="134">
        <f t="shared" si="4"/>
        <v>0.63753967199999995</v>
      </c>
      <c r="AL7" s="134">
        <f t="shared" si="5"/>
        <v>0</v>
      </c>
      <c r="AM7" s="144"/>
      <c r="AN7" s="134">
        <f>AF7</f>
        <v>0</v>
      </c>
      <c r="AO7" s="134">
        <f t="shared" ref="AO7:AO31" si="9">W7</f>
        <v>5.4386626851740036</v>
      </c>
      <c r="AP7" s="134">
        <f>AD7</f>
        <v>2.4678798297081652</v>
      </c>
      <c r="AQ7" s="134">
        <f t="shared" ref="AQ7:AQ31" si="10">W36</f>
        <v>0</v>
      </c>
    </row>
    <row r="8" spans="1:43" x14ac:dyDescent="0.25">
      <c r="A8">
        <f>'orcaflex-acma'!A162</f>
        <v>15</v>
      </c>
      <c r="B8" s="139">
        <f>'orcaflex-acma'!B162</f>
        <v>0.84100218399000648</v>
      </c>
      <c r="C8" s="151">
        <f>'orcaflex-acma'!C162</f>
        <v>0.19951348812831943</v>
      </c>
      <c r="D8">
        <f>'orcaflex-acma'!D162</f>
        <v>0</v>
      </c>
      <c r="E8">
        <f>'orcaflex-acma'!E162</f>
        <v>0</v>
      </c>
      <c r="F8">
        <f>'orcaflex-acma'!F162</f>
        <v>0</v>
      </c>
      <c r="G8" s="139">
        <f>'orcaflex-acma'!G162</f>
        <v>-4.0572215165164356E-2</v>
      </c>
      <c r="H8" s="144"/>
      <c r="I8">
        <f>'orcaflex-acma'!I162</f>
        <v>15</v>
      </c>
      <c r="J8" s="139">
        <f>'orcaflex-acma'!J162</f>
        <v>0.9765561207996899</v>
      </c>
      <c r="K8" s="151">
        <f>'orcaflex-acma'!K162</f>
        <v>0.14801532201130435</v>
      </c>
      <c r="L8">
        <f>'orcaflex-acma'!L162</f>
        <v>0</v>
      </c>
      <c r="M8">
        <f>'orcaflex-acma'!M162</f>
        <v>0</v>
      </c>
      <c r="N8">
        <f>'orcaflex-acma'!N162</f>
        <v>0</v>
      </c>
      <c r="O8" s="139">
        <f>'orcaflex-acma'!O162</f>
        <v>-5.2342638958659182E-3</v>
      </c>
      <c r="P8" s="144"/>
      <c r="Q8">
        <f t="shared" ref="Q8:Q31" si="11">A8</f>
        <v>15</v>
      </c>
      <c r="R8" s="150">
        <f>1/2*inputs!$K$9*B8*B$4/1000</f>
        <v>1.0135791961534917</v>
      </c>
      <c r="S8" s="150">
        <f>1/2*inputs!$K$9*C8*C$4/1000</f>
        <v>1.0539399767122539</v>
      </c>
      <c r="T8">
        <f>1/2*inputs!$K$9*D8*D$4/1000</f>
        <v>0</v>
      </c>
      <c r="U8">
        <f>1/2*inputs!$K$9*E8*E$4/1000</f>
        <v>0</v>
      </c>
      <c r="V8">
        <f>1/2*inputs!$K$9*F8*F$4/1000</f>
        <v>0</v>
      </c>
      <c r="W8">
        <f>1/2*inputs!$K$9*G8*G$4/1000</f>
        <v>-43.848701670610978</v>
      </c>
      <c r="X8">
        <f t="shared" ref="X8:X31" si="12">Q8</f>
        <v>15</v>
      </c>
      <c r="Y8">
        <f>1/2*inputs!$K$9*J8*J$4/1000</f>
        <v>1.1769493430122695</v>
      </c>
      <c r="Z8">
        <f>1/2*inputs!$K$9*K8*K$4/1000</f>
        <v>0.78189833929081576</v>
      </c>
      <c r="AA8">
        <f>1/2*inputs!$K$9*L8*L$4/1000</f>
        <v>0</v>
      </c>
      <c r="AB8">
        <f>1/2*inputs!$K$9*M8*M$4/1000</f>
        <v>0</v>
      </c>
      <c r="AC8">
        <f>1/2*inputs!$K$9*N8*N$4/1000</f>
        <v>0</v>
      </c>
      <c r="AD8">
        <f>1/2*inputs!$K$9*O8*O$4/1000</f>
        <v>-5.6569668454321596</v>
      </c>
      <c r="AE8" s="144"/>
      <c r="AF8" s="134">
        <f t="shared" ref="AF8:AF31" si="13">Q8</f>
        <v>15</v>
      </c>
      <c r="AG8" s="134">
        <f t="shared" si="6"/>
        <v>1.0135791961534917</v>
      </c>
      <c r="AH8" s="134">
        <f t="shared" si="7"/>
        <v>1.0539399767122539</v>
      </c>
      <c r="AI8" s="134">
        <f t="shared" ref="AI8:AI31" si="14">Y8</f>
        <v>1.1769493430122695</v>
      </c>
      <c r="AJ8" s="134">
        <f t="shared" si="8"/>
        <v>0.78189833929081576</v>
      </c>
      <c r="AK8" s="134">
        <f t="shared" si="4"/>
        <v>0.60086703600000002</v>
      </c>
      <c r="AL8" s="134">
        <f t="shared" si="5"/>
        <v>0.32911339999999994</v>
      </c>
      <c r="AM8" s="144"/>
      <c r="AN8" s="134">
        <f t="shared" ref="AN8:AN31" si="15">AF8</f>
        <v>15</v>
      </c>
      <c r="AO8" s="134">
        <f t="shared" si="9"/>
        <v>-43.848701670610978</v>
      </c>
      <c r="AP8" s="134">
        <f t="shared" ref="AP8:AP31" si="16">AD8</f>
        <v>-5.6569668454321596</v>
      </c>
      <c r="AQ8" s="134">
        <f t="shared" si="10"/>
        <v>-5.3513838839999996</v>
      </c>
    </row>
    <row r="9" spans="1:43" x14ac:dyDescent="0.25">
      <c r="A9">
        <f>'orcaflex-acma'!A163</f>
        <v>30</v>
      </c>
      <c r="B9" s="139">
        <f>'orcaflex-acma'!B163</f>
        <v>0.52726675976623238</v>
      </c>
      <c r="C9" s="151">
        <f>'orcaflex-acma'!C163</f>
        <v>0.49055633150603062</v>
      </c>
      <c r="D9">
        <f>'orcaflex-acma'!D163</f>
        <v>0</v>
      </c>
      <c r="E9">
        <f>'orcaflex-acma'!E163</f>
        <v>0</v>
      </c>
      <c r="F9">
        <f>'orcaflex-acma'!F163</f>
        <v>0</v>
      </c>
      <c r="G9" s="139">
        <f>'orcaflex-acma'!G163</f>
        <v>-7.1063201113708938E-2</v>
      </c>
      <c r="H9" s="144"/>
      <c r="I9">
        <f>'orcaflex-acma'!I163</f>
        <v>30</v>
      </c>
      <c r="J9" s="139">
        <f>'orcaflex-acma'!J163</f>
        <v>0.99136146417060222</v>
      </c>
      <c r="K9" s="151">
        <f>'orcaflex-acma'!K163</f>
        <v>0.4243342702683629</v>
      </c>
      <c r="L9">
        <f>'orcaflex-acma'!L163</f>
        <v>0</v>
      </c>
      <c r="M9">
        <f>'orcaflex-acma'!M163</f>
        <v>0</v>
      </c>
      <c r="N9">
        <f>'orcaflex-acma'!N163</f>
        <v>0</v>
      </c>
      <c r="O9" s="139">
        <f>'orcaflex-acma'!O163</f>
        <v>-3.6055175126295705E-2</v>
      </c>
      <c r="P9" s="144"/>
      <c r="Q9">
        <f t="shared" si="11"/>
        <v>30</v>
      </c>
      <c r="R9" s="150">
        <f>1/2*inputs!$K$9*B9*B$4/1000</f>
        <v>0.63546400793730229</v>
      </c>
      <c r="S9" s="150">
        <f>1/2*inputs!$K$9*C9*C$4/1000</f>
        <v>2.5913883489971816</v>
      </c>
      <c r="T9">
        <f>1/2*inputs!$K$9*D9*D$4/1000</f>
        <v>0</v>
      </c>
      <c r="U9">
        <f>1/2*inputs!$K$9*E9*E$4/1000</f>
        <v>0</v>
      </c>
      <c r="V9">
        <f>1/2*inputs!$K$9*F9*F$4/1000</f>
        <v>0</v>
      </c>
      <c r="W9">
        <f>1/2*inputs!$K$9*G9*G$4/1000</f>
        <v>-76.802045259513022</v>
      </c>
      <c r="X9">
        <f t="shared" si="12"/>
        <v>30</v>
      </c>
      <c r="Y9">
        <f>1/2*inputs!$K$9*J9*J$4/1000</f>
        <v>1.1947928020642664</v>
      </c>
      <c r="Z9">
        <f>1/2*inputs!$K$9*K9*K$4/1000</f>
        <v>2.2415669994061402</v>
      </c>
      <c r="AA9">
        <f>1/2*inputs!$K$9*L9*L$4/1000</f>
        <v>0</v>
      </c>
      <c r="AB9">
        <f>1/2*inputs!$K$9*M9*M$4/1000</f>
        <v>0</v>
      </c>
      <c r="AC9">
        <f>1/2*inputs!$K$9*N9*N$4/1000</f>
        <v>0</v>
      </c>
      <c r="AD9">
        <f>1/2*inputs!$K$9*O9*O$4/1000</f>
        <v>-38.966879460700746</v>
      </c>
      <c r="AE9" s="144"/>
      <c r="AF9" s="134">
        <f t="shared" si="13"/>
        <v>30</v>
      </c>
      <c r="AG9" s="134">
        <f t="shared" si="6"/>
        <v>0.63546400793730229</v>
      </c>
      <c r="AH9" s="134">
        <f t="shared" si="7"/>
        <v>2.5913883489971816</v>
      </c>
      <c r="AI9" s="134">
        <f t="shared" si="14"/>
        <v>1.1947928020642664</v>
      </c>
      <c r="AJ9" s="134">
        <f t="shared" si="8"/>
        <v>2.2415669994061402</v>
      </c>
      <c r="AK9" s="134">
        <f t="shared" si="4"/>
        <v>0.55102986399999998</v>
      </c>
      <c r="AL9" s="134">
        <f t="shared" si="5"/>
        <v>0.712765592</v>
      </c>
      <c r="AM9" s="144"/>
      <c r="AN9" s="134">
        <f t="shared" si="15"/>
        <v>30</v>
      </c>
      <c r="AO9" s="134">
        <f t="shared" si="9"/>
        <v>-76.802045259513022</v>
      </c>
      <c r="AP9" s="134">
        <f t="shared" si="16"/>
        <v>-38.966879460700746</v>
      </c>
      <c r="AQ9" s="134">
        <f t="shared" si="10"/>
        <v>-12.709419184</v>
      </c>
    </row>
    <row r="10" spans="1:43" x14ac:dyDescent="0.25">
      <c r="A10">
        <f>'orcaflex-acma'!A164</f>
        <v>45</v>
      </c>
      <c r="B10" s="139">
        <f>'orcaflex-acma'!B164</f>
        <v>0.30670955660230176</v>
      </c>
      <c r="C10" s="151">
        <f>'orcaflex-acma'!C164</f>
        <v>0.77551060314674058</v>
      </c>
      <c r="D10">
        <f>'orcaflex-acma'!D164</f>
        <v>0</v>
      </c>
      <c r="E10">
        <f>'orcaflex-acma'!E164</f>
        <v>0</v>
      </c>
      <c r="F10">
        <f>'orcaflex-acma'!F164</f>
        <v>0</v>
      </c>
      <c r="G10" s="139">
        <f>'orcaflex-acma'!G164</f>
        <v>-0.13668257532519471</v>
      </c>
      <c r="H10" s="144"/>
      <c r="I10">
        <f>'orcaflex-acma'!I164</f>
        <v>45</v>
      </c>
      <c r="J10" s="139">
        <f>'orcaflex-acma'!J164</f>
        <v>0.75964286287204252</v>
      </c>
      <c r="K10" s="151">
        <f>'orcaflex-acma'!K164</f>
        <v>0.75669328451209739</v>
      </c>
      <c r="L10">
        <f>'orcaflex-acma'!L164</f>
        <v>0</v>
      </c>
      <c r="M10">
        <f>'orcaflex-acma'!M164</f>
        <v>0</v>
      </c>
      <c r="N10">
        <f>'orcaflex-acma'!N164</f>
        <v>0</v>
      </c>
      <c r="O10" s="139">
        <f>'orcaflex-acma'!O164</f>
        <v>-5.7180109481710928E-2</v>
      </c>
      <c r="P10" s="144"/>
      <c r="Q10">
        <f t="shared" si="11"/>
        <v>45</v>
      </c>
      <c r="R10" s="150">
        <f>1/2*inputs!$K$9*B10*B$4/1000</f>
        <v>0.36964758445532042</v>
      </c>
      <c r="S10" s="150">
        <f>1/2*inputs!$K$9*C10*C$4/1000</f>
        <v>4.0966735366528146</v>
      </c>
      <c r="T10">
        <f>1/2*inputs!$K$9*D10*D$4/1000</f>
        <v>0</v>
      </c>
      <c r="U10">
        <f>1/2*inputs!$K$9*E10*E$4/1000</f>
        <v>0</v>
      </c>
      <c r="V10">
        <f>1/2*inputs!$K$9*F10*F$4/1000</f>
        <v>0</v>
      </c>
      <c r="W10">
        <f>1/2*inputs!$K$9*G10*G$4/1000</f>
        <v>-147.72063700754549</v>
      </c>
      <c r="X10">
        <f t="shared" si="12"/>
        <v>45</v>
      </c>
      <c r="Y10">
        <f>1/2*inputs!$K$9*J10*J$4/1000</f>
        <v>0.91552461690483711</v>
      </c>
      <c r="Z10">
        <f>1/2*inputs!$K$9*K10*K$4/1000</f>
        <v>3.9972701100993802</v>
      </c>
      <c r="AA10">
        <f>1/2*inputs!$K$9*L10*L$4/1000</f>
        <v>0</v>
      </c>
      <c r="AB10">
        <f>1/2*inputs!$K$9*M10*M$4/1000</f>
        <v>0</v>
      </c>
      <c r="AC10">
        <f>1/2*inputs!$K$9*N10*N$4/1000</f>
        <v>0</v>
      </c>
      <c r="AD10">
        <f>1/2*inputs!$K$9*O10*O$4/1000</f>
        <v>-61.797798122424993</v>
      </c>
      <c r="AE10" s="144"/>
      <c r="AF10" s="134">
        <f t="shared" si="13"/>
        <v>45</v>
      </c>
      <c r="AG10" s="134">
        <f t="shared" si="6"/>
        <v>0.36964758445532042</v>
      </c>
      <c r="AH10" s="134">
        <f t="shared" si="7"/>
        <v>4.0966735366528146</v>
      </c>
      <c r="AI10" s="134">
        <f t="shared" si="14"/>
        <v>0.91552461690483711</v>
      </c>
      <c r="AJ10" s="134">
        <f t="shared" si="8"/>
        <v>3.9972701100993802</v>
      </c>
      <c r="AK10" s="134">
        <f t="shared" si="4"/>
        <v>0.48426685999999997</v>
      </c>
      <c r="AL10" s="134">
        <f t="shared" si="5"/>
        <v>1.1340307439999999</v>
      </c>
      <c r="AM10" s="144"/>
      <c r="AN10" s="134">
        <f t="shared" si="15"/>
        <v>45</v>
      </c>
      <c r="AO10" s="134">
        <f t="shared" si="9"/>
        <v>-147.72063700754549</v>
      </c>
      <c r="AP10" s="134">
        <f t="shared" si="16"/>
        <v>-61.797798122424993</v>
      </c>
      <c r="AQ10" s="134">
        <f t="shared" si="10"/>
        <v>-22.743616588000002</v>
      </c>
    </row>
    <row r="11" spans="1:43" x14ac:dyDescent="0.25">
      <c r="A11">
        <f>'orcaflex-acma'!A165</f>
        <v>60</v>
      </c>
      <c r="B11" s="139">
        <f>'orcaflex-acma'!B165</f>
        <v>6.745804657120634E-2</v>
      </c>
      <c r="C11" s="151">
        <f>'orcaflex-acma'!C165</f>
        <v>1.0497206419402738</v>
      </c>
      <c r="D11">
        <f>'orcaflex-acma'!D165</f>
        <v>0</v>
      </c>
      <c r="E11">
        <f>'orcaflex-acma'!E165</f>
        <v>0</v>
      </c>
      <c r="F11">
        <f>'orcaflex-acma'!F165</f>
        <v>0</v>
      </c>
      <c r="G11" s="139">
        <f>'orcaflex-acma'!G165</f>
        <v>-0.13896791488502067</v>
      </c>
      <c r="H11" s="144"/>
      <c r="I11">
        <f>'orcaflex-acma'!I165</f>
        <v>60</v>
      </c>
      <c r="J11" s="139">
        <f>'orcaflex-acma'!J165</f>
        <v>0.10017229202624714</v>
      </c>
      <c r="K11" s="151">
        <f>'orcaflex-acma'!K165</f>
        <v>0.98744268483071918</v>
      </c>
      <c r="L11">
        <f>'orcaflex-acma'!L165</f>
        <v>0</v>
      </c>
      <c r="M11">
        <f>'orcaflex-acma'!M165</f>
        <v>0</v>
      </c>
      <c r="N11">
        <f>'orcaflex-acma'!N165</f>
        <v>0</v>
      </c>
      <c r="O11" s="139">
        <f>'orcaflex-acma'!O165</f>
        <v>-4.9807625025628299E-2</v>
      </c>
      <c r="P11" s="144"/>
      <c r="Q11">
        <f t="shared" si="11"/>
        <v>60</v>
      </c>
      <c r="R11" s="150">
        <f>1/2*inputs!$K$9*B11*B$4/1000</f>
        <v>8.1300707559804161E-2</v>
      </c>
      <c r="S11" s="150">
        <f>1/2*inputs!$K$9*C11*C$4/1000</f>
        <v>5.5452017770815925</v>
      </c>
      <c r="T11">
        <f>1/2*inputs!$K$9*D11*D$4/1000</f>
        <v>0</v>
      </c>
      <c r="U11">
        <f>1/2*inputs!$K$9*E11*E$4/1000</f>
        <v>0</v>
      </c>
      <c r="V11">
        <f>1/2*inputs!$K$9*F11*F$4/1000</f>
        <v>0</v>
      </c>
      <c r="W11">
        <f>1/2*inputs!$K$9*G11*G$4/1000</f>
        <v>-150.1905335159544</v>
      </c>
      <c r="X11">
        <f t="shared" si="12"/>
        <v>60</v>
      </c>
      <c r="Y11">
        <f>1/2*inputs!$K$9*J11*J$4/1000</f>
        <v>0.12072804703920115</v>
      </c>
      <c r="Z11">
        <f>1/2*inputs!$K$9*K11*K$4/1000</f>
        <v>5.2162153547525145</v>
      </c>
      <c r="AA11">
        <f>1/2*inputs!$K$9*L11*L$4/1000</f>
        <v>0</v>
      </c>
      <c r="AB11">
        <f>1/2*inputs!$K$9*M11*M$4/1000</f>
        <v>0</v>
      </c>
      <c r="AC11">
        <f>1/2*inputs!$K$9*N11*N$4/1000</f>
        <v>0</v>
      </c>
      <c r="AD11">
        <f>1/2*inputs!$K$9*O11*O$4/1000</f>
        <v>-53.829934643194768</v>
      </c>
      <c r="AE11" s="144"/>
      <c r="AF11" s="134">
        <f t="shared" si="13"/>
        <v>60</v>
      </c>
      <c r="AG11" s="134">
        <f t="shared" si="6"/>
        <v>8.1300707559804161E-2</v>
      </c>
      <c r="AH11" s="134">
        <f t="shared" si="7"/>
        <v>5.5452017770815925</v>
      </c>
      <c r="AI11" s="134">
        <f t="shared" si="14"/>
        <v>0.12072804703920115</v>
      </c>
      <c r="AJ11" s="134">
        <f t="shared" si="8"/>
        <v>5.2162153547525145</v>
      </c>
      <c r="AK11" s="134">
        <f t="shared" si="4"/>
        <v>0.40527964399999994</v>
      </c>
      <c r="AL11" s="134">
        <f t="shared" si="5"/>
        <v>1.5722217279999997</v>
      </c>
      <c r="AM11" s="144"/>
      <c r="AN11" s="134">
        <f t="shared" si="15"/>
        <v>60</v>
      </c>
      <c r="AO11" s="134">
        <f t="shared" si="9"/>
        <v>-150.1905335159544</v>
      </c>
      <c r="AP11" s="134">
        <f t="shared" si="16"/>
        <v>-53.829934643194768</v>
      </c>
      <c r="AQ11" s="134">
        <f t="shared" si="10"/>
        <v>-33.446384356000003</v>
      </c>
    </row>
    <row r="12" spans="1:43" x14ac:dyDescent="0.25">
      <c r="A12">
        <f>'orcaflex-acma'!A166</f>
        <v>75</v>
      </c>
      <c r="B12" s="139">
        <f>'orcaflex-acma'!B166</f>
        <v>0.10426243460531529</v>
      </c>
      <c r="C12" s="151">
        <f>'orcaflex-acma'!C166</f>
        <v>1.0775590275632998</v>
      </c>
      <c r="D12">
        <f>'orcaflex-acma'!D166</f>
        <v>0</v>
      </c>
      <c r="E12">
        <f>'orcaflex-acma'!E166</f>
        <v>0</v>
      </c>
      <c r="F12">
        <f>'orcaflex-acma'!F166</f>
        <v>0</v>
      </c>
      <c r="G12" s="139">
        <f>'orcaflex-acma'!G166</f>
        <v>-3.8012020917284069E-2</v>
      </c>
      <c r="H12" s="144"/>
      <c r="I12">
        <f>'orcaflex-acma'!I166</f>
        <v>75</v>
      </c>
      <c r="J12" s="139">
        <f>'orcaflex-acma'!J166</f>
        <v>8.4950666591754306E-2</v>
      </c>
      <c r="K12" s="151">
        <f>'orcaflex-acma'!K166</f>
        <v>1.0671493307811943</v>
      </c>
      <c r="L12">
        <f>'orcaflex-acma'!L166</f>
        <v>0</v>
      </c>
      <c r="M12">
        <f>'orcaflex-acma'!M166</f>
        <v>0</v>
      </c>
      <c r="N12">
        <f>'orcaflex-acma'!N166</f>
        <v>0</v>
      </c>
      <c r="O12" s="139">
        <f>'orcaflex-acma'!O166</f>
        <v>-2.8171753061456091E-2</v>
      </c>
      <c r="P12" s="144"/>
      <c r="Q12">
        <f t="shared" si="11"/>
        <v>75</v>
      </c>
      <c r="R12" s="150">
        <f>1/2*inputs!$K$9*B12*B$4/1000</f>
        <v>0.12565750323606439</v>
      </c>
      <c r="S12" s="150">
        <f>1/2*inputs!$K$9*C12*C$4/1000</f>
        <v>5.6922594410545093</v>
      </c>
      <c r="T12">
        <f>1/2*inputs!$K$9*D12*D$4/1000</f>
        <v>0</v>
      </c>
      <c r="U12">
        <f>1/2*inputs!$K$9*E12*E$4/1000</f>
        <v>0</v>
      </c>
      <c r="V12">
        <f>1/2*inputs!$K$9*F12*F$4/1000</f>
        <v>0</v>
      </c>
      <c r="W12">
        <f>1/2*inputs!$K$9*G12*G$4/1000</f>
        <v>-41.081754060353184</v>
      </c>
      <c r="X12">
        <f t="shared" si="12"/>
        <v>75</v>
      </c>
      <c r="Y12">
        <f>1/2*inputs!$K$9*J12*J$4/1000</f>
        <v>0.10238288317904866</v>
      </c>
      <c r="Z12">
        <f>1/2*inputs!$K$9*K12*K$4/1000</f>
        <v>5.6372696973181977</v>
      </c>
      <c r="AA12">
        <f>1/2*inputs!$K$9*L12*L$4/1000</f>
        <v>0</v>
      </c>
      <c r="AB12">
        <f>1/2*inputs!$K$9*M12*M$4/1000</f>
        <v>0</v>
      </c>
      <c r="AC12">
        <f>1/2*inputs!$K$9*N12*N$4/1000</f>
        <v>0</v>
      </c>
      <c r="AD12">
        <f>1/2*inputs!$K$9*O12*O$4/1000</f>
        <v>-30.446816633037685</v>
      </c>
      <c r="AE12" s="144"/>
      <c r="AF12" s="134">
        <f t="shared" si="13"/>
        <v>75</v>
      </c>
      <c r="AG12" s="134">
        <f t="shared" si="6"/>
        <v>0.12565750323606439</v>
      </c>
      <c r="AH12" s="134">
        <f t="shared" si="7"/>
        <v>5.6922594410545093</v>
      </c>
      <c r="AI12" s="134">
        <f t="shared" si="14"/>
        <v>0.10238288317904866</v>
      </c>
      <c r="AJ12" s="134">
        <f t="shared" si="8"/>
        <v>5.6372696973181977</v>
      </c>
      <c r="AK12" s="134">
        <f t="shared" si="4"/>
        <v>0.31218756800000003</v>
      </c>
      <c r="AL12" s="134">
        <f t="shared" si="5"/>
        <v>2.0301595159999999</v>
      </c>
      <c r="AM12" s="144"/>
      <c r="AN12" s="134">
        <f t="shared" si="15"/>
        <v>75</v>
      </c>
      <c r="AO12" s="134">
        <f t="shared" si="9"/>
        <v>-41.081754060353184</v>
      </c>
      <c r="AP12" s="134">
        <f t="shared" si="16"/>
        <v>-30.446816633037685</v>
      </c>
      <c r="AQ12" s="134">
        <f t="shared" si="10"/>
        <v>-45.487233176000004</v>
      </c>
    </row>
    <row r="13" spans="1:43" x14ac:dyDescent="0.25">
      <c r="A13">
        <f>'orcaflex-acma'!A167</f>
        <v>90</v>
      </c>
      <c r="B13" s="139">
        <f>'orcaflex-acma'!B167</f>
        <v>-0.25396219991139113</v>
      </c>
      <c r="C13" s="151">
        <f>'orcaflex-acma'!C167</f>
        <v>0.96858507075307898</v>
      </c>
      <c r="D13">
        <f>'orcaflex-acma'!D167</f>
        <v>0</v>
      </c>
      <c r="E13">
        <f>'orcaflex-acma'!E167</f>
        <v>0</v>
      </c>
      <c r="F13">
        <f>'orcaflex-acma'!F167</f>
        <v>0</v>
      </c>
      <c r="G13" s="139">
        <f>'orcaflex-acma'!G167</f>
        <v>-1.6793237952578449E-2</v>
      </c>
      <c r="H13" s="144"/>
      <c r="I13">
        <f>'orcaflex-acma'!I167</f>
        <v>90</v>
      </c>
      <c r="J13" s="139">
        <f>'orcaflex-acma'!J167</f>
        <v>-0.37631445669657176</v>
      </c>
      <c r="K13" s="151">
        <f>'orcaflex-acma'!K167</f>
        <v>0.96153276858171943</v>
      </c>
      <c r="L13">
        <f>'orcaflex-acma'!L167</f>
        <v>0</v>
      </c>
      <c r="M13">
        <f>'orcaflex-acma'!M167</f>
        <v>0</v>
      </c>
      <c r="N13">
        <f>'orcaflex-acma'!N167</f>
        <v>0</v>
      </c>
      <c r="O13" s="139">
        <f>'orcaflex-acma'!O167</f>
        <v>2.5931686025490361E-3</v>
      </c>
      <c r="P13" s="144"/>
      <c r="Q13">
        <f t="shared" si="11"/>
        <v>90</v>
      </c>
      <c r="R13" s="150">
        <f>1/2*inputs!$K$9*B13*B$4/1000</f>
        <v>-0.30607625918200826</v>
      </c>
      <c r="S13" s="150">
        <f>1/2*inputs!$K$9*C13*C$4/1000</f>
        <v>5.1165990655066773</v>
      </c>
      <c r="T13">
        <f>1/2*inputs!$K$9*D13*D$4/1000</f>
        <v>0</v>
      </c>
      <c r="U13">
        <f>1/2*inputs!$K$9*E13*E$4/1000</f>
        <v>0</v>
      </c>
      <c r="V13">
        <f>1/2*inputs!$K$9*F13*F$4/1000</f>
        <v>0</v>
      </c>
      <c r="W13">
        <f>1/2*inputs!$K$9*G13*G$4/1000</f>
        <v>-18.149407866160605</v>
      </c>
      <c r="X13">
        <f t="shared" si="12"/>
        <v>90</v>
      </c>
      <c r="Y13">
        <f>1/2*inputs!$K$9*J13*J$4/1000</f>
        <v>-0.45353568846853504</v>
      </c>
      <c r="Z13">
        <f>1/2*inputs!$K$9*K13*K$4/1000</f>
        <v>5.0793449266713617</v>
      </c>
      <c r="AA13">
        <f>1/2*inputs!$K$9*L13*L$4/1000</f>
        <v>0</v>
      </c>
      <c r="AB13">
        <f>1/2*inputs!$K$9*M13*M$4/1000</f>
        <v>0</v>
      </c>
      <c r="AC13">
        <f>1/2*inputs!$K$9*N13*N$4/1000</f>
        <v>0</v>
      </c>
      <c r="AD13">
        <f>1/2*inputs!$K$9*O13*O$4/1000</f>
        <v>2.802584871737487</v>
      </c>
      <c r="AE13" s="144"/>
      <c r="AF13" s="134">
        <f t="shared" si="13"/>
        <v>90</v>
      </c>
      <c r="AG13" s="134">
        <f t="shared" si="6"/>
        <v>-0.30607625918200826</v>
      </c>
      <c r="AH13" s="134">
        <f t="shared" si="7"/>
        <v>5.1165990655066773</v>
      </c>
      <c r="AI13" s="134">
        <f t="shared" si="14"/>
        <v>-0.45353568846853504</v>
      </c>
      <c r="AJ13" s="134">
        <f t="shared" si="8"/>
        <v>5.0793449266713617</v>
      </c>
      <c r="AK13" s="134">
        <f t="shared" si="4"/>
        <v>0.219095492</v>
      </c>
      <c r="AL13" s="134">
        <f t="shared" si="5"/>
        <v>2.3037938000000002</v>
      </c>
      <c r="AM13" s="144"/>
      <c r="AN13" s="134">
        <f t="shared" si="15"/>
        <v>90</v>
      </c>
      <c r="AO13" s="134">
        <f t="shared" si="9"/>
        <v>-18.149407866160605</v>
      </c>
      <c r="AP13" s="134">
        <f t="shared" si="16"/>
        <v>2.802584871737487</v>
      </c>
      <c r="AQ13" s="134">
        <f t="shared" si="10"/>
        <v>-54.85286021600001</v>
      </c>
    </row>
    <row r="14" spans="1:43" x14ac:dyDescent="0.25">
      <c r="A14">
        <f>'orcaflex-acma'!A168</f>
        <v>105</v>
      </c>
      <c r="B14" s="139">
        <f>'orcaflex-acma'!B168</f>
        <v>-9.9906911376018814E-2</v>
      </c>
      <c r="C14" s="151">
        <f>'orcaflex-acma'!C168</f>
        <v>0.84116460055678943</v>
      </c>
      <c r="D14">
        <f>'orcaflex-acma'!D168</f>
        <v>0</v>
      </c>
      <c r="E14">
        <f>'orcaflex-acma'!E168</f>
        <v>0</v>
      </c>
      <c r="F14">
        <f>'orcaflex-acma'!F168</f>
        <v>0</v>
      </c>
      <c r="G14" s="139">
        <f>'orcaflex-acma'!G168</f>
        <v>3.1540659404316579E-2</v>
      </c>
      <c r="H14" s="144"/>
      <c r="I14">
        <f>'orcaflex-acma'!I168</f>
        <v>105</v>
      </c>
      <c r="J14" s="139">
        <f>'orcaflex-acma'!J168</f>
        <v>-0.32327744036055994</v>
      </c>
      <c r="K14" s="151">
        <f>'orcaflex-acma'!K168</f>
        <v>0.84476016644166008</v>
      </c>
      <c r="L14">
        <f>'orcaflex-acma'!L168</f>
        <v>0</v>
      </c>
      <c r="M14">
        <f>'orcaflex-acma'!M168</f>
        <v>0</v>
      </c>
      <c r="N14">
        <f>'orcaflex-acma'!N168</f>
        <v>0</v>
      </c>
      <c r="O14" s="139">
        <f>'orcaflex-acma'!O168</f>
        <v>2.589132040345235E-2</v>
      </c>
      <c r="P14" s="144"/>
      <c r="Q14">
        <f t="shared" si="11"/>
        <v>105</v>
      </c>
      <c r="R14" s="150">
        <f>1/2*inputs!$K$9*B14*B$4/1000</f>
        <v>-0.12040820921802338</v>
      </c>
      <c r="S14" s="150">
        <f>1/2*inputs!$K$9*C14*C$4/1000</f>
        <v>4.4434940606712683</v>
      </c>
      <c r="T14">
        <f>1/2*inputs!$K$9*D14*D$4/1000</f>
        <v>0</v>
      </c>
      <c r="U14">
        <f>1/2*inputs!$K$9*E14*E$4/1000</f>
        <v>0</v>
      </c>
      <c r="V14">
        <f>1/2*inputs!$K$9*F14*F$4/1000</f>
        <v>0</v>
      </c>
      <c r="W14">
        <f>1/2*inputs!$K$9*G14*G$4/1000</f>
        <v>34.087785423698001</v>
      </c>
      <c r="X14">
        <f t="shared" si="12"/>
        <v>105</v>
      </c>
      <c r="Y14">
        <f>1/2*inputs!$K$9*J14*J$4/1000</f>
        <v>-0.3896152642323083</v>
      </c>
      <c r="Z14">
        <f>1/2*inputs!$K$9*K14*K$4/1000</f>
        <v>4.4624878172363909</v>
      </c>
      <c r="AA14">
        <f>1/2*inputs!$K$9*L14*L$4/1000</f>
        <v>0</v>
      </c>
      <c r="AB14">
        <f>1/2*inputs!$K$9*M14*M$4/1000</f>
        <v>0</v>
      </c>
      <c r="AC14">
        <f>1/2*inputs!$K$9*N14*N$4/1000</f>
        <v>0</v>
      </c>
      <c r="AD14">
        <f>1/2*inputs!$K$9*O14*O$4/1000</f>
        <v>27.982223292652851</v>
      </c>
      <c r="AE14" s="144"/>
      <c r="AF14" s="134">
        <f t="shared" si="13"/>
        <v>105</v>
      </c>
      <c r="AG14" s="134">
        <f t="shared" si="6"/>
        <v>-0.12040820921802338</v>
      </c>
      <c r="AH14" s="134">
        <f t="shared" si="7"/>
        <v>4.4434940606712683</v>
      </c>
      <c r="AI14" s="134">
        <f t="shared" si="14"/>
        <v>-0.3896152642323083</v>
      </c>
      <c r="AJ14" s="134">
        <f t="shared" si="8"/>
        <v>4.4624878172363909</v>
      </c>
      <c r="AK14" s="134">
        <f t="shared" si="4"/>
        <v>0.12600341600000001</v>
      </c>
      <c r="AL14" s="134">
        <f t="shared" si="5"/>
        <v>2.4504843439999999</v>
      </c>
      <c r="AM14" s="144"/>
      <c r="AN14" s="134">
        <f t="shared" si="15"/>
        <v>105</v>
      </c>
      <c r="AO14" s="134">
        <f t="shared" si="9"/>
        <v>34.087785423698001</v>
      </c>
      <c r="AP14" s="134">
        <f t="shared" si="16"/>
        <v>27.982223292652851</v>
      </c>
      <c r="AQ14" s="134">
        <f t="shared" si="10"/>
        <v>-62.210895516000001</v>
      </c>
    </row>
    <row r="15" spans="1:43" x14ac:dyDescent="0.25">
      <c r="A15">
        <f>'orcaflex-acma'!A169</f>
        <v>120</v>
      </c>
      <c r="B15" s="139">
        <f>'orcaflex-acma'!B169</f>
        <v>-6.3027348882921164E-2</v>
      </c>
      <c r="C15" s="151">
        <f>'orcaflex-acma'!C169</f>
        <v>0.7531741431213147</v>
      </c>
      <c r="D15">
        <f>'orcaflex-acma'!D169</f>
        <v>0</v>
      </c>
      <c r="E15">
        <f>'orcaflex-acma'!E169</f>
        <v>0</v>
      </c>
      <c r="F15">
        <f>'orcaflex-acma'!F169</f>
        <v>0</v>
      </c>
      <c r="G15" s="139">
        <f>'orcaflex-acma'!G169</f>
        <v>4.7497785945811534E-2</v>
      </c>
      <c r="H15" s="144"/>
      <c r="I15">
        <f>'orcaflex-acma'!I169</f>
        <v>120</v>
      </c>
      <c r="J15" s="139">
        <f>'orcaflex-acma'!J169</f>
        <v>-0.11230277052360291</v>
      </c>
      <c r="K15" s="151">
        <f>'orcaflex-acma'!K169</f>
        <v>0.78442119314073344</v>
      </c>
      <c r="L15">
        <f>'orcaflex-acma'!L169</f>
        <v>0</v>
      </c>
      <c r="M15">
        <f>'orcaflex-acma'!M169</f>
        <v>0</v>
      </c>
      <c r="N15">
        <f>'orcaflex-acma'!N169</f>
        <v>0</v>
      </c>
      <c r="O15" s="139">
        <f>'orcaflex-acma'!O169</f>
        <v>3.0582506863248662E-2</v>
      </c>
      <c r="P15" s="144"/>
      <c r="Q15">
        <f t="shared" si="11"/>
        <v>120</v>
      </c>
      <c r="R15" s="150">
        <f>1/2*inputs!$K$9*B15*B$4/1000</f>
        <v>-7.596081298309211E-2</v>
      </c>
      <c r="S15" s="150">
        <f>1/2*inputs!$K$9*C15*C$4/1000</f>
        <v>3.9786800697455011</v>
      </c>
      <c r="T15">
        <f>1/2*inputs!$K$9*D15*D$4/1000</f>
        <v>0</v>
      </c>
      <c r="U15">
        <f>1/2*inputs!$K$9*E15*E$4/1000</f>
        <v>0</v>
      </c>
      <c r="V15">
        <f>1/2*inputs!$K$9*F15*F$4/1000</f>
        <v>0</v>
      </c>
      <c r="W15">
        <f>1/2*inputs!$K$9*G15*G$4/1000</f>
        <v>51.333560109398881</v>
      </c>
      <c r="X15">
        <f t="shared" si="12"/>
        <v>120</v>
      </c>
      <c r="Y15">
        <f>1/2*inputs!$K$9*J15*J$4/1000</f>
        <v>-0.1353477482461283</v>
      </c>
      <c r="Z15">
        <f>1/2*inputs!$K$9*K15*K$4/1000</f>
        <v>4.1437441738255814</v>
      </c>
      <c r="AA15">
        <f>1/2*inputs!$K$9*L15*L$4/1000</f>
        <v>0</v>
      </c>
      <c r="AB15">
        <f>1/2*inputs!$K$9*M15*M$4/1000</f>
        <v>0</v>
      </c>
      <c r="AC15">
        <f>1/2*inputs!$K$9*N15*N$4/1000</f>
        <v>0</v>
      </c>
      <c r="AD15">
        <f>1/2*inputs!$K$9*O15*O$4/1000</f>
        <v>33.052255449374627</v>
      </c>
      <c r="AE15" s="144"/>
      <c r="AF15" s="134">
        <f t="shared" si="13"/>
        <v>120</v>
      </c>
      <c r="AG15" s="134">
        <f t="shared" si="6"/>
        <v>-7.596081298309211E-2</v>
      </c>
      <c r="AH15" s="134">
        <f t="shared" si="7"/>
        <v>3.9786800697455011</v>
      </c>
      <c r="AI15" s="134">
        <f t="shared" si="14"/>
        <v>-0.1353477482461283</v>
      </c>
      <c r="AJ15" s="134">
        <f t="shared" si="8"/>
        <v>4.1437441738255814</v>
      </c>
      <c r="AK15" s="134">
        <f t="shared" si="4"/>
        <v>4.6075876000000002E-2</v>
      </c>
      <c r="AL15" s="134">
        <f t="shared" si="5"/>
        <v>2.5962345640000004</v>
      </c>
      <c r="AM15" s="144"/>
      <c r="AN15" s="134">
        <f t="shared" si="15"/>
        <v>120</v>
      </c>
      <c r="AO15" s="134">
        <f t="shared" si="9"/>
        <v>51.333560109398881</v>
      </c>
      <c r="AP15" s="134">
        <f t="shared" si="16"/>
        <v>33.052255449374627</v>
      </c>
      <c r="AQ15" s="134">
        <f t="shared" si="10"/>
        <v>-69.568930815999991</v>
      </c>
    </row>
    <row r="16" spans="1:43" x14ac:dyDescent="0.25">
      <c r="A16">
        <f>'orcaflex-acma'!A170</f>
        <v>135</v>
      </c>
      <c r="B16" s="139">
        <f>'orcaflex-acma'!B170</f>
        <v>-0.20980507322716149</v>
      </c>
      <c r="C16" s="151">
        <f>'orcaflex-acma'!C170</f>
        <v>0.52444167007207754</v>
      </c>
      <c r="D16">
        <f>'orcaflex-acma'!D170</f>
        <v>0</v>
      </c>
      <c r="E16">
        <f>'orcaflex-acma'!E170</f>
        <v>0</v>
      </c>
      <c r="F16">
        <f>'orcaflex-acma'!F170</f>
        <v>0</v>
      </c>
      <c r="G16" s="139">
        <f>'orcaflex-acma'!G170</f>
        <v>3.4363494783123491E-2</v>
      </c>
      <c r="H16" s="144"/>
      <c r="I16">
        <f>'orcaflex-acma'!I170</f>
        <v>135</v>
      </c>
      <c r="J16" s="139">
        <f>'orcaflex-acma'!J170</f>
        <v>-0.65045899892214665</v>
      </c>
      <c r="K16" s="151">
        <f>'orcaflex-acma'!K170</f>
        <v>0.59439701242006981</v>
      </c>
      <c r="L16">
        <f>'orcaflex-acma'!L170</f>
        <v>0</v>
      </c>
      <c r="M16">
        <f>'orcaflex-acma'!M170</f>
        <v>0</v>
      </c>
      <c r="N16">
        <f>'orcaflex-acma'!N170</f>
        <v>0</v>
      </c>
      <c r="O16" s="139">
        <f>'orcaflex-acma'!O170</f>
        <v>1.3850892717722161E-2</v>
      </c>
      <c r="P16" s="144"/>
      <c r="Q16">
        <f t="shared" si="11"/>
        <v>135</v>
      </c>
      <c r="R16" s="150">
        <f>1/2*inputs!$K$9*B16*B$4/1000</f>
        <v>-0.25285791347366793</v>
      </c>
      <c r="S16" s="150">
        <f>1/2*inputs!$K$9*C16*C$4/1000</f>
        <v>2.7703893442392533</v>
      </c>
      <c r="T16">
        <f>1/2*inputs!$K$9*D16*D$4/1000</f>
        <v>0</v>
      </c>
      <c r="U16">
        <f>1/2*inputs!$K$9*E16*E$4/1000</f>
        <v>0</v>
      </c>
      <c r="V16">
        <f>1/2*inputs!$K$9*F16*F$4/1000</f>
        <v>0</v>
      </c>
      <c r="W16">
        <f>1/2*inputs!$K$9*G16*G$4/1000</f>
        <v>37.138584249610446</v>
      </c>
      <c r="X16">
        <f t="shared" si="12"/>
        <v>135</v>
      </c>
      <c r="Y16">
        <f>1/2*inputs!$K$9*J16*J$4/1000</f>
        <v>-0.78393578733696678</v>
      </c>
      <c r="Z16">
        <f>1/2*inputs!$K$9*K16*K$4/1000</f>
        <v>3.1399319379596395</v>
      </c>
      <c r="AA16">
        <f>1/2*inputs!$K$9*L16*L$4/1000</f>
        <v>0</v>
      </c>
      <c r="AB16">
        <f>1/2*inputs!$K$9*M16*M$4/1000</f>
        <v>0</v>
      </c>
      <c r="AC16">
        <f>1/2*inputs!$K$9*N16*N$4/1000</f>
        <v>0</v>
      </c>
      <c r="AD16">
        <f>1/2*inputs!$K$9*O16*O$4/1000</f>
        <v>14.969447938166994</v>
      </c>
      <c r="AE16" s="144"/>
      <c r="AF16" s="134">
        <f t="shared" si="13"/>
        <v>135</v>
      </c>
      <c r="AG16" s="134">
        <f t="shared" si="6"/>
        <v>-0.25285791347366793</v>
      </c>
      <c r="AH16" s="134">
        <f t="shared" si="7"/>
        <v>2.7703893442392533</v>
      </c>
      <c r="AI16" s="134">
        <f t="shared" si="14"/>
        <v>-0.78393578733696678</v>
      </c>
      <c r="AJ16" s="134">
        <f t="shared" si="8"/>
        <v>3.1399319379596395</v>
      </c>
      <c r="AK16" s="134">
        <f t="shared" si="4"/>
        <v>-2.6329071999999999E-2</v>
      </c>
      <c r="AL16" s="134">
        <f t="shared" si="5"/>
        <v>2.6329071999999996</v>
      </c>
      <c r="AM16" s="144"/>
      <c r="AN16" s="134">
        <f t="shared" si="15"/>
        <v>135</v>
      </c>
      <c r="AO16" s="134">
        <f t="shared" si="9"/>
        <v>37.138584249610446</v>
      </c>
      <c r="AP16" s="134">
        <f t="shared" si="16"/>
        <v>14.969447938166994</v>
      </c>
      <c r="AQ16" s="134">
        <f t="shared" si="10"/>
        <v>-74.920314699999992</v>
      </c>
    </row>
    <row r="17" spans="1:43" x14ac:dyDescent="0.25">
      <c r="A17">
        <f>'orcaflex-acma'!A171</f>
        <v>150</v>
      </c>
      <c r="B17" s="139">
        <f>'orcaflex-acma'!B171</f>
        <v>-0.27164571033464746</v>
      </c>
      <c r="C17" s="151">
        <f>'orcaflex-acma'!C171</f>
        <v>0.27946779808301703</v>
      </c>
      <c r="D17">
        <f>'orcaflex-acma'!D171</f>
        <v>0</v>
      </c>
      <c r="E17">
        <f>'orcaflex-acma'!E171</f>
        <v>0</v>
      </c>
      <c r="F17">
        <f>'orcaflex-acma'!F171</f>
        <v>0</v>
      </c>
      <c r="G17" s="139">
        <f>'orcaflex-acma'!G171</f>
        <v>1.4755386556479677E-2</v>
      </c>
      <c r="H17" s="144"/>
      <c r="I17">
        <f>'orcaflex-acma'!I171</f>
        <v>150</v>
      </c>
      <c r="J17" s="139">
        <f>'orcaflex-acma'!J171</f>
        <v>-0.79370209221009902</v>
      </c>
      <c r="K17" s="151">
        <f>'orcaflex-acma'!K171</f>
        <v>0.36707258007721799</v>
      </c>
      <c r="L17">
        <f>'orcaflex-acma'!L171</f>
        <v>0</v>
      </c>
      <c r="M17">
        <f>'orcaflex-acma'!M171</f>
        <v>0</v>
      </c>
      <c r="N17">
        <f>'orcaflex-acma'!N171</f>
        <v>0</v>
      </c>
      <c r="O17" s="139">
        <f>'orcaflex-acma'!O171</f>
        <v>9.9212807416202177E-3</v>
      </c>
      <c r="P17" s="144"/>
      <c r="Q17">
        <f t="shared" si="11"/>
        <v>150</v>
      </c>
      <c r="R17" s="150">
        <f>1/2*inputs!$K$9*B17*B$4/1000</f>
        <v>-0.32738849667815845</v>
      </c>
      <c r="S17" s="150">
        <f>1/2*inputs!$K$9*C17*C$4/1000</f>
        <v>1.4763026167634414</v>
      </c>
      <c r="T17">
        <f>1/2*inputs!$K$9*D17*D$4/1000</f>
        <v>0</v>
      </c>
      <c r="U17">
        <f>1/2*inputs!$K$9*E17*E$4/1000</f>
        <v>0</v>
      </c>
      <c r="V17">
        <f>1/2*inputs!$K$9*F17*F$4/1000</f>
        <v>0</v>
      </c>
      <c r="W17">
        <f>1/2*inputs!$K$9*G17*G$4/1000</f>
        <v>15.946985899481891</v>
      </c>
      <c r="X17">
        <f t="shared" si="12"/>
        <v>150</v>
      </c>
      <c r="Y17">
        <f>1/2*inputs!$K$9*J17*J$4/1000</f>
        <v>-0.95657293633998008</v>
      </c>
      <c r="Z17">
        <f>1/2*inputs!$K$9*K17*K$4/1000</f>
        <v>1.9390792578869078</v>
      </c>
      <c r="AA17">
        <f>1/2*inputs!$K$9*L17*L$4/1000</f>
        <v>0</v>
      </c>
      <c r="AB17">
        <f>1/2*inputs!$K$9*M17*M$4/1000</f>
        <v>0</v>
      </c>
      <c r="AC17">
        <f>1/2*inputs!$K$9*N17*N$4/1000</f>
        <v>0</v>
      </c>
      <c r="AD17">
        <f>1/2*inputs!$K$9*O17*O$4/1000</f>
        <v>10.72249266298893</v>
      </c>
      <c r="AE17" s="144"/>
      <c r="AF17" s="134">
        <f t="shared" si="13"/>
        <v>150</v>
      </c>
      <c r="AG17" s="134">
        <f t="shared" si="6"/>
        <v>-0.32738849667815845</v>
      </c>
      <c r="AH17" s="134">
        <f t="shared" si="7"/>
        <v>1.4763026167634414</v>
      </c>
      <c r="AI17" s="134">
        <f t="shared" si="14"/>
        <v>-0.95657293633998008</v>
      </c>
      <c r="AJ17" s="134">
        <f t="shared" si="8"/>
        <v>1.9390792578869078</v>
      </c>
      <c r="AK17" s="134">
        <f t="shared" si="4"/>
        <v>-8.6509807999999994E-2</v>
      </c>
      <c r="AL17" s="134">
        <f t="shared" si="5"/>
        <v>2.6150410440000003</v>
      </c>
      <c r="AM17" s="144"/>
      <c r="AN17" s="134">
        <f t="shared" si="15"/>
        <v>150</v>
      </c>
      <c r="AO17" s="134">
        <f t="shared" si="9"/>
        <v>15.946985899481891</v>
      </c>
      <c r="AP17" s="134">
        <f t="shared" si="16"/>
        <v>10.72249266298893</v>
      </c>
      <c r="AQ17" s="134">
        <f t="shared" si="10"/>
        <v>-84.285001416</v>
      </c>
    </row>
    <row r="18" spans="1:43" x14ac:dyDescent="0.25">
      <c r="A18">
        <f>'orcaflex-acma'!A172</f>
        <v>165</v>
      </c>
      <c r="B18" s="139">
        <f>'orcaflex-acma'!B172</f>
        <v>-0.28786979569125437</v>
      </c>
      <c r="C18" s="151">
        <f>'orcaflex-acma'!C172</f>
        <v>8.2951654361115582E-2</v>
      </c>
      <c r="D18">
        <f>'orcaflex-acma'!D172</f>
        <v>0</v>
      </c>
      <c r="E18">
        <f>'orcaflex-acma'!E172</f>
        <v>0</v>
      </c>
      <c r="F18">
        <f>'orcaflex-acma'!F172</f>
        <v>0</v>
      </c>
      <c r="G18" s="139">
        <f>'orcaflex-acma'!G172</f>
        <v>1.7310369765636392E-3</v>
      </c>
      <c r="H18" s="144"/>
      <c r="I18">
        <f>'orcaflex-acma'!I172</f>
        <v>165</v>
      </c>
      <c r="J18" s="139">
        <f>'orcaflex-acma'!J172</f>
        <v>-0.69880015923620165</v>
      </c>
      <c r="K18" s="151">
        <f>'orcaflex-acma'!K172</f>
        <v>0.16462118032883041</v>
      </c>
      <c r="L18">
        <f>'orcaflex-acma'!L172</f>
        <v>0</v>
      </c>
      <c r="M18">
        <f>'orcaflex-acma'!M172</f>
        <v>0</v>
      </c>
      <c r="N18">
        <f>'orcaflex-acma'!N172</f>
        <v>0</v>
      </c>
      <c r="O18" s="139">
        <f>'orcaflex-acma'!O172</f>
        <v>-7.3680894010646287E-4</v>
      </c>
      <c r="P18" s="144"/>
      <c r="Q18">
        <f t="shared" si="11"/>
        <v>165</v>
      </c>
      <c r="R18" s="150">
        <f>1/2*inputs!$K$9*B18*B$4/1000</f>
        <v>-0.34694182924628258</v>
      </c>
      <c r="S18" s="150">
        <f>1/2*inputs!$K$9*C18*C$4/1000</f>
        <v>0.43819626174531112</v>
      </c>
      <c r="T18">
        <f>1/2*inputs!$K$9*D18*D$4/1000</f>
        <v>0</v>
      </c>
      <c r="U18">
        <f>1/2*inputs!$K$9*E18*E$4/1000</f>
        <v>0</v>
      </c>
      <c r="V18">
        <f>1/2*inputs!$K$9*F18*F$4/1000</f>
        <v>0</v>
      </c>
      <c r="W18">
        <f>1/2*inputs!$K$9*G18*G$4/1000</f>
        <v>1.8708301643659577</v>
      </c>
      <c r="X18">
        <f t="shared" si="12"/>
        <v>165</v>
      </c>
      <c r="Y18">
        <f>1/2*inputs!$K$9*J18*J$4/1000</f>
        <v>-0.84219674711210712</v>
      </c>
      <c r="Z18">
        <f>1/2*inputs!$K$9*K18*K$4/1000</f>
        <v>0.86961961614606309</v>
      </c>
      <c r="AA18">
        <f>1/2*inputs!$K$9*L18*L$4/1000</f>
        <v>0</v>
      </c>
      <c r="AB18">
        <f>1/2*inputs!$K$9*M18*M$4/1000</f>
        <v>0</v>
      </c>
      <c r="AC18">
        <f>1/2*inputs!$K$9*N18*N$4/1000</f>
        <v>0</v>
      </c>
      <c r="AD18">
        <f>1/2*inputs!$K$9*O18*O$4/1000</f>
        <v>-0.79631134931738667</v>
      </c>
      <c r="AE18" s="144"/>
      <c r="AF18" s="134">
        <f t="shared" si="13"/>
        <v>165</v>
      </c>
      <c r="AG18" s="134">
        <f t="shared" si="6"/>
        <v>-0.34694182924628258</v>
      </c>
      <c r="AH18" s="134">
        <f t="shared" si="7"/>
        <v>0.43819626174531112</v>
      </c>
      <c r="AI18" s="134">
        <f t="shared" si="14"/>
        <v>-0.84219674711210712</v>
      </c>
      <c r="AJ18" s="134">
        <f t="shared" si="8"/>
        <v>0.86961961614606309</v>
      </c>
      <c r="AK18" s="134">
        <f t="shared" si="4"/>
        <v>-0.13916795199999998</v>
      </c>
      <c r="AL18" s="134">
        <f t="shared" si="5"/>
        <v>2.5595619279999999</v>
      </c>
      <c r="AM18" s="144"/>
      <c r="AN18" s="134">
        <f t="shared" si="15"/>
        <v>165</v>
      </c>
      <c r="AO18" s="134">
        <f t="shared" si="9"/>
        <v>1.8708301643659577</v>
      </c>
      <c r="AP18" s="134">
        <f t="shared" si="16"/>
        <v>-0.79631134931738667</v>
      </c>
      <c r="AQ18" s="134">
        <f t="shared" si="10"/>
        <v>-101.00866375599999</v>
      </c>
    </row>
    <row r="19" spans="1:43" x14ac:dyDescent="0.25">
      <c r="A19">
        <f>'orcaflex-acma'!A173</f>
        <v>180</v>
      </c>
      <c r="B19" s="139">
        <f>'orcaflex-acma'!B173</f>
        <v>-0.18881644237788692</v>
      </c>
      <c r="C19" s="151">
        <f>'orcaflex-acma'!C173</f>
        <v>-3.296052655395813E-3</v>
      </c>
      <c r="D19">
        <f>'orcaflex-acma'!D173</f>
        <v>0</v>
      </c>
      <c r="E19">
        <f>'orcaflex-acma'!E173</f>
        <v>0</v>
      </c>
      <c r="F19">
        <f>'orcaflex-acma'!F173</f>
        <v>0</v>
      </c>
      <c r="G19" s="139">
        <f>'orcaflex-acma'!G173</f>
        <v>-6.7510627726506071E-4</v>
      </c>
      <c r="H19" s="144"/>
      <c r="I19">
        <f>'orcaflex-acma'!I173</f>
        <v>180</v>
      </c>
      <c r="J19" s="139">
        <f>'orcaflex-acma'!J173</f>
        <v>-0.19773536460960695</v>
      </c>
      <c r="K19" s="151">
        <f>'orcaflex-acma'!K173</f>
        <v>1.3063311172093353E-2</v>
      </c>
      <c r="L19">
        <f>'orcaflex-acma'!L173</f>
        <v>0</v>
      </c>
      <c r="M19">
        <f>'orcaflex-acma'!M173</f>
        <v>0</v>
      </c>
      <c r="N19">
        <f>'orcaflex-acma'!N173</f>
        <v>0</v>
      </c>
      <c r="O19" s="139">
        <f>'orcaflex-acma'!O173</f>
        <v>3.6361122448578319E-3</v>
      </c>
      <c r="P19" s="144"/>
      <c r="Q19">
        <f t="shared" si="11"/>
        <v>180</v>
      </c>
      <c r="R19" s="150">
        <f>1/2*inputs!$K$9*B19*B$4/1000</f>
        <v>-0.22756233161959882</v>
      </c>
      <c r="S19" s="150">
        <f>1/2*inputs!$K$9*C19*C$4/1000</f>
        <v>-1.7411562954761151E-2</v>
      </c>
      <c r="T19">
        <f>1/2*inputs!$K$9*D19*D$4/1000</f>
        <v>0</v>
      </c>
      <c r="U19">
        <f>1/2*inputs!$K$9*E19*E$4/1000</f>
        <v>0</v>
      </c>
      <c r="V19">
        <f>1/2*inputs!$K$9*F19*F$4/1000</f>
        <v>0</v>
      </c>
      <c r="W19">
        <f>1/2*inputs!$K$9*G19*G$4/1000</f>
        <v>-0.72962577042550569</v>
      </c>
      <c r="X19">
        <f t="shared" si="12"/>
        <v>180</v>
      </c>
      <c r="Y19">
        <f>1/2*inputs!$K$9*J19*J$4/1000</f>
        <v>-0.23831145236895671</v>
      </c>
      <c r="Z19">
        <f>1/2*inputs!$K$9*K19*K$4/1000</f>
        <v>6.9007594432141744E-2</v>
      </c>
      <c r="AA19">
        <f>1/2*inputs!$K$9*L19*L$4/1000</f>
        <v>0</v>
      </c>
      <c r="AB19">
        <f>1/2*inputs!$K$9*M19*M$4/1000</f>
        <v>0</v>
      </c>
      <c r="AC19">
        <f>1/2*inputs!$K$9*N19*N$4/1000</f>
        <v>0</v>
      </c>
      <c r="AD19">
        <f>1/2*inputs!$K$9*O19*O$4/1000</f>
        <v>3.9297534141670964</v>
      </c>
      <c r="AE19" s="144"/>
      <c r="AF19" s="134">
        <f t="shared" si="13"/>
        <v>180</v>
      </c>
      <c r="AG19" s="134">
        <f t="shared" si="6"/>
        <v>-0.22756233161959882</v>
      </c>
      <c r="AH19" s="134">
        <f t="shared" si="7"/>
        <v>-1.7411562954761151E-2</v>
      </c>
      <c r="AI19" s="134">
        <f t="shared" si="14"/>
        <v>-0.23831145236895671</v>
      </c>
      <c r="AJ19" s="134">
        <f t="shared" si="8"/>
        <v>6.9007594432141744E-2</v>
      </c>
      <c r="AK19" s="134">
        <f t="shared" si="4"/>
        <v>-0.18618415199999999</v>
      </c>
      <c r="AL19" s="134">
        <f t="shared" si="5"/>
        <v>2.4683505000000001</v>
      </c>
      <c r="AM19" s="144"/>
      <c r="AN19" s="134">
        <f t="shared" si="15"/>
        <v>180</v>
      </c>
      <c r="AO19" s="134">
        <f t="shared" si="9"/>
        <v>-0.72962577042550569</v>
      </c>
      <c r="AP19" s="134">
        <f t="shared" si="16"/>
        <v>3.9297534141670964</v>
      </c>
      <c r="AQ19" s="134">
        <f t="shared" si="10"/>
        <v>-109.70478010799999</v>
      </c>
    </row>
    <row r="20" spans="1:43" x14ac:dyDescent="0.25">
      <c r="A20">
        <f>'orcaflex-acma'!A174</f>
        <v>195</v>
      </c>
      <c r="B20" s="139">
        <f>'orcaflex-acma'!B174</f>
        <v>-0.76154768051654953</v>
      </c>
      <c r="C20" s="151">
        <f>'orcaflex-acma'!C174</f>
        <v>-0.15340589389093442</v>
      </c>
      <c r="D20">
        <f>'orcaflex-acma'!D174</f>
        <v>0</v>
      </c>
      <c r="E20">
        <f>'orcaflex-acma'!E174</f>
        <v>0</v>
      </c>
      <c r="F20">
        <f>'orcaflex-acma'!F174</f>
        <v>0</v>
      </c>
      <c r="G20" s="139">
        <f>'orcaflex-acma'!G174</f>
        <v>1.1215320928678893E-2</v>
      </c>
      <c r="H20" s="144"/>
      <c r="I20">
        <f>'orcaflex-acma'!I174</f>
        <v>195</v>
      </c>
      <c r="J20" s="139">
        <f>'orcaflex-acma'!J174</f>
        <v>-0.2741158585834319</v>
      </c>
      <c r="K20" s="151">
        <f>'orcaflex-acma'!K174</f>
        <v>-8.7936628761219271E-2</v>
      </c>
      <c r="L20">
        <f>'orcaflex-acma'!L174</f>
        <v>0</v>
      </c>
      <c r="M20">
        <f>'orcaflex-acma'!M174</f>
        <v>0</v>
      </c>
      <c r="N20">
        <f>'orcaflex-acma'!N174</f>
        <v>0</v>
      </c>
      <c r="O20" s="139">
        <f>'orcaflex-acma'!O174</f>
        <v>-8.521723627835867E-4</v>
      </c>
      <c r="P20" s="144"/>
      <c r="Q20">
        <f t="shared" si="11"/>
        <v>195</v>
      </c>
      <c r="R20" s="150">
        <f>1/2*inputs!$K$9*B20*B$4/1000</f>
        <v>-0.91782031074926762</v>
      </c>
      <c r="S20" s="150">
        <f>1/2*inputs!$K$9*C20*C$4/1000</f>
        <v>-0.81037430477355565</v>
      </c>
      <c r="T20">
        <f>1/2*inputs!$K$9*D20*D$4/1000</f>
        <v>0</v>
      </c>
      <c r="U20">
        <f>1/2*inputs!$K$9*E20*E$4/1000</f>
        <v>0</v>
      </c>
      <c r="V20">
        <f>1/2*inputs!$K$9*F20*F$4/1000</f>
        <v>0</v>
      </c>
      <c r="W20">
        <f>1/2*inputs!$K$9*G20*G$4/1000</f>
        <v>12.121035529853065</v>
      </c>
      <c r="X20">
        <f t="shared" si="12"/>
        <v>195</v>
      </c>
      <c r="Y20">
        <f>1/2*inputs!$K$9*J20*J$4/1000</f>
        <v>-0.33036552922818646</v>
      </c>
      <c r="Z20">
        <f>1/2*inputs!$K$9*K20*K$4/1000</f>
        <v>-0.46452963826257887</v>
      </c>
      <c r="AA20">
        <f>1/2*inputs!$K$9*L20*L$4/1000</f>
        <v>0</v>
      </c>
      <c r="AB20">
        <f>1/2*inputs!$K$9*M20*M$4/1000</f>
        <v>0</v>
      </c>
      <c r="AC20">
        <f>1/2*inputs!$K$9*N20*N$4/1000</f>
        <v>0</v>
      </c>
      <c r="AD20">
        <f>1/2*inputs!$K$9*O20*O$4/1000</f>
        <v>-0.92099116490244015</v>
      </c>
      <c r="AE20" s="144"/>
      <c r="AF20" s="134">
        <f t="shared" si="13"/>
        <v>195</v>
      </c>
      <c r="AG20" s="134">
        <f t="shared" si="6"/>
        <v>-0.91782031074926762</v>
      </c>
      <c r="AH20" s="134">
        <f t="shared" si="7"/>
        <v>-0.81037430477355565</v>
      </c>
      <c r="AI20" s="134">
        <f t="shared" si="14"/>
        <v>-0.33036552922818646</v>
      </c>
      <c r="AJ20" s="134">
        <f t="shared" si="8"/>
        <v>-0.46452963826257887</v>
      </c>
      <c r="AK20" s="134">
        <f t="shared" si="4"/>
        <v>-0.25858910000000002</v>
      </c>
      <c r="AL20" s="134">
        <f t="shared" si="5"/>
        <v>2.285927644</v>
      </c>
      <c r="AM20" s="144"/>
      <c r="AN20" s="134">
        <f t="shared" si="15"/>
        <v>195</v>
      </c>
      <c r="AO20" s="134">
        <f t="shared" si="9"/>
        <v>12.121035529853065</v>
      </c>
      <c r="AP20" s="134">
        <f t="shared" si="16"/>
        <v>-0.92099116490244015</v>
      </c>
      <c r="AQ20" s="134">
        <f t="shared" si="10"/>
        <v>-111.71143152400001</v>
      </c>
    </row>
    <row r="21" spans="1:43" x14ac:dyDescent="0.25">
      <c r="A21">
        <f>'orcaflex-acma'!A175</f>
        <v>210</v>
      </c>
      <c r="B21" s="139">
        <f>'orcaflex-acma'!B175</f>
        <v>-0.61483796917636735</v>
      </c>
      <c r="C21" s="151">
        <f>'orcaflex-acma'!C175</f>
        <v>-0.35080522156861682</v>
      </c>
      <c r="D21">
        <f>'orcaflex-acma'!D175</f>
        <v>0</v>
      </c>
      <c r="E21">
        <f>'orcaflex-acma'!E175</f>
        <v>0</v>
      </c>
      <c r="F21">
        <f>'orcaflex-acma'!F175</f>
        <v>0</v>
      </c>
      <c r="G21" s="139">
        <f>'orcaflex-acma'!G175</f>
        <v>-1.2794075861597832E-2</v>
      </c>
      <c r="H21" s="144"/>
      <c r="I21">
        <f>'orcaflex-acma'!I175</f>
        <v>210</v>
      </c>
      <c r="J21" s="139">
        <f>'orcaflex-acma'!J175</f>
        <v>-0.34174134123229655</v>
      </c>
      <c r="K21" s="151">
        <f>'orcaflex-acma'!K175</f>
        <v>-0.3120261791492554</v>
      </c>
      <c r="L21">
        <f>'orcaflex-acma'!L175</f>
        <v>0</v>
      </c>
      <c r="M21">
        <f>'orcaflex-acma'!M175</f>
        <v>0</v>
      </c>
      <c r="N21">
        <f>'orcaflex-acma'!N175</f>
        <v>0</v>
      </c>
      <c r="O21" s="139">
        <f>'orcaflex-acma'!O175</f>
        <v>-1.7871911137202712E-2</v>
      </c>
      <c r="P21" s="144"/>
      <c r="Q21">
        <f t="shared" si="11"/>
        <v>210</v>
      </c>
      <c r="R21" s="150">
        <f>1/2*inputs!$K$9*B21*B$4/1000</f>
        <v>-0.74100517980323455</v>
      </c>
      <c r="S21" s="150">
        <f>1/2*inputs!$K$9*C21*C$4/1000</f>
        <v>-1.8531461231972968</v>
      </c>
      <c r="T21">
        <f>1/2*inputs!$K$9*D21*D$4/1000</f>
        <v>0</v>
      </c>
      <c r="U21">
        <f>1/2*inputs!$K$9*E21*E$4/1000</f>
        <v>0</v>
      </c>
      <c r="V21">
        <f>1/2*inputs!$K$9*F21*F$4/1000</f>
        <v>0</v>
      </c>
      <c r="W21">
        <f>1/2*inputs!$K$9*G21*G$4/1000</f>
        <v>-13.827285824118642</v>
      </c>
      <c r="X21">
        <f t="shared" si="12"/>
        <v>210</v>
      </c>
      <c r="Y21">
        <f>1/2*inputs!$K$9*J21*J$4/1000</f>
        <v>-0.41186803141852868</v>
      </c>
      <c r="Z21">
        <f>1/2*inputs!$K$9*K21*K$4/1000</f>
        <v>-1.6482938926648991</v>
      </c>
      <c r="AA21">
        <f>1/2*inputs!$K$9*L21*L$4/1000</f>
        <v>0</v>
      </c>
      <c r="AB21">
        <f>1/2*inputs!$K$9*M21*M$4/1000</f>
        <v>0</v>
      </c>
      <c r="AC21">
        <f>1/2*inputs!$K$9*N21*N$4/1000</f>
        <v>0</v>
      </c>
      <c r="AD21">
        <f>1/2*inputs!$K$9*O21*O$4/1000</f>
        <v>-19.315191358142279</v>
      </c>
      <c r="AE21" s="144"/>
      <c r="AF21" s="134">
        <f t="shared" si="13"/>
        <v>210</v>
      </c>
      <c r="AG21" s="134">
        <f t="shared" si="6"/>
        <v>-0.74100517980323455</v>
      </c>
      <c r="AH21" s="134">
        <f t="shared" si="7"/>
        <v>-1.8531461231972968</v>
      </c>
      <c r="AI21" s="134">
        <f t="shared" si="14"/>
        <v>-0.41186803141852868</v>
      </c>
      <c r="AJ21" s="134">
        <f t="shared" si="8"/>
        <v>-1.6482938926648991</v>
      </c>
      <c r="AK21" s="134">
        <f t="shared" si="4"/>
        <v>-0.342277936</v>
      </c>
      <c r="AL21" s="134">
        <f t="shared" si="5"/>
        <v>1.9934868800000001</v>
      </c>
      <c r="AM21" s="144"/>
      <c r="AN21" s="134">
        <f t="shared" si="15"/>
        <v>210</v>
      </c>
      <c r="AO21" s="134">
        <f t="shared" si="9"/>
        <v>-13.827285824118642</v>
      </c>
      <c r="AP21" s="134">
        <f t="shared" si="16"/>
        <v>-19.315191358142279</v>
      </c>
      <c r="AQ21" s="134">
        <f t="shared" si="10"/>
        <v>-108.366699056</v>
      </c>
    </row>
    <row r="22" spans="1:43" x14ac:dyDescent="0.25">
      <c r="A22">
        <f>'orcaflex-acma'!A176</f>
        <v>225</v>
      </c>
      <c r="B22" s="139">
        <f>'orcaflex-acma'!B176</f>
        <v>-0.40661311440140668</v>
      </c>
      <c r="C22" s="151">
        <f>'orcaflex-acma'!C176</f>
        <v>-0.56238159528771081</v>
      </c>
      <c r="D22">
        <f>'orcaflex-acma'!D176</f>
        <v>0</v>
      </c>
      <c r="E22">
        <f>'orcaflex-acma'!E176</f>
        <v>0</v>
      </c>
      <c r="F22">
        <f>'orcaflex-acma'!F176</f>
        <v>0</v>
      </c>
      <c r="G22" s="139">
        <f>'orcaflex-acma'!G176</f>
        <v>-2.5251317635824382E-2</v>
      </c>
      <c r="H22" s="144"/>
      <c r="I22">
        <f>'orcaflex-acma'!I176</f>
        <v>225</v>
      </c>
      <c r="J22" s="139">
        <f>'orcaflex-acma'!J176</f>
        <v>-0.34724429308434024</v>
      </c>
      <c r="K22" s="151">
        <f>'orcaflex-acma'!K176</f>
        <v>-0.58326782635157282</v>
      </c>
      <c r="L22">
        <f>'orcaflex-acma'!L176</f>
        <v>0</v>
      </c>
      <c r="M22">
        <f>'orcaflex-acma'!M176</f>
        <v>0</v>
      </c>
      <c r="N22">
        <f>'orcaflex-acma'!N176</f>
        <v>0</v>
      </c>
      <c r="O22" s="139">
        <f>'orcaflex-acma'!O176</f>
        <v>-2.5334732759481844E-2</v>
      </c>
      <c r="P22" s="144"/>
      <c r="Q22">
        <f t="shared" si="11"/>
        <v>225</v>
      </c>
      <c r="R22" s="150">
        <f>1/2*inputs!$K$9*B22*B$4/1000</f>
        <v>-0.49005175192903289</v>
      </c>
      <c r="S22" s="150">
        <f>1/2*inputs!$K$9*C22*C$4/1000</f>
        <v>-2.9708088961870969</v>
      </c>
      <c r="T22">
        <f>1/2*inputs!$K$9*D22*D$4/1000</f>
        <v>0</v>
      </c>
      <c r="U22">
        <f>1/2*inputs!$K$9*E22*E$4/1000</f>
        <v>0</v>
      </c>
      <c r="V22">
        <f>1/2*inputs!$K$9*F22*F$4/1000</f>
        <v>0</v>
      </c>
      <c r="W22">
        <f>1/2*inputs!$K$9*G22*G$4/1000</f>
        <v>-27.290535882639819</v>
      </c>
      <c r="X22">
        <f t="shared" si="12"/>
        <v>225</v>
      </c>
      <c r="Y22">
        <f>1/2*inputs!$K$9*J22*J$4/1000</f>
        <v>-0.41850021100241919</v>
      </c>
      <c r="Z22">
        <f>1/2*inputs!$K$9*K22*K$4/1000</f>
        <v>-3.0811414560935009</v>
      </c>
      <c r="AA22">
        <f>1/2*inputs!$K$9*L22*L$4/1000</f>
        <v>0</v>
      </c>
      <c r="AB22">
        <f>1/2*inputs!$K$9*M22*M$4/1000</f>
        <v>0</v>
      </c>
      <c r="AC22">
        <f>1/2*inputs!$K$9*N22*N$4/1000</f>
        <v>0</v>
      </c>
      <c r="AD22">
        <f>1/2*inputs!$K$9*O22*O$4/1000</f>
        <v>-27.380687353472339</v>
      </c>
      <c r="AE22" s="144"/>
      <c r="AF22" s="134">
        <f t="shared" si="13"/>
        <v>225</v>
      </c>
      <c r="AG22" s="134">
        <f t="shared" si="6"/>
        <v>-0.49005175192903289</v>
      </c>
      <c r="AH22" s="134">
        <f t="shared" si="7"/>
        <v>-2.9708088961870969</v>
      </c>
      <c r="AI22" s="134">
        <f t="shared" si="14"/>
        <v>-0.41850021100241919</v>
      </c>
      <c r="AJ22" s="134">
        <f t="shared" si="8"/>
        <v>-3.0811414560935009</v>
      </c>
      <c r="AK22" s="134">
        <f t="shared" si="4"/>
        <v>-0.431608716</v>
      </c>
      <c r="AL22" s="134">
        <f t="shared" si="5"/>
        <v>1.5722217279999997</v>
      </c>
      <c r="AM22" s="144"/>
      <c r="AN22" s="134">
        <f t="shared" si="15"/>
        <v>225</v>
      </c>
      <c r="AO22" s="134">
        <f t="shared" si="9"/>
        <v>-27.290535882639819</v>
      </c>
      <c r="AP22" s="134">
        <f t="shared" si="16"/>
        <v>-27.380687353472339</v>
      </c>
      <c r="AQ22" s="134">
        <f t="shared" si="10"/>
        <v>-95.657279872000004</v>
      </c>
    </row>
    <row r="23" spans="1:43" x14ac:dyDescent="0.25">
      <c r="A23">
        <f>'orcaflex-acma'!A177</f>
        <v>240</v>
      </c>
      <c r="B23" s="139">
        <f>'orcaflex-acma'!B177</f>
        <v>-0.17291564020420469</v>
      </c>
      <c r="C23" s="151">
        <f>'orcaflex-acma'!C177</f>
        <v>-0.73211974270856306</v>
      </c>
      <c r="D23">
        <f>'orcaflex-acma'!D177</f>
        <v>0</v>
      </c>
      <c r="E23">
        <f>'orcaflex-acma'!E177</f>
        <v>0</v>
      </c>
      <c r="F23">
        <f>'orcaflex-acma'!F177</f>
        <v>0</v>
      </c>
      <c r="G23" s="139">
        <f>'orcaflex-acma'!G177</f>
        <v>-3.375575117040551E-2</v>
      </c>
      <c r="H23" s="144"/>
      <c r="I23">
        <f>'orcaflex-acma'!I177</f>
        <v>240</v>
      </c>
      <c r="J23" s="139">
        <f>'orcaflex-acma'!J177</f>
        <v>-4.5967539204752543E-2</v>
      </c>
      <c r="K23" s="151">
        <f>'orcaflex-acma'!K177</f>
        <v>-0.78679778294903768</v>
      </c>
      <c r="L23">
        <f>'orcaflex-acma'!L177</f>
        <v>0</v>
      </c>
      <c r="M23">
        <f>'orcaflex-acma'!M177</f>
        <v>0</v>
      </c>
      <c r="N23">
        <f>'orcaflex-acma'!N177</f>
        <v>0</v>
      </c>
      <c r="O23" s="139">
        <f>'orcaflex-acma'!O177</f>
        <v>-3.8657350774332057E-2</v>
      </c>
      <c r="P23" s="144"/>
      <c r="Q23">
        <f t="shared" si="11"/>
        <v>240</v>
      </c>
      <c r="R23" s="150">
        <f>1/2*inputs!$K$9*B23*B$4/1000</f>
        <v>-0.2083986212366683</v>
      </c>
      <c r="S23" s="150">
        <f>1/2*inputs!$K$9*C23*C$4/1000</f>
        <v>-3.8674591468451198</v>
      </c>
      <c r="T23">
        <f>1/2*inputs!$K$9*D23*D$4/1000</f>
        <v>0</v>
      </c>
      <c r="U23">
        <f>1/2*inputs!$K$9*E23*E$4/1000</f>
        <v>0</v>
      </c>
      <c r="V23">
        <f>1/2*inputs!$K$9*F23*F$4/1000</f>
        <v>0</v>
      </c>
      <c r="W23">
        <f>1/2*inputs!$K$9*G23*G$4/1000</f>
        <v>-36.481761143999705</v>
      </c>
      <c r="X23">
        <f t="shared" si="12"/>
        <v>240</v>
      </c>
      <c r="Y23">
        <f>1/2*inputs!$K$9*J23*J$4/1000</f>
        <v>-5.540026211972459E-2</v>
      </c>
      <c r="Z23">
        <f>1/2*inputs!$K$9*K23*K$4/1000</f>
        <v>-4.1562986283174386</v>
      </c>
      <c r="AA23">
        <f>1/2*inputs!$K$9*L23*L$4/1000</f>
        <v>0</v>
      </c>
      <c r="AB23">
        <f>1/2*inputs!$K$9*M23*M$4/1000</f>
        <v>0</v>
      </c>
      <c r="AC23">
        <f>1/2*inputs!$K$9*N23*N$4/1000</f>
        <v>0</v>
      </c>
      <c r="AD23">
        <f>1/2*inputs!$K$9*O23*O$4/1000</f>
        <v>-41.77919875903779</v>
      </c>
      <c r="AE23" s="144"/>
      <c r="AF23" s="134">
        <f t="shared" si="13"/>
        <v>240</v>
      </c>
      <c r="AG23" s="134">
        <f t="shared" si="6"/>
        <v>-0.2083986212366683</v>
      </c>
      <c r="AH23" s="134">
        <f t="shared" si="7"/>
        <v>-3.8674591468451198</v>
      </c>
      <c r="AI23" s="134">
        <f t="shared" si="14"/>
        <v>-5.540026211972459E-2</v>
      </c>
      <c r="AJ23" s="134">
        <f t="shared" si="8"/>
        <v>-4.1562986283174386</v>
      </c>
      <c r="AK23" s="134">
        <f t="shared" si="4"/>
        <v>-0.49084912800000008</v>
      </c>
      <c r="AL23" s="134">
        <f t="shared" si="5"/>
        <v>0.9873402</v>
      </c>
      <c r="AM23" s="144"/>
      <c r="AN23" s="134">
        <f t="shared" si="15"/>
        <v>240</v>
      </c>
      <c r="AO23" s="134">
        <f t="shared" si="9"/>
        <v>-36.481761143999705</v>
      </c>
      <c r="AP23" s="134">
        <f t="shared" si="16"/>
        <v>-41.77919875903779</v>
      </c>
      <c r="AQ23" s="134">
        <f t="shared" si="10"/>
        <v>-73.582233647999999</v>
      </c>
    </row>
    <row r="24" spans="1:43" x14ac:dyDescent="0.25">
      <c r="A24">
        <f>'orcaflex-acma'!A178</f>
        <v>255</v>
      </c>
      <c r="B24" s="139">
        <f>'orcaflex-acma'!B178</f>
        <v>-0.37089747529997841</v>
      </c>
      <c r="C24" s="151">
        <f>'orcaflex-acma'!C178</f>
        <v>-0.82740313696716861</v>
      </c>
      <c r="D24">
        <f>'orcaflex-acma'!D178</f>
        <v>0</v>
      </c>
      <c r="E24">
        <f>'orcaflex-acma'!E178</f>
        <v>0</v>
      </c>
      <c r="F24">
        <f>'orcaflex-acma'!F178</f>
        <v>0</v>
      </c>
      <c r="G24" s="139">
        <f>'orcaflex-acma'!G178</f>
        <v>-2.5026530027716026E-2</v>
      </c>
      <c r="H24" s="144"/>
      <c r="I24">
        <f>'orcaflex-acma'!I178</f>
        <v>255</v>
      </c>
      <c r="J24" s="139">
        <f>'orcaflex-acma'!J178</f>
        <v>-5.5224644023705867E-2</v>
      </c>
      <c r="K24" s="151">
        <f>'orcaflex-acma'!K178</f>
        <v>-0.87044786464440849</v>
      </c>
      <c r="L24">
        <f>'orcaflex-acma'!L178</f>
        <v>0</v>
      </c>
      <c r="M24">
        <f>'orcaflex-acma'!M178</f>
        <v>0</v>
      </c>
      <c r="N24">
        <f>'orcaflex-acma'!N178</f>
        <v>0</v>
      </c>
      <c r="O24" s="139">
        <f>'orcaflex-acma'!O178</f>
        <v>-3.140474506477145E-2</v>
      </c>
      <c r="P24" s="144"/>
      <c r="Q24">
        <f t="shared" si="11"/>
        <v>255</v>
      </c>
      <c r="R24" s="150">
        <f>1/2*inputs!$K$9*B24*B$4/1000</f>
        <v>-0.44700712082143512</v>
      </c>
      <c r="S24" s="150">
        <f>1/2*inputs!$K$9*C24*C$4/1000</f>
        <v>-4.370798441185916</v>
      </c>
      <c r="T24">
        <f>1/2*inputs!$K$9*D24*D$4/1000</f>
        <v>0</v>
      </c>
      <c r="U24">
        <f>1/2*inputs!$K$9*E24*E$4/1000</f>
        <v>0</v>
      </c>
      <c r="V24">
        <f>1/2*inputs!$K$9*F24*F$4/1000</f>
        <v>0</v>
      </c>
      <c r="W24">
        <f>1/2*inputs!$K$9*G24*G$4/1000</f>
        <v>-27.047595123130669</v>
      </c>
      <c r="X24">
        <f t="shared" si="12"/>
        <v>255</v>
      </c>
      <c r="Y24">
        <f>1/2*inputs!$K$9*J24*J$4/1000</f>
        <v>-6.655696187594641E-2</v>
      </c>
      <c r="Z24">
        <f>1/2*inputs!$K$9*K24*K$4/1000</f>
        <v>-4.5981843673773204</v>
      </c>
      <c r="AA24">
        <f>1/2*inputs!$K$9*L24*L$4/1000</f>
        <v>0</v>
      </c>
      <c r="AB24">
        <f>1/2*inputs!$K$9*M24*M$4/1000</f>
        <v>0</v>
      </c>
      <c r="AC24">
        <f>1/2*inputs!$K$9*N24*N$4/1000</f>
        <v>0</v>
      </c>
      <c r="AD24">
        <f>1/2*inputs!$K$9*O24*O$4/1000</f>
        <v>-33.940895062814043</v>
      </c>
      <c r="AE24" s="144"/>
      <c r="AF24" s="134">
        <f t="shared" si="13"/>
        <v>255</v>
      </c>
      <c r="AG24" s="134">
        <f t="shared" si="6"/>
        <v>-0.44700712082143512</v>
      </c>
      <c r="AH24" s="134">
        <f t="shared" si="7"/>
        <v>-4.370798441185916</v>
      </c>
      <c r="AI24" s="134">
        <f t="shared" si="14"/>
        <v>-6.655696187594641E-2</v>
      </c>
      <c r="AJ24" s="134">
        <f t="shared" si="8"/>
        <v>-4.5981843673773204</v>
      </c>
      <c r="AK24" s="134">
        <f t="shared" si="4"/>
        <v>-0.51153625599999997</v>
      </c>
      <c r="AL24" s="134">
        <f t="shared" si="5"/>
        <v>0.439131308</v>
      </c>
      <c r="AM24" s="144"/>
      <c r="AN24" s="134">
        <f t="shared" si="15"/>
        <v>255</v>
      </c>
      <c r="AO24" s="134">
        <f t="shared" si="9"/>
        <v>-27.047595123130669</v>
      </c>
      <c r="AP24" s="134">
        <f t="shared" si="16"/>
        <v>-33.940895062814043</v>
      </c>
      <c r="AQ24" s="134">
        <f t="shared" si="10"/>
        <v>-37.460627512000002</v>
      </c>
    </row>
    <row r="25" spans="1:43" x14ac:dyDescent="0.25">
      <c r="A25">
        <f>'orcaflex-acma'!A179</f>
        <v>270</v>
      </c>
      <c r="B25" s="139">
        <f>'orcaflex-acma'!B179</f>
        <v>-0.39015575345663434</v>
      </c>
      <c r="C25" s="151">
        <f>'orcaflex-acma'!C179</f>
        <v>-0.92821658540953145</v>
      </c>
      <c r="D25">
        <f>'orcaflex-acma'!D179</f>
        <v>0</v>
      </c>
      <c r="E25">
        <f>'orcaflex-acma'!E179</f>
        <v>0</v>
      </c>
      <c r="F25">
        <f>'orcaflex-acma'!F179</f>
        <v>0</v>
      </c>
      <c r="G25" s="139">
        <f>'orcaflex-acma'!G179</f>
        <v>1.8165510002355213E-2</v>
      </c>
      <c r="H25" s="144"/>
      <c r="I25">
        <f>'orcaflex-acma'!I179</f>
        <v>270</v>
      </c>
      <c r="J25" s="139">
        <f>'orcaflex-acma'!J179</f>
        <v>-1.9389070598275229E-2</v>
      </c>
      <c r="K25" s="151">
        <f>'orcaflex-acma'!K179</f>
        <v>-0.97861801206150445</v>
      </c>
      <c r="L25">
        <f>'orcaflex-acma'!L179</f>
        <v>0</v>
      </c>
      <c r="M25">
        <f>'orcaflex-acma'!M179</f>
        <v>0</v>
      </c>
      <c r="N25">
        <f>'orcaflex-acma'!N179</f>
        <v>0</v>
      </c>
      <c r="O25" s="139">
        <f>'orcaflex-acma'!O179</f>
        <v>-2.4485426464963326E-2</v>
      </c>
      <c r="P25" s="144"/>
      <c r="Q25">
        <f t="shared" si="11"/>
        <v>270</v>
      </c>
      <c r="R25" s="150">
        <f>1/2*inputs!$K$9*B25*B$4/1000</f>
        <v>-0.47021727468894953</v>
      </c>
      <c r="S25" s="150">
        <f>1/2*inputs!$K$9*C25*C$4/1000</f>
        <v>-4.9033505232551207</v>
      </c>
      <c r="T25">
        <f>1/2*inputs!$K$9*D25*D$4/1000</f>
        <v>0</v>
      </c>
      <c r="U25">
        <f>1/2*inputs!$K$9*E25*E$4/1000</f>
        <v>0</v>
      </c>
      <c r="V25">
        <f>1/2*inputs!$K$9*F25*F$4/1000</f>
        <v>0</v>
      </c>
      <c r="W25">
        <f>1/2*inputs!$K$9*G25*G$4/1000</f>
        <v>19.632500358809207</v>
      </c>
      <c r="X25">
        <f t="shared" si="12"/>
        <v>270</v>
      </c>
      <c r="Y25">
        <f>1/2*inputs!$K$9*J25*J$4/1000</f>
        <v>-2.3367785441323698E-2</v>
      </c>
      <c r="Z25">
        <f>1/2*inputs!$K$9*K25*K$4/1000</f>
        <v>-5.1695985796155002</v>
      </c>
      <c r="AA25">
        <f>1/2*inputs!$K$9*L25*L$4/1000</f>
        <v>0</v>
      </c>
      <c r="AB25">
        <f>1/2*inputs!$K$9*M25*M$4/1000</f>
        <v>0</v>
      </c>
      <c r="AC25">
        <f>1/2*inputs!$K$9*N25*N$4/1000</f>
        <v>0</v>
      </c>
      <c r="AD25">
        <f>1/2*inputs!$K$9*O25*O$4/1000</f>
        <v>-26.462793711636142</v>
      </c>
      <c r="AE25" s="144"/>
      <c r="AF25" s="134">
        <f t="shared" si="13"/>
        <v>270</v>
      </c>
      <c r="AG25" s="134">
        <f t="shared" si="6"/>
        <v>-0.47021727468894953</v>
      </c>
      <c r="AH25" s="134">
        <f t="shared" si="7"/>
        <v>-4.9033505232551207</v>
      </c>
      <c r="AI25" s="134">
        <f t="shared" si="14"/>
        <v>-2.3367785441323698E-2</v>
      </c>
      <c r="AJ25" s="134">
        <f t="shared" si="8"/>
        <v>-5.1695985796155002</v>
      </c>
      <c r="AK25" s="134">
        <f t="shared" si="4"/>
        <v>-0.49461042399999999</v>
      </c>
      <c r="AL25" s="134">
        <f t="shared" si="5"/>
        <v>0</v>
      </c>
      <c r="AM25" s="144"/>
      <c r="AN25" s="134">
        <f t="shared" si="15"/>
        <v>270</v>
      </c>
      <c r="AO25" s="134">
        <f t="shared" si="9"/>
        <v>19.632500358809207</v>
      </c>
      <c r="AP25" s="134">
        <f t="shared" si="16"/>
        <v>-26.462793711636142</v>
      </c>
      <c r="AQ25" s="134">
        <f t="shared" si="10"/>
        <v>0</v>
      </c>
    </row>
    <row r="26" spans="1:43" x14ac:dyDescent="0.25">
      <c r="A26">
        <f>'orcaflex-acma'!A180</f>
        <v>285</v>
      </c>
      <c r="B26" s="139">
        <f>'orcaflex-acma'!B180</f>
        <v>8.4506282848956088E-2</v>
      </c>
      <c r="C26" s="151">
        <f>'orcaflex-acma'!C180</f>
        <v>-1.0495930352227634</v>
      </c>
      <c r="D26">
        <f>'orcaflex-acma'!D180</f>
        <v>0</v>
      </c>
      <c r="E26">
        <f>'orcaflex-acma'!E180</f>
        <v>0</v>
      </c>
      <c r="F26">
        <f>'orcaflex-acma'!F180</f>
        <v>0</v>
      </c>
      <c r="G26" s="139">
        <f>'orcaflex-acma'!G180</f>
        <v>3.4589687358572749E-2</v>
      </c>
      <c r="H26" s="144"/>
      <c r="I26">
        <f>'orcaflex-acma'!I180</f>
        <v>285</v>
      </c>
      <c r="J26" s="139">
        <f>'orcaflex-acma'!J180</f>
        <v>9.6443713369470094E-2</v>
      </c>
      <c r="K26" s="151">
        <f>'orcaflex-acma'!K180</f>
        <v>-1.0961972742566706</v>
      </c>
      <c r="L26">
        <f>'orcaflex-acma'!L180</f>
        <v>0</v>
      </c>
      <c r="M26">
        <f>'orcaflex-acma'!M180</f>
        <v>0</v>
      </c>
      <c r="N26">
        <f>'orcaflex-acma'!N180</f>
        <v>0</v>
      </c>
      <c r="O26" s="139">
        <f>'orcaflex-acma'!O180</f>
        <v>3.4987407707122026E-2</v>
      </c>
      <c r="P26" s="144"/>
      <c r="Q26">
        <f t="shared" si="11"/>
        <v>285</v>
      </c>
      <c r="R26" s="150">
        <f>1/2*inputs!$K$9*B26*B$4/1000</f>
        <v>0.10184731011469327</v>
      </c>
      <c r="S26" s="150">
        <f>1/2*inputs!$K$9*C26*C$4/1000</f>
        <v>-5.5445276882160082</v>
      </c>
      <c r="T26">
        <f>1/2*inputs!$K$9*D26*D$4/1000</f>
        <v>0</v>
      </c>
      <c r="U26">
        <f>1/2*inputs!$K$9*E26*E$4/1000</f>
        <v>0</v>
      </c>
      <c r="V26">
        <f>1/2*inputs!$K$9*F26*F$4/1000</f>
        <v>0</v>
      </c>
      <c r="W26">
        <f>1/2*inputs!$K$9*G26*G$4/1000</f>
        <v>37.383043437273869</v>
      </c>
      <c r="X26">
        <f t="shared" si="12"/>
        <v>285</v>
      </c>
      <c r="Y26">
        <f>1/2*inputs!$K$9*J26*J$4/1000</f>
        <v>0.11623434912773883</v>
      </c>
      <c r="Z26">
        <f>1/2*inputs!$K$9*K26*K$4/1000</f>
        <v>-5.7907169111245747</v>
      </c>
      <c r="AA26">
        <f>1/2*inputs!$K$9*L26*L$4/1000</f>
        <v>0</v>
      </c>
      <c r="AB26">
        <f>1/2*inputs!$K$9*M26*M$4/1000</f>
        <v>0</v>
      </c>
      <c r="AC26">
        <f>1/2*inputs!$K$9*N26*N$4/1000</f>
        <v>0</v>
      </c>
      <c r="AD26">
        <f>1/2*inputs!$K$9*O26*O$4/1000</f>
        <v>37.812882450028646</v>
      </c>
      <c r="AE26" s="144"/>
      <c r="AF26" s="134">
        <f t="shared" si="13"/>
        <v>285</v>
      </c>
      <c r="AG26" s="134">
        <f t="shared" si="6"/>
        <v>0.10184731011469327</v>
      </c>
      <c r="AH26" s="134">
        <f t="shared" si="7"/>
        <v>-5.5445276882160082</v>
      </c>
      <c r="AI26" s="134">
        <f t="shared" si="14"/>
        <v>0.11623434912773883</v>
      </c>
      <c r="AJ26" s="134">
        <f t="shared" si="8"/>
        <v>-5.7907169111245747</v>
      </c>
      <c r="AK26" s="134">
        <f t="shared" si="4"/>
        <v>-0.51153625599999997</v>
      </c>
      <c r="AL26" s="134">
        <f t="shared" si="5"/>
        <v>-0.439131308</v>
      </c>
      <c r="AM26" s="144"/>
      <c r="AN26" s="134">
        <f t="shared" si="15"/>
        <v>285</v>
      </c>
      <c r="AO26" s="134">
        <f t="shared" si="9"/>
        <v>37.383043437273869</v>
      </c>
      <c r="AP26" s="134">
        <f t="shared" si="16"/>
        <v>37.812882450028646</v>
      </c>
      <c r="AQ26" s="134">
        <f t="shared" si="10"/>
        <v>37.460627512000002</v>
      </c>
    </row>
    <row r="27" spans="1:43" x14ac:dyDescent="0.25">
      <c r="A27">
        <f>'orcaflex-acma'!A181</f>
        <v>300</v>
      </c>
      <c r="B27" s="139">
        <f>'orcaflex-acma'!B181</f>
        <v>0.15738729380251143</v>
      </c>
      <c r="C27" s="151">
        <f>'orcaflex-acma'!C181</f>
        <v>-0.92476236617757579</v>
      </c>
      <c r="D27">
        <f>'orcaflex-acma'!D181</f>
        <v>0</v>
      </c>
      <c r="E27">
        <f>'orcaflex-acma'!E181</f>
        <v>0</v>
      </c>
      <c r="F27">
        <f>'orcaflex-acma'!F181</f>
        <v>0</v>
      </c>
      <c r="G27" s="139">
        <f>'orcaflex-acma'!G181</f>
        <v>5.945281883964719E-2</v>
      </c>
      <c r="H27" s="144"/>
      <c r="I27">
        <f>'orcaflex-acma'!I181</f>
        <v>300</v>
      </c>
      <c r="J27" s="139">
        <f>'orcaflex-acma'!J181</f>
        <v>4.7318186868872625E-2</v>
      </c>
      <c r="K27" s="151">
        <f>'orcaflex-acma'!K181</f>
        <v>-1.1248268196956526</v>
      </c>
      <c r="L27">
        <f>'orcaflex-acma'!L181</f>
        <v>0</v>
      </c>
      <c r="M27">
        <f>'orcaflex-acma'!M181</f>
        <v>0</v>
      </c>
      <c r="N27">
        <f>'orcaflex-acma'!N181</f>
        <v>0</v>
      </c>
      <c r="O27" s="139">
        <f>'orcaflex-acma'!O181</f>
        <v>0.12412378054589927</v>
      </c>
      <c r="P27" s="144"/>
      <c r="Q27">
        <f t="shared" si="11"/>
        <v>300</v>
      </c>
      <c r="R27" s="150">
        <f>1/2*inputs!$K$9*B27*B$4/1000</f>
        <v>0.18968379603996197</v>
      </c>
      <c r="S27" s="150">
        <f>1/2*inputs!$K$9*C27*C$4/1000</f>
        <v>-4.8851034374513524</v>
      </c>
      <c r="T27">
        <f>1/2*inputs!$K$9*D27*D$4/1000</f>
        <v>0</v>
      </c>
      <c r="U27">
        <f>1/2*inputs!$K$9*E27*E$4/1000</f>
        <v>0</v>
      </c>
      <c r="V27">
        <f>1/2*inputs!$K$9*F27*F$4/1000</f>
        <v>0</v>
      </c>
      <c r="W27">
        <f>1/2*inputs!$K$9*G27*G$4/1000</f>
        <v>64.25404445293637</v>
      </c>
      <c r="X27">
        <f t="shared" si="12"/>
        <v>300</v>
      </c>
      <c r="Y27">
        <f>1/2*inputs!$K$9*J27*J$4/1000</f>
        <v>5.7028068087112756E-2</v>
      </c>
      <c r="Z27">
        <f>1/2*inputs!$K$9*K27*K$4/1000</f>
        <v>-5.9419539163832695</v>
      </c>
      <c r="AA27">
        <f>1/2*inputs!$K$9*L27*L$4/1000</f>
        <v>0</v>
      </c>
      <c r="AB27">
        <f>1/2*inputs!$K$9*M27*M$4/1000</f>
        <v>0</v>
      </c>
      <c r="AC27">
        <f>1/2*inputs!$K$9*N27*N$4/1000</f>
        <v>0</v>
      </c>
      <c r="AD27">
        <f>1/2*inputs!$K$9*O27*O$4/1000</f>
        <v>134.14763283762341</v>
      </c>
      <c r="AE27" s="144"/>
      <c r="AF27" s="134">
        <f t="shared" si="13"/>
        <v>300</v>
      </c>
      <c r="AG27" s="134">
        <f t="shared" si="6"/>
        <v>0.18968379603996197</v>
      </c>
      <c r="AH27" s="134">
        <f t="shared" si="7"/>
        <v>-4.8851034374513524</v>
      </c>
      <c r="AI27" s="134">
        <f t="shared" si="14"/>
        <v>5.7028068087112756E-2</v>
      </c>
      <c r="AJ27" s="134">
        <f t="shared" si="8"/>
        <v>-5.9419539163832695</v>
      </c>
      <c r="AK27" s="134">
        <f t="shared" si="4"/>
        <v>-0.49084912800000008</v>
      </c>
      <c r="AL27" s="134">
        <f t="shared" si="5"/>
        <v>-0.9873402</v>
      </c>
      <c r="AM27" s="144"/>
      <c r="AN27" s="134">
        <f t="shared" si="15"/>
        <v>300</v>
      </c>
      <c r="AO27" s="134">
        <f t="shared" si="9"/>
        <v>64.25404445293637</v>
      </c>
      <c r="AP27" s="134">
        <f t="shared" si="16"/>
        <v>134.14763283762341</v>
      </c>
      <c r="AQ27" s="134">
        <f t="shared" si="10"/>
        <v>73.582233647999999</v>
      </c>
    </row>
    <row r="28" spans="1:43" x14ac:dyDescent="0.25">
      <c r="A28">
        <f>'orcaflex-acma'!A182</f>
        <v>315</v>
      </c>
      <c r="B28" s="139">
        <f>'orcaflex-acma'!B182</f>
        <v>0.47326416960196471</v>
      </c>
      <c r="C28" s="151">
        <f>'orcaflex-acma'!C182</f>
        <v>-0.69445823189288181</v>
      </c>
      <c r="D28">
        <f>'orcaflex-acma'!D182</f>
        <v>0</v>
      </c>
      <c r="E28">
        <f>'orcaflex-acma'!E182</f>
        <v>0</v>
      </c>
      <c r="F28">
        <f>'orcaflex-acma'!F182</f>
        <v>0</v>
      </c>
      <c r="G28" s="139">
        <f>'orcaflex-acma'!G182</f>
        <v>7.7603618953740447E-2</v>
      </c>
      <c r="H28" s="144"/>
      <c r="I28">
        <f>'orcaflex-acma'!I182</f>
        <v>315</v>
      </c>
      <c r="J28" s="139">
        <f>'orcaflex-acma'!J182</f>
        <v>0.48687733424391338</v>
      </c>
      <c r="K28" s="151">
        <f>'orcaflex-acma'!K182</f>
        <v>-0.84980343367033462</v>
      </c>
      <c r="L28">
        <f>'orcaflex-acma'!L182</f>
        <v>0</v>
      </c>
      <c r="M28">
        <f>'orcaflex-acma'!M182</f>
        <v>0</v>
      </c>
      <c r="N28">
        <f>'orcaflex-acma'!N182</f>
        <v>0</v>
      </c>
      <c r="O28" s="139">
        <f>'orcaflex-acma'!O182</f>
        <v>9.6451095351176963E-2</v>
      </c>
      <c r="P28" s="144"/>
      <c r="Q28">
        <f t="shared" si="11"/>
        <v>315</v>
      </c>
      <c r="R28" s="150">
        <f>1/2*inputs!$K$9*B28*B$4/1000</f>
        <v>0.57037987026096626</v>
      </c>
      <c r="S28" s="150">
        <f>1/2*inputs!$K$9*C28*C$4/1000</f>
        <v>-3.6685103328857425</v>
      </c>
      <c r="T28">
        <f>1/2*inputs!$K$9*D28*D$4/1000</f>
        <v>0</v>
      </c>
      <c r="U28">
        <f>1/2*inputs!$K$9*E28*E$4/1000</f>
        <v>0</v>
      </c>
      <c r="V28">
        <f>1/2*inputs!$K$9*F28*F$4/1000</f>
        <v>0</v>
      </c>
      <c r="W28">
        <f>1/2*inputs!$K$9*G28*G$4/1000</f>
        <v>83.870646998442055</v>
      </c>
      <c r="X28">
        <f t="shared" si="12"/>
        <v>315</v>
      </c>
      <c r="Y28">
        <f>1/2*inputs!$K$9*J28*J$4/1000</f>
        <v>0.58678651074010135</v>
      </c>
      <c r="Z28">
        <f>1/2*inputs!$K$9*K28*K$4/1000</f>
        <v>-4.4891291285352262</v>
      </c>
      <c r="AA28">
        <f>1/2*inputs!$K$9*L28*L$4/1000</f>
        <v>0</v>
      </c>
      <c r="AB28">
        <f>1/2*inputs!$K$9*M28*M$4/1000</f>
        <v>0</v>
      </c>
      <c r="AC28">
        <f>1/2*inputs!$K$9*N28*N$4/1000</f>
        <v>0</v>
      </c>
      <c r="AD28">
        <f>1/2*inputs!$K$9*O28*O$4/1000</f>
        <v>104.24018724737235</v>
      </c>
      <c r="AE28" s="144"/>
      <c r="AF28" s="134">
        <f t="shared" si="13"/>
        <v>315</v>
      </c>
      <c r="AG28" s="134">
        <f t="shared" si="6"/>
        <v>0.57037987026096626</v>
      </c>
      <c r="AH28" s="134">
        <f t="shared" si="7"/>
        <v>-3.6685103328857425</v>
      </c>
      <c r="AI28" s="134">
        <f t="shared" si="14"/>
        <v>0.58678651074010135</v>
      </c>
      <c r="AJ28" s="134">
        <f t="shared" si="8"/>
        <v>-4.4891291285352262</v>
      </c>
      <c r="AK28" s="134">
        <f t="shared" si="4"/>
        <v>-0.431608716</v>
      </c>
      <c r="AL28" s="134">
        <f t="shared" si="5"/>
        <v>-1.5722217279999997</v>
      </c>
      <c r="AM28" s="144"/>
      <c r="AN28" s="134">
        <f t="shared" si="15"/>
        <v>315</v>
      </c>
      <c r="AO28" s="134">
        <f t="shared" si="9"/>
        <v>83.870646998442055</v>
      </c>
      <c r="AP28" s="134">
        <f t="shared" si="16"/>
        <v>104.24018724737235</v>
      </c>
      <c r="AQ28" s="134">
        <f t="shared" si="10"/>
        <v>95.657279872000004</v>
      </c>
    </row>
    <row r="29" spans="1:43" x14ac:dyDescent="0.25">
      <c r="A29">
        <f>'orcaflex-acma'!A183</f>
        <v>330</v>
      </c>
      <c r="B29" s="139">
        <f>'orcaflex-acma'!B183</f>
        <v>0.75353688596794099</v>
      </c>
      <c r="C29" s="151">
        <f>'orcaflex-acma'!C183</f>
        <v>-0.38989753105925845</v>
      </c>
      <c r="D29">
        <f>'orcaflex-acma'!D183</f>
        <v>0</v>
      </c>
      <c r="E29">
        <f>'orcaflex-acma'!E183</f>
        <v>0</v>
      </c>
      <c r="F29">
        <f>'orcaflex-acma'!F183</f>
        <v>0</v>
      </c>
      <c r="G29" s="139">
        <f>'orcaflex-acma'!G183</f>
        <v>3.2710987966004815E-2</v>
      </c>
      <c r="H29" s="144"/>
      <c r="I29">
        <f>'orcaflex-acma'!I183</f>
        <v>330</v>
      </c>
      <c r="J29" s="139">
        <f>'orcaflex-acma'!J183</f>
        <v>0.67214957269196174</v>
      </c>
      <c r="K29" s="151">
        <f>'orcaflex-acma'!K183</f>
        <v>-0.53015785546252914</v>
      </c>
      <c r="L29">
        <f>'orcaflex-acma'!L183</f>
        <v>0</v>
      </c>
      <c r="M29">
        <f>'orcaflex-acma'!M183</f>
        <v>0</v>
      </c>
      <c r="N29">
        <f>'orcaflex-acma'!N183</f>
        <v>0</v>
      </c>
      <c r="O29" s="139">
        <f>'orcaflex-acma'!O183</f>
        <v>7.1182427555021285E-2</v>
      </c>
      <c r="P29" s="144"/>
      <c r="Q29">
        <f t="shared" si="11"/>
        <v>330</v>
      </c>
      <c r="R29" s="150">
        <f>1/2*inputs!$K$9*B29*B$4/1000</f>
        <v>0.9081656691161063</v>
      </c>
      <c r="S29" s="150">
        <f>1/2*inputs!$K$9*C29*C$4/1000</f>
        <v>-2.0596532026970853</v>
      </c>
      <c r="T29">
        <f>1/2*inputs!$K$9*D29*D$4/1000</f>
        <v>0</v>
      </c>
      <c r="U29">
        <f>1/2*inputs!$K$9*E29*E$4/1000</f>
        <v>0</v>
      </c>
      <c r="V29">
        <f>1/2*inputs!$K$9*F29*F$4/1000</f>
        <v>0</v>
      </c>
      <c r="W29">
        <f>1/2*inputs!$K$9*G29*G$4/1000</f>
        <v>35.352626097276115</v>
      </c>
      <c r="X29">
        <f t="shared" si="12"/>
        <v>330</v>
      </c>
      <c r="Y29">
        <f>1/2*inputs!$K$9*J29*J$4/1000</f>
        <v>0.81007735360664312</v>
      </c>
      <c r="Z29">
        <f>1/2*inputs!$K$9*K29*K$4/1000</f>
        <v>-2.8005853793735831</v>
      </c>
      <c r="AA29">
        <f>1/2*inputs!$K$9*L29*L$4/1000</f>
        <v>0</v>
      </c>
      <c r="AB29">
        <f>1/2*inputs!$K$9*M29*M$4/1000</f>
        <v>0</v>
      </c>
      <c r="AC29">
        <f>1/2*inputs!$K$9*N29*N$4/1000</f>
        <v>0</v>
      </c>
      <c r="AD29">
        <f>1/2*inputs!$K$9*O29*O$4/1000</f>
        <v>76.930900059160294</v>
      </c>
      <c r="AE29" s="144"/>
      <c r="AF29" s="134">
        <f t="shared" si="13"/>
        <v>330</v>
      </c>
      <c r="AG29" s="134">
        <f t="shared" si="6"/>
        <v>0.9081656691161063</v>
      </c>
      <c r="AH29" s="134">
        <f t="shared" si="7"/>
        <v>-2.0596532026970853</v>
      </c>
      <c r="AI29" s="134">
        <f t="shared" si="14"/>
        <v>0.81007735360664312</v>
      </c>
      <c r="AJ29" s="134">
        <f t="shared" si="8"/>
        <v>-2.8005853793735831</v>
      </c>
      <c r="AK29" s="134">
        <f t="shared" si="4"/>
        <v>-0.342277936</v>
      </c>
      <c r="AL29" s="134">
        <f t="shared" si="5"/>
        <v>-1.9934868800000001</v>
      </c>
      <c r="AM29" s="144"/>
      <c r="AN29" s="134">
        <f t="shared" si="15"/>
        <v>330</v>
      </c>
      <c r="AO29" s="134">
        <f t="shared" si="9"/>
        <v>35.352626097276115</v>
      </c>
      <c r="AP29" s="134">
        <f t="shared" si="16"/>
        <v>76.930900059160294</v>
      </c>
      <c r="AQ29" s="134">
        <f t="shared" si="10"/>
        <v>108.366699056</v>
      </c>
    </row>
    <row r="30" spans="1:43" x14ac:dyDescent="0.25">
      <c r="A30">
        <f>'orcaflex-acma'!A184</f>
        <v>345</v>
      </c>
      <c r="B30" s="139">
        <f>'orcaflex-acma'!B184</f>
        <v>1.0418074528717729</v>
      </c>
      <c r="C30" s="151">
        <f>'orcaflex-acma'!C184</f>
        <v>-0.13406849151133524</v>
      </c>
      <c r="D30">
        <f>'orcaflex-acma'!D184</f>
        <v>0</v>
      </c>
      <c r="E30">
        <f>'orcaflex-acma'!E184</f>
        <v>0</v>
      </c>
      <c r="F30">
        <f>'orcaflex-acma'!F184</f>
        <v>0</v>
      </c>
      <c r="G30" s="139">
        <f>'orcaflex-acma'!G184</f>
        <v>6.1571542328620714E-3</v>
      </c>
      <c r="H30" s="144"/>
      <c r="I30">
        <f>'orcaflex-acma'!I184</f>
        <v>345</v>
      </c>
      <c r="J30" s="139">
        <f>'orcaflex-acma'!J184</f>
        <v>0.77994435509170779</v>
      </c>
      <c r="K30" s="151">
        <f>'orcaflex-acma'!K184</f>
        <v>-0.21009043111849066</v>
      </c>
      <c r="L30">
        <f>'orcaflex-acma'!L184</f>
        <v>0</v>
      </c>
      <c r="M30">
        <f>'orcaflex-acma'!M184</f>
        <v>0</v>
      </c>
      <c r="N30">
        <f>'orcaflex-acma'!N184</f>
        <v>0</v>
      </c>
      <c r="O30" s="139">
        <f>'orcaflex-acma'!O184</f>
        <v>3.9130680948697837E-2</v>
      </c>
      <c r="P30" s="144"/>
      <c r="Q30">
        <f t="shared" si="11"/>
        <v>345</v>
      </c>
      <c r="R30" s="150">
        <f>1/2*inputs!$K$9*B30*B$4/1000</f>
        <v>1.2555905094308724</v>
      </c>
      <c r="S30" s="150">
        <f>1/2*inputs!$K$9*C30*C$4/1000</f>
        <v>-0.70822350983320392</v>
      </c>
      <c r="T30">
        <f>1/2*inputs!$K$9*D30*D$4/1000</f>
        <v>0</v>
      </c>
      <c r="U30">
        <f>1/2*inputs!$K$9*E30*E$4/1000</f>
        <v>0</v>
      </c>
      <c r="V30">
        <f>1/2*inputs!$K$9*F30*F$4/1000</f>
        <v>0</v>
      </c>
      <c r="W30">
        <f>1/2*inputs!$K$9*G30*G$4/1000</f>
        <v>6.6543869492370842</v>
      </c>
      <c r="X30">
        <f t="shared" si="12"/>
        <v>345</v>
      </c>
      <c r="Y30">
        <f>1/2*inputs!$K$9*J30*J$4/1000</f>
        <v>0.93999205653394657</v>
      </c>
      <c r="Z30">
        <f>1/2*inputs!$K$9*K30*K$4/1000</f>
        <v>-1.1098132069049826</v>
      </c>
      <c r="AA30">
        <f>1/2*inputs!$K$9*L30*L$4/1000</f>
        <v>0</v>
      </c>
      <c r="AB30">
        <f>1/2*inputs!$K$9*M30*M$4/1000</f>
        <v>0</v>
      </c>
      <c r="AC30">
        <f>1/2*inputs!$K$9*N30*N$4/1000</f>
        <v>0</v>
      </c>
      <c r="AD30">
        <f>1/2*inputs!$K$9*O30*O$4/1000</f>
        <v>42.290753613091795</v>
      </c>
      <c r="AE30" s="144"/>
      <c r="AF30" s="134">
        <f t="shared" si="13"/>
        <v>345</v>
      </c>
      <c r="AG30" s="134">
        <f t="shared" si="6"/>
        <v>1.2555905094308724</v>
      </c>
      <c r="AH30" s="134">
        <f t="shared" si="7"/>
        <v>-0.70822350983320392</v>
      </c>
      <c r="AI30" s="134">
        <f t="shared" si="14"/>
        <v>0.93999205653394657</v>
      </c>
      <c r="AJ30" s="134">
        <f t="shared" si="8"/>
        <v>-1.1098132069049826</v>
      </c>
      <c r="AK30" s="134">
        <f t="shared" si="4"/>
        <v>-0.25858910000000002</v>
      </c>
      <c r="AL30" s="134">
        <f t="shared" si="5"/>
        <v>-2.285927644</v>
      </c>
      <c r="AM30" s="144"/>
      <c r="AN30" s="134">
        <f t="shared" si="15"/>
        <v>345</v>
      </c>
      <c r="AO30" s="134">
        <f t="shared" si="9"/>
        <v>6.6543869492370842</v>
      </c>
      <c r="AP30" s="134">
        <f t="shared" si="16"/>
        <v>42.290753613091795</v>
      </c>
      <c r="AQ30" s="134">
        <f t="shared" si="10"/>
        <v>111.71143152400001</v>
      </c>
    </row>
    <row r="31" spans="1:43" ht="15.75" x14ac:dyDescent="0.25">
      <c r="A31" s="140">
        <v>360</v>
      </c>
      <c r="B31" s="141">
        <f>B7</f>
        <v>0.85256212204150716</v>
      </c>
      <c r="C31" s="152">
        <f t="shared" ref="C31:G31" si="17">C7</f>
        <v>2.589228798891623E-2</v>
      </c>
      <c r="D31" s="141">
        <f t="shared" si="17"/>
        <v>0</v>
      </c>
      <c r="E31" s="141">
        <f t="shared" si="17"/>
        <v>0</v>
      </c>
      <c r="F31" s="141">
        <f t="shared" si="17"/>
        <v>0</v>
      </c>
      <c r="G31" s="149">
        <f t="shared" si="17"/>
        <v>5.0322719776563817E-3</v>
      </c>
      <c r="H31" s="145"/>
      <c r="I31" s="140">
        <v>360</v>
      </c>
      <c r="J31" s="141">
        <f>J7</f>
        <v>0.68524292103502238</v>
      </c>
      <c r="K31" s="152">
        <f t="shared" ref="K31:O31" si="18">K7</f>
        <v>-1.7210341662862578E-2</v>
      </c>
      <c r="L31" s="141">
        <f t="shared" si="18"/>
        <v>0</v>
      </c>
      <c r="M31" s="141">
        <f t="shared" si="18"/>
        <v>0</v>
      </c>
      <c r="N31" s="141">
        <f t="shared" si="18"/>
        <v>0</v>
      </c>
      <c r="O31" s="149">
        <f t="shared" si="18"/>
        <v>2.2834735724865918E-3</v>
      </c>
      <c r="P31" s="145"/>
      <c r="Q31">
        <f t="shared" si="11"/>
        <v>360</v>
      </c>
      <c r="R31" s="150">
        <f>1/2*inputs!$K$9*B31*B$4/1000</f>
        <v>1.0275112797329125</v>
      </c>
      <c r="S31" s="150">
        <f>1/2*inputs!$K$9*C31*C$4/1000</f>
        <v>0.13677730591584941</v>
      </c>
      <c r="T31">
        <f>1/2*inputs!$K$9*D31*D$4/1000</f>
        <v>0</v>
      </c>
      <c r="U31">
        <f>1/2*inputs!$K$9*E31*E$4/1000</f>
        <v>0</v>
      </c>
      <c r="V31">
        <f>1/2*inputs!$K$9*F31*F$4/1000</f>
        <v>0</v>
      </c>
      <c r="W31">
        <f>1/2*inputs!$K$9*G31*G$4/1000</f>
        <v>5.4386626851740036</v>
      </c>
      <c r="X31">
        <f t="shared" si="12"/>
        <v>360</v>
      </c>
      <c r="Y31">
        <f>1/2*inputs!$K$9*J31*J$4/1000</f>
        <v>0.82585750940309299</v>
      </c>
      <c r="Z31">
        <f>1/2*inputs!$K$9*K31*K$4/1000</f>
        <v>-9.0914490351154717E-2</v>
      </c>
      <c r="AA31">
        <f>1/2*inputs!$K$9*L31*L$4/1000</f>
        <v>0</v>
      </c>
      <c r="AB31">
        <f>1/2*inputs!$K$9*M31*M$4/1000</f>
        <v>0</v>
      </c>
      <c r="AC31">
        <f>1/2*inputs!$K$9*N31*N$4/1000</f>
        <v>0</v>
      </c>
      <c r="AD31">
        <f>1/2*inputs!$K$9*O31*O$4/1000</f>
        <v>2.4678798297081652</v>
      </c>
      <c r="AE31" s="145"/>
      <c r="AF31" s="134">
        <f t="shared" si="13"/>
        <v>360</v>
      </c>
      <c r="AG31" s="134">
        <f t="shared" si="6"/>
        <v>1.0275112797329125</v>
      </c>
      <c r="AH31" s="134">
        <f t="shared" si="7"/>
        <v>0.13677730591584941</v>
      </c>
      <c r="AI31" s="134">
        <f t="shared" si="14"/>
        <v>0.82585750940309299</v>
      </c>
      <c r="AJ31" s="134">
        <f t="shared" si="8"/>
        <v>-9.0914490351154717E-2</v>
      </c>
      <c r="AK31" s="134">
        <f t="shared" si="4"/>
        <v>-0.18618415199999999</v>
      </c>
      <c r="AL31" s="134">
        <f t="shared" si="5"/>
        <v>-2.4683505000000001</v>
      </c>
      <c r="AM31" s="145"/>
      <c r="AN31" s="134">
        <f t="shared" si="15"/>
        <v>360</v>
      </c>
      <c r="AO31" s="134">
        <f t="shared" si="9"/>
        <v>5.4386626851740036</v>
      </c>
      <c r="AP31" s="134">
        <f t="shared" si="16"/>
        <v>2.4678798297081652</v>
      </c>
      <c r="AQ31" s="134">
        <f t="shared" si="10"/>
        <v>109.70478010799999</v>
      </c>
    </row>
    <row r="32" spans="1:43" s="135" customFormat="1" x14ac:dyDescent="0.25">
      <c r="A32" s="142" t="s">
        <v>223</v>
      </c>
      <c r="B32" s="143" t="s">
        <v>224</v>
      </c>
      <c r="C32" s="143"/>
      <c r="D32" s="143"/>
      <c r="E32" s="143"/>
      <c r="F32" s="143"/>
      <c r="G32" s="143"/>
      <c r="H32" s="146"/>
      <c r="I32" s="143"/>
      <c r="J32" s="143"/>
      <c r="K32" s="143"/>
      <c r="L32" s="143"/>
      <c r="M32" s="143"/>
      <c r="N32" s="143"/>
      <c r="O32" s="143"/>
      <c r="P32" s="146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E32" s="146"/>
      <c r="AM32" s="146"/>
    </row>
    <row r="33" spans="1:39" x14ac:dyDescent="0.25">
      <c r="A33" t="s">
        <v>213</v>
      </c>
      <c r="B33" s="137">
        <v>1562</v>
      </c>
      <c r="C33">
        <f>B33</f>
        <v>1562</v>
      </c>
      <c r="D33">
        <v>0</v>
      </c>
      <c r="E33">
        <v>0</v>
      </c>
      <c r="F33">
        <v>0</v>
      </c>
      <c r="G33">
        <f>C33</f>
        <v>1562</v>
      </c>
      <c r="H33" s="144"/>
      <c r="I33"/>
      <c r="J33"/>
      <c r="K33"/>
      <c r="L33"/>
      <c r="M33"/>
      <c r="N33"/>
      <c r="O33"/>
      <c r="P33" s="144"/>
      <c r="Q33"/>
      <c r="R33"/>
      <c r="S33"/>
      <c r="T33"/>
      <c r="U33"/>
      <c r="V33"/>
      <c r="W33"/>
      <c r="X33"/>
      <c r="Y33"/>
      <c r="Z33"/>
      <c r="AA33"/>
      <c r="AB33"/>
      <c r="AC33"/>
      <c r="AE33" s="144"/>
      <c r="AM33" s="144"/>
    </row>
    <row r="34" spans="1:39" x14ac:dyDescent="0.25">
      <c r="A34" s="120" t="s">
        <v>214</v>
      </c>
      <c r="B34" s="138"/>
      <c r="C34"/>
      <c r="D34"/>
      <c r="E34"/>
      <c r="F34"/>
      <c r="G34"/>
      <c r="H34" s="144"/>
      <c r="I34"/>
      <c r="J34"/>
      <c r="K34"/>
      <c r="L34"/>
      <c r="M34"/>
      <c r="N34"/>
      <c r="O34"/>
      <c r="P34" s="144"/>
      <c r="Q34"/>
      <c r="R34" s="120" t="s">
        <v>215</v>
      </c>
      <c r="S34"/>
      <c r="T34"/>
      <c r="U34"/>
      <c r="V34"/>
      <c r="W34"/>
      <c r="X34"/>
      <c r="Y34"/>
      <c r="Z34"/>
      <c r="AA34"/>
      <c r="AB34"/>
      <c r="AC34"/>
      <c r="AE34" s="144"/>
      <c r="AM34" s="144"/>
    </row>
    <row r="35" spans="1:39" x14ac:dyDescent="0.2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s="144"/>
      <c r="I35"/>
      <c r="J35"/>
      <c r="K35"/>
      <c r="L35"/>
      <c r="M35"/>
      <c r="N35"/>
      <c r="O35"/>
      <c r="P35" s="144"/>
      <c r="Q35" t="s">
        <v>216</v>
      </c>
      <c r="R35" t="str">
        <f>R2&amp;", Wood"</f>
        <v>Fx, Wood</v>
      </c>
      <c r="S35" t="str">
        <f>S2&amp;", Wood"</f>
        <v>Fy, Wood</v>
      </c>
      <c r="T35" t="str">
        <f t="shared" ref="T35:V35" si="19">T2&amp;", Legacy"</f>
        <v>Fz, Legacy</v>
      </c>
      <c r="U35" t="str">
        <f t="shared" si="19"/>
        <v>Mx, Legacy</v>
      </c>
      <c r="V35" t="str">
        <f t="shared" si="19"/>
        <v>My, Legacy</v>
      </c>
      <c r="W35" t="str">
        <f>W2&amp;", Wood"</f>
        <v>Mz, Wood</v>
      </c>
      <c r="X35"/>
      <c r="Y35"/>
      <c r="Z35"/>
      <c r="AA35"/>
      <c r="AB35"/>
      <c r="AC35"/>
      <c r="AE35" s="144"/>
      <c r="AM35" s="144"/>
    </row>
    <row r="36" spans="1:39" x14ac:dyDescent="0.25">
      <c r="A36">
        <v>0</v>
      </c>
      <c r="B36" s="51">
        <v>0.67800000000000005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144"/>
      <c r="I36" s="51"/>
      <c r="J36" s="51"/>
      <c r="K36" s="51"/>
      <c r="L36" s="51"/>
      <c r="M36" s="51"/>
      <c r="N36" s="51"/>
      <c r="O36" s="51"/>
      <c r="P36" s="144"/>
      <c r="Q36">
        <f>A36</f>
        <v>0</v>
      </c>
      <c r="R36">
        <f>1/2*inputs!$K$9*B36*B$33/1000</f>
        <v>0.63753967199999995</v>
      </c>
      <c r="S36">
        <f>1/2*inputs!$K$9*C36*C$33/1000</f>
        <v>0</v>
      </c>
      <c r="T36">
        <f>1/2*inputs!$K$9*D36*D$33/1000</f>
        <v>0</v>
      </c>
      <c r="U36">
        <f>1/2*inputs!$K$9*E36*E$33/1000</f>
        <v>0</v>
      </c>
      <c r="V36">
        <f>1/2*inputs!$K$9*F36*F$33/1000</f>
        <v>0</v>
      </c>
      <c r="W36">
        <f>1/2*inputs!$K$9*G36*G$33/1000</f>
        <v>0</v>
      </c>
      <c r="X36"/>
      <c r="Y36"/>
      <c r="Z36"/>
      <c r="AA36"/>
      <c r="AB36"/>
      <c r="AC36"/>
      <c r="AE36" s="144"/>
      <c r="AM36" s="144"/>
    </row>
    <row r="37" spans="1:39" x14ac:dyDescent="0.25">
      <c r="A37">
        <v>10</v>
      </c>
      <c r="B37" s="51">
        <v>0.63900000000000001</v>
      </c>
      <c r="C37" s="51">
        <v>0.35</v>
      </c>
      <c r="D37" s="51">
        <v>0</v>
      </c>
      <c r="E37" s="51">
        <v>0</v>
      </c>
      <c r="F37" s="51">
        <v>0</v>
      </c>
      <c r="G37" s="51">
        <v>-5.6909999999999998</v>
      </c>
      <c r="H37" s="144"/>
      <c r="I37" s="51"/>
      <c r="J37" s="51"/>
      <c r="K37" s="51"/>
      <c r="L37" s="51"/>
      <c r="M37" s="51"/>
      <c r="N37" s="51"/>
      <c r="O37" s="51"/>
      <c r="P37" s="144"/>
      <c r="Q37">
        <f t="shared" ref="Q37:Q71" si="20">A37</f>
        <v>10</v>
      </c>
      <c r="R37">
        <f>1/2*inputs!$K$9*B37*B$33/1000</f>
        <v>0.60086703600000002</v>
      </c>
      <c r="S37">
        <f>1/2*inputs!$K$9*C37*C$33/1000</f>
        <v>0.32911339999999994</v>
      </c>
      <c r="T37">
        <f>1/2*inputs!$K$9*D37*D$33/1000</f>
        <v>0</v>
      </c>
      <c r="U37">
        <f>1/2*inputs!$K$9*E37*E$33/1000</f>
        <v>0</v>
      </c>
      <c r="V37">
        <f>1/2*inputs!$K$9*F37*F$33/1000</f>
        <v>0</v>
      </c>
      <c r="W37">
        <f>1/2*inputs!$K$9*G37*G$33/1000</f>
        <v>-5.3513838839999996</v>
      </c>
      <c r="X37"/>
      <c r="Y37"/>
      <c r="Z37"/>
      <c r="AA37"/>
      <c r="AB37"/>
      <c r="AC37"/>
      <c r="AE37" s="144"/>
      <c r="AM37" s="144"/>
    </row>
    <row r="38" spans="1:39" x14ac:dyDescent="0.25">
      <c r="A38">
        <v>20</v>
      </c>
      <c r="B38" s="51">
        <v>0.58599999999999997</v>
      </c>
      <c r="C38" s="51">
        <v>0.75800000000000001</v>
      </c>
      <c r="D38" s="51">
        <v>0</v>
      </c>
      <c r="E38" s="51">
        <v>0</v>
      </c>
      <c r="F38" s="51">
        <v>0</v>
      </c>
      <c r="G38" s="51">
        <v>-13.516</v>
      </c>
      <c r="H38" s="144"/>
      <c r="I38" s="51"/>
      <c r="J38" s="51"/>
      <c r="K38" s="51"/>
      <c r="L38" s="51"/>
      <c r="M38" s="51"/>
      <c r="N38" s="51"/>
      <c r="O38" s="51"/>
      <c r="P38" s="144"/>
      <c r="Q38">
        <f t="shared" si="20"/>
        <v>20</v>
      </c>
      <c r="R38">
        <f>1/2*inputs!$K$9*B38*B$33/1000</f>
        <v>0.55102986399999998</v>
      </c>
      <c r="S38">
        <f>1/2*inputs!$K$9*C38*C$33/1000</f>
        <v>0.712765592</v>
      </c>
      <c r="T38">
        <f>1/2*inputs!$K$9*D38*D$33/1000</f>
        <v>0</v>
      </c>
      <c r="U38">
        <f>1/2*inputs!$K$9*E38*E$33/1000</f>
        <v>0</v>
      </c>
      <c r="V38">
        <f>1/2*inputs!$K$9*F38*F$33/1000</f>
        <v>0</v>
      </c>
      <c r="W38">
        <f>1/2*inputs!$K$9*G38*G$33/1000</f>
        <v>-12.709419184</v>
      </c>
      <c r="X38"/>
      <c r="Y38"/>
      <c r="Z38"/>
      <c r="AA38"/>
      <c r="AB38"/>
      <c r="AC38"/>
      <c r="AE38" s="144"/>
      <c r="AM38" s="144"/>
    </row>
    <row r="39" spans="1:39" x14ac:dyDescent="0.25">
      <c r="A39">
        <v>30</v>
      </c>
      <c r="B39" s="51">
        <v>0.51500000000000001</v>
      </c>
      <c r="C39" s="51">
        <v>1.206</v>
      </c>
      <c r="D39" s="51">
        <v>0</v>
      </c>
      <c r="E39" s="51">
        <v>0</v>
      </c>
      <c r="F39" s="51">
        <v>0</v>
      </c>
      <c r="G39" s="51">
        <v>-24.187000000000001</v>
      </c>
      <c r="H39" s="144"/>
      <c r="I39" s="51"/>
      <c r="J39" s="51"/>
      <c r="K39" s="51"/>
      <c r="L39" s="51"/>
      <c r="M39" s="51"/>
      <c r="N39" s="51"/>
      <c r="O39" s="51"/>
      <c r="P39" s="144"/>
      <c r="Q39">
        <f t="shared" si="20"/>
        <v>30</v>
      </c>
      <c r="R39">
        <f>1/2*inputs!$K$9*B39*B$33/1000</f>
        <v>0.48426685999999997</v>
      </c>
      <c r="S39">
        <f>1/2*inputs!$K$9*C39*C$33/1000</f>
        <v>1.1340307439999999</v>
      </c>
      <c r="T39">
        <f>1/2*inputs!$K$9*D39*D$33/1000</f>
        <v>0</v>
      </c>
      <c r="U39">
        <f>1/2*inputs!$K$9*E39*E$33/1000</f>
        <v>0</v>
      </c>
      <c r="V39">
        <f>1/2*inputs!$K$9*F39*F$33/1000</f>
        <v>0</v>
      </c>
      <c r="W39">
        <f>1/2*inputs!$K$9*G39*G$33/1000</f>
        <v>-22.743616588000002</v>
      </c>
      <c r="X39"/>
      <c r="Y39"/>
      <c r="Z39"/>
      <c r="AA39"/>
      <c r="AB39"/>
      <c r="AC39"/>
      <c r="AE39" s="144"/>
      <c r="AM39" s="144"/>
    </row>
    <row r="40" spans="1:39" x14ac:dyDescent="0.25">
      <c r="A40">
        <v>40</v>
      </c>
      <c r="B40" s="51">
        <v>0.43099999999999999</v>
      </c>
      <c r="C40" s="51">
        <v>1.6719999999999999</v>
      </c>
      <c r="D40" s="51">
        <v>0</v>
      </c>
      <c r="E40" s="51">
        <v>0</v>
      </c>
      <c r="F40" s="51">
        <v>0</v>
      </c>
      <c r="G40" s="51">
        <v>-35.569000000000003</v>
      </c>
      <c r="H40" s="144"/>
      <c r="I40" s="51"/>
      <c r="J40" s="51"/>
      <c r="K40" s="51"/>
      <c r="L40" s="51"/>
      <c r="M40" s="51"/>
      <c r="N40" s="51"/>
      <c r="O40" s="51"/>
      <c r="P40" s="144"/>
      <c r="Q40">
        <f t="shared" si="20"/>
        <v>40</v>
      </c>
      <c r="R40">
        <f>1/2*inputs!$K$9*B40*B$33/1000</f>
        <v>0.40527964399999994</v>
      </c>
      <c r="S40">
        <f>1/2*inputs!$K$9*C40*C$33/1000</f>
        <v>1.5722217279999997</v>
      </c>
      <c r="T40">
        <f>1/2*inputs!$K$9*D40*D$33/1000</f>
        <v>0</v>
      </c>
      <c r="U40">
        <f>1/2*inputs!$K$9*E40*E$33/1000</f>
        <v>0</v>
      </c>
      <c r="V40">
        <f>1/2*inputs!$K$9*F40*F$33/1000</f>
        <v>0</v>
      </c>
      <c r="W40">
        <f>1/2*inputs!$K$9*G40*G$33/1000</f>
        <v>-33.446384356000003</v>
      </c>
      <c r="X40"/>
      <c r="Y40"/>
      <c r="Z40"/>
      <c r="AA40"/>
      <c r="AB40"/>
      <c r="AC40"/>
      <c r="AE40" s="144"/>
      <c r="AM40" s="144"/>
    </row>
    <row r="41" spans="1:39" x14ac:dyDescent="0.25">
      <c r="A41">
        <v>50</v>
      </c>
      <c r="B41" s="51">
        <v>0.33200000000000002</v>
      </c>
      <c r="C41" s="51">
        <v>2.1589999999999998</v>
      </c>
      <c r="D41" s="51">
        <v>0</v>
      </c>
      <c r="E41" s="51">
        <v>0</v>
      </c>
      <c r="F41" s="51">
        <v>0</v>
      </c>
      <c r="G41" s="51">
        <v>-48.374000000000002</v>
      </c>
      <c r="H41" s="144"/>
      <c r="I41" s="51"/>
      <c r="J41" s="51"/>
      <c r="K41" s="51"/>
      <c r="L41" s="51"/>
      <c r="M41" s="51"/>
      <c r="N41" s="51"/>
      <c r="O41" s="51"/>
      <c r="P41" s="144"/>
      <c r="Q41">
        <f t="shared" si="20"/>
        <v>50</v>
      </c>
      <c r="R41">
        <f>1/2*inputs!$K$9*B41*B$33/1000</f>
        <v>0.31218756800000003</v>
      </c>
      <c r="S41">
        <f>1/2*inputs!$K$9*C41*C$33/1000</f>
        <v>2.0301595159999999</v>
      </c>
      <c r="T41">
        <f>1/2*inputs!$K$9*D41*D$33/1000</f>
        <v>0</v>
      </c>
      <c r="U41">
        <f>1/2*inputs!$K$9*E41*E$33/1000</f>
        <v>0</v>
      </c>
      <c r="V41">
        <f>1/2*inputs!$K$9*F41*F$33/1000</f>
        <v>0</v>
      </c>
      <c r="W41">
        <f>1/2*inputs!$K$9*G41*G$33/1000</f>
        <v>-45.487233176000004</v>
      </c>
      <c r="X41"/>
      <c r="Y41"/>
      <c r="Z41"/>
      <c r="AA41"/>
      <c r="AB41"/>
      <c r="AC41"/>
      <c r="AE41" s="144"/>
      <c r="AM41" s="144"/>
    </row>
    <row r="42" spans="1:39" x14ac:dyDescent="0.25">
      <c r="A42">
        <v>60</v>
      </c>
      <c r="B42" s="51">
        <v>0.23300000000000001</v>
      </c>
      <c r="C42" s="51">
        <v>2.4500000000000002</v>
      </c>
      <c r="D42" s="51">
        <v>0</v>
      </c>
      <c r="E42" s="51">
        <v>0</v>
      </c>
      <c r="F42" s="51">
        <v>0</v>
      </c>
      <c r="G42" s="51">
        <v>-58.334000000000003</v>
      </c>
      <c r="H42" s="144"/>
      <c r="I42" s="51"/>
      <c r="J42" s="51"/>
      <c r="K42" s="51"/>
      <c r="L42" s="51"/>
      <c r="M42" s="51"/>
      <c r="N42" s="51"/>
      <c r="O42" s="51"/>
      <c r="P42" s="144"/>
      <c r="Q42">
        <f t="shared" si="20"/>
        <v>60</v>
      </c>
      <c r="R42">
        <f>1/2*inputs!$K$9*B42*B$33/1000</f>
        <v>0.219095492</v>
      </c>
      <c r="S42">
        <f>1/2*inputs!$K$9*C42*C$33/1000</f>
        <v>2.3037938000000002</v>
      </c>
      <c r="T42">
        <f>1/2*inputs!$K$9*D42*D$33/1000</f>
        <v>0</v>
      </c>
      <c r="U42">
        <f>1/2*inputs!$K$9*E42*E$33/1000</f>
        <v>0</v>
      </c>
      <c r="V42">
        <f>1/2*inputs!$K$9*F42*F$33/1000</f>
        <v>0</v>
      </c>
      <c r="W42">
        <f>1/2*inputs!$K$9*G42*G$33/1000</f>
        <v>-54.85286021600001</v>
      </c>
      <c r="X42"/>
      <c r="Y42"/>
      <c r="Z42"/>
      <c r="AA42"/>
      <c r="AB42"/>
      <c r="AC42"/>
      <c r="AE42" s="144"/>
      <c r="AM42" s="144"/>
    </row>
    <row r="43" spans="1:39" x14ac:dyDescent="0.25">
      <c r="A43">
        <v>70</v>
      </c>
      <c r="B43" s="51">
        <v>0.13400000000000001</v>
      </c>
      <c r="C43" s="51">
        <v>2.6059999999999999</v>
      </c>
      <c r="D43" s="51">
        <v>0</v>
      </c>
      <c r="E43" s="51">
        <v>0</v>
      </c>
      <c r="F43" s="51">
        <v>0</v>
      </c>
      <c r="G43" s="51">
        <v>-66.159000000000006</v>
      </c>
      <c r="H43" s="144"/>
      <c r="I43" s="51"/>
      <c r="J43" s="51"/>
      <c r="K43" s="51"/>
      <c r="L43" s="51"/>
      <c r="M43" s="51"/>
      <c r="N43" s="51"/>
      <c r="O43" s="51"/>
      <c r="P43" s="144"/>
      <c r="Q43">
        <f t="shared" si="20"/>
        <v>70</v>
      </c>
      <c r="R43">
        <f>1/2*inputs!$K$9*B43*B$33/1000</f>
        <v>0.12600341600000001</v>
      </c>
      <c r="S43">
        <f>1/2*inputs!$K$9*C43*C$33/1000</f>
        <v>2.4504843439999999</v>
      </c>
      <c r="T43">
        <f>1/2*inputs!$K$9*D43*D$33/1000</f>
        <v>0</v>
      </c>
      <c r="U43">
        <f>1/2*inputs!$K$9*E43*E$33/1000</f>
        <v>0</v>
      </c>
      <c r="V43">
        <f>1/2*inputs!$K$9*F43*F$33/1000</f>
        <v>0</v>
      </c>
      <c r="W43">
        <f>1/2*inputs!$K$9*G43*G$33/1000</f>
        <v>-62.210895516000001</v>
      </c>
      <c r="X43"/>
      <c r="Y43"/>
      <c r="Z43"/>
      <c r="AA43"/>
      <c r="AB43"/>
      <c r="AC43"/>
      <c r="AE43" s="144"/>
      <c r="AM43" s="144"/>
    </row>
    <row r="44" spans="1:39" x14ac:dyDescent="0.25">
      <c r="A44">
        <v>80</v>
      </c>
      <c r="B44" s="51">
        <v>4.9000000000000002E-2</v>
      </c>
      <c r="C44" s="51">
        <v>2.7610000000000001</v>
      </c>
      <c r="D44" s="51">
        <v>0</v>
      </c>
      <c r="E44" s="51">
        <v>0</v>
      </c>
      <c r="F44" s="51">
        <v>0</v>
      </c>
      <c r="G44" s="51">
        <v>-73.983999999999995</v>
      </c>
      <c r="H44" s="144"/>
      <c r="I44" s="51"/>
      <c r="J44" s="51"/>
      <c r="K44" s="51"/>
      <c r="L44" s="51"/>
      <c r="M44" s="51"/>
      <c r="N44" s="51"/>
      <c r="O44" s="51"/>
      <c r="P44" s="144"/>
      <c r="Q44">
        <f t="shared" si="20"/>
        <v>80</v>
      </c>
      <c r="R44">
        <f>1/2*inputs!$K$9*B44*B$33/1000</f>
        <v>4.6075876000000002E-2</v>
      </c>
      <c r="S44">
        <f>1/2*inputs!$K$9*C44*C$33/1000</f>
        <v>2.5962345640000004</v>
      </c>
      <c r="T44">
        <f>1/2*inputs!$K$9*D44*D$33/1000</f>
        <v>0</v>
      </c>
      <c r="U44">
        <f>1/2*inputs!$K$9*E44*E$33/1000</f>
        <v>0</v>
      </c>
      <c r="V44">
        <f>1/2*inputs!$K$9*F44*F$33/1000</f>
        <v>0</v>
      </c>
      <c r="W44">
        <f>1/2*inputs!$K$9*G44*G$33/1000</f>
        <v>-69.568930815999991</v>
      </c>
      <c r="X44"/>
      <c r="Y44"/>
      <c r="Z44"/>
      <c r="AA44"/>
      <c r="AB44"/>
      <c r="AC44"/>
      <c r="AE44" s="144"/>
      <c r="AM44" s="144"/>
    </row>
    <row r="45" spans="1:39" x14ac:dyDescent="0.25">
      <c r="A45">
        <v>90</v>
      </c>
      <c r="B45" s="51">
        <v>-2.8000000000000001E-2</v>
      </c>
      <c r="C45" s="51">
        <v>2.8</v>
      </c>
      <c r="D45" s="51">
        <v>0</v>
      </c>
      <c r="E45" s="51">
        <v>0</v>
      </c>
      <c r="F45" s="51">
        <v>0</v>
      </c>
      <c r="G45" s="51">
        <v>-79.674999999999997</v>
      </c>
      <c r="H45" s="144"/>
      <c r="I45" s="51"/>
      <c r="J45" s="51"/>
      <c r="K45" s="51"/>
      <c r="L45" s="51"/>
      <c r="M45" s="51"/>
      <c r="N45" s="51"/>
      <c r="O45" s="51"/>
      <c r="P45" s="144"/>
      <c r="Q45">
        <f t="shared" si="20"/>
        <v>90</v>
      </c>
      <c r="R45">
        <f>1/2*inputs!$K$9*B45*B$33/1000</f>
        <v>-2.6329071999999999E-2</v>
      </c>
      <c r="S45">
        <f>1/2*inputs!$K$9*C45*C$33/1000</f>
        <v>2.6329071999999996</v>
      </c>
      <c r="T45">
        <f>1/2*inputs!$K$9*D45*D$33/1000</f>
        <v>0</v>
      </c>
      <c r="U45">
        <f>1/2*inputs!$K$9*E45*E$33/1000</f>
        <v>0</v>
      </c>
      <c r="V45">
        <f>1/2*inputs!$K$9*F45*F$33/1000</f>
        <v>0</v>
      </c>
      <c r="W45">
        <f>1/2*inputs!$K$9*G45*G$33/1000</f>
        <v>-74.920314699999992</v>
      </c>
      <c r="X45"/>
      <c r="Y45"/>
      <c r="Z45"/>
      <c r="AA45"/>
      <c r="AB45"/>
      <c r="AC45"/>
      <c r="AE45" s="144"/>
      <c r="AM45" s="144"/>
    </row>
    <row r="46" spans="1:39" x14ac:dyDescent="0.25">
      <c r="A46">
        <v>100</v>
      </c>
      <c r="B46" s="51">
        <v>-9.1999999999999998E-2</v>
      </c>
      <c r="C46" s="51">
        <v>2.7810000000000001</v>
      </c>
      <c r="D46" s="51">
        <v>0</v>
      </c>
      <c r="E46" s="51">
        <v>0</v>
      </c>
      <c r="F46" s="51">
        <v>0</v>
      </c>
      <c r="G46" s="51">
        <v>-89.634</v>
      </c>
      <c r="H46" s="144"/>
      <c r="I46" s="51"/>
      <c r="J46" s="51"/>
      <c r="K46" s="51"/>
      <c r="L46" s="51"/>
      <c r="M46" s="51"/>
      <c r="N46" s="51"/>
      <c r="O46" s="51"/>
      <c r="P46" s="144"/>
      <c r="Q46">
        <f t="shared" si="20"/>
        <v>100</v>
      </c>
      <c r="R46">
        <f>1/2*inputs!$K$9*B46*B$33/1000</f>
        <v>-8.6509807999999994E-2</v>
      </c>
      <c r="S46">
        <f>1/2*inputs!$K$9*C46*C$33/1000</f>
        <v>2.6150410440000003</v>
      </c>
      <c r="T46">
        <f>1/2*inputs!$K$9*D46*D$33/1000</f>
        <v>0</v>
      </c>
      <c r="U46">
        <f>1/2*inputs!$K$9*E46*E$33/1000</f>
        <v>0</v>
      </c>
      <c r="V46">
        <f>1/2*inputs!$K$9*F46*F$33/1000</f>
        <v>0</v>
      </c>
      <c r="W46">
        <f>1/2*inputs!$K$9*G46*G$33/1000</f>
        <v>-84.285001416</v>
      </c>
      <c r="X46"/>
      <c r="Y46"/>
      <c r="Z46"/>
      <c r="AA46"/>
      <c r="AB46"/>
      <c r="AC46"/>
      <c r="AE46" s="144"/>
      <c r="AM46" s="144"/>
    </row>
    <row r="47" spans="1:39" x14ac:dyDescent="0.25">
      <c r="A47">
        <v>110</v>
      </c>
      <c r="B47" s="51">
        <v>-0.14799999999999999</v>
      </c>
      <c r="C47" s="51">
        <v>2.722</v>
      </c>
      <c r="D47" s="51">
        <v>0</v>
      </c>
      <c r="E47" s="51">
        <v>0</v>
      </c>
      <c r="F47" s="51">
        <v>0</v>
      </c>
      <c r="G47" s="51">
        <v>-107.419</v>
      </c>
      <c r="H47" s="144"/>
      <c r="I47" s="51"/>
      <c r="J47" s="51"/>
      <c r="K47" s="51"/>
      <c r="L47" s="51"/>
      <c r="M47" s="51"/>
      <c r="N47" s="51"/>
      <c r="O47" s="51"/>
      <c r="P47" s="144"/>
      <c r="Q47">
        <f t="shared" si="20"/>
        <v>110</v>
      </c>
      <c r="R47">
        <f>1/2*inputs!$K$9*B47*B$33/1000</f>
        <v>-0.13916795199999998</v>
      </c>
      <c r="S47">
        <f>1/2*inputs!$K$9*C47*C$33/1000</f>
        <v>2.5595619279999999</v>
      </c>
      <c r="T47">
        <f>1/2*inputs!$K$9*D47*D$33/1000</f>
        <v>0</v>
      </c>
      <c r="U47">
        <f>1/2*inputs!$K$9*E47*E$33/1000</f>
        <v>0</v>
      </c>
      <c r="V47">
        <f>1/2*inputs!$K$9*F47*F$33/1000</f>
        <v>0</v>
      </c>
      <c r="W47">
        <f>1/2*inputs!$K$9*G47*G$33/1000</f>
        <v>-101.00866375599999</v>
      </c>
      <c r="X47"/>
      <c r="Y47"/>
      <c r="Z47"/>
      <c r="AA47"/>
      <c r="AB47"/>
      <c r="AC47"/>
      <c r="AE47" s="144"/>
      <c r="AM47" s="144"/>
    </row>
    <row r="48" spans="1:39" x14ac:dyDescent="0.25">
      <c r="A48">
        <v>120</v>
      </c>
      <c r="B48" s="51">
        <v>-0.19800000000000001</v>
      </c>
      <c r="C48" s="51">
        <v>2.625</v>
      </c>
      <c r="D48" s="51">
        <v>0</v>
      </c>
      <c r="E48" s="51">
        <v>0</v>
      </c>
      <c r="F48" s="51">
        <v>0</v>
      </c>
      <c r="G48" s="51">
        <v>-116.667</v>
      </c>
      <c r="H48" s="144"/>
      <c r="I48" s="51"/>
      <c r="J48" s="51"/>
      <c r="K48" s="51"/>
      <c r="L48" s="51"/>
      <c r="M48" s="51"/>
      <c r="N48" s="51"/>
      <c r="O48" s="51"/>
      <c r="P48" s="144"/>
      <c r="Q48">
        <f t="shared" si="20"/>
        <v>120</v>
      </c>
      <c r="R48">
        <f>1/2*inputs!$K$9*B48*B$33/1000</f>
        <v>-0.18618415199999999</v>
      </c>
      <c r="S48">
        <f>1/2*inputs!$K$9*C48*C$33/1000</f>
        <v>2.4683505000000001</v>
      </c>
      <c r="T48">
        <f>1/2*inputs!$K$9*D48*D$33/1000</f>
        <v>0</v>
      </c>
      <c r="U48">
        <f>1/2*inputs!$K$9*E48*E$33/1000</f>
        <v>0</v>
      </c>
      <c r="V48">
        <f>1/2*inputs!$K$9*F48*F$33/1000</f>
        <v>0</v>
      </c>
      <c r="W48">
        <f>1/2*inputs!$K$9*G48*G$33/1000</f>
        <v>-109.70478010799999</v>
      </c>
      <c r="X48"/>
      <c r="Y48"/>
      <c r="Z48"/>
      <c r="AA48"/>
      <c r="AB48"/>
      <c r="AC48"/>
      <c r="AE48" s="144"/>
      <c r="AM48" s="144"/>
    </row>
    <row r="49" spans="1:39" x14ac:dyDescent="0.25">
      <c r="A49">
        <v>130</v>
      </c>
      <c r="B49" s="51">
        <v>-0.27500000000000002</v>
      </c>
      <c r="C49" s="51">
        <v>2.431</v>
      </c>
      <c r="D49" s="51">
        <v>0</v>
      </c>
      <c r="E49" s="51">
        <v>0</v>
      </c>
      <c r="F49" s="51">
        <v>0</v>
      </c>
      <c r="G49" s="51">
        <v>-118.801</v>
      </c>
      <c r="H49" s="144"/>
      <c r="I49" s="51"/>
      <c r="J49" s="51"/>
      <c r="K49" s="51"/>
      <c r="L49" s="51"/>
      <c r="M49" s="51"/>
      <c r="N49" s="51"/>
      <c r="O49" s="51"/>
      <c r="P49" s="144"/>
      <c r="Q49">
        <f t="shared" si="20"/>
        <v>130</v>
      </c>
      <c r="R49">
        <f>1/2*inputs!$K$9*B49*B$33/1000</f>
        <v>-0.25858910000000002</v>
      </c>
      <c r="S49">
        <f>1/2*inputs!$K$9*C49*C$33/1000</f>
        <v>2.285927644</v>
      </c>
      <c r="T49">
        <f>1/2*inputs!$K$9*D49*D$33/1000</f>
        <v>0</v>
      </c>
      <c r="U49">
        <f>1/2*inputs!$K$9*E49*E$33/1000</f>
        <v>0</v>
      </c>
      <c r="V49">
        <f>1/2*inputs!$K$9*F49*F$33/1000</f>
        <v>0</v>
      </c>
      <c r="W49">
        <f>1/2*inputs!$K$9*G49*G$33/1000</f>
        <v>-111.71143152400001</v>
      </c>
      <c r="X49"/>
      <c r="Y49"/>
      <c r="Z49"/>
      <c r="AA49"/>
      <c r="AB49"/>
      <c r="AC49"/>
      <c r="AE49" s="144"/>
      <c r="AM49" s="144"/>
    </row>
    <row r="50" spans="1:39" x14ac:dyDescent="0.25">
      <c r="A50">
        <v>140</v>
      </c>
      <c r="B50" s="51">
        <v>-0.36399999999999999</v>
      </c>
      <c r="C50" s="51">
        <v>2.12</v>
      </c>
      <c r="D50" s="51">
        <v>0</v>
      </c>
      <c r="E50" s="51">
        <v>0</v>
      </c>
      <c r="F50" s="51">
        <v>0</v>
      </c>
      <c r="G50" s="51">
        <v>-115.244</v>
      </c>
      <c r="H50" s="144"/>
      <c r="I50" s="51"/>
      <c r="J50" s="51"/>
      <c r="K50" s="51"/>
      <c r="L50" s="51"/>
      <c r="M50" s="51"/>
      <c r="N50" s="51"/>
      <c r="O50" s="51"/>
      <c r="P50" s="144"/>
      <c r="Q50">
        <f t="shared" si="20"/>
        <v>140</v>
      </c>
      <c r="R50">
        <f>1/2*inputs!$K$9*B50*B$33/1000</f>
        <v>-0.342277936</v>
      </c>
      <c r="S50">
        <f>1/2*inputs!$K$9*C50*C$33/1000</f>
        <v>1.9934868800000001</v>
      </c>
      <c r="T50">
        <f>1/2*inputs!$K$9*D50*D$33/1000</f>
        <v>0</v>
      </c>
      <c r="U50">
        <f>1/2*inputs!$K$9*E50*E$33/1000</f>
        <v>0</v>
      </c>
      <c r="V50">
        <f>1/2*inputs!$K$9*F50*F$33/1000</f>
        <v>0</v>
      </c>
      <c r="W50">
        <f>1/2*inputs!$K$9*G50*G$33/1000</f>
        <v>-108.366699056</v>
      </c>
      <c r="X50"/>
      <c r="Y50"/>
      <c r="Z50"/>
      <c r="AA50"/>
      <c r="AB50"/>
      <c r="AC50"/>
      <c r="AE50" s="144"/>
      <c r="AM50" s="144"/>
    </row>
    <row r="51" spans="1:39" x14ac:dyDescent="0.25">
      <c r="A51">
        <v>150</v>
      </c>
      <c r="B51" s="51">
        <v>-0.45900000000000002</v>
      </c>
      <c r="C51" s="51">
        <v>1.6719999999999999</v>
      </c>
      <c r="D51" s="51">
        <v>0</v>
      </c>
      <c r="E51" s="51">
        <v>0</v>
      </c>
      <c r="F51" s="51">
        <v>0</v>
      </c>
      <c r="G51" s="51">
        <v>-101.72799999999999</v>
      </c>
      <c r="H51" s="144"/>
      <c r="I51" s="51"/>
      <c r="J51" s="51"/>
      <c r="K51" s="51"/>
      <c r="L51" s="51"/>
      <c r="M51" s="51"/>
      <c r="N51" s="51"/>
      <c r="O51" s="51"/>
      <c r="P51" s="144"/>
      <c r="Q51">
        <f t="shared" si="20"/>
        <v>150</v>
      </c>
      <c r="R51">
        <f>1/2*inputs!$K$9*B51*B$33/1000</f>
        <v>-0.431608716</v>
      </c>
      <c r="S51">
        <f>1/2*inputs!$K$9*C51*C$33/1000</f>
        <v>1.5722217279999997</v>
      </c>
      <c r="T51">
        <f>1/2*inputs!$K$9*D51*D$33/1000</f>
        <v>0</v>
      </c>
      <c r="U51">
        <f>1/2*inputs!$K$9*E51*E$33/1000</f>
        <v>0</v>
      </c>
      <c r="V51">
        <f>1/2*inputs!$K$9*F51*F$33/1000</f>
        <v>0</v>
      </c>
      <c r="W51">
        <f>1/2*inputs!$K$9*G51*G$33/1000</f>
        <v>-95.657279872000004</v>
      </c>
      <c r="X51"/>
      <c r="Y51"/>
      <c r="Z51"/>
      <c r="AA51"/>
      <c r="AB51"/>
      <c r="AC51"/>
      <c r="AE51" s="144"/>
      <c r="AM51" s="144"/>
    </row>
    <row r="52" spans="1:39" x14ac:dyDescent="0.25">
      <c r="A52">
        <v>160</v>
      </c>
      <c r="B52" s="51">
        <v>-0.52200000000000002</v>
      </c>
      <c r="C52" s="51">
        <v>1.05</v>
      </c>
      <c r="D52" s="51">
        <v>0</v>
      </c>
      <c r="E52" s="51">
        <v>0</v>
      </c>
      <c r="F52" s="51">
        <v>0</v>
      </c>
      <c r="G52" s="51">
        <v>-78.251999999999995</v>
      </c>
      <c r="H52" s="144"/>
      <c r="I52" s="51"/>
      <c r="J52" s="51"/>
      <c r="K52" s="51"/>
      <c r="L52" s="51"/>
      <c r="M52" s="51"/>
      <c r="N52" s="51"/>
      <c r="O52" s="51"/>
      <c r="P52" s="144"/>
      <c r="Q52">
        <f t="shared" si="20"/>
        <v>160</v>
      </c>
      <c r="R52">
        <f>1/2*inputs!$K$9*B52*B$33/1000</f>
        <v>-0.49084912800000008</v>
      </c>
      <c r="S52">
        <f>1/2*inputs!$K$9*C52*C$33/1000</f>
        <v>0.9873402</v>
      </c>
      <c r="T52">
        <f>1/2*inputs!$K$9*D52*D$33/1000</f>
        <v>0</v>
      </c>
      <c r="U52">
        <f>1/2*inputs!$K$9*E52*E$33/1000</f>
        <v>0</v>
      </c>
      <c r="V52">
        <f>1/2*inputs!$K$9*F52*F$33/1000</f>
        <v>0</v>
      </c>
      <c r="W52">
        <f>1/2*inputs!$K$9*G52*G$33/1000</f>
        <v>-73.582233647999999</v>
      </c>
      <c r="X52"/>
      <c r="Y52"/>
      <c r="Z52"/>
      <c r="AA52"/>
      <c r="AB52"/>
      <c r="AC52"/>
      <c r="AE52" s="144"/>
      <c r="AM52" s="144"/>
    </row>
    <row r="53" spans="1:39" x14ac:dyDescent="0.25">
      <c r="A53">
        <v>170</v>
      </c>
      <c r="B53" s="51">
        <v>-0.54400000000000004</v>
      </c>
      <c r="C53" s="51">
        <v>0.46700000000000003</v>
      </c>
      <c r="D53" s="51">
        <v>0</v>
      </c>
      <c r="E53" s="51">
        <v>0</v>
      </c>
      <c r="F53" s="51">
        <v>0</v>
      </c>
      <c r="G53" s="51">
        <v>-39.838000000000001</v>
      </c>
      <c r="H53" s="144"/>
      <c r="I53" s="51"/>
      <c r="J53" s="51"/>
      <c r="K53" s="51"/>
      <c r="L53" s="51"/>
      <c r="M53" s="51"/>
      <c r="N53" s="51"/>
      <c r="O53" s="51"/>
      <c r="P53" s="144"/>
      <c r="Q53">
        <f t="shared" si="20"/>
        <v>170</v>
      </c>
      <c r="R53">
        <f>1/2*inputs!$K$9*B53*B$33/1000</f>
        <v>-0.51153625599999997</v>
      </c>
      <c r="S53">
        <f>1/2*inputs!$K$9*C53*C$33/1000</f>
        <v>0.439131308</v>
      </c>
      <c r="T53">
        <f>1/2*inputs!$K$9*D53*D$33/1000</f>
        <v>0</v>
      </c>
      <c r="U53">
        <f>1/2*inputs!$K$9*E53*E$33/1000</f>
        <v>0</v>
      </c>
      <c r="V53">
        <f>1/2*inputs!$K$9*F53*F$33/1000</f>
        <v>0</v>
      </c>
      <c r="W53">
        <f>1/2*inputs!$K$9*G53*G$33/1000</f>
        <v>-37.460627512000002</v>
      </c>
      <c r="X53"/>
      <c r="Y53"/>
      <c r="Z53"/>
      <c r="AA53"/>
      <c r="AB53"/>
      <c r="AC53"/>
      <c r="AE53" s="144"/>
      <c r="AM53" s="144"/>
    </row>
    <row r="54" spans="1:39" x14ac:dyDescent="0.25">
      <c r="A54">
        <v>180</v>
      </c>
      <c r="B54" s="51">
        <v>-0.52600000000000002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144"/>
      <c r="I54" s="51"/>
      <c r="J54" s="51"/>
      <c r="K54" s="51"/>
      <c r="L54" s="51"/>
      <c r="M54" s="51"/>
      <c r="N54" s="51"/>
      <c r="O54" s="51"/>
      <c r="P54" s="144"/>
      <c r="Q54">
        <f t="shared" si="20"/>
        <v>180</v>
      </c>
      <c r="R54">
        <f>1/2*inputs!$K$9*B54*B$33/1000</f>
        <v>-0.49461042399999999</v>
      </c>
      <c r="S54">
        <f>1/2*inputs!$K$9*C54*C$33/1000</f>
        <v>0</v>
      </c>
      <c r="T54">
        <f>1/2*inputs!$K$9*D54*D$33/1000</f>
        <v>0</v>
      </c>
      <c r="U54">
        <f>1/2*inputs!$K$9*E54*E$33/1000</f>
        <v>0</v>
      </c>
      <c r="V54">
        <f>1/2*inputs!$K$9*F54*F$33/1000</f>
        <v>0</v>
      </c>
      <c r="W54">
        <f>1/2*inputs!$K$9*G54*G$33/1000</f>
        <v>0</v>
      </c>
      <c r="X54"/>
      <c r="Y54"/>
      <c r="Z54"/>
      <c r="AA54"/>
      <c r="AB54"/>
      <c r="AC54"/>
      <c r="AE54" s="144"/>
      <c r="AM54" s="144"/>
    </row>
    <row r="55" spans="1:39" x14ac:dyDescent="0.25">
      <c r="A55">
        <v>190</v>
      </c>
      <c r="B55" s="51">
        <v>-0.54400000000000004</v>
      </c>
      <c r="C55" s="51">
        <v>-0.46700000000000003</v>
      </c>
      <c r="D55" s="51">
        <v>0</v>
      </c>
      <c r="E55" s="51">
        <v>0</v>
      </c>
      <c r="F55" s="51">
        <v>0</v>
      </c>
      <c r="G55" s="51">
        <v>39.838000000000001</v>
      </c>
      <c r="H55" s="144"/>
      <c r="I55" s="51"/>
      <c r="J55" s="51"/>
      <c r="K55" s="51"/>
      <c r="L55" s="51"/>
      <c r="M55" s="51"/>
      <c r="N55" s="51"/>
      <c r="O55" s="51"/>
      <c r="P55" s="144"/>
      <c r="Q55">
        <f t="shared" si="20"/>
        <v>190</v>
      </c>
      <c r="R55">
        <f>1/2*inputs!$K$9*B55*B$33/1000</f>
        <v>-0.51153625599999997</v>
      </c>
      <c r="S55">
        <f>1/2*inputs!$K$9*C55*C$33/1000</f>
        <v>-0.439131308</v>
      </c>
      <c r="T55">
        <f>1/2*inputs!$K$9*D55*D$33/1000</f>
        <v>0</v>
      </c>
      <c r="U55">
        <f>1/2*inputs!$K$9*E55*E$33/1000</f>
        <v>0</v>
      </c>
      <c r="V55">
        <f>1/2*inputs!$K$9*F55*F$33/1000</f>
        <v>0</v>
      </c>
      <c r="W55">
        <f>1/2*inputs!$K$9*G55*G$33/1000</f>
        <v>37.460627512000002</v>
      </c>
      <c r="X55"/>
      <c r="Y55"/>
      <c r="Z55"/>
      <c r="AA55"/>
      <c r="AB55"/>
      <c r="AC55"/>
      <c r="AE55" s="144"/>
      <c r="AM55" s="144"/>
    </row>
    <row r="56" spans="1:39" x14ac:dyDescent="0.25">
      <c r="A56">
        <v>200</v>
      </c>
      <c r="B56" s="51">
        <v>-0.52200000000000002</v>
      </c>
      <c r="C56" s="51">
        <v>-1.05</v>
      </c>
      <c r="D56" s="51">
        <v>0</v>
      </c>
      <c r="E56" s="51">
        <v>0</v>
      </c>
      <c r="F56" s="51">
        <v>0</v>
      </c>
      <c r="G56" s="51">
        <v>78.251999999999995</v>
      </c>
      <c r="H56" s="144"/>
      <c r="I56" s="51"/>
      <c r="J56" s="51"/>
      <c r="K56" s="51"/>
      <c r="L56" s="51"/>
      <c r="M56" s="51"/>
      <c r="N56" s="51"/>
      <c r="O56" s="51"/>
      <c r="P56" s="144"/>
      <c r="Q56">
        <f t="shared" si="20"/>
        <v>200</v>
      </c>
      <c r="R56">
        <f>1/2*inputs!$K$9*B56*B$33/1000</f>
        <v>-0.49084912800000008</v>
      </c>
      <c r="S56">
        <f>1/2*inputs!$K$9*C56*C$33/1000</f>
        <v>-0.9873402</v>
      </c>
      <c r="T56">
        <f>1/2*inputs!$K$9*D56*D$33/1000</f>
        <v>0</v>
      </c>
      <c r="U56">
        <f>1/2*inputs!$K$9*E56*E$33/1000</f>
        <v>0</v>
      </c>
      <c r="V56">
        <f>1/2*inputs!$K$9*F56*F$33/1000</f>
        <v>0</v>
      </c>
      <c r="W56">
        <f>1/2*inputs!$K$9*G56*G$33/1000</f>
        <v>73.582233647999999</v>
      </c>
      <c r="X56"/>
      <c r="Y56"/>
      <c r="Z56"/>
      <c r="AA56"/>
      <c r="AB56"/>
      <c r="AC56"/>
      <c r="AE56" s="144"/>
      <c r="AM56" s="144"/>
    </row>
    <row r="57" spans="1:39" x14ac:dyDescent="0.25">
      <c r="A57">
        <v>210</v>
      </c>
      <c r="B57" s="51">
        <v>-0.45900000000000002</v>
      </c>
      <c r="C57" s="51">
        <v>-1.6719999999999999</v>
      </c>
      <c r="D57" s="51">
        <v>0</v>
      </c>
      <c r="E57" s="51">
        <v>0</v>
      </c>
      <c r="F57" s="51">
        <v>0</v>
      </c>
      <c r="G57" s="51">
        <v>101.72799999999999</v>
      </c>
      <c r="H57" s="144"/>
      <c r="I57" s="51"/>
      <c r="J57" s="51"/>
      <c r="K57" s="51"/>
      <c r="L57" s="51"/>
      <c r="M57" s="51"/>
      <c r="N57" s="51"/>
      <c r="O57" s="51"/>
      <c r="P57" s="144"/>
      <c r="Q57">
        <f t="shared" si="20"/>
        <v>210</v>
      </c>
      <c r="R57">
        <f>1/2*inputs!$K$9*B57*B$33/1000</f>
        <v>-0.431608716</v>
      </c>
      <c r="S57">
        <f>1/2*inputs!$K$9*C57*C$33/1000</f>
        <v>-1.5722217279999997</v>
      </c>
      <c r="T57">
        <f>1/2*inputs!$K$9*D57*D$33/1000</f>
        <v>0</v>
      </c>
      <c r="U57">
        <f>1/2*inputs!$K$9*E57*E$33/1000</f>
        <v>0</v>
      </c>
      <c r="V57">
        <f>1/2*inputs!$K$9*F57*F$33/1000</f>
        <v>0</v>
      </c>
      <c r="W57">
        <f>1/2*inputs!$K$9*G57*G$33/1000</f>
        <v>95.657279872000004</v>
      </c>
      <c r="X57"/>
      <c r="Y57"/>
      <c r="Z57"/>
      <c r="AA57"/>
      <c r="AB57"/>
      <c r="AC57"/>
      <c r="AE57" s="144"/>
      <c r="AM57" s="144"/>
    </row>
    <row r="58" spans="1:39" x14ac:dyDescent="0.25">
      <c r="A58">
        <v>220</v>
      </c>
      <c r="B58" s="51">
        <v>-0.36399999999999999</v>
      </c>
      <c r="C58" s="51">
        <v>-2.12</v>
      </c>
      <c r="D58" s="51">
        <v>0</v>
      </c>
      <c r="E58" s="51">
        <v>0</v>
      </c>
      <c r="F58" s="51">
        <v>0</v>
      </c>
      <c r="G58" s="51">
        <v>115.244</v>
      </c>
      <c r="H58" s="144"/>
      <c r="I58" s="51"/>
      <c r="J58" s="51"/>
      <c r="K58" s="51"/>
      <c r="L58" s="51"/>
      <c r="M58" s="51"/>
      <c r="N58" s="51"/>
      <c r="O58" s="51"/>
      <c r="P58" s="144"/>
      <c r="Q58">
        <f t="shared" si="20"/>
        <v>220</v>
      </c>
      <c r="R58">
        <f>1/2*inputs!$K$9*B58*B$33/1000</f>
        <v>-0.342277936</v>
      </c>
      <c r="S58">
        <f>1/2*inputs!$K$9*C58*C$33/1000</f>
        <v>-1.9934868800000001</v>
      </c>
      <c r="T58">
        <f>1/2*inputs!$K$9*D58*D$33/1000</f>
        <v>0</v>
      </c>
      <c r="U58">
        <f>1/2*inputs!$K$9*E58*E$33/1000</f>
        <v>0</v>
      </c>
      <c r="V58">
        <f>1/2*inputs!$K$9*F58*F$33/1000</f>
        <v>0</v>
      </c>
      <c r="W58">
        <f>1/2*inputs!$K$9*G58*G$33/1000</f>
        <v>108.366699056</v>
      </c>
      <c r="X58"/>
      <c r="Y58"/>
      <c r="Z58"/>
      <c r="AA58"/>
      <c r="AB58"/>
      <c r="AC58"/>
      <c r="AE58" s="144"/>
      <c r="AM58" s="144"/>
    </row>
    <row r="59" spans="1:39" x14ac:dyDescent="0.25">
      <c r="A59">
        <v>230</v>
      </c>
      <c r="B59" s="51">
        <v>-0.27500000000000002</v>
      </c>
      <c r="C59" s="51">
        <v>-2.431</v>
      </c>
      <c r="D59" s="51">
        <v>0</v>
      </c>
      <c r="E59" s="51">
        <v>0</v>
      </c>
      <c r="F59" s="51">
        <v>0</v>
      </c>
      <c r="G59" s="51">
        <v>118.801</v>
      </c>
      <c r="H59" s="144"/>
      <c r="I59" s="51"/>
      <c r="J59" s="51"/>
      <c r="K59" s="51"/>
      <c r="L59" s="51"/>
      <c r="M59" s="51"/>
      <c r="N59" s="51"/>
      <c r="O59" s="51"/>
      <c r="P59" s="144"/>
      <c r="Q59">
        <f t="shared" si="20"/>
        <v>230</v>
      </c>
      <c r="R59">
        <f>1/2*inputs!$K$9*B59*B$33/1000</f>
        <v>-0.25858910000000002</v>
      </c>
      <c r="S59">
        <f>1/2*inputs!$K$9*C59*C$33/1000</f>
        <v>-2.285927644</v>
      </c>
      <c r="T59">
        <f>1/2*inputs!$K$9*D59*D$33/1000</f>
        <v>0</v>
      </c>
      <c r="U59">
        <f>1/2*inputs!$K$9*E59*E$33/1000</f>
        <v>0</v>
      </c>
      <c r="V59">
        <f>1/2*inputs!$K$9*F59*F$33/1000</f>
        <v>0</v>
      </c>
      <c r="W59">
        <f>1/2*inputs!$K$9*G59*G$33/1000</f>
        <v>111.71143152400001</v>
      </c>
      <c r="X59"/>
      <c r="Y59"/>
      <c r="Z59"/>
      <c r="AA59"/>
      <c r="AB59"/>
      <c r="AC59"/>
      <c r="AE59" s="144"/>
      <c r="AM59" s="144"/>
    </row>
    <row r="60" spans="1:39" x14ac:dyDescent="0.25">
      <c r="A60">
        <v>240</v>
      </c>
      <c r="B60" s="51">
        <v>-0.19800000000000001</v>
      </c>
      <c r="C60" s="51">
        <v>-2.625</v>
      </c>
      <c r="D60" s="51">
        <v>0</v>
      </c>
      <c r="E60" s="51">
        <v>0</v>
      </c>
      <c r="F60" s="51">
        <v>0</v>
      </c>
      <c r="G60" s="51">
        <v>116.667</v>
      </c>
      <c r="H60" s="144"/>
      <c r="I60" s="51"/>
      <c r="J60" s="51"/>
      <c r="K60" s="51"/>
      <c r="L60" s="51"/>
      <c r="M60" s="51"/>
      <c r="N60" s="51"/>
      <c r="O60" s="51"/>
      <c r="P60" s="144"/>
      <c r="Q60">
        <f t="shared" si="20"/>
        <v>240</v>
      </c>
      <c r="R60">
        <f>1/2*inputs!$K$9*B60*B$33/1000</f>
        <v>-0.18618415199999999</v>
      </c>
      <c r="S60">
        <f>1/2*inputs!$K$9*C60*C$33/1000</f>
        <v>-2.4683505000000001</v>
      </c>
      <c r="T60">
        <f>1/2*inputs!$K$9*D60*D$33/1000</f>
        <v>0</v>
      </c>
      <c r="U60">
        <f>1/2*inputs!$K$9*E60*E$33/1000</f>
        <v>0</v>
      </c>
      <c r="V60">
        <f>1/2*inputs!$K$9*F60*F$33/1000</f>
        <v>0</v>
      </c>
      <c r="W60">
        <f>1/2*inputs!$K$9*G60*G$33/1000</f>
        <v>109.70478010799999</v>
      </c>
      <c r="X60"/>
      <c r="Y60"/>
      <c r="Z60"/>
      <c r="AA60"/>
      <c r="AB60"/>
      <c r="AC60"/>
      <c r="AE60" s="144"/>
      <c r="AM60" s="144"/>
    </row>
    <row r="61" spans="1:39" x14ac:dyDescent="0.25">
      <c r="A61">
        <v>250</v>
      </c>
      <c r="B61" s="51">
        <v>-0.14799999999999999</v>
      </c>
      <c r="C61" s="51">
        <v>-2.722</v>
      </c>
      <c r="D61" s="51">
        <v>0</v>
      </c>
      <c r="E61" s="51">
        <v>0</v>
      </c>
      <c r="F61" s="51">
        <v>0</v>
      </c>
      <c r="G61" s="51">
        <v>107.419</v>
      </c>
      <c r="H61" s="144"/>
      <c r="I61" s="51"/>
      <c r="J61" s="51"/>
      <c r="K61" s="51"/>
      <c r="L61" s="51"/>
      <c r="M61" s="51"/>
      <c r="N61" s="51"/>
      <c r="O61" s="51"/>
      <c r="P61" s="144"/>
      <c r="Q61">
        <f t="shared" si="20"/>
        <v>250</v>
      </c>
      <c r="R61">
        <f>1/2*inputs!$K$9*B61*B$33/1000</f>
        <v>-0.13916795199999998</v>
      </c>
      <c r="S61">
        <f>1/2*inputs!$K$9*C61*C$33/1000</f>
        <v>-2.5595619279999999</v>
      </c>
      <c r="T61">
        <f>1/2*inputs!$K$9*D61*D$33/1000</f>
        <v>0</v>
      </c>
      <c r="U61">
        <f>1/2*inputs!$K$9*E61*E$33/1000</f>
        <v>0</v>
      </c>
      <c r="V61">
        <f>1/2*inputs!$K$9*F61*F$33/1000</f>
        <v>0</v>
      </c>
      <c r="W61">
        <f>1/2*inputs!$K$9*G61*G$33/1000</f>
        <v>101.00866375599999</v>
      </c>
      <c r="X61"/>
      <c r="Y61"/>
      <c r="Z61"/>
      <c r="AA61"/>
      <c r="AB61"/>
      <c r="AC61"/>
      <c r="AE61" s="144"/>
      <c r="AM61" s="144"/>
    </row>
    <row r="62" spans="1:39" x14ac:dyDescent="0.25">
      <c r="A62">
        <v>260</v>
      </c>
      <c r="B62" s="51">
        <v>-9.1999999999999998E-2</v>
      </c>
      <c r="C62" s="51">
        <v>-2.7810000000000001</v>
      </c>
      <c r="D62" s="51">
        <v>0</v>
      </c>
      <c r="E62" s="51">
        <v>0</v>
      </c>
      <c r="F62" s="51">
        <v>0</v>
      </c>
      <c r="G62" s="51">
        <v>89.634</v>
      </c>
      <c r="H62" s="144"/>
      <c r="I62" s="51"/>
      <c r="J62" s="51"/>
      <c r="K62" s="51"/>
      <c r="L62" s="51"/>
      <c r="M62" s="51"/>
      <c r="N62" s="51"/>
      <c r="O62" s="51"/>
      <c r="P62" s="144"/>
      <c r="Q62">
        <f t="shared" si="20"/>
        <v>260</v>
      </c>
      <c r="R62">
        <f>1/2*inputs!$K$9*B62*B$33/1000</f>
        <v>-8.6509807999999994E-2</v>
      </c>
      <c r="S62">
        <f>1/2*inputs!$K$9*C62*C$33/1000</f>
        <v>-2.6150410440000003</v>
      </c>
      <c r="T62">
        <f>1/2*inputs!$K$9*D62*D$33/1000</f>
        <v>0</v>
      </c>
      <c r="U62">
        <f>1/2*inputs!$K$9*E62*E$33/1000</f>
        <v>0</v>
      </c>
      <c r="V62">
        <f>1/2*inputs!$K$9*F62*F$33/1000</f>
        <v>0</v>
      </c>
      <c r="W62">
        <f>1/2*inputs!$K$9*G62*G$33/1000</f>
        <v>84.285001416</v>
      </c>
      <c r="X62"/>
      <c r="Y62"/>
      <c r="Z62"/>
      <c r="AA62"/>
      <c r="AB62"/>
      <c r="AC62"/>
      <c r="AE62" s="144"/>
      <c r="AM62" s="144"/>
    </row>
    <row r="63" spans="1:39" x14ac:dyDescent="0.25">
      <c r="A63">
        <v>270</v>
      </c>
      <c r="B63" s="51">
        <v>-2.8000000000000001E-2</v>
      </c>
      <c r="C63" s="51">
        <v>-2.8</v>
      </c>
      <c r="D63" s="51">
        <v>0</v>
      </c>
      <c r="E63" s="51">
        <v>0</v>
      </c>
      <c r="F63" s="51">
        <v>0</v>
      </c>
      <c r="G63" s="51">
        <v>79.674999999999997</v>
      </c>
      <c r="H63" s="144"/>
      <c r="I63" s="51"/>
      <c r="J63" s="51"/>
      <c r="K63" s="51"/>
      <c r="L63" s="51"/>
      <c r="M63" s="51"/>
      <c r="N63" s="51"/>
      <c r="O63" s="51"/>
      <c r="P63" s="144"/>
      <c r="Q63">
        <f t="shared" si="20"/>
        <v>270</v>
      </c>
      <c r="R63">
        <f>1/2*inputs!$K$9*B63*B$33/1000</f>
        <v>-2.6329071999999999E-2</v>
      </c>
      <c r="S63">
        <f>1/2*inputs!$K$9*C63*C$33/1000</f>
        <v>-2.6329071999999996</v>
      </c>
      <c r="T63">
        <f>1/2*inputs!$K$9*D63*D$33/1000</f>
        <v>0</v>
      </c>
      <c r="U63">
        <f>1/2*inputs!$K$9*E63*E$33/1000</f>
        <v>0</v>
      </c>
      <c r="V63">
        <f>1/2*inputs!$K$9*F63*F$33/1000</f>
        <v>0</v>
      </c>
      <c r="W63">
        <f>1/2*inputs!$K$9*G63*G$33/1000</f>
        <v>74.920314699999992</v>
      </c>
      <c r="X63"/>
      <c r="Y63"/>
      <c r="Z63"/>
      <c r="AA63"/>
      <c r="AB63"/>
      <c r="AC63"/>
      <c r="AE63" s="144"/>
      <c r="AM63" s="144"/>
    </row>
    <row r="64" spans="1:39" x14ac:dyDescent="0.25">
      <c r="A64">
        <v>280</v>
      </c>
      <c r="B64" s="51">
        <v>4.9000000000000002E-2</v>
      </c>
      <c r="C64" s="51">
        <v>-2.7610000000000001</v>
      </c>
      <c r="D64" s="51">
        <v>0</v>
      </c>
      <c r="E64" s="51">
        <v>0</v>
      </c>
      <c r="F64" s="51">
        <v>0</v>
      </c>
      <c r="G64" s="51">
        <v>73.983999999999995</v>
      </c>
      <c r="H64" s="144"/>
      <c r="I64" s="51"/>
      <c r="J64" s="51"/>
      <c r="K64" s="51"/>
      <c r="L64" s="51"/>
      <c r="M64" s="51"/>
      <c r="N64" s="51"/>
      <c r="O64" s="51"/>
      <c r="P64" s="144"/>
      <c r="Q64">
        <f t="shared" si="20"/>
        <v>280</v>
      </c>
      <c r="R64">
        <f>1/2*inputs!$K$9*B64*B$33/1000</f>
        <v>4.6075876000000002E-2</v>
      </c>
      <c r="S64">
        <f>1/2*inputs!$K$9*C64*C$33/1000</f>
        <v>-2.5962345640000004</v>
      </c>
      <c r="T64">
        <f>1/2*inputs!$K$9*D64*D$33/1000</f>
        <v>0</v>
      </c>
      <c r="U64">
        <f>1/2*inputs!$K$9*E64*E$33/1000</f>
        <v>0</v>
      </c>
      <c r="V64">
        <f>1/2*inputs!$K$9*F64*F$33/1000</f>
        <v>0</v>
      </c>
      <c r="W64">
        <f>1/2*inputs!$K$9*G64*G$33/1000</f>
        <v>69.568930815999991</v>
      </c>
      <c r="X64"/>
      <c r="Y64"/>
      <c r="Z64"/>
      <c r="AA64"/>
      <c r="AB64"/>
      <c r="AC64"/>
      <c r="AE64" s="144"/>
      <c r="AM64" s="144"/>
    </row>
    <row r="65" spans="1:39" x14ac:dyDescent="0.25">
      <c r="A65">
        <v>290</v>
      </c>
      <c r="B65" s="51">
        <v>0.13400000000000001</v>
      </c>
      <c r="C65" s="51">
        <v>-2.6059999999999999</v>
      </c>
      <c r="D65" s="51">
        <v>0</v>
      </c>
      <c r="E65" s="51">
        <v>0</v>
      </c>
      <c r="F65" s="51">
        <v>0</v>
      </c>
      <c r="G65" s="51">
        <v>66.159000000000006</v>
      </c>
      <c r="H65" s="144"/>
      <c r="I65" s="51"/>
      <c r="J65" s="51"/>
      <c r="K65" s="51"/>
      <c r="L65" s="51"/>
      <c r="M65" s="51"/>
      <c r="N65" s="51"/>
      <c r="O65" s="51"/>
      <c r="P65" s="144"/>
      <c r="Q65">
        <f t="shared" si="20"/>
        <v>290</v>
      </c>
      <c r="R65">
        <f>1/2*inputs!$K$9*B65*B$33/1000</f>
        <v>0.12600341600000001</v>
      </c>
      <c r="S65">
        <f>1/2*inputs!$K$9*C65*C$33/1000</f>
        <v>-2.4504843439999999</v>
      </c>
      <c r="T65">
        <f>1/2*inputs!$K$9*D65*D$33/1000</f>
        <v>0</v>
      </c>
      <c r="U65">
        <f>1/2*inputs!$K$9*E65*E$33/1000</f>
        <v>0</v>
      </c>
      <c r="V65">
        <f>1/2*inputs!$K$9*F65*F$33/1000</f>
        <v>0</v>
      </c>
      <c r="W65">
        <f>1/2*inputs!$K$9*G65*G$33/1000</f>
        <v>62.210895516000001</v>
      </c>
      <c r="X65"/>
      <c r="Y65"/>
      <c r="Z65"/>
      <c r="AA65"/>
      <c r="AB65"/>
      <c r="AC65"/>
      <c r="AE65" s="144"/>
      <c r="AM65" s="144"/>
    </row>
    <row r="66" spans="1:39" x14ac:dyDescent="0.25">
      <c r="A66">
        <v>300</v>
      </c>
      <c r="B66" s="51">
        <v>0.23300000000000001</v>
      </c>
      <c r="C66" s="51">
        <v>-2.4500000000000002</v>
      </c>
      <c r="D66" s="51">
        <v>0</v>
      </c>
      <c r="E66" s="51">
        <v>0</v>
      </c>
      <c r="F66" s="51">
        <v>0</v>
      </c>
      <c r="G66" s="51">
        <v>58.334000000000003</v>
      </c>
      <c r="H66" s="144"/>
      <c r="I66" s="51"/>
      <c r="J66" s="51"/>
      <c r="K66" s="51"/>
      <c r="L66" s="51"/>
      <c r="M66" s="51"/>
      <c r="N66" s="51"/>
      <c r="O66" s="51"/>
      <c r="P66" s="144"/>
      <c r="Q66">
        <f t="shared" si="20"/>
        <v>300</v>
      </c>
      <c r="R66">
        <f>1/2*inputs!$K$9*B66*B$33/1000</f>
        <v>0.219095492</v>
      </c>
      <c r="S66">
        <f>1/2*inputs!$K$9*C66*C$33/1000</f>
        <v>-2.3037938000000002</v>
      </c>
      <c r="T66">
        <f>1/2*inputs!$K$9*D66*D$33/1000</f>
        <v>0</v>
      </c>
      <c r="U66">
        <f>1/2*inputs!$K$9*E66*E$33/1000</f>
        <v>0</v>
      </c>
      <c r="V66">
        <f>1/2*inputs!$K$9*F66*F$33/1000</f>
        <v>0</v>
      </c>
      <c r="W66">
        <f>1/2*inputs!$K$9*G66*G$33/1000</f>
        <v>54.85286021600001</v>
      </c>
      <c r="X66"/>
      <c r="Y66"/>
      <c r="Z66"/>
      <c r="AA66"/>
      <c r="AB66"/>
      <c r="AC66"/>
      <c r="AE66" s="144"/>
      <c r="AM66" s="144"/>
    </row>
    <row r="67" spans="1:39" x14ac:dyDescent="0.25">
      <c r="A67">
        <v>310</v>
      </c>
      <c r="B67" s="51">
        <v>0.33200000000000002</v>
      </c>
      <c r="C67" s="51">
        <v>-2.1589999999999998</v>
      </c>
      <c r="D67" s="51">
        <v>0</v>
      </c>
      <c r="E67" s="51">
        <v>0</v>
      </c>
      <c r="F67" s="51">
        <v>0</v>
      </c>
      <c r="G67" s="51">
        <v>48.374000000000002</v>
      </c>
      <c r="H67" s="144"/>
      <c r="I67" s="51"/>
      <c r="J67" s="51"/>
      <c r="K67" s="51"/>
      <c r="L67" s="51"/>
      <c r="M67" s="51"/>
      <c r="N67" s="51"/>
      <c r="O67" s="51"/>
      <c r="P67" s="144"/>
      <c r="Q67">
        <f t="shared" si="20"/>
        <v>310</v>
      </c>
      <c r="R67">
        <f>1/2*inputs!$K$9*B67*B$33/1000</f>
        <v>0.31218756800000003</v>
      </c>
      <c r="S67">
        <f>1/2*inputs!$K$9*C67*C$33/1000</f>
        <v>-2.0301595159999999</v>
      </c>
      <c r="T67">
        <f>1/2*inputs!$K$9*D67*D$33/1000</f>
        <v>0</v>
      </c>
      <c r="U67">
        <f>1/2*inputs!$K$9*E67*E$33/1000</f>
        <v>0</v>
      </c>
      <c r="V67">
        <f>1/2*inputs!$K$9*F67*F$33/1000</f>
        <v>0</v>
      </c>
      <c r="W67">
        <f>1/2*inputs!$K$9*G67*G$33/1000</f>
        <v>45.487233176000004</v>
      </c>
      <c r="X67"/>
      <c r="Y67"/>
      <c r="Z67"/>
      <c r="AA67"/>
      <c r="AB67"/>
      <c r="AC67"/>
      <c r="AE67" s="144"/>
      <c r="AM67" s="144"/>
    </row>
    <row r="68" spans="1:39" x14ac:dyDescent="0.25">
      <c r="A68">
        <v>320</v>
      </c>
      <c r="B68" s="51">
        <v>0.43099999999999999</v>
      </c>
      <c r="C68" s="51">
        <v>-1.6719999999999999</v>
      </c>
      <c r="D68" s="51">
        <v>0</v>
      </c>
      <c r="E68" s="51">
        <v>0</v>
      </c>
      <c r="F68" s="51">
        <v>0</v>
      </c>
      <c r="G68" s="51">
        <v>35.569000000000003</v>
      </c>
      <c r="H68" s="144"/>
      <c r="I68" s="51"/>
      <c r="J68" s="51"/>
      <c r="K68" s="51"/>
      <c r="L68" s="51"/>
      <c r="M68" s="51"/>
      <c r="N68" s="51"/>
      <c r="O68" s="51"/>
      <c r="P68" s="144"/>
      <c r="Q68">
        <f t="shared" si="20"/>
        <v>320</v>
      </c>
      <c r="R68">
        <f>1/2*inputs!$K$9*B68*B$33/1000</f>
        <v>0.40527964399999994</v>
      </c>
      <c r="S68">
        <f>1/2*inputs!$K$9*C68*C$33/1000</f>
        <v>-1.5722217279999997</v>
      </c>
      <c r="T68">
        <f>1/2*inputs!$K$9*D68*D$33/1000</f>
        <v>0</v>
      </c>
      <c r="U68">
        <f>1/2*inputs!$K$9*E68*E$33/1000</f>
        <v>0</v>
      </c>
      <c r="V68">
        <f>1/2*inputs!$K$9*F68*F$33/1000</f>
        <v>0</v>
      </c>
      <c r="W68">
        <f>1/2*inputs!$K$9*G68*G$33/1000</f>
        <v>33.446384356000003</v>
      </c>
      <c r="X68"/>
      <c r="Y68"/>
      <c r="Z68"/>
      <c r="AA68"/>
      <c r="AB68"/>
      <c r="AC68"/>
      <c r="AE68" s="144"/>
      <c r="AM68" s="144"/>
    </row>
    <row r="69" spans="1:39" x14ac:dyDescent="0.25">
      <c r="A69">
        <v>330</v>
      </c>
      <c r="B69" s="51">
        <v>0.51500000000000001</v>
      </c>
      <c r="C69" s="51">
        <v>-1.206</v>
      </c>
      <c r="D69" s="51">
        <v>0</v>
      </c>
      <c r="E69" s="51">
        <v>0</v>
      </c>
      <c r="F69" s="51">
        <v>0</v>
      </c>
      <c r="G69" s="51">
        <v>24.187000000000001</v>
      </c>
      <c r="H69" s="144"/>
      <c r="I69" s="51"/>
      <c r="J69" s="51"/>
      <c r="K69" s="51"/>
      <c r="L69" s="51"/>
      <c r="M69" s="51"/>
      <c r="N69" s="51"/>
      <c r="O69" s="51"/>
      <c r="P69" s="144"/>
      <c r="Q69">
        <f t="shared" si="20"/>
        <v>330</v>
      </c>
      <c r="R69">
        <f>1/2*inputs!$K$9*B69*B$33/1000</f>
        <v>0.48426685999999997</v>
      </c>
      <c r="S69">
        <f>1/2*inputs!$K$9*C69*C$33/1000</f>
        <v>-1.1340307439999999</v>
      </c>
      <c r="T69">
        <f>1/2*inputs!$K$9*D69*D$33/1000</f>
        <v>0</v>
      </c>
      <c r="U69">
        <f>1/2*inputs!$K$9*E69*E$33/1000</f>
        <v>0</v>
      </c>
      <c r="V69">
        <f>1/2*inputs!$K$9*F69*F$33/1000</f>
        <v>0</v>
      </c>
      <c r="W69">
        <f>1/2*inputs!$K$9*G69*G$33/1000</f>
        <v>22.743616588000002</v>
      </c>
      <c r="X69"/>
      <c r="Y69"/>
      <c r="Z69"/>
      <c r="AA69"/>
      <c r="AB69"/>
      <c r="AC69"/>
      <c r="AE69" s="144"/>
      <c r="AM69" s="144"/>
    </row>
    <row r="70" spans="1:39" x14ac:dyDescent="0.25">
      <c r="A70">
        <v>340</v>
      </c>
      <c r="B70" s="51">
        <v>0.58599999999999997</v>
      </c>
      <c r="C70" s="51">
        <v>-0.75800000000000001</v>
      </c>
      <c r="D70" s="51">
        <v>0</v>
      </c>
      <c r="E70" s="51">
        <v>0</v>
      </c>
      <c r="F70" s="51">
        <v>0</v>
      </c>
      <c r="G70" s="51">
        <v>13.516</v>
      </c>
      <c r="H70" s="144"/>
      <c r="I70" s="51"/>
      <c r="J70" s="51"/>
      <c r="K70" s="51"/>
      <c r="L70" s="51"/>
      <c r="M70" s="51"/>
      <c r="N70" s="51"/>
      <c r="O70" s="51"/>
      <c r="P70" s="144"/>
      <c r="Q70">
        <f t="shared" si="20"/>
        <v>340</v>
      </c>
      <c r="R70">
        <f>1/2*inputs!$K$9*B70*B$33/1000</f>
        <v>0.55102986399999998</v>
      </c>
      <c r="S70">
        <f>1/2*inputs!$K$9*C70*C$33/1000</f>
        <v>-0.712765592</v>
      </c>
      <c r="T70">
        <f>1/2*inputs!$K$9*D70*D$33/1000</f>
        <v>0</v>
      </c>
      <c r="U70">
        <f>1/2*inputs!$K$9*E70*E$33/1000</f>
        <v>0</v>
      </c>
      <c r="V70">
        <f>1/2*inputs!$K$9*F70*F$33/1000</f>
        <v>0</v>
      </c>
      <c r="W70">
        <f>1/2*inputs!$K$9*G70*G$33/1000</f>
        <v>12.709419184</v>
      </c>
      <c r="X70"/>
      <c r="Y70"/>
      <c r="Z70"/>
      <c r="AA70"/>
      <c r="AB70"/>
      <c r="AC70"/>
      <c r="AE70" s="144"/>
      <c r="AM70" s="144"/>
    </row>
    <row r="71" spans="1:39" x14ac:dyDescent="0.25">
      <c r="A71">
        <v>350</v>
      </c>
      <c r="B71" s="51">
        <v>0.63900000000000001</v>
      </c>
      <c r="C71" s="51">
        <v>-0.35</v>
      </c>
      <c r="D71" s="51">
        <v>0</v>
      </c>
      <c r="E71" s="51">
        <v>0</v>
      </c>
      <c r="F71" s="51">
        <v>0</v>
      </c>
      <c r="G71" s="51">
        <v>5.6909999999999998</v>
      </c>
      <c r="H71" s="144"/>
      <c r="I71" s="51"/>
      <c r="J71" s="51"/>
      <c r="K71" s="51"/>
      <c r="L71" s="51"/>
      <c r="M71" s="51"/>
      <c r="N71" s="51"/>
      <c r="O71" s="51"/>
      <c r="P71" s="144"/>
      <c r="Q71">
        <f t="shared" si="20"/>
        <v>350</v>
      </c>
      <c r="R71">
        <f>1/2*inputs!$K$9*B71*B$33/1000</f>
        <v>0.60086703600000002</v>
      </c>
      <c r="S71">
        <f>1/2*inputs!$K$9*C71*C$33/1000</f>
        <v>-0.32911339999999994</v>
      </c>
      <c r="T71">
        <f>1/2*inputs!$K$9*D71*D$33/1000</f>
        <v>0</v>
      </c>
      <c r="U71">
        <f>1/2*inputs!$K$9*E71*E$33/1000</f>
        <v>0</v>
      </c>
      <c r="V71">
        <f>1/2*inputs!$K$9*F71*F$33/1000</f>
        <v>0</v>
      </c>
      <c r="W71">
        <f>1/2*inputs!$K$9*G71*G$33/1000</f>
        <v>5.3513838839999996</v>
      </c>
      <c r="X71"/>
      <c r="Y71"/>
      <c r="Z71"/>
      <c r="AA71"/>
      <c r="AB71"/>
      <c r="AC71"/>
      <c r="AE71" s="144"/>
      <c r="AM71" s="144"/>
    </row>
    <row r="72" spans="1:39" ht="15.75" x14ac:dyDescent="0.25">
      <c r="A72" s="140">
        <v>360</v>
      </c>
      <c r="B72" s="148">
        <f>B48</f>
        <v>-0.19800000000000001</v>
      </c>
      <c r="C72" s="148">
        <f t="shared" ref="C72:G72" si="21">C48</f>
        <v>2.625</v>
      </c>
      <c r="D72" s="148">
        <f t="shared" si="21"/>
        <v>0</v>
      </c>
      <c r="E72" s="148">
        <f t="shared" si="21"/>
        <v>0</v>
      </c>
      <c r="F72" s="148">
        <f t="shared" si="21"/>
        <v>0</v>
      </c>
      <c r="G72" s="148">
        <f t="shared" si="21"/>
        <v>-116.667</v>
      </c>
      <c r="I72" s="148"/>
      <c r="J72" s="148"/>
      <c r="K72" s="148"/>
      <c r="L72" s="148"/>
      <c r="M72" s="148"/>
      <c r="N72" s="148"/>
      <c r="O72" s="148"/>
      <c r="Q72">
        <f t="shared" ref="Q72" si="22">A72</f>
        <v>360</v>
      </c>
      <c r="R72">
        <f>1/2*inputs!$K$9*B72*B$33/1000</f>
        <v>-0.18618415199999999</v>
      </c>
      <c r="S72">
        <f>1/2*inputs!$K$9*C72*C$33/1000</f>
        <v>2.4683505000000001</v>
      </c>
      <c r="T72">
        <f>1/2*inputs!$K$9*D72*D$33/1000</f>
        <v>0</v>
      </c>
      <c r="U72">
        <f>1/2*inputs!$K$9*E72*E$33/1000</f>
        <v>0</v>
      </c>
      <c r="V72">
        <f>1/2*inputs!$K$9*F72*F$33/1000</f>
        <v>0</v>
      </c>
      <c r="W72">
        <f>1/2*inputs!$K$9*G72*G$33/1000</f>
        <v>-109.70478010799999</v>
      </c>
      <c r="X72"/>
      <c r="Y72"/>
      <c r="Z72"/>
      <c r="AA72"/>
      <c r="AB72"/>
      <c r="AC72"/>
    </row>
  </sheetData>
  <mergeCells count="4">
    <mergeCell ref="Q1:W1"/>
    <mergeCell ref="X1:AD1"/>
    <mergeCell ref="I1:O1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0071-3034-4454-99B7-8DBD0FAA4AE2}">
  <dimension ref="A1:AK216"/>
  <sheetViews>
    <sheetView tabSelected="1" topLeftCell="N171" zoomScale="70" zoomScaleNormal="70" workbookViewId="0">
      <selection activeCell="X190" sqref="X190"/>
    </sheetView>
  </sheetViews>
  <sheetFormatPr defaultColWidth="8.5703125" defaultRowHeight="15" x14ac:dyDescent="0.25"/>
  <cols>
    <col min="1" max="7" width="12.7109375" customWidth="1"/>
    <col min="8" max="8" width="21.42578125" customWidth="1"/>
    <col min="9" max="17" width="12.7109375" customWidth="1"/>
    <col min="19" max="19" width="10.7109375" customWidth="1"/>
    <col min="20" max="21" width="14.5703125" customWidth="1"/>
    <col min="22" max="22" width="14.42578125" customWidth="1"/>
    <col min="23" max="23" width="12" customWidth="1"/>
    <col min="24" max="24" width="45.140625" customWidth="1"/>
    <col min="25" max="25" width="12.140625" customWidth="1"/>
  </cols>
  <sheetData>
    <row r="1" spans="1:24" ht="15.75" customHeight="1" x14ac:dyDescent="0.25">
      <c r="A1" s="222" t="s">
        <v>53</v>
      </c>
      <c r="B1" s="222"/>
      <c r="C1" s="222"/>
      <c r="D1" s="222"/>
      <c r="E1" s="222"/>
      <c r="F1" s="222"/>
      <c r="G1" s="222"/>
      <c r="H1" s="13"/>
      <c r="I1" s="223" t="s">
        <v>54</v>
      </c>
      <c r="J1" s="223"/>
      <c r="K1" s="223"/>
      <c r="L1" s="223"/>
      <c r="M1" s="223"/>
      <c r="N1" s="223"/>
      <c r="O1" s="223"/>
      <c r="R1" s="224"/>
      <c r="S1" s="224"/>
      <c r="T1" s="224"/>
      <c r="U1" s="224"/>
      <c r="V1" s="224"/>
      <c r="W1" s="224"/>
      <c r="X1" s="224"/>
    </row>
    <row r="2" spans="1:24" x14ac:dyDescent="0.25">
      <c r="A2" s="99" t="s">
        <v>55</v>
      </c>
      <c r="B2" s="100"/>
      <c r="C2" s="100"/>
      <c r="D2" s="100"/>
      <c r="E2" s="100"/>
      <c r="F2" s="100"/>
      <c r="G2" s="100"/>
      <c r="H2" s="16"/>
      <c r="I2" s="90" t="s">
        <v>55</v>
      </c>
      <c r="J2" s="91">
        <f t="shared" ref="J2:O2" si="0">B2</f>
        <v>0</v>
      </c>
      <c r="K2" s="91">
        <f t="shared" si="0"/>
        <v>0</v>
      </c>
      <c r="L2" s="91">
        <f t="shared" si="0"/>
        <v>0</v>
      </c>
      <c r="M2" s="91">
        <f t="shared" si="0"/>
        <v>0</v>
      </c>
      <c r="N2" s="91">
        <f t="shared" si="0"/>
        <v>0</v>
      </c>
      <c r="O2" s="91">
        <f t="shared" si="0"/>
        <v>0</v>
      </c>
      <c r="Q2" t="s">
        <v>56</v>
      </c>
    </row>
    <row r="3" spans="1:24" x14ac:dyDescent="0.25">
      <c r="A3" s="99"/>
      <c r="B3" s="101" t="s">
        <v>57</v>
      </c>
      <c r="C3" s="101" t="s">
        <v>57</v>
      </c>
      <c r="D3" s="101" t="s">
        <v>57</v>
      </c>
      <c r="E3" s="101" t="s">
        <v>58</v>
      </c>
      <c r="F3" s="101" t="s">
        <v>58</v>
      </c>
      <c r="G3" s="101" t="s">
        <v>58</v>
      </c>
      <c r="H3" s="19"/>
      <c r="I3" s="90"/>
      <c r="J3" s="92" t="s">
        <v>57</v>
      </c>
      <c r="K3" s="92" t="s">
        <v>57</v>
      </c>
      <c r="L3" s="92" t="s">
        <v>57</v>
      </c>
      <c r="M3" s="92" t="s">
        <v>58</v>
      </c>
      <c r="N3" s="92" t="s">
        <v>58</v>
      </c>
      <c r="O3" s="92" t="s">
        <v>58</v>
      </c>
    </row>
    <row r="4" spans="1:24" ht="27" x14ac:dyDescent="0.25">
      <c r="A4" s="102" t="s">
        <v>59</v>
      </c>
      <c r="B4" s="99" t="s">
        <v>178</v>
      </c>
      <c r="C4" s="99" t="s">
        <v>179</v>
      </c>
      <c r="D4" s="99" t="s">
        <v>180</v>
      </c>
      <c r="E4" s="99" t="s">
        <v>181</v>
      </c>
      <c r="F4" s="99" t="s">
        <v>182</v>
      </c>
      <c r="G4" s="99" t="s">
        <v>183</v>
      </c>
      <c r="H4" s="13"/>
      <c r="I4" s="93" t="s">
        <v>59</v>
      </c>
      <c r="J4" s="90" t="s">
        <v>60</v>
      </c>
      <c r="K4" s="90" t="s">
        <v>61</v>
      </c>
      <c r="L4" s="90" t="s">
        <v>62</v>
      </c>
      <c r="M4" s="90" t="s">
        <v>63</v>
      </c>
      <c r="N4" s="90" t="s">
        <v>64</v>
      </c>
      <c r="O4" s="90" t="s">
        <v>65</v>
      </c>
    </row>
    <row r="5" spans="1:24" ht="45" x14ac:dyDescent="0.25">
      <c r="A5" s="102"/>
      <c r="B5" s="103" t="str">
        <f t="shared" ref="B5:G5" si="1">CONCATENATE($A$1,"-",B4)</f>
        <v>Open Domain FST1 (Long/trans) factors-Cx [-]</v>
      </c>
      <c r="C5" s="103" t="str">
        <f t="shared" si="1"/>
        <v>Open Domain FST1 (Long/trans) factors-Cy [-]</v>
      </c>
      <c r="D5" s="103" t="str">
        <f t="shared" si="1"/>
        <v>Open Domain FST1 (Long/trans) factors-Cz [-]</v>
      </c>
      <c r="E5" s="103" t="str">
        <f t="shared" si="1"/>
        <v>Open Domain FST1 (Long/trans) factors-Cnx [-]</v>
      </c>
      <c r="F5" s="103" t="str">
        <f t="shared" si="1"/>
        <v>Open Domain FST1 (Long/trans) factors-Cny [-]</v>
      </c>
      <c r="G5" s="103" t="str">
        <f t="shared" si="1"/>
        <v>Open Domain FST1 (Long/trans) factors-Cnz [-]</v>
      </c>
      <c r="H5" s="24"/>
      <c r="I5" s="93"/>
      <c r="J5" s="94" t="str">
        <f t="shared" ref="J5:O5" si="2">CONCATENATE($I$1,"-",J4)</f>
        <v>Open Domain FST2 (Long/trans) factors-Cx [-]</v>
      </c>
      <c r="K5" s="94" t="str">
        <f t="shared" si="2"/>
        <v>Open Domain FST2 (Long/trans) factors-Cy [-]</v>
      </c>
      <c r="L5" s="94" t="str">
        <f t="shared" si="2"/>
        <v>Open Domain FST2 (Long/trans) factors-Cz [-]</v>
      </c>
      <c r="M5" s="94" t="str">
        <f t="shared" si="2"/>
        <v>Open Domain FST2 (Long/trans) factors-Cnx [-]</v>
      </c>
      <c r="N5" s="94" t="str">
        <f t="shared" si="2"/>
        <v>Open Domain FST2 (Long/trans) factors-Cny [-]</v>
      </c>
      <c r="O5" s="94" t="str">
        <f t="shared" si="2"/>
        <v>Open Domain FST2 (Long/trans) factors-Cnz [-]</v>
      </c>
    </row>
    <row r="6" spans="1:24" x14ac:dyDescent="0.25">
      <c r="A6" s="104">
        <v>0</v>
      </c>
      <c r="B6" s="105"/>
      <c r="C6" s="105"/>
      <c r="D6" s="105"/>
      <c r="E6" s="105"/>
      <c r="F6" s="105"/>
      <c r="G6" s="105"/>
      <c r="H6" s="25"/>
      <c r="I6" s="97"/>
      <c r="J6" s="95"/>
      <c r="K6" s="95"/>
      <c r="L6" s="95"/>
      <c r="M6" s="95"/>
      <c r="N6" s="95"/>
      <c r="O6" s="95"/>
    </row>
    <row r="7" spans="1:24" x14ac:dyDescent="0.25">
      <c r="A7" s="104">
        <v>15</v>
      </c>
      <c r="B7" s="106"/>
      <c r="C7" s="106"/>
      <c r="D7" s="106"/>
      <c r="E7" s="106"/>
      <c r="F7" s="106"/>
      <c r="G7" s="106"/>
      <c r="H7" s="25"/>
      <c r="I7" s="97"/>
      <c r="J7" s="96"/>
      <c r="K7" s="96"/>
      <c r="L7" s="96"/>
      <c r="M7" s="96"/>
      <c r="N7" s="96"/>
      <c r="O7" s="96"/>
    </row>
    <row r="8" spans="1:24" x14ac:dyDescent="0.25">
      <c r="A8" s="104">
        <v>30</v>
      </c>
      <c r="B8" s="105"/>
      <c r="C8" s="105"/>
      <c r="D8" s="105"/>
      <c r="E8" s="105"/>
      <c r="F8" s="105"/>
      <c r="G8" s="105"/>
      <c r="H8" s="25"/>
      <c r="I8" s="97"/>
      <c r="J8" s="95"/>
      <c r="K8" s="95"/>
      <c r="L8" s="95"/>
      <c r="M8" s="95"/>
      <c r="N8" s="95"/>
      <c r="O8" s="95"/>
    </row>
    <row r="9" spans="1:24" x14ac:dyDescent="0.25">
      <c r="A9" s="104">
        <v>45</v>
      </c>
      <c r="B9" s="105"/>
      <c r="C9" s="105"/>
      <c r="D9" s="105"/>
      <c r="E9" s="105"/>
      <c r="F9" s="105"/>
      <c r="G9" s="105"/>
      <c r="H9" s="25"/>
      <c r="I9" s="97"/>
      <c r="J9" s="95"/>
      <c r="K9" s="95"/>
      <c r="L9" s="95"/>
      <c r="M9" s="95"/>
      <c r="N9" s="95"/>
      <c r="O9" s="95"/>
    </row>
    <row r="10" spans="1:24" x14ac:dyDescent="0.25">
      <c r="A10" s="104">
        <v>60</v>
      </c>
      <c r="B10" s="105"/>
      <c r="C10" s="105"/>
      <c r="D10" s="105"/>
      <c r="E10" s="105"/>
      <c r="F10" s="105"/>
      <c r="G10" s="105"/>
      <c r="H10" s="25"/>
      <c r="I10" s="97"/>
      <c r="J10" s="95"/>
      <c r="K10" s="95"/>
      <c r="L10" s="95"/>
      <c r="M10" s="95"/>
      <c r="N10" s="95"/>
      <c r="O10" s="95"/>
    </row>
    <row r="11" spans="1:24" x14ac:dyDescent="0.25">
      <c r="A11" s="104">
        <v>75</v>
      </c>
      <c r="B11" s="106"/>
      <c r="C11" s="106"/>
      <c r="D11" s="106"/>
      <c r="E11" s="106"/>
      <c r="F11" s="106"/>
      <c r="G11" s="106"/>
      <c r="H11" s="25"/>
      <c r="I11" s="97"/>
      <c r="J11" s="96"/>
      <c r="K11" s="96"/>
      <c r="L11" s="96"/>
      <c r="M11" s="96"/>
      <c r="N11" s="96"/>
      <c r="O11" s="96"/>
    </row>
    <row r="12" spans="1:24" x14ac:dyDescent="0.25">
      <c r="A12" s="104">
        <v>90</v>
      </c>
      <c r="B12" s="105"/>
      <c r="C12" s="105"/>
      <c r="D12" s="105"/>
      <c r="E12" s="105"/>
      <c r="F12" s="105"/>
      <c r="G12" s="105"/>
      <c r="H12" s="25"/>
      <c r="I12" s="97"/>
      <c r="J12" s="95"/>
      <c r="K12" s="95"/>
      <c r="L12" s="95"/>
      <c r="M12" s="95"/>
      <c r="N12" s="95"/>
      <c r="O12" s="95"/>
    </row>
    <row r="13" spans="1:24" x14ac:dyDescent="0.25">
      <c r="A13" s="104">
        <v>105</v>
      </c>
      <c r="B13" s="105"/>
      <c r="C13" s="105"/>
      <c r="D13" s="105"/>
      <c r="E13" s="105"/>
      <c r="F13" s="105"/>
      <c r="G13" s="105"/>
      <c r="H13" s="25"/>
      <c r="I13" s="97"/>
      <c r="J13" s="95"/>
      <c r="K13" s="95"/>
      <c r="L13" s="95"/>
      <c r="M13" s="95"/>
      <c r="N13" s="95"/>
      <c r="O13" s="95"/>
    </row>
    <row r="14" spans="1:24" x14ac:dyDescent="0.25">
      <c r="A14" s="104">
        <v>120</v>
      </c>
      <c r="B14" s="105"/>
      <c r="C14" s="105"/>
      <c r="D14" s="105"/>
      <c r="E14" s="105"/>
      <c r="F14" s="105"/>
      <c r="G14" s="105"/>
      <c r="H14" s="25"/>
      <c r="I14" s="97"/>
      <c r="J14" s="95"/>
      <c r="K14" s="95"/>
      <c r="L14" s="95"/>
      <c r="M14" s="95"/>
      <c r="N14" s="95"/>
      <c r="O14" s="95"/>
    </row>
    <row r="15" spans="1:24" x14ac:dyDescent="0.25">
      <c r="A15" s="104">
        <v>135</v>
      </c>
      <c r="B15" s="105"/>
      <c r="C15" s="105"/>
      <c r="D15" s="105"/>
      <c r="E15" s="105"/>
      <c r="F15" s="105"/>
      <c r="G15" s="105"/>
      <c r="H15" s="25"/>
      <c r="I15" s="97"/>
      <c r="J15" s="95"/>
      <c r="K15" s="95"/>
      <c r="L15" s="95"/>
      <c r="M15" s="95"/>
      <c r="N15" s="95"/>
      <c r="O15" s="95"/>
    </row>
    <row r="16" spans="1:24" x14ac:dyDescent="0.25">
      <c r="A16" s="104">
        <v>150</v>
      </c>
      <c r="B16" s="105"/>
      <c r="C16" s="105"/>
      <c r="D16" s="105"/>
      <c r="E16" s="105"/>
      <c r="F16" s="105"/>
      <c r="G16" s="105"/>
      <c r="H16" s="25"/>
      <c r="I16" s="97"/>
      <c r="J16" s="95"/>
      <c r="K16" s="95"/>
      <c r="L16" s="95"/>
      <c r="M16" s="95"/>
      <c r="N16" s="95"/>
      <c r="O16" s="95"/>
    </row>
    <row r="17" spans="1:15" x14ac:dyDescent="0.25">
      <c r="A17" s="104">
        <v>165</v>
      </c>
      <c r="B17" s="105"/>
      <c r="C17" s="105"/>
      <c r="D17" s="105"/>
      <c r="E17" s="105"/>
      <c r="F17" s="105"/>
      <c r="G17" s="105"/>
      <c r="H17" s="25"/>
      <c r="I17" s="97"/>
      <c r="J17" s="95"/>
      <c r="K17" s="95"/>
      <c r="L17" s="95"/>
      <c r="M17" s="95"/>
      <c r="N17" s="95"/>
      <c r="O17" s="95"/>
    </row>
    <row r="18" spans="1:15" x14ac:dyDescent="0.25">
      <c r="A18" s="104">
        <v>180</v>
      </c>
      <c r="B18" s="105"/>
      <c r="C18" s="105"/>
      <c r="D18" s="105"/>
      <c r="E18" s="105"/>
      <c r="F18" s="105"/>
      <c r="G18" s="105"/>
      <c r="H18" s="25"/>
      <c r="I18" s="97"/>
      <c r="J18" s="95"/>
      <c r="K18" s="95"/>
      <c r="L18" s="95"/>
      <c r="M18" s="95"/>
      <c r="N18" s="95"/>
      <c r="O18" s="95"/>
    </row>
    <row r="19" spans="1:15" x14ac:dyDescent="0.25">
      <c r="A19" s="107">
        <v>195</v>
      </c>
      <c r="B19" s="105"/>
      <c r="C19" s="105"/>
      <c r="D19" s="105"/>
      <c r="E19" s="105"/>
      <c r="F19" s="105"/>
      <c r="G19" s="105"/>
      <c r="H19" s="25"/>
      <c r="I19" s="98"/>
      <c r="J19" s="95"/>
      <c r="K19" s="95"/>
      <c r="L19" s="95"/>
      <c r="M19" s="95"/>
      <c r="N19" s="95"/>
      <c r="O19" s="95"/>
    </row>
    <row r="20" spans="1:15" x14ac:dyDescent="0.25">
      <c r="A20" s="107">
        <v>210</v>
      </c>
      <c r="B20" s="105"/>
      <c r="C20" s="105"/>
      <c r="D20" s="105"/>
      <c r="E20" s="105"/>
      <c r="F20" s="105"/>
      <c r="G20" s="105"/>
      <c r="H20" s="25"/>
      <c r="I20" s="98"/>
      <c r="J20" s="95"/>
      <c r="K20" s="95"/>
      <c r="L20" s="95"/>
      <c r="M20" s="95"/>
      <c r="N20" s="95"/>
      <c r="O20" s="95"/>
    </row>
    <row r="21" spans="1:15" x14ac:dyDescent="0.25">
      <c r="A21" s="107">
        <v>225</v>
      </c>
      <c r="B21" s="105"/>
      <c r="C21" s="105"/>
      <c r="D21" s="105"/>
      <c r="E21" s="105"/>
      <c r="F21" s="105"/>
      <c r="G21" s="105"/>
      <c r="H21" s="25"/>
      <c r="I21" s="98"/>
      <c r="J21" s="95"/>
      <c r="K21" s="95"/>
      <c r="L21" s="95"/>
      <c r="M21" s="95"/>
      <c r="N21" s="95"/>
      <c r="O21" s="95"/>
    </row>
    <row r="22" spans="1:15" x14ac:dyDescent="0.25">
      <c r="A22" s="107">
        <v>240</v>
      </c>
      <c r="B22" s="105"/>
      <c r="C22" s="105"/>
      <c r="D22" s="105"/>
      <c r="E22" s="105"/>
      <c r="F22" s="105"/>
      <c r="G22" s="105"/>
      <c r="H22" s="25"/>
      <c r="I22" s="98"/>
      <c r="J22" s="95"/>
      <c r="K22" s="95"/>
      <c r="L22" s="95"/>
      <c r="M22" s="95"/>
      <c r="N22" s="95"/>
      <c r="O22" s="95"/>
    </row>
    <row r="23" spans="1:15" ht="14.25" customHeight="1" x14ac:dyDescent="0.25">
      <c r="A23" s="107">
        <v>255</v>
      </c>
      <c r="B23" s="105"/>
      <c r="C23" s="105"/>
      <c r="D23" s="105"/>
      <c r="E23" s="105"/>
      <c r="F23" s="105"/>
      <c r="G23" s="105"/>
      <c r="H23" s="25"/>
      <c r="I23" s="98"/>
      <c r="J23" s="95"/>
      <c r="K23" s="95"/>
      <c r="L23" s="95"/>
      <c r="M23" s="95"/>
      <c r="N23" s="95"/>
      <c r="O23" s="95"/>
    </row>
    <row r="24" spans="1:15" x14ac:dyDescent="0.25">
      <c r="A24" s="107">
        <v>270</v>
      </c>
      <c r="B24" s="105"/>
      <c r="C24" s="105"/>
      <c r="D24" s="105"/>
      <c r="E24" s="105"/>
      <c r="F24" s="105"/>
      <c r="G24" s="105"/>
      <c r="H24" s="25"/>
      <c r="I24" s="98"/>
      <c r="J24" s="95"/>
      <c r="K24" s="95"/>
      <c r="L24" s="95"/>
      <c r="M24" s="95"/>
      <c r="N24" s="95"/>
      <c r="O24" s="95"/>
    </row>
    <row r="25" spans="1:15" x14ac:dyDescent="0.25">
      <c r="A25" s="107">
        <v>285</v>
      </c>
      <c r="B25" s="105"/>
      <c r="C25" s="105"/>
      <c r="D25" s="105"/>
      <c r="E25" s="105"/>
      <c r="F25" s="105"/>
      <c r="G25" s="105"/>
      <c r="H25" s="25"/>
      <c r="I25" s="98"/>
      <c r="J25" s="95"/>
      <c r="K25" s="95"/>
      <c r="L25" s="95"/>
      <c r="M25" s="95"/>
      <c r="N25" s="95"/>
      <c r="O25" s="95"/>
    </row>
    <row r="26" spans="1:15" x14ac:dyDescent="0.25">
      <c r="A26" s="107">
        <v>300</v>
      </c>
      <c r="B26" s="105"/>
      <c r="C26" s="105"/>
      <c r="D26" s="105"/>
      <c r="E26" s="105"/>
      <c r="F26" s="105"/>
      <c r="G26" s="105"/>
      <c r="H26" s="25"/>
      <c r="I26" s="98"/>
      <c r="J26" s="95"/>
      <c r="K26" s="95"/>
      <c r="L26" s="95"/>
      <c r="M26" s="95"/>
      <c r="N26" s="95"/>
      <c r="O26" s="95"/>
    </row>
    <row r="27" spans="1:15" x14ac:dyDescent="0.25">
      <c r="A27" s="107">
        <v>315</v>
      </c>
      <c r="B27" s="105"/>
      <c r="C27" s="105"/>
      <c r="D27" s="105"/>
      <c r="E27" s="105"/>
      <c r="F27" s="105"/>
      <c r="G27" s="105"/>
      <c r="H27" s="25"/>
      <c r="I27" s="98"/>
      <c r="J27" s="95"/>
      <c r="K27" s="95"/>
      <c r="L27" s="95"/>
      <c r="M27" s="95"/>
      <c r="N27" s="95"/>
      <c r="O27" s="95"/>
    </row>
    <row r="28" spans="1:15" x14ac:dyDescent="0.25">
      <c r="A28" s="107">
        <v>330</v>
      </c>
      <c r="B28" s="105"/>
      <c r="C28" s="105"/>
      <c r="D28" s="105"/>
      <c r="E28" s="105"/>
      <c r="F28" s="105"/>
      <c r="G28" s="105"/>
      <c r="H28" s="25"/>
      <c r="I28" s="98"/>
      <c r="J28" s="95"/>
      <c r="K28" s="95"/>
      <c r="L28" s="95"/>
      <c r="M28" s="95"/>
      <c r="N28" s="95"/>
      <c r="O28" s="95"/>
    </row>
    <row r="29" spans="1:15" x14ac:dyDescent="0.25">
      <c r="A29" s="107">
        <v>345</v>
      </c>
      <c r="B29" s="105"/>
      <c r="C29" s="105"/>
      <c r="D29" s="105"/>
      <c r="E29" s="105"/>
      <c r="F29" s="105"/>
      <c r="G29" s="105"/>
      <c r="H29" s="25"/>
      <c r="I29" s="98"/>
      <c r="J29" s="95"/>
      <c r="K29" s="95"/>
      <c r="L29" s="95"/>
      <c r="M29" s="95"/>
      <c r="N29" s="95"/>
      <c r="O29" s="95"/>
    </row>
    <row r="30" spans="1:15" x14ac:dyDescent="0.25">
      <c r="A30" s="107">
        <v>360</v>
      </c>
      <c r="B30" s="105"/>
      <c r="C30" s="105"/>
      <c r="D30" s="105"/>
      <c r="E30" s="105"/>
      <c r="F30" s="105"/>
      <c r="G30" s="105"/>
      <c r="H30" s="28"/>
      <c r="I30" s="98"/>
      <c r="J30" s="95"/>
      <c r="K30" s="95"/>
      <c r="L30" s="95"/>
      <c r="M30" s="95"/>
      <c r="N30" s="95"/>
      <c r="O30" s="95"/>
    </row>
    <row r="31" spans="1:15" ht="15.75" thickBot="1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15.75" customHeight="1" thickBot="1" x14ac:dyDescent="0.3">
      <c r="A32" s="221" t="s">
        <v>66</v>
      </c>
      <c r="B32" s="221"/>
      <c r="C32" s="221"/>
      <c r="D32" s="221"/>
      <c r="E32" s="221"/>
      <c r="F32" s="221"/>
      <c r="G32" s="221"/>
      <c r="H32" s="13"/>
      <c r="I32" s="221" t="s">
        <v>67</v>
      </c>
      <c r="J32" s="221"/>
      <c r="K32" s="221"/>
      <c r="L32" s="221"/>
      <c r="M32" s="221"/>
      <c r="N32" s="221"/>
      <c r="O32" s="221"/>
    </row>
    <row r="33" spans="1:15" x14ac:dyDescent="0.25">
      <c r="A33" s="14" t="s">
        <v>55</v>
      </c>
      <c r="B33" s="15"/>
      <c r="C33" s="15"/>
      <c r="D33" s="15"/>
      <c r="E33" s="15"/>
      <c r="F33" s="15"/>
      <c r="G33" s="15"/>
      <c r="H33" s="16"/>
      <c r="I33" s="14" t="s">
        <v>55</v>
      </c>
      <c r="J33" s="15">
        <f t="shared" ref="J33:O33" si="3">B33</f>
        <v>0</v>
      </c>
      <c r="K33" s="15">
        <f t="shared" si="3"/>
        <v>0</v>
      </c>
      <c r="L33" s="15">
        <f t="shared" si="3"/>
        <v>0</v>
      </c>
      <c r="M33" s="15">
        <f t="shared" si="3"/>
        <v>0</v>
      </c>
      <c r="N33" s="15">
        <f t="shared" si="3"/>
        <v>0</v>
      </c>
      <c r="O33" s="15">
        <f t="shared" si="3"/>
        <v>0</v>
      </c>
    </row>
    <row r="34" spans="1:15" ht="15.75" thickBot="1" x14ac:dyDescent="0.3">
      <c r="A34" s="17"/>
      <c r="B34" s="18" t="s">
        <v>57</v>
      </c>
      <c r="C34" s="18" t="s">
        <v>57</v>
      </c>
      <c r="D34" s="18" t="s">
        <v>57</v>
      </c>
      <c r="E34" s="18" t="s">
        <v>58</v>
      </c>
      <c r="F34" s="18" t="s">
        <v>58</v>
      </c>
      <c r="G34" s="18" t="s">
        <v>58</v>
      </c>
      <c r="H34" s="19"/>
      <c r="I34" s="17"/>
      <c r="J34" s="18" t="s">
        <v>57</v>
      </c>
      <c r="K34" s="18" t="s">
        <v>57</v>
      </c>
      <c r="L34" s="18" t="s">
        <v>57</v>
      </c>
      <c r="M34" s="18" t="s">
        <v>58</v>
      </c>
      <c r="N34" s="18" t="s">
        <v>58</v>
      </c>
      <c r="O34" s="18" t="s">
        <v>58</v>
      </c>
    </row>
    <row r="35" spans="1:15" ht="27.75" thickBot="1" x14ac:dyDescent="0.3">
      <c r="A35" s="20" t="s">
        <v>59</v>
      </c>
      <c r="B35" s="21" t="s">
        <v>60</v>
      </c>
      <c r="C35" s="21" t="s">
        <v>61</v>
      </c>
      <c r="D35" s="21" t="s">
        <v>62</v>
      </c>
      <c r="E35" s="21" t="s">
        <v>63</v>
      </c>
      <c r="F35" s="21" t="s">
        <v>64</v>
      </c>
      <c r="G35" s="21" t="s">
        <v>65</v>
      </c>
      <c r="H35" s="13"/>
      <c r="I35" s="20" t="s">
        <v>59</v>
      </c>
      <c r="J35" s="21" t="s">
        <v>60</v>
      </c>
      <c r="K35" s="21" t="s">
        <v>61</v>
      </c>
      <c r="L35" s="21" t="s">
        <v>62</v>
      </c>
      <c r="M35" s="21" t="s">
        <v>63</v>
      </c>
      <c r="N35" s="21" t="s">
        <v>64</v>
      </c>
      <c r="O35" s="21" t="s">
        <v>65</v>
      </c>
    </row>
    <row r="36" spans="1:15" ht="34.5" thickBot="1" x14ac:dyDescent="0.3">
      <c r="A36" s="22"/>
      <c r="B36" s="23" t="str">
        <f t="shared" ref="B36:G36" si="4">CONCATENATE($A$32,"-",B35)</f>
        <v>topoDomain-long-FST1-Cx [-]</v>
      </c>
      <c r="C36" s="23" t="str">
        <f t="shared" si="4"/>
        <v>topoDomain-long-FST1-Cy [-]</v>
      </c>
      <c r="D36" s="23" t="str">
        <f t="shared" si="4"/>
        <v>topoDomain-long-FST1-Cz [-]</v>
      </c>
      <c r="E36" s="23" t="str">
        <f t="shared" si="4"/>
        <v>topoDomain-long-FST1-Cnx [-]</v>
      </c>
      <c r="F36" s="23" t="str">
        <f t="shared" si="4"/>
        <v>topoDomain-long-FST1-Cny [-]</v>
      </c>
      <c r="G36" s="23" t="str">
        <f t="shared" si="4"/>
        <v>topoDomain-long-FST1-Cnz [-]</v>
      </c>
      <c r="H36" s="24"/>
      <c r="I36" s="22"/>
      <c r="J36" s="23" t="str">
        <f t="shared" ref="J36:O36" si="5">CONCATENATE($I$32,"-",J35)</f>
        <v>topoDomain-long-FST2-Cx [-]</v>
      </c>
      <c r="K36" s="23" t="str">
        <f t="shared" si="5"/>
        <v>topoDomain-long-FST2-Cy [-]</v>
      </c>
      <c r="L36" s="23" t="str">
        <f t="shared" si="5"/>
        <v>topoDomain-long-FST2-Cz [-]</v>
      </c>
      <c r="M36" s="23" t="str">
        <f t="shared" si="5"/>
        <v>topoDomain-long-FST2-Cnx [-]</v>
      </c>
      <c r="N36" s="23" t="str">
        <f t="shared" si="5"/>
        <v>topoDomain-long-FST2-Cny [-]</v>
      </c>
      <c r="O36" s="23" t="str">
        <f t="shared" si="5"/>
        <v>topoDomain-long-FST2-Cnz [-]</v>
      </c>
    </row>
    <row r="37" spans="1:15" x14ac:dyDescent="0.25">
      <c r="A37" s="26"/>
      <c r="B37" s="31"/>
      <c r="C37" s="32"/>
      <c r="D37" s="32"/>
      <c r="E37" s="32"/>
      <c r="F37" s="32"/>
      <c r="G37" s="33"/>
      <c r="H37" s="25"/>
      <c r="I37" s="26"/>
      <c r="J37" s="31"/>
      <c r="K37" s="32"/>
      <c r="L37" s="32"/>
      <c r="M37" s="32"/>
      <c r="N37" s="32"/>
      <c r="O37" s="33"/>
    </row>
    <row r="38" spans="1:15" x14ac:dyDescent="0.25">
      <c r="A38" s="26"/>
      <c r="B38" s="34"/>
      <c r="C38" s="25"/>
      <c r="D38" s="25"/>
      <c r="E38" s="25"/>
      <c r="F38" s="25"/>
      <c r="G38" s="35"/>
      <c r="H38" s="25"/>
      <c r="I38" s="26"/>
      <c r="J38" s="34"/>
      <c r="K38" s="25"/>
      <c r="L38" s="25"/>
      <c r="M38" s="25"/>
      <c r="N38" s="25"/>
      <c r="O38" s="35"/>
    </row>
    <row r="39" spans="1:15" x14ac:dyDescent="0.25">
      <c r="A39" s="26"/>
      <c r="B39" s="34"/>
      <c r="C39" s="25"/>
      <c r="D39" s="25"/>
      <c r="E39" s="25"/>
      <c r="F39" s="25"/>
      <c r="G39" s="35"/>
      <c r="H39" s="25"/>
      <c r="I39" s="26"/>
      <c r="J39" s="34"/>
      <c r="K39" s="25"/>
      <c r="L39" s="25"/>
      <c r="M39" s="25"/>
      <c r="N39" s="25"/>
      <c r="O39" s="35"/>
    </row>
    <row r="40" spans="1:15" x14ac:dyDescent="0.25">
      <c r="A40" s="26"/>
      <c r="B40" s="34"/>
      <c r="C40" s="25"/>
      <c r="D40" s="25"/>
      <c r="E40" s="25"/>
      <c r="F40" s="25"/>
      <c r="G40" s="35"/>
      <c r="H40" s="25"/>
      <c r="I40" s="26"/>
      <c r="J40" s="34"/>
      <c r="K40" s="25"/>
      <c r="L40" s="25"/>
      <c r="M40" s="25"/>
      <c r="N40" s="25"/>
      <c r="O40" s="35"/>
    </row>
    <row r="41" spans="1:15" ht="14.25" customHeight="1" x14ac:dyDescent="0.25">
      <c r="A41" s="26"/>
      <c r="B41" s="34"/>
      <c r="C41" s="25"/>
      <c r="D41" s="25"/>
      <c r="E41" s="25"/>
      <c r="F41" s="25"/>
      <c r="G41" s="35"/>
      <c r="H41" s="25"/>
      <c r="I41" s="26"/>
      <c r="J41" s="34"/>
      <c r="K41" s="25"/>
      <c r="L41" s="25"/>
      <c r="M41" s="25"/>
      <c r="N41" s="25"/>
      <c r="O41" s="35"/>
    </row>
    <row r="42" spans="1:15" x14ac:dyDescent="0.25">
      <c r="A42" s="26"/>
      <c r="B42" s="34"/>
      <c r="C42" s="25"/>
      <c r="D42" s="25"/>
      <c r="E42" s="25"/>
      <c r="F42" s="25"/>
      <c r="G42" s="35"/>
      <c r="H42" s="25"/>
      <c r="I42" s="26"/>
      <c r="J42" s="34"/>
      <c r="K42" s="25"/>
      <c r="L42" s="25"/>
      <c r="M42" s="25"/>
      <c r="N42" s="25"/>
      <c r="O42" s="35"/>
    </row>
    <row r="43" spans="1:15" x14ac:dyDescent="0.25">
      <c r="A43" s="26"/>
      <c r="B43" s="34"/>
      <c r="C43" s="25"/>
      <c r="D43" s="25"/>
      <c r="E43" s="25"/>
      <c r="F43" s="25"/>
      <c r="G43" s="35"/>
      <c r="H43" s="25"/>
      <c r="I43" s="26"/>
      <c r="J43" s="34"/>
      <c r="K43" s="25"/>
      <c r="L43" s="25"/>
      <c r="M43" s="25"/>
      <c r="N43" s="25"/>
      <c r="O43" s="35"/>
    </row>
    <row r="44" spans="1:15" x14ac:dyDescent="0.25">
      <c r="A44" s="26"/>
      <c r="B44" s="34"/>
      <c r="C44" s="25"/>
      <c r="D44" s="25"/>
      <c r="E44" s="25"/>
      <c r="F44" s="25"/>
      <c r="G44" s="35"/>
      <c r="H44" s="25"/>
      <c r="I44" s="26"/>
      <c r="J44" s="34"/>
      <c r="K44" s="25"/>
      <c r="L44" s="25"/>
      <c r="M44" s="25"/>
      <c r="N44" s="25"/>
      <c r="O44" s="35"/>
    </row>
    <row r="45" spans="1:15" x14ac:dyDescent="0.25">
      <c r="A45" s="26"/>
      <c r="B45" s="34"/>
      <c r="C45" s="25"/>
      <c r="D45" s="25"/>
      <c r="E45" s="25"/>
      <c r="F45" s="25"/>
      <c r="G45" s="35"/>
      <c r="H45" s="25"/>
      <c r="I45" s="26"/>
      <c r="J45" s="34"/>
      <c r="K45" s="25"/>
      <c r="L45" s="25"/>
      <c r="M45" s="25"/>
      <c r="N45" s="25"/>
      <c r="O45" s="35"/>
    </row>
    <row r="46" spans="1:15" x14ac:dyDescent="0.25">
      <c r="A46" s="26"/>
      <c r="B46" s="34"/>
      <c r="C46" s="25"/>
      <c r="D46" s="25"/>
      <c r="E46" s="25"/>
      <c r="F46" s="25"/>
      <c r="G46" s="35"/>
      <c r="H46" s="25"/>
      <c r="I46" s="26"/>
      <c r="J46" s="34"/>
      <c r="K46" s="25"/>
      <c r="L46" s="25"/>
      <c r="M46" s="25"/>
      <c r="N46" s="25"/>
      <c r="O46" s="35"/>
    </row>
    <row r="47" spans="1:15" x14ac:dyDescent="0.25">
      <c r="A47" s="26"/>
      <c r="B47" s="34"/>
      <c r="C47" s="25"/>
      <c r="D47" s="25"/>
      <c r="E47" s="25"/>
      <c r="F47" s="25"/>
      <c r="G47" s="35"/>
      <c r="H47" s="25"/>
      <c r="I47" s="26"/>
      <c r="J47" s="34"/>
      <c r="K47" s="25"/>
      <c r="L47" s="25"/>
      <c r="M47" s="25"/>
      <c r="N47" s="25"/>
      <c r="O47" s="35"/>
    </row>
    <row r="48" spans="1:15" x14ac:dyDescent="0.25">
      <c r="A48" s="26"/>
      <c r="B48" s="34"/>
      <c r="C48" s="25"/>
      <c r="D48" s="25"/>
      <c r="E48" s="25"/>
      <c r="F48" s="25"/>
      <c r="G48" s="35"/>
      <c r="H48" s="25"/>
      <c r="I48" s="26"/>
      <c r="J48" s="34"/>
      <c r="K48" s="25"/>
      <c r="L48" s="25"/>
      <c r="M48" s="25"/>
      <c r="N48" s="25"/>
      <c r="O48" s="35"/>
    </row>
    <row r="49" spans="1:15" x14ac:dyDescent="0.25">
      <c r="A49" s="26"/>
      <c r="B49" s="34"/>
      <c r="C49" s="25"/>
      <c r="D49" s="25"/>
      <c r="E49" s="25"/>
      <c r="F49" s="25"/>
      <c r="G49" s="35"/>
      <c r="H49" s="25"/>
      <c r="I49" s="26"/>
      <c r="J49" s="34"/>
      <c r="K49" s="25"/>
      <c r="L49" s="25"/>
      <c r="M49" s="25"/>
      <c r="N49" s="25"/>
      <c r="O49" s="35"/>
    </row>
    <row r="50" spans="1:15" x14ac:dyDescent="0.25">
      <c r="A50" s="27"/>
      <c r="B50" s="34"/>
      <c r="C50" s="25"/>
      <c r="D50" s="25"/>
      <c r="E50" s="25"/>
      <c r="F50" s="25"/>
      <c r="G50" s="35"/>
      <c r="H50" s="25"/>
      <c r="I50" s="27"/>
      <c r="J50" s="34"/>
      <c r="K50" s="25"/>
      <c r="L50" s="25"/>
      <c r="M50" s="25"/>
      <c r="N50" s="25"/>
      <c r="O50" s="35"/>
    </row>
    <row r="51" spans="1:15" x14ac:dyDescent="0.25">
      <c r="A51" s="27"/>
      <c r="B51" s="34"/>
      <c r="C51" s="25"/>
      <c r="D51" s="25"/>
      <c r="E51" s="25"/>
      <c r="F51" s="25"/>
      <c r="G51" s="35"/>
      <c r="H51" s="25"/>
      <c r="I51" s="27"/>
      <c r="J51" s="34"/>
      <c r="K51" s="25"/>
      <c r="L51" s="25"/>
      <c r="M51" s="25"/>
      <c r="N51" s="25"/>
      <c r="O51" s="35"/>
    </row>
    <row r="52" spans="1:15" x14ac:dyDescent="0.25">
      <c r="A52" s="27"/>
      <c r="B52" s="34"/>
      <c r="C52" s="25"/>
      <c r="D52" s="25"/>
      <c r="E52" s="25"/>
      <c r="F52" s="25"/>
      <c r="G52" s="35"/>
      <c r="H52" s="25"/>
      <c r="I52" s="27"/>
      <c r="J52" s="34"/>
      <c r="K52" s="25"/>
      <c r="L52" s="25"/>
      <c r="M52" s="25"/>
      <c r="N52" s="25"/>
      <c r="O52" s="35"/>
    </row>
    <row r="53" spans="1:15" x14ac:dyDescent="0.25">
      <c r="A53" s="27"/>
      <c r="B53" s="34"/>
      <c r="C53" s="25"/>
      <c r="D53" s="25"/>
      <c r="E53" s="25"/>
      <c r="F53" s="25"/>
      <c r="G53" s="35"/>
      <c r="H53" s="25"/>
      <c r="I53" s="27"/>
      <c r="J53" s="34"/>
      <c r="K53" s="25"/>
      <c r="L53" s="25"/>
      <c r="M53" s="25"/>
      <c r="N53" s="25"/>
      <c r="O53" s="35"/>
    </row>
    <row r="54" spans="1:15" x14ac:dyDescent="0.25">
      <c r="A54" s="27"/>
      <c r="B54" s="34"/>
      <c r="C54" s="25"/>
      <c r="D54" s="25"/>
      <c r="E54" s="25"/>
      <c r="F54" s="25"/>
      <c r="G54" s="35"/>
      <c r="H54" s="25"/>
      <c r="I54" s="27"/>
      <c r="J54" s="34"/>
      <c r="K54" s="25"/>
      <c r="L54" s="25"/>
      <c r="M54" s="25"/>
      <c r="N54" s="25"/>
      <c r="O54" s="35"/>
    </row>
    <row r="55" spans="1:15" x14ac:dyDescent="0.25">
      <c r="A55" s="27"/>
      <c r="B55" s="34"/>
      <c r="C55" s="25"/>
      <c r="D55" s="25"/>
      <c r="E55" s="25"/>
      <c r="F55" s="25"/>
      <c r="G55" s="35"/>
      <c r="H55" s="25"/>
      <c r="I55" s="27"/>
      <c r="J55" s="34"/>
      <c r="K55" s="25"/>
      <c r="L55" s="25"/>
      <c r="M55" s="25"/>
      <c r="N55" s="25"/>
      <c r="O55" s="35"/>
    </row>
    <row r="56" spans="1:15" x14ac:dyDescent="0.25">
      <c r="A56" s="27"/>
      <c r="B56" s="34"/>
      <c r="C56" s="25"/>
      <c r="D56" s="25"/>
      <c r="E56" s="25"/>
      <c r="F56" s="25"/>
      <c r="G56" s="35"/>
      <c r="H56" s="25"/>
      <c r="I56" s="27"/>
      <c r="J56" s="34"/>
      <c r="K56" s="25"/>
      <c r="L56" s="25"/>
      <c r="M56" s="25"/>
      <c r="N56" s="25"/>
      <c r="O56" s="35"/>
    </row>
    <row r="57" spans="1:15" x14ac:dyDescent="0.25">
      <c r="A57" s="27"/>
      <c r="B57" s="34"/>
      <c r="C57" s="25"/>
      <c r="D57" s="25"/>
      <c r="E57" s="25"/>
      <c r="F57" s="25"/>
      <c r="G57" s="35"/>
      <c r="H57" s="25"/>
      <c r="I57" s="27"/>
      <c r="J57" s="34"/>
      <c r="K57" s="25"/>
      <c r="L57" s="25"/>
      <c r="M57" s="25"/>
      <c r="N57" s="25"/>
      <c r="O57" s="35"/>
    </row>
    <row r="58" spans="1:15" x14ac:dyDescent="0.25">
      <c r="A58" s="27"/>
      <c r="B58" s="34"/>
      <c r="C58" s="25"/>
      <c r="D58" s="25"/>
      <c r="E58" s="25"/>
      <c r="F58" s="25"/>
      <c r="G58" s="35"/>
      <c r="H58" s="25"/>
      <c r="I58" s="27"/>
      <c r="J58" s="34"/>
      <c r="K58" s="25"/>
      <c r="L58" s="25"/>
      <c r="M58" s="25"/>
      <c r="N58" s="25"/>
      <c r="O58" s="35"/>
    </row>
    <row r="59" spans="1:15" x14ac:dyDescent="0.25">
      <c r="A59" s="27"/>
      <c r="B59" s="34"/>
      <c r="C59" s="25"/>
      <c r="D59" s="25"/>
      <c r="E59" s="25"/>
      <c r="F59" s="25"/>
      <c r="G59" s="35"/>
      <c r="H59" s="25"/>
      <c r="I59" s="27"/>
      <c r="J59" s="34"/>
      <c r="K59" s="25"/>
      <c r="L59" s="25"/>
      <c r="M59" s="25"/>
      <c r="N59" s="25"/>
      <c r="O59" s="35"/>
    </row>
    <row r="60" spans="1:15" x14ac:dyDescent="0.25">
      <c r="A60" s="27"/>
      <c r="B60" s="34"/>
      <c r="C60" s="25"/>
      <c r="D60" s="25"/>
      <c r="E60" s="25"/>
      <c r="F60" s="25"/>
      <c r="G60" s="35"/>
      <c r="H60" s="25"/>
      <c r="I60" s="27"/>
      <c r="J60" s="34"/>
      <c r="K60" s="25"/>
      <c r="L60" s="25"/>
      <c r="M60" s="25"/>
      <c r="N60" s="25"/>
      <c r="O60" s="35"/>
    </row>
    <row r="61" spans="1:15" ht="15.75" thickBot="1" x14ac:dyDescent="0.3">
      <c r="A61" s="29"/>
      <c r="B61" s="36"/>
      <c r="C61" s="37"/>
      <c r="D61" s="37"/>
      <c r="E61" s="37"/>
      <c r="F61" s="37"/>
      <c r="G61" s="38"/>
      <c r="H61" s="28"/>
      <c r="I61" s="29"/>
      <c r="J61" s="36"/>
      <c r="K61" s="37"/>
      <c r="L61" s="37"/>
      <c r="M61" s="37"/>
      <c r="N61" s="37"/>
      <c r="O61" s="38"/>
    </row>
    <row r="62" spans="1:15" ht="15.75" thickBot="1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spans="1:15" ht="15.75" customHeight="1" thickBot="1" x14ac:dyDescent="0.3">
      <c r="A63" s="221" t="s">
        <v>68</v>
      </c>
      <c r="B63" s="221"/>
      <c r="C63" s="221"/>
      <c r="D63" s="221"/>
      <c r="E63" s="221"/>
      <c r="F63" s="221"/>
      <c r="G63" s="221"/>
      <c r="H63" s="13"/>
      <c r="I63" s="221" t="s">
        <v>69</v>
      </c>
      <c r="J63" s="221"/>
      <c r="K63" s="221"/>
      <c r="L63" s="221"/>
      <c r="M63" s="221"/>
      <c r="N63" s="221"/>
      <c r="O63" s="221"/>
    </row>
    <row r="64" spans="1:15" x14ac:dyDescent="0.25">
      <c r="A64" s="14" t="s">
        <v>55</v>
      </c>
      <c r="B64" s="15">
        <f>topoDomain_trans_FST1!S5</f>
        <v>1678</v>
      </c>
      <c r="C64" s="15">
        <f>topoDomain_trans_FST1!T5</f>
        <v>7811</v>
      </c>
      <c r="D64" s="15">
        <f>topoDomain_trans_FST1!U5</f>
        <v>8949</v>
      </c>
      <c r="E64" s="15">
        <f>topoDomain_trans_FST1!V5</f>
        <v>298215</v>
      </c>
      <c r="F64" s="15">
        <f>topoDomain_trans_FST1!W5</f>
        <v>32704</v>
      </c>
      <c r="G64" s="15">
        <f>topoDomain_trans_FST1!X5</f>
        <v>1598052</v>
      </c>
      <c r="H64" s="16"/>
      <c r="I64" s="14" t="s">
        <v>55</v>
      </c>
      <c r="J64" s="15">
        <f t="shared" ref="J64:O64" si="6">B64</f>
        <v>1678</v>
      </c>
      <c r="K64" s="15">
        <f t="shared" si="6"/>
        <v>7811</v>
      </c>
      <c r="L64" s="15">
        <f t="shared" si="6"/>
        <v>8949</v>
      </c>
      <c r="M64" s="15">
        <f t="shared" si="6"/>
        <v>298215</v>
      </c>
      <c r="N64" s="15">
        <f t="shared" si="6"/>
        <v>32704</v>
      </c>
      <c r="O64" s="15">
        <f t="shared" si="6"/>
        <v>1598052</v>
      </c>
    </row>
    <row r="65" spans="1:15" ht="15.75" thickBot="1" x14ac:dyDescent="0.3">
      <c r="A65" s="17"/>
      <c r="B65" s="18" t="s">
        <v>57</v>
      </c>
      <c r="C65" s="18" t="s">
        <v>57</v>
      </c>
      <c r="D65" s="18" t="s">
        <v>57</v>
      </c>
      <c r="E65" s="18" t="s">
        <v>58</v>
      </c>
      <c r="F65" s="18" t="s">
        <v>58</v>
      </c>
      <c r="G65" s="18" t="s">
        <v>58</v>
      </c>
      <c r="H65" s="19"/>
      <c r="I65" s="17"/>
      <c r="J65" s="18" t="s">
        <v>57</v>
      </c>
      <c r="K65" s="18" t="s">
        <v>57</v>
      </c>
      <c r="L65" s="18" t="s">
        <v>57</v>
      </c>
      <c r="M65" s="18" t="s">
        <v>58</v>
      </c>
      <c r="N65" s="18" t="s">
        <v>58</v>
      </c>
      <c r="O65" s="18" t="s">
        <v>58</v>
      </c>
    </row>
    <row r="66" spans="1:15" ht="27.75" thickBot="1" x14ac:dyDescent="0.3">
      <c r="A66" s="20" t="s">
        <v>59</v>
      </c>
      <c r="B66" s="21" t="s">
        <v>60</v>
      </c>
      <c r="C66" s="21" t="s">
        <v>61</v>
      </c>
      <c r="D66" s="21" t="s">
        <v>62</v>
      </c>
      <c r="E66" s="21" t="s">
        <v>63</v>
      </c>
      <c r="F66" s="21" t="s">
        <v>64</v>
      </c>
      <c r="G66" s="21" t="s">
        <v>65</v>
      </c>
      <c r="H66" s="13"/>
      <c r="I66" s="20" t="s">
        <v>59</v>
      </c>
      <c r="J66" s="21" t="s">
        <v>60</v>
      </c>
      <c r="K66" s="21" t="s">
        <v>61</v>
      </c>
      <c r="L66" s="21" t="s">
        <v>62</v>
      </c>
      <c r="M66" s="21" t="s">
        <v>63</v>
      </c>
      <c r="N66" s="21" t="s">
        <v>64</v>
      </c>
      <c r="O66" s="21" t="s">
        <v>65</v>
      </c>
    </row>
    <row r="67" spans="1:15" ht="34.5" thickBot="1" x14ac:dyDescent="0.3">
      <c r="A67" s="22"/>
      <c r="B67" s="23" t="str">
        <f t="shared" ref="B67:G67" si="7">CONCATENATE($A$63,"-",B66)</f>
        <v>topoDomain-trans-FST1-Cx [-]</v>
      </c>
      <c r="C67" s="23" t="str">
        <f t="shared" si="7"/>
        <v>topoDomain-trans-FST1-Cy [-]</v>
      </c>
      <c r="D67" s="23" t="str">
        <f t="shared" si="7"/>
        <v>topoDomain-trans-FST1-Cz [-]</v>
      </c>
      <c r="E67" s="23" t="str">
        <f t="shared" si="7"/>
        <v>topoDomain-trans-FST1-Cnx [-]</v>
      </c>
      <c r="F67" s="23" t="str">
        <f t="shared" si="7"/>
        <v>topoDomain-trans-FST1-Cny [-]</v>
      </c>
      <c r="G67" s="23" t="str">
        <f t="shared" si="7"/>
        <v>topoDomain-trans-FST1-Cnz [-]</v>
      </c>
      <c r="H67" s="24"/>
      <c r="I67" s="22"/>
      <c r="J67" s="23" t="str">
        <f t="shared" ref="J67:O67" si="8">CONCATENATE($I$63,"-",J66)</f>
        <v>topoDomain-trans-FST2-Cx [-]</v>
      </c>
      <c r="K67" s="23" t="str">
        <f t="shared" si="8"/>
        <v>topoDomain-trans-FST2-Cy [-]</v>
      </c>
      <c r="L67" s="23" t="str">
        <f t="shared" si="8"/>
        <v>topoDomain-trans-FST2-Cz [-]</v>
      </c>
      <c r="M67" s="23" t="str">
        <f t="shared" si="8"/>
        <v>topoDomain-trans-FST2-Cnx [-]</v>
      </c>
      <c r="N67" s="23" t="str">
        <f t="shared" si="8"/>
        <v>topoDomain-trans-FST2-Cny [-]</v>
      </c>
      <c r="O67" s="23" t="str">
        <f t="shared" si="8"/>
        <v>topoDomain-trans-FST2-Cnz [-]</v>
      </c>
    </row>
    <row r="68" spans="1:15" x14ac:dyDescent="0.25">
      <c r="A68" s="26"/>
      <c r="B68" s="31"/>
      <c r="C68" s="32"/>
      <c r="D68" s="32"/>
      <c r="E68" s="32"/>
      <c r="F68" s="32"/>
      <c r="G68" s="33"/>
      <c r="H68" s="25"/>
      <c r="I68" s="26"/>
      <c r="J68" s="31"/>
      <c r="K68" s="32"/>
      <c r="L68" s="32"/>
      <c r="M68" s="32"/>
      <c r="N68" s="32"/>
      <c r="O68" s="33"/>
    </row>
    <row r="69" spans="1:15" x14ac:dyDescent="0.25">
      <c r="A69" s="26"/>
      <c r="B69" s="34"/>
      <c r="C69" s="25"/>
      <c r="D69" s="25"/>
      <c r="E69" s="25"/>
      <c r="F69" s="25"/>
      <c r="G69" s="35"/>
      <c r="H69" s="25"/>
      <c r="I69" s="26"/>
      <c r="J69" s="34"/>
      <c r="K69" s="25"/>
      <c r="L69" s="25"/>
      <c r="M69" s="25"/>
      <c r="N69" s="25"/>
      <c r="O69" s="35"/>
    </row>
    <row r="70" spans="1:15" x14ac:dyDescent="0.25">
      <c r="A70" s="26"/>
      <c r="B70" s="34"/>
      <c r="C70" s="25"/>
      <c r="D70" s="25"/>
      <c r="E70" s="25"/>
      <c r="F70" s="25"/>
      <c r="G70" s="35"/>
      <c r="H70" s="25"/>
      <c r="I70" s="26"/>
      <c r="J70" s="34"/>
      <c r="K70" s="25"/>
      <c r="L70" s="25"/>
      <c r="M70" s="25"/>
      <c r="N70" s="25"/>
      <c r="O70" s="35"/>
    </row>
    <row r="71" spans="1:15" x14ac:dyDescent="0.25">
      <c r="A71" s="26"/>
      <c r="B71" s="34"/>
      <c r="C71" s="25"/>
      <c r="D71" s="25"/>
      <c r="E71" s="25"/>
      <c r="F71" s="25"/>
      <c r="G71" s="35"/>
      <c r="H71" s="25"/>
      <c r="I71" s="26"/>
      <c r="J71" s="34"/>
      <c r="K71" s="25"/>
      <c r="L71" s="25"/>
      <c r="M71" s="25"/>
      <c r="N71" s="25"/>
      <c r="O71" s="35"/>
    </row>
    <row r="72" spans="1:15" x14ac:dyDescent="0.25">
      <c r="A72" s="26"/>
      <c r="B72" s="34"/>
      <c r="C72" s="25"/>
      <c r="D72" s="25"/>
      <c r="E72" s="25"/>
      <c r="F72" s="25"/>
      <c r="G72" s="35"/>
      <c r="H72" s="25"/>
      <c r="I72" s="26"/>
      <c r="J72" s="34"/>
      <c r="K72" s="25"/>
      <c r="L72" s="25"/>
      <c r="M72" s="25"/>
      <c r="N72" s="25"/>
      <c r="O72" s="35"/>
    </row>
    <row r="73" spans="1:15" x14ac:dyDescent="0.25">
      <c r="A73" s="26"/>
      <c r="B73" s="34"/>
      <c r="C73" s="25"/>
      <c r="D73" s="25"/>
      <c r="E73" s="25"/>
      <c r="F73" s="25"/>
      <c r="G73" s="35"/>
      <c r="H73" s="25"/>
      <c r="I73" s="26"/>
      <c r="J73" s="34"/>
      <c r="K73" s="25"/>
      <c r="L73" s="25"/>
      <c r="M73" s="25"/>
      <c r="N73" s="25"/>
      <c r="O73" s="35"/>
    </row>
    <row r="74" spans="1:15" x14ac:dyDescent="0.25">
      <c r="A74" s="26"/>
      <c r="B74" s="34"/>
      <c r="C74" s="25"/>
      <c r="D74" s="25"/>
      <c r="E74" s="25"/>
      <c r="F74" s="25"/>
      <c r="G74" s="35"/>
      <c r="H74" s="25"/>
      <c r="I74" s="26"/>
      <c r="J74" s="34"/>
      <c r="K74" s="25"/>
      <c r="L74" s="25"/>
      <c r="M74" s="25"/>
      <c r="N74" s="25"/>
      <c r="O74" s="35"/>
    </row>
    <row r="75" spans="1:15" x14ac:dyDescent="0.25">
      <c r="A75" s="26"/>
      <c r="B75" s="34"/>
      <c r="C75" s="25"/>
      <c r="D75" s="25"/>
      <c r="E75" s="25"/>
      <c r="F75" s="25"/>
      <c r="G75" s="35"/>
      <c r="H75" s="25"/>
      <c r="I75" s="26"/>
      <c r="J75" s="34"/>
      <c r="K75" s="25"/>
      <c r="L75" s="25"/>
      <c r="M75" s="25"/>
      <c r="N75" s="25"/>
      <c r="O75" s="35"/>
    </row>
    <row r="76" spans="1:15" x14ac:dyDescent="0.25">
      <c r="A76" s="26"/>
      <c r="B76" s="34"/>
      <c r="C76" s="25"/>
      <c r="D76" s="25"/>
      <c r="E76" s="25"/>
      <c r="F76" s="25"/>
      <c r="G76" s="35"/>
      <c r="H76" s="25"/>
      <c r="I76" s="26"/>
      <c r="J76" s="34"/>
      <c r="K76" s="25"/>
      <c r="L76" s="25"/>
      <c r="M76" s="25"/>
      <c r="N76" s="25"/>
      <c r="O76" s="35"/>
    </row>
    <row r="77" spans="1:15" x14ac:dyDescent="0.25">
      <c r="A77" s="26"/>
      <c r="B77" s="34"/>
      <c r="C77" s="25"/>
      <c r="D77" s="25"/>
      <c r="E77" s="25"/>
      <c r="F77" s="25"/>
      <c r="G77" s="35"/>
      <c r="H77" s="25"/>
      <c r="I77" s="26"/>
      <c r="J77" s="34"/>
      <c r="K77" s="25"/>
      <c r="L77" s="25"/>
      <c r="M77" s="25"/>
      <c r="N77" s="25"/>
      <c r="O77" s="35"/>
    </row>
    <row r="78" spans="1:15" x14ac:dyDescent="0.25">
      <c r="A78" s="26"/>
      <c r="B78" s="34"/>
      <c r="C78" s="25"/>
      <c r="D78" s="25"/>
      <c r="E78" s="25"/>
      <c r="F78" s="25"/>
      <c r="G78" s="35"/>
      <c r="H78" s="25"/>
      <c r="I78" s="26"/>
      <c r="J78" s="34"/>
      <c r="K78" s="25"/>
      <c r="L78" s="25"/>
      <c r="M78" s="25"/>
      <c r="N78" s="25"/>
      <c r="O78" s="35"/>
    </row>
    <row r="79" spans="1:15" x14ac:dyDescent="0.25">
      <c r="A79" s="26"/>
      <c r="B79" s="34"/>
      <c r="C79" s="25"/>
      <c r="D79" s="25"/>
      <c r="E79" s="25"/>
      <c r="F79" s="25"/>
      <c r="G79" s="35"/>
      <c r="H79" s="25"/>
      <c r="I79" s="26"/>
      <c r="J79" s="34"/>
      <c r="K79" s="25"/>
      <c r="L79" s="25"/>
      <c r="M79" s="25"/>
      <c r="N79" s="25"/>
      <c r="O79" s="35"/>
    </row>
    <row r="80" spans="1:15" x14ac:dyDescent="0.25">
      <c r="A80" s="26"/>
      <c r="B80" s="34"/>
      <c r="C80" s="25"/>
      <c r="D80" s="25"/>
      <c r="E80" s="25"/>
      <c r="F80" s="25"/>
      <c r="G80" s="35"/>
      <c r="H80" s="25"/>
      <c r="I80" s="26"/>
      <c r="J80" s="34"/>
      <c r="K80" s="25"/>
      <c r="L80" s="25"/>
      <c r="M80" s="25"/>
      <c r="N80" s="25"/>
      <c r="O80" s="35"/>
    </row>
    <row r="81" spans="1:37" x14ac:dyDescent="0.25">
      <c r="A81" s="26"/>
      <c r="B81" s="34"/>
      <c r="C81" s="25"/>
      <c r="D81" s="25"/>
      <c r="E81" s="25"/>
      <c r="F81" s="25"/>
      <c r="G81" s="35"/>
      <c r="H81" s="25"/>
      <c r="I81" s="27"/>
      <c r="J81" s="34"/>
      <c r="K81" s="25"/>
      <c r="L81" s="25"/>
      <c r="M81" s="25"/>
      <c r="N81" s="25"/>
      <c r="O81" s="35"/>
    </row>
    <row r="82" spans="1:37" x14ac:dyDescent="0.25">
      <c r="A82" s="26"/>
      <c r="B82" s="34"/>
      <c r="C82" s="25"/>
      <c r="D82" s="25"/>
      <c r="E82" s="25"/>
      <c r="F82" s="25"/>
      <c r="G82" s="35"/>
      <c r="H82" s="25"/>
      <c r="I82" s="27"/>
      <c r="J82" s="34"/>
      <c r="K82" s="25"/>
      <c r="L82" s="25"/>
      <c r="M82" s="25"/>
      <c r="N82" s="25"/>
      <c r="O82" s="35"/>
    </row>
    <row r="83" spans="1:37" x14ac:dyDescent="0.25">
      <c r="A83" s="26"/>
      <c r="B83" s="34"/>
      <c r="C83" s="25"/>
      <c r="D83" s="25"/>
      <c r="E83" s="25"/>
      <c r="F83" s="25"/>
      <c r="G83" s="35"/>
      <c r="H83" s="25"/>
      <c r="I83" s="27"/>
      <c r="J83" s="34"/>
      <c r="K83" s="25"/>
      <c r="L83" s="25"/>
      <c r="M83" s="25"/>
      <c r="N83" s="25"/>
      <c r="O83" s="35"/>
    </row>
    <row r="84" spans="1:37" x14ac:dyDescent="0.25">
      <c r="A84" s="26"/>
      <c r="B84" s="34"/>
      <c r="C84" s="25"/>
      <c r="D84" s="25"/>
      <c r="E84" s="25"/>
      <c r="F84" s="25"/>
      <c r="G84" s="35"/>
      <c r="H84" s="25"/>
      <c r="I84" s="27"/>
      <c r="J84" s="34"/>
      <c r="K84" s="25"/>
      <c r="L84" s="25"/>
      <c r="M84" s="25"/>
      <c r="N84" s="25"/>
      <c r="O84" s="35"/>
    </row>
    <row r="85" spans="1:37" x14ac:dyDescent="0.25">
      <c r="A85" s="26"/>
      <c r="B85" s="34"/>
      <c r="C85" s="25"/>
      <c r="D85" s="25"/>
      <c r="E85" s="25"/>
      <c r="F85" s="25"/>
      <c r="G85" s="35"/>
      <c r="H85" s="25"/>
      <c r="I85" s="27"/>
      <c r="J85" s="34"/>
      <c r="K85" s="25"/>
      <c r="L85" s="25"/>
      <c r="M85" s="25"/>
      <c r="N85" s="25"/>
      <c r="O85" s="35"/>
    </row>
    <row r="86" spans="1:37" x14ac:dyDescent="0.25">
      <c r="A86" s="26"/>
      <c r="B86" s="34"/>
      <c r="C86" s="25"/>
      <c r="D86" s="25"/>
      <c r="E86" s="25"/>
      <c r="F86" s="25"/>
      <c r="G86" s="35"/>
      <c r="H86" s="25"/>
      <c r="I86" s="27"/>
      <c r="J86" s="34"/>
      <c r="K86" s="25"/>
      <c r="L86" s="25"/>
      <c r="M86" s="25"/>
      <c r="N86" s="25"/>
      <c r="O86" s="35"/>
    </row>
    <row r="87" spans="1:37" x14ac:dyDescent="0.25">
      <c r="A87" s="26"/>
      <c r="B87" s="34"/>
      <c r="C87" s="25"/>
      <c r="D87" s="25"/>
      <c r="E87" s="25"/>
      <c r="F87" s="25"/>
      <c r="G87" s="35"/>
      <c r="H87" s="25"/>
      <c r="I87" s="27"/>
      <c r="J87" s="34"/>
      <c r="K87" s="25"/>
      <c r="L87" s="25"/>
      <c r="M87" s="25"/>
      <c r="N87" s="25"/>
      <c r="O87" s="35"/>
    </row>
    <row r="88" spans="1:37" x14ac:dyDescent="0.25">
      <c r="A88" s="26"/>
      <c r="B88" s="34"/>
      <c r="C88" s="25"/>
      <c r="D88" s="25"/>
      <c r="E88" s="25"/>
      <c r="F88" s="25"/>
      <c r="G88" s="35"/>
      <c r="H88" s="25"/>
      <c r="I88" s="27"/>
      <c r="J88" s="34"/>
      <c r="K88" s="25"/>
      <c r="L88" s="25"/>
      <c r="M88" s="25"/>
      <c r="N88" s="25"/>
      <c r="O88" s="35"/>
    </row>
    <row r="89" spans="1:37" x14ac:dyDescent="0.25">
      <c r="A89" s="26"/>
      <c r="B89" s="34"/>
      <c r="C89" s="25"/>
      <c r="D89" s="25"/>
      <c r="E89" s="25"/>
      <c r="F89" s="25"/>
      <c r="G89" s="35"/>
      <c r="H89" s="25"/>
      <c r="I89" s="27"/>
      <c r="J89" s="34"/>
      <c r="K89" s="25"/>
      <c r="L89" s="25"/>
      <c r="M89" s="25"/>
      <c r="N89" s="25"/>
      <c r="O89" s="35"/>
    </row>
    <row r="90" spans="1:37" x14ac:dyDescent="0.25">
      <c r="A90" s="26"/>
      <c r="B90" s="34"/>
      <c r="C90" s="25"/>
      <c r="D90" s="25"/>
      <c r="E90" s="25"/>
      <c r="F90" s="25"/>
      <c r="G90" s="35"/>
      <c r="H90" s="25"/>
      <c r="I90" s="27"/>
      <c r="J90" s="34"/>
      <c r="K90" s="25"/>
      <c r="L90" s="25"/>
      <c r="M90" s="25"/>
      <c r="N90" s="25"/>
      <c r="O90" s="35"/>
    </row>
    <row r="91" spans="1:37" x14ac:dyDescent="0.25">
      <c r="A91" s="26"/>
      <c r="B91" s="34"/>
      <c r="C91" s="25"/>
      <c r="D91" s="25"/>
      <c r="E91" s="25"/>
      <c r="F91" s="25"/>
      <c r="G91" s="35"/>
      <c r="H91" s="25"/>
      <c r="I91" s="27"/>
      <c r="J91" s="34"/>
      <c r="K91" s="25"/>
      <c r="L91" s="25"/>
      <c r="M91" s="25"/>
      <c r="N91" s="25"/>
      <c r="O91" s="35"/>
    </row>
    <row r="92" spans="1:37" ht="15.75" thickBot="1" x14ac:dyDescent="0.3">
      <c r="A92" s="26"/>
      <c r="B92" s="36"/>
      <c r="C92" s="37"/>
      <c r="D92" s="37"/>
      <c r="E92" s="37"/>
      <c r="F92" s="37"/>
      <c r="G92" s="38"/>
      <c r="H92" s="28"/>
      <c r="I92" s="29"/>
      <c r="J92" s="36"/>
      <c r="K92" s="37"/>
      <c r="L92" s="37"/>
      <c r="M92" s="37"/>
      <c r="N92" s="37"/>
      <c r="O92" s="38"/>
    </row>
    <row r="94" spans="1:37" ht="15.75" customHeight="1" thickBot="1" x14ac:dyDescent="0.3">
      <c r="A94" s="221" t="s">
        <v>264</v>
      </c>
      <c r="B94" s="221"/>
      <c r="C94" s="221"/>
      <c r="D94" s="221"/>
      <c r="E94" s="221"/>
      <c r="F94" s="221"/>
      <c r="G94" s="221"/>
      <c r="H94" s="13"/>
      <c r="I94" s="221" t="s">
        <v>265</v>
      </c>
      <c r="J94" s="221"/>
      <c r="K94" s="221"/>
      <c r="L94" s="221"/>
      <c r="M94" s="221"/>
      <c r="N94" s="221"/>
      <c r="O94" s="221"/>
      <c r="Q94" s="221" t="s">
        <v>72</v>
      </c>
      <c r="R94" s="221"/>
      <c r="S94" s="221"/>
      <c r="T94" s="221"/>
      <c r="U94" s="221"/>
      <c r="V94" s="221"/>
      <c r="W94" s="221"/>
      <c r="Y94" s="221"/>
      <c r="Z94" s="221"/>
      <c r="AA94" s="221"/>
      <c r="AB94" s="221"/>
      <c r="AC94" s="221"/>
      <c r="AE94" s="221" t="s">
        <v>74</v>
      </c>
      <c r="AF94" s="221"/>
      <c r="AG94" s="221"/>
      <c r="AH94" s="221"/>
      <c r="AI94" s="221"/>
      <c r="AJ94" s="221"/>
      <c r="AK94" s="221"/>
    </row>
    <row r="95" spans="1:37" ht="27" x14ac:dyDescent="0.25">
      <c r="A95" s="14" t="s">
        <v>55</v>
      </c>
      <c r="B95" s="15"/>
      <c r="C95" s="15"/>
      <c r="D95" s="15"/>
      <c r="E95" s="15"/>
      <c r="F95" s="15"/>
      <c r="G95" s="15"/>
      <c r="H95" s="16"/>
      <c r="I95" s="14" t="s">
        <v>55</v>
      </c>
      <c r="J95" s="15"/>
      <c r="K95" s="15"/>
      <c r="L95" s="15"/>
      <c r="M95" s="15"/>
      <c r="N95" s="15"/>
      <c r="O95" s="15"/>
      <c r="Q95" s="14" t="s">
        <v>55</v>
      </c>
      <c r="R95" s="15">
        <f t="shared" ref="R95:W95" si="9">J95</f>
        <v>0</v>
      </c>
      <c r="S95" s="15">
        <f t="shared" si="9"/>
        <v>0</v>
      </c>
      <c r="T95" s="15">
        <f t="shared" si="9"/>
        <v>0</v>
      </c>
      <c r="U95" s="15">
        <f t="shared" si="9"/>
        <v>0</v>
      </c>
      <c r="V95" s="15">
        <f t="shared" si="9"/>
        <v>0</v>
      </c>
      <c r="W95" s="15">
        <f t="shared" si="9"/>
        <v>0</v>
      </c>
      <c r="Y95" s="15">
        <f>S95</f>
        <v>0</v>
      </c>
      <c r="Z95" s="15">
        <f>T95</f>
        <v>0</v>
      </c>
      <c r="AA95" s="15">
        <f>U95</f>
        <v>0</v>
      </c>
      <c r="AB95" s="15">
        <f>V95</f>
        <v>0</v>
      </c>
      <c r="AC95" s="15">
        <f>W95</f>
        <v>0</v>
      </c>
      <c r="AE95" s="14" t="s">
        <v>55</v>
      </c>
      <c r="AF95" s="15" t="e">
        <f>#REF!</f>
        <v>#REF!</v>
      </c>
      <c r="AG95" s="15">
        <f t="shared" ref="AG95:AK95" si="10">Y95</f>
        <v>0</v>
      </c>
      <c r="AH95" s="15">
        <f t="shared" si="10"/>
        <v>0</v>
      </c>
      <c r="AI95" s="15">
        <f t="shared" si="10"/>
        <v>0</v>
      </c>
      <c r="AJ95" s="15">
        <f t="shared" si="10"/>
        <v>0</v>
      </c>
      <c r="AK95" s="15">
        <f t="shared" si="10"/>
        <v>0</v>
      </c>
    </row>
    <row r="96" spans="1:37" ht="15.75" thickBot="1" x14ac:dyDescent="0.3">
      <c r="A96" s="17"/>
      <c r="B96" s="18" t="s">
        <v>57</v>
      </c>
      <c r="C96" s="18" t="s">
        <v>57</v>
      </c>
      <c r="D96" s="18" t="s">
        <v>57</v>
      </c>
      <c r="E96" s="18" t="s">
        <v>58</v>
      </c>
      <c r="F96" s="18" t="s">
        <v>58</v>
      </c>
      <c r="G96" s="18" t="s">
        <v>58</v>
      </c>
      <c r="H96" s="19"/>
      <c r="I96" s="14"/>
      <c r="J96" s="213" t="s">
        <v>57</v>
      </c>
      <c r="K96" s="213" t="s">
        <v>57</v>
      </c>
      <c r="L96" s="213" t="s">
        <v>57</v>
      </c>
      <c r="M96" s="213" t="s">
        <v>58</v>
      </c>
      <c r="N96" s="213" t="s">
        <v>58</v>
      </c>
      <c r="O96" s="213" t="s">
        <v>58</v>
      </c>
      <c r="Q96" s="17"/>
      <c r="R96" s="18" t="s">
        <v>57</v>
      </c>
      <c r="S96" s="18" t="s">
        <v>57</v>
      </c>
      <c r="T96" s="18" t="s">
        <v>57</v>
      </c>
      <c r="U96" s="18" t="s">
        <v>58</v>
      </c>
      <c r="V96" s="18" t="s">
        <v>58</v>
      </c>
      <c r="W96" s="18" t="s">
        <v>58</v>
      </c>
      <c r="Y96" s="18" t="s">
        <v>57</v>
      </c>
      <c r="Z96" s="18" t="s">
        <v>57</v>
      </c>
      <c r="AA96" s="18" t="s">
        <v>58</v>
      </c>
      <c r="AB96" s="18" t="s">
        <v>58</v>
      </c>
      <c r="AC96" s="18" t="s">
        <v>58</v>
      </c>
      <c r="AE96" s="17"/>
      <c r="AF96" s="18" t="s">
        <v>57</v>
      </c>
      <c r="AG96" s="18" t="s">
        <v>57</v>
      </c>
      <c r="AH96" s="18" t="s">
        <v>57</v>
      </c>
      <c r="AI96" s="18" t="s">
        <v>58</v>
      </c>
      <c r="AJ96" s="18" t="s">
        <v>58</v>
      </c>
      <c r="AK96" s="18" t="s">
        <v>58</v>
      </c>
    </row>
    <row r="97" spans="1:37" ht="27.75" thickBot="1" x14ac:dyDescent="0.3">
      <c r="A97" s="212" t="s">
        <v>59</v>
      </c>
      <c r="B97" s="21" t="s">
        <v>60</v>
      </c>
      <c r="C97" s="21" t="s">
        <v>61</v>
      </c>
      <c r="D97" s="21" t="s">
        <v>62</v>
      </c>
      <c r="E97" s="21" t="s">
        <v>63</v>
      </c>
      <c r="F97" s="21" t="s">
        <v>64</v>
      </c>
      <c r="G97" s="21" t="s">
        <v>65</v>
      </c>
      <c r="H97" s="13"/>
      <c r="I97" s="93" t="s">
        <v>59</v>
      </c>
      <c r="J97" s="90" t="s">
        <v>60</v>
      </c>
      <c r="K97" s="90" t="s">
        <v>61</v>
      </c>
      <c r="L97" s="90" t="s">
        <v>62</v>
      </c>
      <c r="M97" s="90" t="s">
        <v>63</v>
      </c>
      <c r="N97" s="90" t="s">
        <v>64</v>
      </c>
      <c r="O97" s="90" t="s">
        <v>65</v>
      </c>
      <c r="Q97" s="20" t="s">
        <v>59</v>
      </c>
      <c r="R97" s="21" t="s">
        <v>60</v>
      </c>
      <c r="S97" s="21" t="s">
        <v>61</v>
      </c>
      <c r="T97" s="21" t="s">
        <v>62</v>
      </c>
      <c r="U97" s="21" t="s">
        <v>63</v>
      </c>
      <c r="V97" s="21" t="s">
        <v>64</v>
      </c>
      <c r="W97" s="21" t="s">
        <v>65</v>
      </c>
      <c r="Y97" s="21" t="s">
        <v>61</v>
      </c>
      <c r="Z97" s="21" t="s">
        <v>62</v>
      </c>
      <c r="AA97" s="21" t="s">
        <v>63</v>
      </c>
      <c r="AB97" s="21" t="s">
        <v>64</v>
      </c>
      <c r="AC97" s="21" t="s">
        <v>65</v>
      </c>
      <c r="AE97" s="20" t="s">
        <v>59</v>
      </c>
      <c r="AF97" s="21" t="s">
        <v>60</v>
      </c>
      <c r="AG97" s="21" t="s">
        <v>61</v>
      </c>
      <c r="AH97" s="21" t="s">
        <v>62</v>
      </c>
      <c r="AI97" s="21" t="s">
        <v>63</v>
      </c>
      <c r="AJ97" s="21" t="s">
        <v>64</v>
      </c>
      <c r="AK97" s="21" t="s">
        <v>65</v>
      </c>
    </row>
    <row r="98" spans="1:37" ht="68.25" thickBot="1" x14ac:dyDescent="0.3">
      <c r="A98" s="93"/>
      <c r="B98" s="94" t="str">
        <f t="shared" ref="B98:G98" si="11">CONCATENATE($A$94,"-",B97)</f>
        <v>openDomain-long-Light-FST1-Cx [-]</v>
      </c>
      <c r="C98" s="94" t="str">
        <f t="shared" si="11"/>
        <v>openDomain-long-Light-FST1-Cy [-]</v>
      </c>
      <c r="D98" s="94" t="str">
        <f t="shared" si="11"/>
        <v>openDomain-long-Light-FST1-Cz [-]</v>
      </c>
      <c r="E98" s="94" t="str">
        <f t="shared" si="11"/>
        <v>openDomain-long-Light-FST1-Cnx [-]</v>
      </c>
      <c r="F98" s="94" t="str">
        <f t="shared" si="11"/>
        <v>openDomain-long-Light-FST1-Cny [-]</v>
      </c>
      <c r="G98" s="94" t="str">
        <f t="shared" si="11"/>
        <v>openDomain-long-Light-FST1-Cnz [-]</v>
      </c>
      <c r="H98" s="24"/>
      <c r="I98" s="93"/>
      <c r="J98" s="94" t="str">
        <f t="shared" ref="J98:O98" si="12">CONCATENATE($I$94,"-",J97)</f>
        <v>openDomain-long-Light-FST2-Cx [-]</v>
      </c>
      <c r="K98" s="94" t="str">
        <f t="shared" si="12"/>
        <v>openDomain-long-Light-FST2-Cy [-]</v>
      </c>
      <c r="L98" s="94" t="str">
        <f t="shared" si="12"/>
        <v>openDomain-long-Light-FST2-Cz [-]</v>
      </c>
      <c r="M98" s="94" t="str">
        <f t="shared" si="12"/>
        <v>openDomain-long-Light-FST2-Cnx [-]</v>
      </c>
      <c r="N98" s="94" t="str">
        <f t="shared" si="12"/>
        <v>openDomain-long-Light-FST2-Cny [-]</v>
      </c>
      <c r="O98" s="94" t="str">
        <f t="shared" si="12"/>
        <v>openDomain-long-Light-FST2-Cnz [-]</v>
      </c>
      <c r="Q98" s="22"/>
      <c r="R98" s="23" t="str">
        <f t="shared" ref="R98:W98" si="13">CONCATENATE($Q$94,"-",R97)</f>
        <v>openDomain-trans-FST2-noApp-Cx [-]</v>
      </c>
      <c r="S98" s="23" t="str">
        <f t="shared" si="13"/>
        <v>openDomain-trans-FST2-noApp-Cy [-]</v>
      </c>
      <c r="T98" s="23" t="str">
        <f t="shared" si="13"/>
        <v>openDomain-trans-FST2-noApp-Cz [-]</v>
      </c>
      <c r="U98" s="23" t="str">
        <f t="shared" si="13"/>
        <v>openDomain-trans-FST2-noApp-Cnx [-]</v>
      </c>
      <c r="V98" s="23" t="str">
        <f t="shared" si="13"/>
        <v>openDomain-trans-FST2-noApp-Cny [-]</v>
      </c>
      <c r="W98" s="23" t="str">
        <f t="shared" si="13"/>
        <v>openDomain-trans-FST2-noApp-Cnz [-]</v>
      </c>
      <c r="Y98" s="23" t="e">
        <f>CONCATENATE(#REF!,"-",Y97)</f>
        <v>#REF!</v>
      </c>
      <c r="Z98" s="23" t="e">
        <f>CONCATENATE(#REF!,"-",Z97)</f>
        <v>#REF!</v>
      </c>
      <c r="AA98" s="23" t="e">
        <f>CONCATENATE(#REF!,"-",AA97)</f>
        <v>#REF!</v>
      </c>
      <c r="AB98" s="23" t="e">
        <f>CONCATENATE(#REF!,"-",AB97)</f>
        <v>#REF!</v>
      </c>
      <c r="AC98" s="23" t="e">
        <f>CONCATENATE(#REF!,"-",AC97)</f>
        <v>#REF!</v>
      </c>
      <c r="AE98" s="22"/>
      <c r="AF98" s="23" t="str">
        <f t="shared" ref="AF98:AK98" si="14">CONCATENATE($AE$94,"-",AF97)</f>
        <v>openDomain-trans-FST2-topsides-Cx [-]</v>
      </c>
      <c r="AG98" s="23" t="str">
        <f t="shared" si="14"/>
        <v>openDomain-trans-FST2-topsides-Cy [-]</v>
      </c>
      <c r="AH98" s="23" t="str">
        <f t="shared" si="14"/>
        <v>openDomain-trans-FST2-topsides-Cz [-]</v>
      </c>
      <c r="AI98" s="23" t="str">
        <f t="shared" si="14"/>
        <v>openDomain-trans-FST2-topsides-Cnx [-]</v>
      </c>
      <c r="AJ98" s="23" t="str">
        <f t="shared" si="14"/>
        <v>openDomain-trans-FST2-topsides-Cny [-]</v>
      </c>
      <c r="AK98" s="23" t="str">
        <f t="shared" si="14"/>
        <v>openDomain-trans-FST2-topsides-Cnz [-]</v>
      </c>
    </row>
    <row r="99" spans="1:37" x14ac:dyDescent="0.25">
      <c r="A99" s="97">
        <f>'longitudinal-acma'!A111</f>
        <v>0</v>
      </c>
      <c r="B99" s="116">
        <f>'longitudinal-acma'!B111</f>
        <v>0.81123761476258704</v>
      </c>
      <c r="C99" s="116">
        <f>'longitudinal-acma'!C111</f>
        <v>3.313498455269303E-2</v>
      </c>
      <c r="D99" s="117">
        <v>0</v>
      </c>
      <c r="E99" s="117">
        <v>0</v>
      </c>
      <c r="F99" s="117">
        <v>0</v>
      </c>
      <c r="G99" s="116">
        <f>'longitudinal-acma'!G111</f>
        <v>2.9667909026279788E-3</v>
      </c>
      <c r="H99" s="118" t="str">
        <f t="shared" ref="H99:H122" si="15">"  - ["&amp;A99&amp;", "&amp;FIXED(B99,3,1)&amp;", "&amp;FIXED(C99,3,1)&amp;", 0, 0, 0"&amp;", "&amp;FIXED(G99,3,1)&amp;"]"</f>
        <v xml:space="preserve">  - [0, 0.811, 0.033, 0, 0, 0, 0.003]</v>
      </c>
      <c r="I99" s="97">
        <f>'longitudinal-acma'!I99</f>
        <v>0</v>
      </c>
      <c r="J99" s="116">
        <f>'longitudinal-acma'!J99</f>
        <v>0.69236329614215808</v>
      </c>
      <c r="K99" s="116">
        <f>'longitudinal-acma'!K99</f>
        <v>-1.5221195426332487E-2</v>
      </c>
      <c r="L99" s="117">
        <v>0</v>
      </c>
      <c r="M99" s="117">
        <v>0</v>
      </c>
      <c r="N99" s="117">
        <v>0</v>
      </c>
      <c r="O99" s="116">
        <f>'longitudinal-acma'!O99</f>
        <v>3.4237135593225012E-3</v>
      </c>
      <c r="P99" s="118" t="str">
        <f>"  - ["&amp;I99&amp;", "&amp;FIXED(J99,3,1)&amp;", "&amp;FIXED(K99,3,1)&amp;", 0, 0, 0"&amp;", "&amp;FIXED(O99,3,1)&amp;"]"</f>
        <v xml:space="preserve">  - [0, 0.692, -0.015, 0, 0, 0, 0.003]</v>
      </c>
      <c r="Q99" s="26"/>
      <c r="R99" s="31"/>
      <c r="S99" s="32"/>
      <c r="T99" s="32"/>
      <c r="U99" s="32"/>
      <c r="V99" s="32"/>
      <c r="W99" s="33"/>
      <c r="Y99" s="32"/>
      <c r="Z99" s="32"/>
      <c r="AA99" s="32"/>
      <c r="AB99" s="32"/>
      <c r="AC99" s="33"/>
      <c r="AE99" s="26"/>
      <c r="AF99" s="31"/>
      <c r="AG99" s="32"/>
      <c r="AH99" s="32"/>
      <c r="AI99" s="32"/>
      <c r="AJ99" s="32"/>
      <c r="AK99" s="33"/>
    </row>
    <row r="100" spans="1:37" x14ac:dyDescent="0.25">
      <c r="A100" s="97">
        <f>'longitudinal-acma'!A112</f>
        <v>15</v>
      </c>
      <c r="B100" s="116">
        <f>'longitudinal-acma'!B112</f>
        <v>0.81107607551592908</v>
      </c>
      <c r="C100" s="116">
        <f>'longitudinal-acma'!C112</f>
        <v>0.21352984445305348</v>
      </c>
      <c r="D100" s="117">
        <v>0</v>
      </c>
      <c r="E100" s="117">
        <v>0</v>
      </c>
      <c r="F100" s="117">
        <v>0</v>
      </c>
      <c r="G100" s="116">
        <f>'longitudinal-acma'!G112</f>
        <v>-3.8803764720218702E-2</v>
      </c>
      <c r="H100" s="118" t="str">
        <f t="shared" si="15"/>
        <v xml:space="preserve">  - [15, 0.811, 0.214, 0, 0, 0, -0.039]</v>
      </c>
      <c r="I100" s="97">
        <f>'longitudinal-acma'!I100</f>
        <v>15</v>
      </c>
      <c r="J100" s="116">
        <f>'longitudinal-acma'!J100</f>
        <v>0.95474673072268501</v>
      </c>
      <c r="K100" s="116">
        <f>'longitudinal-acma'!K100</f>
        <v>0.18486395647878812</v>
      </c>
      <c r="L100" s="117">
        <v>0</v>
      </c>
      <c r="M100" s="117">
        <v>0</v>
      </c>
      <c r="N100" s="117">
        <v>0</v>
      </c>
      <c r="O100" s="116">
        <f>'longitudinal-acma'!O100</f>
        <v>-8.9443115039141447E-3</v>
      </c>
      <c r="P100" s="118" t="str">
        <f t="shared" ref="P100:P122" si="16">"  - ["&amp;I100&amp;", "&amp;FIXED(J100,3,1)&amp;", "&amp;FIXED(K100,3,1)&amp;", 0, 0, 0"&amp;", "&amp;FIXED(O100,3,1)&amp;"]"</f>
        <v xml:space="preserve">  - [15, 0.955, 0.185, 0, 0, 0, -0.009]</v>
      </c>
      <c r="Q100" s="26"/>
      <c r="R100" s="34"/>
      <c r="S100" s="25"/>
      <c r="T100" s="25"/>
      <c r="U100" s="25"/>
      <c r="V100" s="25"/>
      <c r="W100" s="35"/>
      <c r="Y100" s="25"/>
      <c r="Z100" s="25"/>
      <c r="AA100" s="25"/>
      <c r="AB100" s="25"/>
      <c r="AC100" s="35"/>
      <c r="AE100" s="26"/>
      <c r="AF100" s="34"/>
      <c r="AG100" s="25"/>
      <c r="AH100" s="25"/>
      <c r="AI100" s="25"/>
      <c r="AJ100" s="25"/>
      <c r="AK100" s="35"/>
    </row>
    <row r="101" spans="1:37" x14ac:dyDescent="0.25">
      <c r="A101" s="97">
        <f>'longitudinal-acma'!A113</f>
        <v>30</v>
      </c>
      <c r="B101" s="116">
        <f>'longitudinal-acma'!B113</f>
        <v>0.50023270214208415</v>
      </c>
      <c r="C101" s="116">
        <f>'longitudinal-acma'!C113</f>
        <v>0.55424277842039205</v>
      </c>
      <c r="D101" s="117">
        <v>0</v>
      </c>
      <c r="E101" s="117">
        <v>0</v>
      </c>
      <c r="F101" s="117">
        <v>0</v>
      </c>
      <c r="G101" s="116">
        <f>'longitudinal-acma'!G113</f>
        <v>-9.4140341356023713E-2</v>
      </c>
      <c r="H101" s="118" t="str">
        <f t="shared" si="15"/>
        <v xml:space="preserve">  - [30, 0.500, 0.554, 0, 0, 0, -0.094]</v>
      </c>
      <c r="I101" s="97">
        <f>'longitudinal-acma'!I101</f>
        <v>30</v>
      </c>
      <c r="J101" s="116">
        <f>'longitudinal-acma'!J101</f>
        <v>0.90796016544859315</v>
      </c>
      <c r="K101" s="116">
        <f>'longitudinal-acma'!K101</f>
        <v>0.51025377175112341</v>
      </c>
      <c r="L101" s="117">
        <v>0</v>
      </c>
      <c r="M101" s="117">
        <v>0</v>
      </c>
      <c r="N101" s="117">
        <v>0</v>
      </c>
      <c r="O101" s="116">
        <f>'longitudinal-acma'!O101</f>
        <v>-5.3215836580409119E-2</v>
      </c>
      <c r="P101" s="118" t="str">
        <f t="shared" si="16"/>
        <v xml:space="preserve">  - [30, 0.908, 0.510, 0, 0, 0, -0.053]</v>
      </c>
      <c r="Q101" s="26"/>
      <c r="R101" s="34"/>
      <c r="S101" s="25"/>
      <c r="T101" s="25"/>
      <c r="U101" s="25"/>
      <c r="V101" s="25"/>
      <c r="W101" s="35"/>
      <c r="Y101" s="25"/>
      <c r="Z101" s="25"/>
      <c r="AA101" s="25"/>
      <c r="AB101" s="25"/>
      <c r="AC101" s="35"/>
      <c r="AE101" s="26"/>
      <c r="AF101" s="34"/>
      <c r="AG101" s="25"/>
      <c r="AH101" s="25"/>
      <c r="AI101" s="25"/>
      <c r="AJ101" s="25"/>
      <c r="AK101" s="35"/>
    </row>
    <row r="102" spans="1:37" x14ac:dyDescent="0.25">
      <c r="A102" s="97">
        <f>'longitudinal-acma'!A114</f>
        <v>45</v>
      </c>
      <c r="B102" s="116">
        <f>'longitudinal-acma'!B114</f>
        <v>0.27389065980751132</v>
      </c>
      <c r="C102" s="116">
        <f>'longitudinal-acma'!C114</f>
        <v>0.92225977396387882</v>
      </c>
      <c r="D102" s="117">
        <v>0</v>
      </c>
      <c r="E102" s="117">
        <v>0</v>
      </c>
      <c r="F102" s="117">
        <v>0</v>
      </c>
      <c r="G102" s="116">
        <f>'longitudinal-acma'!G114</f>
        <v>-0.19283455786214185</v>
      </c>
      <c r="H102" s="118" t="str">
        <f t="shared" si="15"/>
        <v xml:space="preserve">  - [45, 0.274, 0.922, 0, 0, 0, -0.193]</v>
      </c>
      <c r="I102" s="97">
        <f>'longitudinal-acma'!I102</f>
        <v>45</v>
      </c>
      <c r="J102" s="116">
        <f>'longitudinal-acma'!J102</f>
        <v>0.70221613735348265</v>
      </c>
      <c r="K102" s="116">
        <f>'longitudinal-acma'!K102</f>
        <v>0.87371457437214439</v>
      </c>
      <c r="L102" s="117">
        <v>0</v>
      </c>
      <c r="M102" s="117">
        <v>0</v>
      </c>
      <c r="N102" s="117">
        <v>0</v>
      </c>
      <c r="O102" s="116">
        <f>'longitudinal-acma'!O102</f>
        <v>-7.8704174053024364E-2</v>
      </c>
      <c r="P102" s="118" t="str">
        <f t="shared" si="16"/>
        <v xml:space="preserve">  - [45, 0.702, 0.874, 0, 0, 0, -0.079]</v>
      </c>
      <c r="Q102" s="26"/>
      <c r="R102" s="34"/>
      <c r="S102" s="25"/>
      <c r="T102" s="25"/>
      <c r="U102" s="25"/>
      <c r="V102" s="25"/>
      <c r="W102" s="35"/>
      <c r="Y102" s="25"/>
      <c r="Z102" s="25"/>
      <c r="AA102" s="25"/>
      <c r="AB102" s="25"/>
      <c r="AC102" s="35"/>
      <c r="AE102" s="26"/>
      <c r="AF102" s="34"/>
      <c r="AG102" s="25"/>
      <c r="AH102" s="25"/>
      <c r="AI102" s="25"/>
      <c r="AJ102" s="25"/>
      <c r="AK102" s="35"/>
    </row>
    <row r="103" spans="1:37" x14ac:dyDescent="0.25">
      <c r="A103" s="97">
        <f>'longitudinal-acma'!A115</f>
        <v>60</v>
      </c>
      <c r="B103" s="116">
        <f>'longitudinal-acma'!B115</f>
        <v>5.2202002116892514E-2</v>
      </c>
      <c r="C103" s="116">
        <f>'longitudinal-acma'!C115</f>
        <v>1.2528260179681863</v>
      </c>
      <c r="D103" s="117">
        <v>0</v>
      </c>
      <c r="E103" s="117">
        <v>0</v>
      </c>
      <c r="F103" s="117">
        <v>0</v>
      </c>
      <c r="G103" s="116">
        <f>'longitudinal-acma'!G115</f>
        <v>-0.16155473632305825</v>
      </c>
      <c r="H103" s="118" t="str">
        <f t="shared" si="15"/>
        <v xml:space="preserve">  - [60, 0.052, 1.253, 0, 0, 0, -0.162]</v>
      </c>
      <c r="I103" s="97">
        <f>'longitudinal-acma'!I103</f>
        <v>60</v>
      </c>
      <c r="J103" s="116">
        <f>'longitudinal-acma'!J103</f>
        <v>8.3957844134965293E-2</v>
      </c>
      <c r="K103" s="116">
        <f>'longitudinal-acma'!K103</f>
        <v>1.1307056148726662</v>
      </c>
      <c r="L103" s="117">
        <v>0</v>
      </c>
      <c r="M103" s="117">
        <v>0</v>
      </c>
      <c r="N103" s="117">
        <v>0</v>
      </c>
      <c r="O103" s="116">
        <f>'longitudinal-acma'!O103</f>
        <v>-7.6983872165764564E-2</v>
      </c>
      <c r="P103" s="118" t="str">
        <f t="shared" si="16"/>
        <v xml:space="preserve">  - [60, 0.084, 1.131, 0, 0, 0, -0.077]</v>
      </c>
      <c r="Q103" s="26"/>
      <c r="R103" s="34"/>
      <c r="S103" s="25"/>
      <c r="T103" s="25"/>
      <c r="U103" s="25"/>
      <c r="V103" s="25"/>
      <c r="W103" s="35"/>
      <c r="Y103" s="25"/>
      <c r="Z103" s="25"/>
      <c r="AA103" s="25"/>
      <c r="AB103" s="25"/>
      <c r="AC103" s="35"/>
      <c r="AE103" s="26"/>
      <c r="AF103" s="34"/>
      <c r="AG103" s="25"/>
      <c r="AH103" s="25"/>
      <c r="AI103" s="25"/>
      <c r="AJ103" s="25"/>
      <c r="AK103" s="35"/>
    </row>
    <row r="104" spans="1:37" x14ac:dyDescent="0.25">
      <c r="A104" s="97">
        <f>'longitudinal-acma'!A116</f>
        <v>75</v>
      </c>
      <c r="B104" s="116">
        <f>'longitudinal-acma'!B116</f>
        <v>-1.0500459255048453E-2</v>
      </c>
      <c r="C104" s="116">
        <f>'longitudinal-acma'!C116</f>
        <v>1.251575033860205</v>
      </c>
      <c r="D104" s="117">
        <v>0</v>
      </c>
      <c r="E104" s="117">
        <v>0</v>
      </c>
      <c r="F104" s="117">
        <v>0</v>
      </c>
      <c r="G104" s="116">
        <f>'longitudinal-acma'!G116</f>
        <v>-4.8201256376626977E-2</v>
      </c>
      <c r="H104" s="118" t="str">
        <f t="shared" si="15"/>
        <v xml:space="preserve">  - [75, -0.011, 1.252, 0, 0, 0, -0.048]</v>
      </c>
      <c r="I104" s="97">
        <f>'longitudinal-acma'!I104</f>
        <v>75</v>
      </c>
      <c r="J104" s="116">
        <f>'longitudinal-acma'!J104</f>
        <v>9.5327761957611779E-2</v>
      </c>
      <c r="K104" s="116">
        <f>'longitudinal-acma'!K104</f>
        <v>1.1860157439396202</v>
      </c>
      <c r="L104" s="117">
        <v>0</v>
      </c>
      <c r="M104" s="117">
        <v>0</v>
      </c>
      <c r="N104" s="117">
        <v>0</v>
      </c>
      <c r="O104" s="116">
        <f>'longitudinal-acma'!O104</f>
        <v>-1.2950472830291338E-2</v>
      </c>
      <c r="P104" s="118" t="str">
        <f t="shared" si="16"/>
        <v xml:space="preserve">  - [75, 0.095, 1.186, 0, 0, 0, -0.013]</v>
      </c>
      <c r="Q104" s="26"/>
      <c r="R104" s="34"/>
      <c r="S104" s="25"/>
      <c r="T104" s="25"/>
      <c r="U104" s="25"/>
      <c r="V104" s="25"/>
      <c r="W104" s="35"/>
      <c r="Y104" s="25"/>
      <c r="Z104" s="25"/>
      <c r="AA104" s="25"/>
      <c r="AB104" s="25"/>
      <c r="AC104" s="35"/>
      <c r="AE104" s="26"/>
      <c r="AF104" s="34"/>
      <c r="AG104" s="25"/>
      <c r="AH104" s="25"/>
      <c r="AI104" s="25"/>
      <c r="AJ104" s="25"/>
      <c r="AK104" s="35"/>
    </row>
    <row r="105" spans="1:37" x14ac:dyDescent="0.25">
      <c r="A105" s="97">
        <f>'longitudinal-acma'!A117</f>
        <v>90</v>
      </c>
      <c r="B105" s="116">
        <f>'longitudinal-acma'!B117</f>
        <v>-0.17310642225815909</v>
      </c>
      <c r="C105" s="116">
        <f>'longitudinal-acma'!C117</f>
        <v>1.0868919624793183</v>
      </c>
      <c r="D105" s="117">
        <v>0</v>
      </c>
      <c r="E105" s="117">
        <v>0</v>
      </c>
      <c r="F105" s="117">
        <v>0</v>
      </c>
      <c r="G105" s="116">
        <f>'longitudinal-acma'!G117</f>
        <v>-1.2226071265083056E-2</v>
      </c>
      <c r="H105" s="118" t="str">
        <f t="shared" si="15"/>
        <v xml:space="preserve">  - [90, -0.173, 1.087, 0, 0, 0, -0.012]</v>
      </c>
      <c r="I105" s="97">
        <f>'longitudinal-acma'!I105</f>
        <v>90</v>
      </c>
      <c r="J105" s="116">
        <f>'longitudinal-acma'!J105</f>
        <v>-0.2231348601382141</v>
      </c>
      <c r="K105" s="116">
        <f>'longitudinal-acma'!K105</f>
        <v>1.0648697459768313</v>
      </c>
      <c r="L105" s="117">
        <v>0</v>
      </c>
      <c r="M105" s="117">
        <v>0</v>
      </c>
      <c r="N105" s="117">
        <v>0</v>
      </c>
      <c r="O105" s="116">
        <f>'longitudinal-acma'!O105</f>
        <v>1.0741656481791241E-2</v>
      </c>
      <c r="P105" s="118" t="str">
        <f t="shared" si="16"/>
        <v xml:space="preserve">  - [90, -0.223, 1.065, 0, 0, 0, 0.011]</v>
      </c>
      <c r="Q105" s="26"/>
      <c r="R105" s="34"/>
      <c r="S105" s="25"/>
      <c r="T105" s="25"/>
      <c r="U105" s="25"/>
      <c r="V105" s="25"/>
      <c r="W105" s="35"/>
      <c r="Y105" s="25"/>
      <c r="Z105" s="25"/>
      <c r="AA105" s="25"/>
      <c r="AB105" s="25"/>
      <c r="AC105" s="35"/>
      <c r="AE105" s="26"/>
      <c r="AF105" s="34"/>
      <c r="AG105" s="25"/>
      <c r="AH105" s="25"/>
      <c r="AI105" s="25"/>
      <c r="AJ105" s="25"/>
      <c r="AK105" s="35"/>
    </row>
    <row r="106" spans="1:37" x14ac:dyDescent="0.25">
      <c r="A106" s="97">
        <f>'longitudinal-acma'!A118</f>
        <v>105</v>
      </c>
      <c r="B106" s="116">
        <f>'longitudinal-acma'!B118</f>
        <v>-4.5476952914842529E-2</v>
      </c>
      <c r="C106" s="116">
        <f>'longitudinal-acma'!C118</f>
        <v>0.94079421666212548</v>
      </c>
      <c r="D106" s="117">
        <v>0</v>
      </c>
      <c r="E106" s="117">
        <v>0</v>
      </c>
      <c r="F106" s="117">
        <v>0</v>
      </c>
      <c r="G106" s="116">
        <f>'longitudinal-acma'!G118</f>
        <v>4.0179459256616548E-2</v>
      </c>
      <c r="H106" s="118" t="str">
        <f t="shared" si="15"/>
        <v xml:space="preserve">  - [105, -0.045, 0.941, 0, 0, 0, 0.040]</v>
      </c>
      <c r="I106" s="97">
        <f>'longitudinal-acma'!I106</f>
        <v>105</v>
      </c>
      <c r="J106" s="116">
        <f>'longitudinal-acma'!J106</f>
        <v>-0.33233449627541001</v>
      </c>
      <c r="K106" s="116">
        <f>'longitudinal-acma'!K106</f>
        <v>0.90517913324384103</v>
      </c>
      <c r="L106" s="117">
        <v>0</v>
      </c>
      <c r="M106" s="117">
        <v>0</v>
      </c>
      <c r="N106" s="117">
        <v>0</v>
      </c>
      <c r="O106" s="116">
        <f>'longitudinal-acma'!O106</f>
        <v>3.2910187468696832E-2</v>
      </c>
      <c r="P106" s="118" t="str">
        <f t="shared" si="16"/>
        <v xml:space="preserve">  - [105, -0.332, 0.905, 0, 0, 0, 0.033]</v>
      </c>
      <c r="Q106" s="26"/>
      <c r="R106" s="34"/>
      <c r="S106" s="25"/>
      <c r="T106" s="25"/>
      <c r="U106" s="25"/>
      <c r="V106" s="25"/>
      <c r="W106" s="35"/>
      <c r="Y106" s="25"/>
      <c r="Z106" s="25"/>
      <c r="AA106" s="25"/>
      <c r="AB106" s="25"/>
      <c r="AC106" s="35"/>
      <c r="AE106" s="26"/>
      <c r="AF106" s="34"/>
      <c r="AG106" s="25"/>
      <c r="AH106" s="25"/>
      <c r="AI106" s="25"/>
      <c r="AJ106" s="25"/>
      <c r="AK106" s="35"/>
    </row>
    <row r="107" spans="1:37" x14ac:dyDescent="0.25">
      <c r="A107" s="97">
        <f>'longitudinal-acma'!A119</f>
        <v>120</v>
      </c>
      <c r="B107" s="116">
        <f>'longitudinal-acma'!B119</f>
        <v>-3.771950834287633E-2</v>
      </c>
      <c r="C107" s="116">
        <f>'longitudinal-acma'!C119</f>
        <v>0.80144923170379678</v>
      </c>
      <c r="D107" s="117">
        <v>0</v>
      </c>
      <c r="E107" s="117">
        <v>0</v>
      </c>
      <c r="F107" s="117">
        <v>0</v>
      </c>
      <c r="G107" s="116">
        <f>'longitudinal-acma'!G119</f>
        <v>5.3081768514876303E-2</v>
      </c>
      <c r="H107" s="118" t="str">
        <f t="shared" si="15"/>
        <v xml:space="preserve">  - [120, -0.038, 0.801, 0, 0, 0, 0.053]</v>
      </c>
      <c r="I107" s="97">
        <f>'longitudinal-acma'!I107</f>
        <v>120</v>
      </c>
      <c r="J107" s="116">
        <f>'longitudinal-acma'!J107</f>
        <v>-9.5213291575173914E-2</v>
      </c>
      <c r="K107" s="116">
        <f>'longitudinal-acma'!K107</f>
        <v>0.82863331619784253</v>
      </c>
      <c r="L107" s="117">
        <v>0</v>
      </c>
      <c r="M107" s="117">
        <v>0</v>
      </c>
      <c r="N107" s="117">
        <v>0</v>
      </c>
      <c r="O107" s="116">
        <f>'longitudinal-acma'!O107</f>
        <v>4.2217627817563649E-2</v>
      </c>
      <c r="P107" s="118" t="str">
        <f t="shared" si="16"/>
        <v xml:space="preserve">  - [120, -0.095, 0.829, 0, 0, 0, 0.042]</v>
      </c>
      <c r="Q107" s="26"/>
      <c r="R107" s="34"/>
      <c r="S107" s="25"/>
      <c r="T107" s="25"/>
      <c r="U107" s="25"/>
      <c r="V107" s="25"/>
      <c r="W107" s="35"/>
      <c r="Y107" s="25"/>
      <c r="Z107" s="25"/>
      <c r="AA107" s="25"/>
      <c r="AB107" s="25"/>
      <c r="AC107" s="35"/>
      <c r="AE107" s="26"/>
      <c r="AF107" s="34"/>
      <c r="AG107" s="25"/>
      <c r="AH107" s="25"/>
      <c r="AI107" s="25"/>
      <c r="AJ107" s="25"/>
      <c r="AK107" s="35"/>
    </row>
    <row r="108" spans="1:37" x14ac:dyDescent="0.25">
      <c r="A108" s="97">
        <f>'longitudinal-acma'!A120</f>
        <v>135</v>
      </c>
      <c r="B108" s="116">
        <f>'longitudinal-acma'!B120</f>
        <v>-0.1537803309033719</v>
      </c>
      <c r="C108" s="116">
        <f>'longitudinal-acma'!C120</f>
        <v>0.56118987893530581</v>
      </c>
      <c r="D108" s="117">
        <v>0</v>
      </c>
      <c r="E108" s="117">
        <v>0</v>
      </c>
      <c r="F108" s="117">
        <v>0</v>
      </c>
      <c r="G108" s="116">
        <f>'longitudinal-acma'!G120</f>
        <v>5.4309641488841716E-2</v>
      </c>
      <c r="H108" s="118" t="str">
        <f t="shared" si="15"/>
        <v xml:space="preserve">  - [135, -0.154, 0.561, 0, 0, 0, 0.054]</v>
      </c>
      <c r="I108" s="97">
        <f>'longitudinal-acma'!I108</f>
        <v>135</v>
      </c>
      <c r="J108" s="116">
        <f>'longitudinal-acma'!J108</f>
        <v>-0.51583544908168155</v>
      </c>
      <c r="K108" s="116">
        <f>'longitudinal-acma'!K108</f>
        <v>0.64279020421167343</v>
      </c>
      <c r="L108" s="117">
        <v>0</v>
      </c>
      <c r="M108" s="117">
        <v>0</v>
      </c>
      <c r="N108" s="117">
        <v>0</v>
      </c>
      <c r="O108" s="116">
        <f>'longitudinal-acma'!O108</f>
        <v>3.0875186399097053E-2</v>
      </c>
      <c r="P108" s="118" t="str">
        <f t="shared" si="16"/>
        <v xml:space="preserve">  - [135, -0.516, 0.643, 0, 0, 0, 0.031]</v>
      </c>
      <c r="Q108" s="26"/>
      <c r="R108" s="34"/>
      <c r="S108" s="25"/>
      <c r="T108" s="25"/>
      <c r="U108" s="25"/>
      <c r="V108" s="25"/>
      <c r="W108" s="35"/>
      <c r="Y108" s="25"/>
      <c r="Z108" s="25"/>
      <c r="AA108" s="25"/>
      <c r="AB108" s="25"/>
      <c r="AC108" s="35"/>
      <c r="AE108" s="26"/>
      <c r="AF108" s="34"/>
      <c r="AG108" s="25"/>
      <c r="AH108" s="25"/>
      <c r="AI108" s="25"/>
      <c r="AJ108" s="25"/>
      <c r="AK108" s="35"/>
    </row>
    <row r="109" spans="1:37" x14ac:dyDescent="0.25">
      <c r="A109" s="97">
        <f>'longitudinal-acma'!A121</f>
        <v>150</v>
      </c>
      <c r="B109" s="116">
        <f>'longitudinal-acma'!B121</f>
        <v>-0.22871788589617095</v>
      </c>
      <c r="C109" s="116">
        <f>'longitudinal-acma'!C121</f>
        <v>0.31871300898045962</v>
      </c>
      <c r="D109" s="117">
        <v>0</v>
      </c>
      <c r="E109" s="117">
        <v>0</v>
      </c>
      <c r="F109" s="117">
        <v>0</v>
      </c>
      <c r="G109" s="116">
        <f>'longitudinal-acma'!G121</f>
        <v>3.5569294904548736E-2</v>
      </c>
      <c r="H109" s="118" t="str">
        <f t="shared" si="15"/>
        <v xml:space="preserve">  - [150, -0.229, 0.319, 0, 0, 0, 0.036]</v>
      </c>
      <c r="I109" s="97">
        <f>'longitudinal-acma'!I109</f>
        <v>150</v>
      </c>
      <c r="J109" s="116">
        <f>'longitudinal-acma'!J109</f>
        <v>-0.66217970994544206</v>
      </c>
      <c r="K109" s="116">
        <f>'longitudinal-acma'!K109</f>
        <v>0.39367147051218293</v>
      </c>
      <c r="L109" s="117">
        <v>0</v>
      </c>
      <c r="M109" s="117">
        <v>0</v>
      </c>
      <c r="N109" s="117">
        <v>0</v>
      </c>
      <c r="O109" s="116">
        <f>'longitudinal-acma'!O109</f>
        <v>2.8579752960390239E-2</v>
      </c>
      <c r="P109" s="118" t="str">
        <f t="shared" si="16"/>
        <v xml:space="preserve">  - [150, -0.662, 0.394, 0, 0, 0, 0.029]</v>
      </c>
      <c r="Q109" s="26"/>
      <c r="R109" s="34"/>
      <c r="S109" s="25"/>
      <c r="T109" s="25"/>
      <c r="U109" s="25"/>
      <c r="V109" s="25"/>
      <c r="W109" s="35"/>
      <c r="Y109" s="25"/>
      <c r="Z109" s="25"/>
      <c r="AA109" s="25"/>
      <c r="AB109" s="25"/>
      <c r="AC109" s="35"/>
      <c r="AE109" s="26"/>
      <c r="AF109" s="34"/>
      <c r="AG109" s="25"/>
      <c r="AH109" s="25"/>
      <c r="AI109" s="25"/>
      <c r="AJ109" s="25"/>
      <c r="AK109" s="35"/>
    </row>
    <row r="110" spans="1:37" x14ac:dyDescent="0.25">
      <c r="A110" s="97">
        <f>'longitudinal-acma'!A122</f>
        <v>165</v>
      </c>
      <c r="B110" s="116">
        <f>'longitudinal-acma'!B122</f>
        <v>-0.29598151917350374</v>
      </c>
      <c r="C110" s="116">
        <f>'longitudinal-acma'!C122</f>
        <v>9.9898163901526948E-2</v>
      </c>
      <c r="D110" s="117">
        <v>0</v>
      </c>
      <c r="E110" s="117">
        <v>0</v>
      </c>
      <c r="F110" s="117">
        <v>0</v>
      </c>
      <c r="G110" s="116">
        <f>'longitudinal-acma'!G122</f>
        <v>1.2928246705518912E-2</v>
      </c>
      <c r="H110" s="118" t="str">
        <f t="shared" si="15"/>
        <v xml:space="preserve">  - [165, -0.296, 0.100, 0, 0, 0, 0.013]</v>
      </c>
      <c r="I110" s="97">
        <f>'longitudinal-acma'!I110</f>
        <v>165</v>
      </c>
      <c r="J110" s="116">
        <f>'longitudinal-acma'!J110</f>
        <v>-0.6502602555528374</v>
      </c>
      <c r="K110" s="116">
        <f>'longitudinal-acma'!K110</f>
        <v>0.17031734029397377</v>
      </c>
      <c r="L110" s="117">
        <v>0</v>
      </c>
      <c r="M110" s="117">
        <v>0</v>
      </c>
      <c r="N110" s="117">
        <v>0</v>
      </c>
      <c r="O110" s="116">
        <f>'longitudinal-acma'!O110</f>
        <v>1.7230739696529374E-2</v>
      </c>
      <c r="P110" s="118" t="str">
        <f t="shared" si="16"/>
        <v xml:space="preserve">  - [165, -0.650, 0.170, 0, 0, 0, 0.017]</v>
      </c>
      <c r="Q110" s="26"/>
      <c r="R110" s="34"/>
      <c r="S110" s="25"/>
      <c r="T110" s="25"/>
      <c r="U110" s="25"/>
      <c r="V110" s="25"/>
      <c r="W110" s="35"/>
      <c r="Y110" s="25"/>
      <c r="Z110" s="25"/>
      <c r="AA110" s="25"/>
      <c r="AB110" s="25"/>
      <c r="AC110" s="35"/>
      <c r="AE110" s="26"/>
      <c r="AF110" s="34"/>
      <c r="AG110" s="25"/>
      <c r="AH110" s="25"/>
      <c r="AI110" s="25"/>
      <c r="AJ110" s="25"/>
      <c r="AK110" s="35"/>
    </row>
    <row r="111" spans="1:37" x14ac:dyDescent="0.25">
      <c r="A111" s="97">
        <f>'longitudinal-acma'!A99</f>
        <v>180</v>
      </c>
      <c r="B111" s="116">
        <f>'longitudinal-acma'!B99</f>
        <v>-0.17973342291245667</v>
      </c>
      <c r="C111" s="116">
        <f>'longitudinal-acma'!C99</f>
        <v>1.069471695154617E-3</v>
      </c>
      <c r="D111" s="117">
        <v>0</v>
      </c>
      <c r="E111" s="117">
        <v>0</v>
      </c>
      <c r="F111" s="117">
        <v>0</v>
      </c>
      <c r="G111" s="116">
        <f>'longitudinal-acma'!G99</f>
        <v>3.630820805666847E-4</v>
      </c>
      <c r="H111" s="118" t="str">
        <f t="shared" si="15"/>
        <v xml:space="preserve">  - [180, -0.180, 0.001, 0, 0, 0, 0.000]</v>
      </c>
      <c r="I111" s="97">
        <f>'longitudinal-acma'!I111</f>
        <v>180</v>
      </c>
      <c r="J111" s="116">
        <f>'longitudinal-acma'!J111</f>
        <v>-0.21750904897029646</v>
      </c>
      <c r="K111" s="116">
        <f>'longitudinal-acma'!K111</f>
        <v>1.5082188803506088E-2</v>
      </c>
      <c r="L111" s="117">
        <v>0</v>
      </c>
      <c r="M111" s="117">
        <v>0</v>
      </c>
      <c r="N111" s="117">
        <v>0</v>
      </c>
      <c r="O111" s="116">
        <f>'longitudinal-acma'!O111</f>
        <v>4.9041365002184551E-3</v>
      </c>
      <c r="P111" s="118" t="str">
        <f t="shared" si="16"/>
        <v xml:space="preserve">  - [180, -0.218, 0.015, 0, 0, 0, 0.005]</v>
      </c>
      <c r="Q111" s="26"/>
      <c r="R111" s="34"/>
      <c r="S111" s="25"/>
      <c r="T111" s="25"/>
      <c r="U111" s="25"/>
      <c r="V111" s="25"/>
      <c r="W111" s="35"/>
      <c r="Y111" s="25"/>
      <c r="Z111" s="25"/>
      <c r="AA111" s="25"/>
      <c r="AB111" s="25"/>
      <c r="AC111" s="35"/>
      <c r="AE111" s="26"/>
      <c r="AF111" s="34"/>
      <c r="AG111" s="25"/>
      <c r="AH111" s="25"/>
      <c r="AI111" s="25"/>
      <c r="AJ111" s="25"/>
      <c r="AK111" s="35"/>
    </row>
    <row r="112" spans="1:37" x14ac:dyDescent="0.25">
      <c r="A112" s="97">
        <f>'longitudinal-acma'!A100</f>
        <v>195</v>
      </c>
      <c r="B112" s="116">
        <f>'longitudinal-acma'!B100</f>
        <v>-0.66951348622626006</v>
      </c>
      <c r="C112" s="116">
        <f>'longitudinal-acma'!C100</f>
        <v>-0.16273091032669537</v>
      </c>
      <c r="D112" s="117">
        <v>0</v>
      </c>
      <c r="E112" s="117">
        <v>0</v>
      </c>
      <c r="F112" s="117">
        <v>0</v>
      </c>
      <c r="G112" s="116">
        <f>'longitudinal-acma'!G100</f>
        <v>-7.619030472421095E-3</v>
      </c>
      <c r="H112" s="118" t="str">
        <f t="shared" si="15"/>
        <v xml:space="preserve">  - [195, -0.670, -0.163, 0, 0, 0, -0.008]</v>
      </c>
      <c r="I112" s="98">
        <f>'longitudinal-acma'!I112</f>
        <v>195</v>
      </c>
      <c r="J112" s="116">
        <f>'longitudinal-acma'!J112</f>
        <v>-0.28118756060645433</v>
      </c>
      <c r="K112" s="116">
        <f>'longitudinal-acma'!K112</f>
        <v>-0.10462402451256629</v>
      </c>
      <c r="L112" s="117">
        <v>0</v>
      </c>
      <c r="M112" s="117">
        <v>0</v>
      </c>
      <c r="N112" s="117">
        <v>0</v>
      </c>
      <c r="O112" s="116">
        <f>'longitudinal-acma'!O112</f>
        <v>-1.1442096973607858E-2</v>
      </c>
      <c r="P112" s="118" t="str">
        <f t="shared" si="16"/>
        <v xml:space="preserve">  - [195, -0.281, -0.105, 0, 0, 0, -0.011]</v>
      </c>
      <c r="Q112" s="27"/>
      <c r="R112" s="34"/>
      <c r="S112" s="25"/>
      <c r="T112" s="25"/>
      <c r="U112" s="25"/>
      <c r="V112" s="25"/>
      <c r="W112" s="35"/>
      <c r="Y112" s="25"/>
      <c r="Z112" s="25"/>
      <c r="AA112" s="25"/>
      <c r="AB112" s="25"/>
      <c r="AC112" s="35"/>
      <c r="AE112" s="27"/>
      <c r="AF112" s="34"/>
      <c r="AG112" s="25"/>
      <c r="AH112" s="25"/>
      <c r="AI112" s="25"/>
      <c r="AJ112" s="25"/>
      <c r="AK112" s="35"/>
    </row>
    <row r="113" spans="1:37" x14ac:dyDescent="0.25">
      <c r="A113" s="97">
        <f>'longitudinal-acma'!A101</f>
        <v>210</v>
      </c>
      <c r="B113" s="116">
        <f>'longitudinal-acma'!B101</f>
        <v>-0.50444916098767589</v>
      </c>
      <c r="C113" s="116">
        <f>'longitudinal-acma'!C101</f>
        <v>-0.35842049519945629</v>
      </c>
      <c r="D113" s="117">
        <v>0</v>
      </c>
      <c r="E113" s="117">
        <v>0</v>
      </c>
      <c r="F113" s="117">
        <v>0</v>
      </c>
      <c r="G113" s="116">
        <f>'longitudinal-acma'!G101</f>
        <v>-2.47297853177957E-2</v>
      </c>
      <c r="H113" s="118" t="str">
        <f t="shared" si="15"/>
        <v xml:space="preserve">  - [210, -0.504, -0.358, 0, 0, 0, -0.025]</v>
      </c>
      <c r="I113" s="98">
        <f>'longitudinal-acma'!I113</f>
        <v>210</v>
      </c>
      <c r="J113" s="116">
        <f>'longitudinal-acma'!J113</f>
        <v>-0.29844167442394764</v>
      </c>
      <c r="K113" s="116">
        <f>'longitudinal-acma'!K113</f>
        <v>-0.34879323743565871</v>
      </c>
      <c r="L113" s="117">
        <v>0</v>
      </c>
      <c r="M113" s="117">
        <v>0</v>
      </c>
      <c r="N113" s="117">
        <v>0</v>
      </c>
      <c r="O113" s="116">
        <f>'longitudinal-acma'!O113</f>
        <v>-3.3319406541123371E-2</v>
      </c>
      <c r="P113" s="118" t="str">
        <f t="shared" si="16"/>
        <v xml:space="preserve">  - [210, -0.298, -0.349, 0, 0, 0, -0.033]</v>
      </c>
      <c r="Q113" s="27"/>
      <c r="R113" s="34"/>
      <c r="S113" s="25"/>
      <c r="T113" s="25"/>
      <c r="U113" s="25"/>
      <c r="V113" s="25"/>
      <c r="W113" s="35"/>
      <c r="Y113" s="25"/>
      <c r="Z113" s="25"/>
      <c r="AA113" s="25"/>
      <c r="AB113" s="25"/>
      <c r="AC113" s="35"/>
      <c r="AE113" s="27"/>
      <c r="AF113" s="34"/>
      <c r="AG113" s="25"/>
      <c r="AH113" s="25"/>
      <c r="AI113" s="25"/>
      <c r="AJ113" s="25"/>
      <c r="AK113" s="35"/>
    </row>
    <row r="114" spans="1:37" x14ac:dyDescent="0.25">
      <c r="A114" s="97">
        <f>'longitudinal-acma'!A102</f>
        <v>225</v>
      </c>
      <c r="B114" s="116">
        <f>'longitudinal-acma'!B102</f>
        <v>-0.32277978626843556</v>
      </c>
      <c r="C114" s="116">
        <f>'longitudinal-acma'!C102</f>
        <v>-0.60480998321408241</v>
      </c>
      <c r="D114" s="117">
        <v>0</v>
      </c>
      <c r="E114" s="117">
        <v>0</v>
      </c>
      <c r="F114" s="117">
        <v>0</v>
      </c>
      <c r="G114" s="116">
        <f>'longitudinal-acma'!G102</f>
        <v>-4.3340836834848642E-2</v>
      </c>
      <c r="H114" s="118" t="str">
        <f t="shared" si="15"/>
        <v xml:space="preserve">  - [225, -0.323, -0.605, 0, 0, 0, -0.043]</v>
      </c>
      <c r="I114" s="98">
        <f>'longitudinal-acma'!I114</f>
        <v>225</v>
      </c>
      <c r="J114" s="116">
        <f>'longitudinal-acma'!J114</f>
        <v>-0.2420495334771853</v>
      </c>
      <c r="K114" s="116">
        <f>'longitudinal-acma'!K114</f>
        <v>-0.61254884039924962</v>
      </c>
      <c r="L114" s="117">
        <v>0</v>
      </c>
      <c r="M114" s="117">
        <v>0</v>
      </c>
      <c r="N114" s="117">
        <v>0</v>
      </c>
      <c r="O114" s="116">
        <f>'longitudinal-acma'!O114</f>
        <v>-3.8567565133158697E-2</v>
      </c>
      <c r="P114" s="118" t="str">
        <f t="shared" si="16"/>
        <v xml:space="preserve">  - [225, -0.242, -0.613, 0, 0, 0, -0.039]</v>
      </c>
      <c r="Q114" s="27"/>
      <c r="R114" s="34"/>
      <c r="S114" s="25"/>
      <c r="T114" s="25"/>
      <c r="U114" s="25"/>
      <c r="V114" s="25"/>
      <c r="W114" s="35"/>
      <c r="Y114" s="25"/>
      <c r="Z114" s="25"/>
      <c r="AA114" s="25"/>
      <c r="AB114" s="25"/>
      <c r="AC114" s="35"/>
      <c r="AE114" s="27"/>
      <c r="AF114" s="34"/>
      <c r="AG114" s="25"/>
      <c r="AH114" s="25"/>
      <c r="AI114" s="25"/>
      <c r="AJ114" s="25"/>
      <c r="AK114" s="35"/>
    </row>
    <row r="115" spans="1:37" x14ac:dyDescent="0.25">
      <c r="A115" s="97">
        <f>'longitudinal-acma'!A103</f>
        <v>240</v>
      </c>
      <c r="B115" s="116">
        <f>'longitudinal-acma'!B103</f>
        <v>-0.13943987089342857</v>
      </c>
      <c r="C115" s="116">
        <f>'longitudinal-acma'!C103</f>
        <v>-0.79547344402048403</v>
      </c>
      <c r="D115" s="117">
        <v>0</v>
      </c>
      <c r="E115" s="117">
        <v>0</v>
      </c>
      <c r="F115" s="117">
        <v>0</v>
      </c>
      <c r="G115" s="116">
        <f>'longitudinal-acma'!G103</f>
        <v>-5.1174243105358778E-2</v>
      </c>
      <c r="H115" s="118" t="str">
        <f t="shared" si="15"/>
        <v xml:space="preserve">  - [240, -0.139, -0.795, 0, 0, 0, -0.051]</v>
      </c>
      <c r="I115" s="98">
        <f>'longitudinal-acma'!I115</f>
        <v>240</v>
      </c>
      <c r="J115" s="116">
        <f>'longitudinal-acma'!J115</f>
        <v>-2.8149619522508908E-2</v>
      </c>
      <c r="K115" s="116">
        <f>'longitudinal-acma'!K115</f>
        <v>-0.8493100641375525</v>
      </c>
      <c r="L115" s="117">
        <v>0</v>
      </c>
      <c r="M115" s="117">
        <v>0</v>
      </c>
      <c r="N115" s="117">
        <v>0</v>
      </c>
      <c r="O115" s="116">
        <f>'longitudinal-acma'!O115</f>
        <v>-4.4468708228614977E-2</v>
      </c>
      <c r="P115" s="118" t="str">
        <f t="shared" si="16"/>
        <v xml:space="preserve">  - [240, -0.028, -0.849, 0, 0, 0, -0.044]</v>
      </c>
      <c r="Q115" s="27"/>
      <c r="R115" s="34"/>
      <c r="S115" s="25"/>
      <c r="T115" s="25"/>
      <c r="U115" s="25"/>
      <c r="V115" s="25"/>
      <c r="W115" s="35"/>
      <c r="Y115" s="25"/>
      <c r="Z115" s="25"/>
      <c r="AA115" s="25"/>
      <c r="AB115" s="25"/>
      <c r="AC115" s="35"/>
      <c r="AE115" s="27"/>
      <c r="AF115" s="34"/>
      <c r="AG115" s="25"/>
      <c r="AH115" s="25"/>
      <c r="AI115" s="25"/>
      <c r="AJ115" s="25"/>
      <c r="AK115" s="35"/>
    </row>
    <row r="116" spans="1:37" x14ac:dyDescent="0.25">
      <c r="A116" s="97">
        <f>'longitudinal-acma'!A104</f>
        <v>255</v>
      </c>
      <c r="B116" s="116">
        <f>'longitudinal-acma'!B104</f>
        <v>-0.40457193319277029</v>
      </c>
      <c r="C116" s="116">
        <f>'longitudinal-acma'!C104</f>
        <v>-0.87949420614767093</v>
      </c>
      <c r="D116" s="117">
        <v>0</v>
      </c>
      <c r="E116" s="117">
        <v>0</v>
      </c>
      <c r="F116" s="117">
        <v>0</v>
      </c>
      <c r="G116" s="116">
        <f>'longitudinal-acma'!G104</f>
        <v>-3.1391999341475817E-2</v>
      </c>
      <c r="H116" s="118" t="str">
        <f t="shared" si="15"/>
        <v xml:space="preserve">  - [255, -0.405, -0.879, 0, 0, 0, -0.031]</v>
      </c>
      <c r="I116" s="98">
        <f>'longitudinal-acma'!I116</f>
        <v>255</v>
      </c>
      <c r="J116" s="116">
        <f>'longitudinal-acma'!J116</f>
        <v>-3.2761674242432419E-2</v>
      </c>
      <c r="K116" s="116">
        <f>'longitudinal-acma'!K116</f>
        <v>-0.96872676662008483</v>
      </c>
      <c r="L116" s="117">
        <v>0</v>
      </c>
      <c r="M116" s="117">
        <v>0</v>
      </c>
      <c r="N116" s="117">
        <v>0</v>
      </c>
      <c r="O116" s="116">
        <f>'longitudinal-acma'!O116</f>
        <v>-3.6676783726183139E-2</v>
      </c>
      <c r="P116" s="118" t="str">
        <f t="shared" si="16"/>
        <v xml:space="preserve">  - [255, -0.033, -0.969, 0, 0, 0, -0.037]</v>
      </c>
      <c r="Q116" s="27"/>
      <c r="R116" s="34"/>
      <c r="S116" s="25"/>
      <c r="T116" s="25"/>
      <c r="U116" s="25"/>
      <c r="V116" s="25"/>
      <c r="W116" s="35"/>
      <c r="Y116" s="25"/>
      <c r="Z116" s="25"/>
      <c r="AA116" s="25"/>
      <c r="AB116" s="25"/>
      <c r="AC116" s="35"/>
      <c r="AE116" s="27"/>
      <c r="AF116" s="34"/>
      <c r="AG116" s="25"/>
      <c r="AH116" s="25"/>
      <c r="AI116" s="25"/>
      <c r="AJ116" s="25"/>
      <c r="AK116" s="35"/>
    </row>
    <row r="117" spans="1:37" x14ac:dyDescent="0.25">
      <c r="A117" s="97">
        <f>'longitudinal-acma'!A105</f>
        <v>270</v>
      </c>
      <c r="B117" s="116">
        <f>'longitudinal-acma'!B105</f>
        <v>-0.28081580798741324</v>
      </c>
      <c r="C117" s="116">
        <f>'longitudinal-acma'!C105</f>
        <v>-1.0238709387462637</v>
      </c>
      <c r="D117" s="117">
        <v>0</v>
      </c>
      <c r="E117" s="117">
        <v>0</v>
      </c>
      <c r="F117" s="117">
        <v>0</v>
      </c>
      <c r="G117" s="116">
        <f>'longitudinal-acma'!G105</f>
        <v>2.3440980057131244E-2</v>
      </c>
      <c r="H117" s="118" t="str">
        <f t="shared" si="15"/>
        <v xml:space="preserve">  - [270, -0.281, -1.024, 0, 0, 0, 0.023]</v>
      </c>
      <c r="I117" s="98">
        <f>'longitudinal-acma'!I117</f>
        <v>270</v>
      </c>
      <c r="J117" s="116">
        <f>'longitudinal-acma'!J117</f>
        <v>-2.6466021109773363E-2</v>
      </c>
      <c r="K117" s="116">
        <f>'longitudinal-acma'!K117</f>
        <v>-1.1362330045638613</v>
      </c>
      <c r="L117" s="117">
        <v>0</v>
      </c>
      <c r="M117" s="117">
        <v>0</v>
      </c>
      <c r="N117" s="117">
        <v>0</v>
      </c>
      <c r="O117" s="116">
        <f>'longitudinal-acma'!O117</f>
        <v>-2.9691367649746309E-2</v>
      </c>
      <c r="P117" s="118" t="str">
        <f t="shared" si="16"/>
        <v xml:space="preserve">  - [270, -0.026, -1.136, 0, 0, 0, -0.030]</v>
      </c>
      <c r="Q117" s="27"/>
      <c r="R117" s="34"/>
      <c r="S117" s="25"/>
      <c r="T117" s="25"/>
      <c r="U117" s="25"/>
      <c r="V117" s="25"/>
      <c r="W117" s="35"/>
      <c r="Y117" s="25"/>
      <c r="Z117" s="25"/>
      <c r="AA117" s="25"/>
      <c r="AB117" s="25"/>
      <c r="AC117" s="35"/>
      <c r="AE117" s="27"/>
      <c r="AF117" s="34"/>
      <c r="AG117" s="25"/>
      <c r="AH117" s="25"/>
      <c r="AI117" s="25"/>
      <c r="AJ117" s="25"/>
      <c r="AK117" s="35"/>
    </row>
    <row r="118" spans="1:37" x14ac:dyDescent="0.25">
      <c r="A118" s="97">
        <f>'longitudinal-acma'!A106</f>
        <v>285</v>
      </c>
      <c r="B118" s="116">
        <f>'longitudinal-acma'!B106</f>
        <v>0.10324630767335627</v>
      </c>
      <c r="C118" s="116">
        <f>'longitudinal-acma'!C106</f>
        <v>-1.1574253788453515</v>
      </c>
      <c r="D118" s="117">
        <v>0</v>
      </c>
      <c r="E118" s="117">
        <v>0</v>
      </c>
      <c r="F118" s="117">
        <v>0</v>
      </c>
      <c r="G118" s="116">
        <f>'longitudinal-acma'!G106</f>
        <v>1.9623090263882041E-2</v>
      </c>
      <c r="H118" s="118" t="str">
        <f t="shared" si="15"/>
        <v xml:space="preserve">  - [285, 0.103, -1.157, 0, 0, 0, 0.020]</v>
      </c>
      <c r="I118" s="98">
        <f>'longitudinal-acma'!I118</f>
        <v>285</v>
      </c>
      <c r="J118" s="116">
        <f>'longitudinal-acma'!J118</f>
        <v>-2.2447242207738895E-2</v>
      </c>
      <c r="K118" s="116">
        <f>'longitudinal-acma'!K118</f>
        <v>-1.2816598194882913</v>
      </c>
      <c r="L118" s="117">
        <v>0</v>
      </c>
      <c r="M118" s="117">
        <v>0</v>
      </c>
      <c r="N118" s="117">
        <v>0</v>
      </c>
      <c r="O118" s="116">
        <f>'longitudinal-acma'!O118</f>
        <v>4.4460174282424929E-2</v>
      </c>
      <c r="P118" s="118" t="str">
        <f t="shared" si="16"/>
        <v xml:space="preserve">  - [285, -0.022, -1.282, 0, 0, 0, 0.044]</v>
      </c>
      <c r="Q118" s="27"/>
      <c r="R118" s="34"/>
      <c r="S118" s="25"/>
      <c r="T118" s="25"/>
      <c r="U118" s="25"/>
      <c r="V118" s="25"/>
      <c r="W118" s="35"/>
      <c r="Y118" s="25"/>
      <c r="Z118" s="25"/>
      <c r="AA118" s="25"/>
      <c r="AB118" s="25"/>
      <c r="AC118" s="35"/>
      <c r="AE118" s="27"/>
      <c r="AF118" s="34"/>
      <c r="AG118" s="25"/>
      <c r="AH118" s="25"/>
      <c r="AI118" s="25"/>
      <c r="AJ118" s="25"/>
      <c r="AK118" s="35"/>
    </row>
    <row r="119" spans="1:37" x14ac:dyDescent="0.25">
      <c r="A119" s="97">
        <f>'longitudinal-acma'!A107</f>
        <v>300</v>
      </c>
      <c r="B119" s="116">
        <f>'longitudinal-acma'!B107</f>
        <v>0.13776436731877556</v>
      </c>
      <c r="C119" s="116">
        <f>'longitudinal-acma'!C107</f>
        <v>-1.0410154624672774</v>
      </c>
      <c r="D119" s="117">
        <v>0</v>
      </c>
      <c r="E119" s="117">
        <v>0</v>
      </c>
      <c r="F119" s="117">
        <v>0</v>
      </c>
      <c r="G119" s="116">
        <f>'longitudinal-acma'!G107</f>
        <v>8.3387397257222703E-2</v>
      </c>
      <c r="H119" s="118" t="str">
        <f t="shared" si="15"/>
        <v xml:space="preserve">  - [300, 0.138, -1.041, 0, 0, 0, 0.083]</v>
      </c>
      <c r="I119" s="98">
        <f>'longitudinal-acma'!I119</f>
        <v>300</v>
      </c>
      <c r="J119" s="116">
        <f>'longitudinal-acma'!J119</f>
        <v>4.1073159238183894E-2</v>
      </c>
      <c r="K119" s="116">
        <f>'longitudinal-acma'!K119</f>
        <v>-1.3355556234729316</v>
      </c>
      <c r="L119" s="117">
        <v>0</v>
      </c>
      <c r="M119" s="117">
        <v>0</v>
      </c>
      <c r="N119" s="117">
        <v>0</v>
      </c>
      <c r="O119" s="116">
        <f>'longitudinal-acma'!O119</f>
        <v>0.13678561545314069</v>
      </c>
      <c r="P119" s="118" t="str">
        <f t="shared" si="16"/>
        <v xml:space="preserve">  - [300, 0.041, -1.336, 0, 0, 0, 0.137]</v>
      </c>
      <c r="Q119" s="27"/>
      <c r="R119" s="34"/>
      <c r="S119" s="25"/>
      <c r="T119" s="25"/>
      <c r="U119" s="25"/>
      <c r="V119" s="25"/>
      <c r="W119" s="35"/>
      <c r="Y119" s="25"/>
      <c r="Z119" s="25"/>
      <c r="AA119" s="25"/>
      <c r="AB119" s="25"/>
      <c r="AC119" s="35"/>
      <c r="AE119" s="27"/>
      <c r="AF119" s="34"/>
      <c r="AG119" s="25"/>
      <c r="AH119" s="25"/>
      <c r="AI119" s="25"/>
      <c r="AJ119" s="25"/>
      <c r="AK119" s="35"/>
    </row>
    <row r="120" spans="1:37" x14ac:dyDescent="0.25">
      <c r="A120" s="97">
        <f>'longitudinal-acma'!A108</f>
        <v>315</v>
      </c>
      <c r="B120" s="116">
        <f>'longitudinal-acma'!B108</f>
        <v>0.44049154741575453</v>
      </c>
      <c r="C120" s="116">
        <f>'longitudinal-acma'!C108</f>
        <v>-0.80608454261229601</v>
      </c>
      <c r="D120" s="117">
        <v>0</v>
      </c>
      <c r="E120" s="117">
        <v>0</v>
      </c>
      <c r="F120" s="117">
        <v>0</v>
      </c>
      <c r="G120" s="116">
        <f>'longitudinal-acma'!G108</f>
        <v>0.10979344213221577</v>
      </c>
      <c r="H120" s="118" t="str">
        <f t="shared" si="15"/>
        <v xml:space="preserve">  - [315, 0.440, -0.806, 0, 0, 0, 0.110]</v>
      </c>
      <c r="I120" s="98">
        <f>'longitudinal-acma'!I120</f>
        <v>315</v>
      </c>
      <c r="J120" s="116">
        <f>'longitudinal-acma'!J120</f>
        <v>0.43419721168130265</v>
      </c>
      <c r="K120" s="116">
        <f>'longitudinal-acma'!K120</f>
        <v>-1.0189649031600629</v>
      </c>
      <c r="L120" s="117">
        <v>0</v>
      </c>
      <c r="M120" s="117">
        <v>0</v>
      </c>
      <c r="N120" s="117">
        <v>0</v>
      </c>
      <c r="O120" s="116">
        <f>'longitudinal-acma'!O120</f>
        <v>0.13263596137152514</v>
      </c>
      <c r="P120" s="118" t="str">
        <f t="shared" si="16"/>
        <v xml:space="preserve">  - [315, 0.434, -1.019, 0, 0, 0, 0.133]</v>
      </c>
      <c r="Q120" s="27"/>
      <c r="R120" s="34"/>
      <c r="S120" s="25"/>
      <c r="T120" s="25"/>
      <c r="U120" s="25"/>
      <c r="V120" s="25"/>
      <c r="W120" s="35"/>
      <c r="Y120" s="25"/>
      <c r="Z120" s="25"/>
      <c r="AA120" s="25"/>
      <c r="AB120" s="25"/>
      <c r="AC120" s="35"/>
      <c r="AE120" s="27"/>
      <c r="AF120" s="34"/>
      <c r="AG120" s="25"/>
      <c r="AH120" s="25"/>
      <c r="AI120" s="25"/>
      <c r="AJ120" s="25"/>
      <c r="AK120" s="35"/>
    </row>
    <row r="121" spans="1:37" x14ac:dyDescent="0.25">
      <c r="A121" s="97">
        <f>'longitudinal-acma'!A109</f>
        <v>330</v>
      </c>
      <c r="B121" s="116">
        <f>'longitudinal-acma'!B109</f>
        <v>0.69739249531362812</v>
      </c>
      <c r="C121" s="116">
        <f>'longitudinal-acma'!C109</f>
        <v>-0.46180886950574579</v>
      </c>
      <c r="D121" s="117">
        <v>0</v>
      </c>
      <c r="E121" s="117">
        <v>0</v>
      </c>
      <c r="F121" s="117">
        <v>0</v>
      </c>
      <c r="G121" s="116">
        <f>'longitudinal-acma'!G109</f>
        <v>5.0831532812837393E-2</v>
      </c>
      <c r="H121" s="118" t="str">
        <f t="shared" si="15"/>
        <v xml:space="preserve">  - [330, 0.697, -0.462, 0, 0, 0, 0.051]</v>
      </c>
      <c r="I121" s="98">
        <f>'longitudinal-acma'!I121</f>
        <v>330</v>
      </c>
      <c r="J121" s="116">
        <f>'longitudinal-acma'!J121</f>
        <v>0.64049517167506764</v>
      </c>
      <c r="K121" s="116">
        <f>'longitudinal-acma'!K121</f>
        <v>-0.60229940838494145</v>
      </c>
      <c r="L121" s="117">
        <v>0</v>
      </c>
      <c r="M121" s="117">
        <v>0</v>
      </c>
      <c r="N121" s="117">
        <v>0</v>
      </c>
      <c r="O121" s="116">
        <f>'longitudinal-acma'!O121</f>
        <v>9.482063518868683E-2</v>
      </c>
      <c r="P121" s="118" t="str">
        <f t="shared" si="16"/>
        <v xml:space="preserve">  - [330, 0.640, -0.602, 0, 0, 0, 0.095]</v>
      </c>
      <c r="Q121" s="27"/>
      <c r="R121" s="34"/>
      <c r="S121" s="25"/>
      <c r="T121" s="25"/>
      <c r="U121" s="25"/>
      <c r="V121" s="25"/>
      <c r="W121" s="35"/>
      <c r="Y121" s="25"/>
      <c r="Z121" s="25"/>
      <c r="AA121" s="25"/>
      <c r="AB121" s="25"/>
      <c r="AC121" s="35"/>
      <c r="AE121" s="27"/>
      <c r="AF121" s="34"/>
      <c r="AG121" s="25"/>
      <c r="AH121" s="25"/>
      <c r="AI121" s="25"/>
      <c r="AJ121" s="25"/>
      <c r="AK121" s="35"/>
    </row>
    <row r="122" spans="1:37" x14ac:dyDescent="0.25">
      <c r="A122" s="97">
        <f>'longitudinal-acma'!A110</f>
        <v>345</v>
      </c>
      <c r="B122" s="116">
        <f>'longitudinal-acma'!B110</f>
        <v>1.0023117037525273</v>
      </c>
      <c r="C122" s="116">
        <f>'longitudinal-acma'!C110</f>
        <v>-0.15907788415476293</v>
      </c>
      <c r="D122" s="117">
        <v>0</v>
      </c>
      <c r="E122" s="117">
        <v>0</v>
      </c>
      <c r="F122" s="117">
        <v>0</v>
      </c>
      <c r="G122" s="116">
        <f>'longitudinal-acma'!G110</f>
        <v>7.0068831741784974E-3</v>
      </c>
      <c r="H122" s="118" t="str">
        <f t="shared" si="15"/>
        <v xml:space="preserve">  - [345, 1.002, -0.159, 0, 0, 0, 0.007]</v>
      </c>
      <c r="I122" s="98">
        <f>'longitudinal-acma'!I122</f>
        <v>345</v>
      </c>
      <c r="J122" s="116">
        <f>'longitudinal-acma'!J122</f>
        <v>0.7450407196089176</v>
      </c>
      <c r="K122" s="116">
        <f>'longitudinal-acma'!K122</f>
        <v>-0.23293559907637373</v>
      </c>
      <c r="L122" s="117">
        <v>0</v>
      </c>
      <c r="M122" s="117">
        <v>0</v>
      </c>
      <c r="N122" s="117">
        <v>0</v>
      </c>
      <c r="O122" s="116">
        <f>'longitudinal-acma'!O122</f>
        <v>4.9780928195313302E-2</v>
      </c>
      <c r="P122" s="118" t="str">
        <f t="shared" si="16"/>
        <v xml:space="preserve">  - [345, 0.745, -0.233, 0, 0, 0, 0.050]</v>
      </c>
      <c r="Q122" s="27"/>
      <c r="R122" s="34"/>
      <c r="S122" s="25"/>
      <c r="T122" s="25"/>
      <c r="U122" s="25"/>
      <c r="V122" s="25"/>
      <c r="W122" s="35"/>
      <c r="Y122" s="25"/>
      <c r="Z122" s="25"/>
      <c r="AA122" s="25"/>
      <c r="AB122" s="25"/>
      <c r="AC122" s="35"/>
      <c r="AE122" s="27"/>
      <c r="AF122" s="34"/>
      <c r="AG122" s="25"/>
      <c r="AH122" s="25"/>
      <c r="AI122" s="25"/>
      <c r="AJ122" s="25"/>
      <c r="AK122" s="35"/>
    </row>
    <row r="123" spans="1:37" ht="15.75" thickBot="1" x14ac:dyDescent="0.3">
      <c r="I123" s="29"/>
      <c r="J123" s="39"/>
      <c r="K123" s="40"/>
      <c r="L123" s="40"/>
      <c r="M123" s="40"/>
      <c r="N123" s="40"/>
      <c r="O123" s="41"/>
      <c r="Q123" s="29"/>
      <c r="R123" s="36"/>
      <c r="S123" s="37"/>
      <c r="T123" s="37"/>
      <c r="U123" s="37"/>
      <c r="V123" s="37"/>
      <c r="W123" s="38"/>
      <c r="Y123" s="37"/>
      <c r="Z123" s="37"/>
      <c r="AA123" s="37"/>
      <c r="AB123" s="37"/>
      <c r="AC123" s="38"/>
      <c r="AE123" s="29"/>
      <c r="AF123" s="36"/>
      <c r="AG123" s="37"/>
      <c r="AH123" s="37"/>
      <c r="AI123" s="37"/>
      <c r="AJ123" s="37"/>
      <c r="AK123" s="38"/>
    </row>
    <row r="124" spans="1:37" ht="15.75" thickBot="1" x14ac:dyDescent="0.3"/>
    <row r="125" spans="1:37" ht="15.75" customHeight="1" thickBot="1" x14ac:dyDescent="0.3">
      <c r="A125" s="221" t="s">
        <v>275</v>
      </c>
      <c r="B125" s="221"/>
      <c r="C125" s="221"/>
      <c r="D125" s="221"/>
      <c r="E125" s="221"/>
      <c r="F125" s="221"/>
      <c r="G125" s="221"/>
      <c r="H125" s="13"/>
      <c r="I125" s="221" t="s">
        <v>276</v>
      </c>
      <c r="J125" s="221"/>
      <c r="K125" s="221"/>
      <c r="L125" s="221"/>
      <c r="M125" s="221"/>
      <c r="N125" s="221"/>
      <c r="O125" s="221"/>
      <c r="Q125" s="221" t="str">
        <f>Report_table_graphs!Q125</f>
        <v>openDomain-trans-LNGC-full-LNGC</v>
      </c>
      <c r="R125" s="221"/>
      <c r="S125" s="221"/>
      <c r="T125" s="221"/>
      <c r="U125" s="221"/>
      <c r="V125" s="221"/>
      <c r="W125" s="221"/>
    </row>
    <row r="126" spans="1:37" x14ac:dyDescent="0.25">
      <c r="A126" s="14" t="s">
        <v>55</v>
      </c>
      <c r="B126" s="15"/>
      <c r="C126" s="15"/>
      <c r="D126" s="15"/>
      <c r="E126" s="15"/>
      <c r="F126" s="15"/>
      <c r="G126" s="15"/>
      <c r="H126" s="16"/>
      <c r="I126" s="14" t="s">
        <v>55</v>
      </c>
      <c r="J126" s="15"/>
      <c r="K126" s="15"/>
      <c r="L126" s="15"/>
      <c r="M126" s="15"/>
      <c r="N126" s="15"/>
      <c r="O126" s="15"/>
      <c r="Q126" s="14" t="s">
        <v>55</v>
      </c>
      <c r="R126" s="15">
        <f>openDomain_trans_LNGC_LNGC!S5</f>
        <v>1566</v>
      </c>
      <c r="S126" s="15">
        <f>openDomain_trans_LNGC_LNGC!T5</f>
        <v>7543</v>
      </c>
      <c r="T126" s="15">
        <f>openDomain_trans_LNGC_LNGC!U5</f>
        <v>13570</v>
      </c>
      <c r="U126" s="15">
        <f>openDomain_trans_LNGC_LNGC!V5</f>
        <v>192871</v>
      </c>
      <c r="V126" s="15">
        <f>openDomain_trans_LNGC_LNGC!W5</f>
        <v>26653</v>
      </c>
      <c r="W126" s="15">
        <f>openDomain_trans_LNGC_LNGC!X5</f>
        <v>2225185</v>
      </c>
    </row>
    <row r="127" spans="1:37" ht="15.75" thickBot="1" x14ac:dyDescent="0.3">
      <c r="A127" s="14"/>
      <c r="B127" s="213" t="s">
        <v>57</v>
      </c>
      <c r="C127" s="213" t="s">
        <v>57</v>
      </c>
      <c r="D127" s="213" t="s">
        <v>57</v>
      </c>
      <c r="E127" s="213" t="s">
        <v>58</v>
      </c>
      <c r="F127" s="213" t="s">
        <v>58</v>
      </c>
      <c r="G127" s="213" t="s">
        <v>58</v>
      </c>
      <c r="H127" s="19"/>
      <c r="I127" s="17"/>
      <c r="J127" s="18" t="s">
        <v>57</v>
      </c>
      <c r="K127" s="18" t="s">
        <v>57</v>
      </c>
      <c r="L127" s="18" t="s">
        <v>57</v>
      </c>
      <c r="M127" s="18" t="s">
        <v>58</v>
      </c>
      <c r="N127" s="18" t="s">
        <v>58</v>
      </c>
      <c r="O127" s="18" t="s">
        <v>58</v>
      </c>
      <c r="Q127" s="14"/>
      <c r="R127" s="213" t="s">
        <v>57</v>
      </c>
      <c r="S127" s="213" t="s">
        <v>57</v>
      </c>
      <c r="T127" s="213" t="s">
        <v>57</v>
      </c>
      <c r="U127" s="213" t="s">
        <v>58</v>
      </c>
      <c r="V127" s="213" t="s">
        <v>58</v>
      </c>
      <c r="W127" s="213" t="s">
        <v>58</v>
      </c>
    </row>
    <row r="128" spans="1:37" ht="27" x14ac:dyDescent="0.25">
      <c r="A128" s="93" t="s">
        <v>59</v>
      </c>
      <c r="B128" s="90" t="s">
        <v>60</v>
      </c>
      <c r="C128" s="90" t="s">
        <v>61</v>
      </c>
      <c r="D128" s="90" t="s">
        <v>62</v>
      </c>
      <c r="E128" s="90" t="s">
        <v>63</v>
      </c>
      <c r="F128" s="90" t="s">
        <v>64</v>
      </c>
      <c r="G128" s="90" t="s">
        <v>65</v>
      </c>
      <c r="H128" s="13"/>
      <c r="I128" s="212" t="s">
        <v>59</v>
      </c>
      <c r="J128" s="21" t="s">
        <v>60</v>
      </c>
      <c r="K128" s="21" t="s">
        <v>61</v>
      </c>
      <c r="L128" s="21" t="s">
        <v>62</v>
      </c>
      <c r="M128" s="21" t="s">
        <v>63</v>
      </c>
      <c r="N128" s="21" t="s">
        <v>64</v>
      </c>
      <c r="O128" s="21" t="s">
        <v>65</v>
      </c>
      <c r="Q128" s="93" t="s">
        <v>59</v>
      </c>
      <c r="R128" s="90" t="s">
        <v>60</v>
      </c>
      <c r="S128" s="90" t="s">
        <v>61</v>
      </c>
      <c r="T128" s="90" t="s">
        <v>62</v>
      </c>
      <c r="U128" s="90" t="s">
        <v>63</v>
      </c>
      <c r="V128" s="90" t="s">
        <v>64</v>
      </c>
      <c r="W128" s="90" t="s">
        <v>65</v>
      </c>
    </row>
    <row r="129" spans="1:26" ht="67.5" x14ac:dyDescent="0.35">
      <c r="A129" s="93"/>
      <c r="B129" s="94" t="str">
        <f t="shared" ref="B129:G129" si="17">CONCATENATE($A$125,"-",B128)</f>
        <v>openDomain-long-full-LNGC-light-FST1-Cx [-]</v>
      </c>
      <c r="C129" s="94" t="str">
        <f t="shared" si="17"/>
        <v>openDomain-long-full-LNGC-light-FST1-Cy [-]</v>
      </c>
      <c r="D129" s="94" t="str">
        <f t="shared" si="17"/>
        <v>openDomain-long-full-LNGC-light-FST1-Cz [-]</v>
      </c>
      <c r="E129" s="94" t="str">
        <f t="shared" si="17"/>
        <v>openDomain-long-full-LNGC-light-FST1-Cnx [-]</v>
      </c>
      <c r="F129" s="94" t="str">
        <f t="shared" si="17"/>
        <v>openDomain-long-full-LNGC-light-FST1-Cny [-]</v>
      </c>
      <c r="G129" s="94" t="str">
        <f t="shared" si="17"/>
        <v>openDomain-long-full-LNGC-light-FST1-Cnz [-]</v>
      </c>
      <c r="H129" s="24"/>
      <c r="I129" s="93"/>
      <c r="J129" s="94" t="str">
        <f t="shared" ref="J129:O129" si="18">CONCATENATE($I$125,"-",J128)</f>
        <v>openDomain-long-full-LNGC-light-FST2-Cx [-]</v>
      </c>
      <c r="K129" s="94" t="str">
        <f t="shared" si="18"/>
        <v>openDomain-long-full-LNGC-light-FST2-Cy [-]</v>
      </c>
      <c r="L129" s="94" t="str">
        <f t="shared" si="18"/>
        <v>openDomain-long-full-LNGC-light-FST2-Cz [-]</v>
      </c>
      <c r="M129" s="94" t="str">
        <f t="shared" si="18"/>
        <v>openDomain-long-full-LNGC-light-FST2-Cnx [-]</v>
      </c>
      <c r="N129" s="94" t="str">
        <f t="shared" si="18"/>
        <v>openDomain-long-full-LNGC-light-FST2-Cny [-]</v>
      </c>
      <c r="O129" s="94" t="str">
        <f t="shared" si="18"/>
        <v>openDomain-long-full-LNGC-light-FST2-Cnz [-]</v>
      </c>
      <c r="Q129" s="93"/>
      <c r="R129" s="94" t="str">
        <f t="shared" ref="R129:W129" si="19">CONCATENATE($Q$125,"-",R128)</f>
        <v>openDomain-trans-LNGC-full-LNGC-Cx [-]</v>
      </c>
      <c r="S129" s="94" t="str">
        <f t="shared" si="19"/>
        <v>openDomain-trans-LNGC-full-LNGC-Cy [-]</v>
      </c>
      <c r="T129" s="94" t="str">
        <f t="shared" si="19"/>
        <v>openDomain-trans-LNGC-full-LNGC-Cz [-]</v>
      </c>
      <c r="U129" s="94" t="str">
        <f t="shared" si="19"/>
        <v>openDomain-trans-LNGC-full-LNGC-Cnx [-]</v>
      </c>
      <c r="V129" s="94" t="str">
        <f t="shared" si="19"/>
        <v>openDomain-trans-LNGC-full-LNGC-Cny [-]</v>
      </c>
      <c r="W129" s="94" t="str">
        <f t="shared" si="19"/>
        <v>openDomain-trans-LNGC-full-LNGC-Cnz [-]</v>
      </c>
      <c r="X129" s="234" t="s">
        <v>277</v>
      </c>
      <c r="Z129" s="234" t="s">
        <v>278</v>
      </c>
    </row>
    <row r="130" spans="1:26" x14ac:dyDescent="0.25">
      <c r="A130" s="97">
        <f>'longitudinal-acma'!A142</f>
        <v>0</v>
      </c>
      <c r="B130" s="116">
        <f>'longitudinal-acma'!B142</f>
        <v>0.8920955444155203</v>
      </c>
      <c r="C130" s="116">
        <f>'longitudinal-acma'!C142</f>
        <v>4.3417601295727857E-3</v>
      </c>
      <c r="D130" s="117">
        <v>0</v>
      </c>
      <c r="E130" s="117">
        <v>0</v>
      </c>
      <c r="F130" s="117">
        <v>0</v>
      </c>
      <c r="G130" s="116">
        <f>'longitudinal-acma'!G142</f>
        <v>1.0277496579856243E-2</v>
      </c>
      <c r="H130" s="118" t="str">
        <f t="shared" ref="H130:H153" si="20">"  - ["&amp;A130&amp;", "&amp;FIXED(B130,3,1)&amp;", "&amp;FIXED(C130,3,1)&amp;", 0, 0, 0"&amp;", "&amp;FIXED(G130,3,1)&amp;"]"</f>
        <v xml:space="preserve">  - [0, 0.892, 0.004, 0, 0, 0, 0.010]</v>
      </c>
      <c r="I130" s="97">
        <f>'longitudinal-acma'!I130</f>
        <v>0</v>
      </c>
      <c r="J130" s="116">
        <f>'longitudinal-acma'!J130</f>
        <v>0.74523754107757878</v>
      </c>
      <c r="K130" s="116">
        <f>'longitudinal-acma'!K130</f>
        <v>9.6874683217140038E-3</v>
      </c>
      <c r="L130" s="117">
        <v>0</v>
      </c>
      <c r="M130" s="117">
        <v>0</v>
      </c>
      <c r="N130" s="117">
        <v>0</v>
      </c>
      <c r="O130" s="116">
        <f>'longitudinal-acma'!O130</f>
        <v>-2.5518124841581304E-2</v>
      </c>
      <c r="P130" s="118" t="str">
        <f>"  - ["&amp;I130&amp;", "&amp;FIXED(J130,3,1)&amp;", "&amp;FIXED(K130,3,1)&amp;", 0, 0, 0"&amp;", "&amp;FIXED(O130,3,1)&amp;"]"</f>
        <v xml:space="preserve">  - [0, 0.745, 0.010, 0, 0, 0, -0.026]</v>
      </c>
      <c r="Q130" s="97">
        <f>Report_table_graphs!Q130</f>
        <v>0</v>
      </c>
      <c r="R130" s="214">
        <f>Report_table_graphs!R130</f>
        <v>0.625799249179807</v>
      </c>
      <c r="S130" s="214">
        <f>Report_table_graphs!S130</f>
        <v>-5.4827371672498376E-2</v>
      </c>
      <c r="T130" s="117">
        <v>0</v>
      </c>
      <c r="U130" s="117">
        <v>0</v>
      </c>
      <c r="V130" s="117">
        <v>0</v>
      </c>
      <c r="W130" s="214">
        <f>Report_table_graphs!W130</f>
        <v>1.283160290662076E-2</v>
      </c>
      <c r="X130" s="118" t="str">
        <f>"  - ["&amp;Q130&amp;", "&amp;FIXED(R130,3,1)&amp;", "&amp;FIXED(S130,3,1)&amp;", 0, 0, 0"&amp;", "&amp;FIXED(W130,3,1)&amp;"]"</f>
        <v xml:space="preserve">  - [0, 0.626, -0.055, 0, 0, 0, 0.013]</v>
      </c>
      <c r="Y130" s="235">
        <f>Q130+180</f>
        <v>180</v>
      </c>
      <c r="Z130" t="str">
        <f>"  - ["&amp;Y130&amp;", "&amp;FIXED(-R130,3,1)&amp;", "&amp;FIXED(-S130,3,1)&amp;", 0, 0, 0"&amp;", "&amp;FIXED(W130,3,1)&amp;"]"</f>
        <v xml:space="preserve">  - [180, -0.626, 0.055, 0, 0, 0, 0.013]</v>
      </c>
    </row>
    <row r="131" spans="1:26" x14ac:dyDescent="0.25">
      <c r="A131" s="97">
        <f>'longitudinal-acma'!A143</f>
        <v>15</v>
      </c>
      <c r="B131" s="116">
        <f>'longitudinal-acma'!B143</f>
        <v>0.77974430361761271</v>
      </c>
      <c r="C131" s="116">
        <f>'longitudinal-acma'!C143</f>
        <v>0.19179351188720481</v>
      </c>
      <c r="D131" s="117">
        <v>0</v>
      </c>
      <c r="E131" s="117">
        <v>0</v>
      </c>
      <c r="F131" s="117">
        <v>0</v>
      </c>
      <c r="G131" s="116">
        <f>'longitudinal-acma'!G143</f>
        <v>-4.6622187530698966E-2</v>
      </c>
      <c r="H131" s="118" t="str">
        <f t="shared" si="20"/>
        <v xml:space="preserve">  - [15, 0.780, 0.192, 0, 0, 0, -0.047]</v>
      </c>
      <c r="I131" s="97">
        <f>'longitudinal-acma'!I131</f>
        <v>15</v>
      </c>
      <c r="J131" s="116">
        <f>'longitudinal-acma'!J131</f>
        <v>0.7444265183103127</v>
      </c>
      <c r="K131" s="116">
        <f>'longitudinal-acma'!K131</f>
        <v>9.6404169295209952E-2</v>
      </c>
      <c r="L131" s="117">
        <v>0</v>
      </c>
      <c r="M131" s="117">
        <v>0</v>
      </c>
      <c r="N131" s="117">
        <v>0</v>
      </c>
      <c r="O131" s="116">
        <f>'longitudinal-acma'!O131</f>
        <v>-5.8069304611235847E-3</v>
      </c>
      <c r="P131" s="118" t="str">
        <f t="shared" ref="P131:P153" si="21">"  - ["&amp;I131&amp;", "&amp;FIXED(J131,3,1)&amp;", "&amp;FIXED(K131,3,1)&amp;", 0, 0, 0"&amp;", "&amp;FIXED(O131,3,1)&amp;"]"</f>
        <v xml:space="preserve">  - [15, 0.744, 0.096, 0, 0, 0, -0.006]</v>
      </c>
      <c r="Q131" s="97">
        <f>Report_table_graphs!Q131</f>
        <v>15</v>
      </c>
      <c r="R131" s="214">
        <f>Report_table_graphs!R131</f>
        <v>0.78326752931315002</v>
      </c>
      <c r="S131" s="214">
        <f>Report_table_graphs!S131</f>
        <v>7.5932035192153163E-2</v>
      </c>
      <c r="T131" s="117">
        <v>0</v>
      </c>
      <c r="U131" s="117">
        <v>0</v>
      </c>
      <c r="V131" s="117">
        <v>0</v>
      </c>
      <c r="W131" s="214">
        <f>Report_table_graphs!W131</f>
        <v>-4.4866364182412272E-2</v>
      </c>
      <c r="X131" s="118" t="str">
        <f t="shared" ref="X131:X153" si="22">"  - ["&amp;Q131&amp;", "&amp;FIXED(R131,3,1)&amp;", "&amp;FIXED(S131,3,1)&amp;", 0, 0, 0"&amp;", "&amp;FIXED(W131,3,1)&amp;"]"</f>
        <v xml:space="preserve">  - [15, 0.783, 0.076, 0, 0, 0, -0.045]</v>
      </c>
      <c r="Y131" s="235">
        <f>Q131+180</f>
        <v>195</v>
      </c>
      <c r="Z131" t="str">
        <f>"  - ["&amp;Y131&amp;", "&amp;FIXED(-R131,3,1)&amp;", "&amp;FIXED(-S131,3,1)&amp;", 0, 0, 0"&amp;", "&amp;FIXED(W131,3,1)&amp;"]"</f>
        <v xml:space="preserve">  - [195, -0.783, -0.076, 0, 0, 0, -0.045]</v>
      </c>
    </row>
    <row r="132" spans="1:26" x14ac:dyDescent="0.25">
      <c r="A132" s="97">
        <f>'longitudinal-acma'!A144</f>
        <v>30</v>
      </c>
      <c r="B132" s="116">
        <f>'longitudinal-acma'!B144</f>
        <v>0.50097034928061357</v>
      </c>
      <c r="C132" s="116">
        <f>'longitudinal-acma'!C144</f>
        <v>0.52236576592096462</v>
      </c>
      <c r="D132" s="117">
        <v>0</v>
      </c>
      <c r="E132" s="117">
        <v>0</v>
      </c>
      <c r="F132" s="117">
        <v>0</v>
      </c>
      <c r="G132" s="116">
        <f>'longitudinal-acma'!G144</f>
        <v>-8.6781061239142115E-2</v>
      </c>
      <c r="H132" s="118" t="str">
        <f t="shared" si="20"/>
        <v xml:space="preserve">  - [30, 0.501, 0.522, 0, 0, 0, -0.087]</v>
      </c>
      <c r="I132" s="97">
        <f>'longitudinal-acma'!I132</f>
        <v>30</v>
      </c>
      <c r="J132" s="116">
        <f>'longitudinal-acma'!J132</f>
        <v>0.7127488130562889</v>
      </c>
      <c r="K132" s="116">
        <f>'longitudinal-acma'!K132</f>
        <v>0.22862798022453668</v>
      </c>
      <c r="L132" s="117">
        <v>0</v>
      </c>
      <c r="M132" s="117">
        <v>0</v>
      </c>
      <c r="N132" s="117">
        <v>0</v>
      </c>
      <c r="O132" s="116">
        <f>'longitudinal-acma'!O132</f>
        <v>-2.7493435018298717E-2</v>
      </c>
      <c r="P132" s="118" t="str">
        <f t="shared" si="21"/>
        <v xml:space="preserve">  - [30, 0.713, 0.229, 0, 0, 0, -0.027]</v>
      </c>
      <c r="Q132" s="97">
        <f>Report_table_graphs!Q132</f>
        <v>30</v>
      </c>
      <c r="R132" s="214">
        <f>Report_table_graphs!R132</f>
        <v>0.93012270248125195</v>
      </c>
      <c r="S132" s="214">
        <f>Report_table_graphs!S132</f>
        <v>0.33743390655969396</v>
      </c>
      <c r="T132" s="117">
        <v>0</v>
      </c>
      <c r="U132" s="117">
        <v>0</v>
      </c>
      <c r="V132" s="117">
        <v>0</v>
      </c>
      <c r="W132" s="214">
        <f>Report_table_graphs!W132</f>
        <v>-8.9004472876238749E-2</v>
      </c>
      <c r="X132" s="118" t="str">
        <f t="shared" si="22"/>
        <v xml:space="preserve">  - [30, 0.930, 0.337, 0, 0, 0, -0.089]</v>
      </c>
      <c r="Y132" s="235">
        <f>Q132+180</f>
        <v>210</v>
      </c>
      <c r="Z132" t="str">
        <f>"  - ["&amp;Y132&amp;", "&amp;FIXED(-R132,3,1)&amp;", "&amp;FIXED(-S132,3,1)&amp;", 0, 0, 0"&amp;", "&amp;FIXED(W132,3,1)&amp;"]"</f>
        <v xml:space="preserve">  - [210, -0.930, -0.337, 0, 0, 0, -0.089]</v>
      </c>
    </row>
    <row r="133" spans="1:26" x14ac:dyDescent="0.25">
      <c r="A133" s="97">
        <f>'longitudinal-acma'!A145</f>
        <v>45</v>
      </c>
      <c r="B133" s="116">
        <f>'longitudinal-acma'!B145</f>
        <v>0.29673848386764889</v>
      </c>
      <c r="C133" s="116">
        <f>'longitudinal-acma'!C145</f>
        <v>0.87867340811195771</v>
      </c>
      <c r="D133" s="117">
        <v>0</v>
      </c>
      <c r="E133" s="117">
        <v>0</v>
      </c>
      <c r="F133" s="117">
        <v>0</v>
      </c>
      <c r="G133" s="116">
        <f>'longitudinal-acma'!G145</f>
        <v>-0.15530895152611335</v>
      </c>
      <c r="H133" s="118" t="str">
        <f t="shared" si="20"/>
        <v xml:space="preserve">  - [45, 0.297, 0.879, 0, 0, 0, -0.155]</v>
      </c>
      <c r="I133" s="97">
        <f>'longitudinal-acma'!I133</f>
        <v>45</v>
      </c>
      <c r="J133" s="116">
        <f>'longitudinal-acma'!J133</f>
        <v>0.49593116228760786</v>
      </c>
      <c r="K133" s="116">
        <f>'longitudinal-acma'!K133</f>
        <v>0.2585179994245777</v>
      </c>
      <c r="L133" s="117">
        <v>0</v>
      </c>
      <c r="M133" s="117">
        <v>0</v>
      </c>
      <c r="N133" s="117">
        <v>0</v>
      </c>
      <c r="O133" s="116">
        <f>'longitudinal-acma'!O133</f>
        <v>-7.7176320401736095E-2</v>
      </c>
      <c r="P133" s="118" t="str">
        <f t="shared" si="21"/>
        <v xml:space="preserve">  - [45, 0.496, 0.259, 0, 0, 0, -0.077]</v>
      </c>
      <c r="Q133" s="97">
        <f>Report_table_graphs!Q133</f>
        <v>45</v>
      </c>
      <c r="R133" s="214">
        <f>Report_table_graphs!R133</f>
        <v>0.60568159113913367</v>
      </c>
      <c r="S133" s="214">
        <f>Report_table_graphs!S133</f>
        <v>0.59925771705737119</v>
      </c>
      <c r="T133" s="117">
        <v>0</v>
      </c>
      <c r="U133" s="117">
        <v>0</v>
      </c>
      <c r="V133" s="117">
        <v>0</v>
      </c>
      <c r="W133" s="214">
        <f>Report_table_graphs!W133</f>
        <v>-0.13320795541702829</v>
      </c>
      <c r="X133" s="118" t="str">
        <f t="shared" si="22"/>
        <v xml:space="preserve">  - [45, 0.606, 0.599, 0, 0, 0, -0.133]</v>
      </c>
      <c r="Y133" s="235">
        <f>Q133+180</f>
        <v>225</v>
      </c>
      <c r="Z133" t="str">
        <f>"  - ["&amp;Y133&amp;", "&amp;FIXED(-R133,3,1)&amp;", "&amp;FIXED(-S133,3,1)&amp;", 0, 0, 0"&amp;", "&amp;FIXED(W133,3,1)&amp;"]"</f>
        <v xml:space="preserve">  - [225, -0.606, -0.599, 0, 0, 0, -0.133]</v>
      </c>
    </row>
    <row r="134" spans="1:26" x14ac:dyDescent="0.25">
      <c r="A134" s="97">
        <f>'longitudinal-acma'!A146</f>
        <v>60</v>
      </c>
      <c r="B134" s="116">
        <f>'longitudinal-acma'!B146</f>
        <v>7.9415749044620232E-2</v>
      </c>
      <c r="C134" s="116">
        <f>'longitudinal-acma'!C146</f>
        <v>1.2172198731611918</v>
      </c>
      <c r="D134" s="117">
        <v>0</v>
      </c>
      <c r="E134" s="117">
        <v>0</v>
      </c>
      <c r="F134" s="117">
        <v>0</v>
      </c>
      <c r="G134" s="116">
        <f>'longitudinal-acma'!G146</f>
        <v>-0.10102183895954814</v>
      </c>
      <c r="H134" s="118" t="str">
        <f t="shared" si="20"/>
        <v xml:space="preserve">  - [60, 0.079, 1.217, 0, 0, 0, -0.101]</v>
      </c>
      <c r="I134" s="97">
        <f>'longitudinal-acma'!I134</f>
        <v>60</v>
      </c>
      <c r="J134" s="116">
        <f>'longitudinal-acma'!J134</f>
        <v>8.3605492823558517E-2</v>
      </c>
      <c r="K134" s="116">
        <f>'longitudinal-acma'!K134</f>
        <v>0.2778756697321636</v>
      </c>
      <c r="L134" s="117">
        <v>0</v>
      </c>
      <c r="M134" s="117">
        <v>0</v>
      </c>
      <c r="N134" s="117">
        <v>0</v>
      </c>
      <c r="O134" s="116">
        <f>'longitudinal-acma'!O134</f>
        <v>-6.412812738363817E-2</v>
      </c>
      <c r="P134" s="118" t="str">
        <f t="shared" si="21"/>
        <v xml:space="preserve">  - [60, 0.084, 0.278, 0, 0, 0, -0.064]</v>
      </c>
      <c r="Q134" s="97">
        <f>Report_table_graphs!Q134</f>
        <v>60</v>
      </c>
      <c r="R134" s="214">
        <f>Report_table_graphs!R134</f>
        <v>0.10216221695148898</v>
      </c>
      <c r="S134" s="214">
        <f>Report_table_graphs!S134</f>
        <v>0.85705067151114467</v>
      </c>
      <c r="T134" s="117">
        <v>0</v>
      </c>
      <c r="U134" s="117">
        <v>0</v>
      </c>
      <c r="V134" s="117">
        <v>0</v>
      </c>
      <c r="W134" s="214">
        <f>Report_table_graphs!W134</f>
        <v>-0.12868145714161811</v>
      </c>
      <c r="X134" s="118" t="str">
        <f t="shared" si="22"/>
        <v xml:space="preserve">  - [60, 0.102, 0.857, 0, 0, 0, -0.129]</v>
      </c>
      <c r="Y134" s="235">
        <f>Q134+180</f>
        <v>240</v>
      </c>
      <c r="Z134" t="str">
        <f>"  - ["&amp;Y134&amp;", "&amp;FIXED(-R134,3,1)&amp;", "&amp;FIXED(-S134,3,1)&amp;", 0, 0, 0"&amp;", "&amp;FIXED(W134,3,1)&amp;"]"</f>
        <v xml:space="preserve">  - [240, -0.102, -0.857, 0, 0, 0, -0.129]</v>
      </c>
    </row>
    <row r="135" spans="1:26" x14ac:dyDescent="0.25">
      <c r="A135" s="97">
        <f>'longitudinal-acma'!A147</f>
        <v>75</v>
      </c>
      <c r="B135" s="116">
        <f>'longitudinal-acma'!B147</f>
        <v>9.391522953083406E-2</v>
      </c>
      <c r="C135" s="116">
        <f>'longitudinal-acma'!C147</f>
        <v>1.2738060754016105</v>
      </c>
      <c r="D135" s="117">
        <v>0</v>
      </c>
      <c r="E135" s="117">
        <v>0</v>
      </c>
      <c r="F135" s="117">
        <v>0</v>
      </c>
      <c r="G135" s="116">
        <f>'longitudinal-acma'!G147</f>
        <v>-1.4319242356195545E-2</v>
      </c>
      <c r="H135" s="118" t="str">
        <f t="shared" si="20"/>
        <v xml:space="preserve">  - [75, 0.094, 1.274, 0, 0, 0, -0.014]</v>
      </c>
      <c r="I135" s="97">
        <f>'longitudinal-acma'!I135</f>
        <v>75</v>
      </c>
      <c r="J135" s="116">
        <f>'longitudinal-acma'!J135</f>
        <v>0.18205260240456278</v>
      </c>
      <c r="K135" s="116">
        <f>'longitudinal-acma'!K135</f>
        <v>0.16409331638386865</v>
      </c>
      <c r="L135" s="117">
        <v>0</v>
      </c>
      <c r="M135" s="117">
        <v>0</v>
      </c>
      <c r="N135" s="117">
        <v>0</v>
      </c>
      <c r="O135" s="116">
        <f>'longitudinal-acma'!O135</f>
        <v>-6.5049386307442295E-2</v>
      </c>
      <c r="P135" s="118" t="str">
        <f t="shared" si="21"/>
        <v xml:space="preserve">  - [75, 0.182, 0.164, 0, 0, 0, -0.065]</v>
      </c>
      <c r="Q135" s="97">
        <f>Report_table_graphs!Q135</f>
        <v>75</v>
      </c>
      <c r="R135" s="214">
        <f>Report_table_graphs!R135</f>
        <v>-0.39187745592361117</v>
      </c>
      <c r="S135" s="214">
        <f>Report_table_graphs!S135</f>
        <v>0.97624356519361599</v>
      </c>
      <c r="T135" s="117">
        <v>0</v>
      </c>
      <c r="U135" s="117">
        <v>0</v>
      </c>
      <c r="V135" s="117">
        <v>0</v>
      </c>
      <c r="W135" s="214">
        <f>Report_table_graphs!W135</f>
        <v>-7.7692038989349677E-2</v>
      </c>
      <c r="X135" s="118" t="str">
        <f t="shared" si="22"/>
        <v xml:space="preserve">  - [75, -0.392, 0.976, 0, 0, 0, -0.078]</v>
      </c>
      <c r="Y135" s="235">
        <f>Q135+180</f>
        <v>255</v>
      </c>
      <c r="Z135" t="str">
        <f>"  - ["&amp;Y135&amp;", "&amp;FIXED(-R135,3,1)&amp;", "&amp;FIXED(-S135,3,1)&amp;", 0, 0, 0"&amp;", "&amp;FIXED(W135,3,1)&amp;"]"</f>
        <v xml:space="preserve">  - [255, 0.392, -0.976, 0, 0, 0, -0.078]</v>
      </c>
    </row>
    <row r="136" spans="1:26" x14ac:dyDescent="0.25">
      <c r="A136" s="97">
        <f>'longitudinal-acma'!A148</f>
        <v>90</v>
      </c>
      <c r="B136" s="116">
        <f>'longitudinal-acma'!B148</f>
        <v>-3.0661444946451386E-2</v>
      </c>
      <c r="C136" s="116">
        <f>'longitudinal-acma'!C148</f>
        <v>1.1010673146503713</v>
      </c>
      <c r="D136" s="117">
        <v>0</v>
      </c>
      <c r="E136" s="117">
        <v>0</v>
      </c>
      <c r="F136" s="117">
        <v>0</v>
      </c>
      <c r="G136" s="116">
        <f>'longitudinal-acma'!G148</f>
        <v>2.00611058650088E-2</v>
      </c>
      <c r="H136" s="118" t="str">
        <f t="shared" si="20"/>
        <v xml:space="preserve">  - [90, -0.031, 1.101, 0, 0, 0, 0.020]</v>
      </c>
      <c r="I136" s="97">
        <f>'longitudinal-acma'!I136</f>
        <v>90</v>
      </c>
      <c r="J136" s="116">
        <f>'longitudinal-acma'!J136</f>
        <v>-0.19993613412297287</v>
      </c>
      <c r="K136" s="116">
        <f>'longitudinal-acma'!K136</f>
        <v>-0.14978942307065796</v>
      </c>
      <c r="L136" s="117">
        <v>0</v>
      </c>
      <c r="M136" s="117">
        <v>0</v>
      </c>
      <c r="N136" s="117">
        <v>0</v>
      </c>
      <c r="O136" s="116">
        <f>'longitudinal-acma'!O136</f>
        <v>7.6675930736968094E-3</v>
      </c>
      <c r="P136" s="118" t="str">
        <f t="shared" si="21"/>
        <v xml:space="preserve">  - [90, -0.200, -0.150, 0, 0, 0, 0.008]</v>
      </c>
      <c r="Q136" s="97">
        <f>Report_table_graphs!Q136</f>
        <v>90</v>
      </c>
      <c r="R136" s="214">
        <f>Report_table_graphs!R136</f>
        <v>-0.41234203004317949</v>
      </c>
      <c r="S136" s="214">
        <f>Report_table_graphs!S136</f>
        <v>1.0884299378285796</v>
      </c>
      <c r="T136" s="117">
        <v>0</v>
      </c>
      <c r="U136" s="117">
        <v>0</v>
      </c>
      <c r="V136" s="117">
        <v>0</v>
      </c>
      <c r="W136" s="214">
        <f>Report_table_graphs!W136</f>
        <v>-3.3919090289814623E-2</v>
      </c>
      <c r="X136" s="118" t="str">
        <f t="shared" si="22"/>
        <v xml:space="preserve">  - [90, -0.412, 1.088, 0, 0, 0, -0.034]</v>
      </c>
      <c r="Y136" s="235">
        <f>Q136+180</f>
        <v>270</v>
      </c>
      <c r="Z136" t="str">
        <f>"  - ["&amp;Y136&amp;", "&amp;FIXED(-R136,3,1)&amp;", "&amp;FIXED(-S136,3,1)&amp;", 0, 0, 0"&amp;", "&amp;FIXED(W136,3,1)&amp;"]"</f>
        <v xml:space="preserve">  - [270, 0.412, -1.088, 0, 0, 0, -0.034]</v>
      </c>
    </row>
    <row r="137" spans="1:26" x14ac:dyDescent="0.25">
      <c r="A137" s="97">
        <f>'longitudinal-acma'!A149</f>
        <v>105</v>
      </c>
      <c r="B137" s="116">
        <f>'longitudinal-acma'!B149</f>
        <v>-3.7886402517717702E-2</v>
      </c>
      <c r="C137" s="116">
        <f>'longitudinal-acma'!C149</f>
        <v>0.92561666716406121</v>
      </c>
      <c r="D137" s="117">
        <v>0</v>
      </c>
      <c r="E137" s="117">
        <v>0</v>
      </c>
      <c r="F137" s="117">
        <v>0</v>
      </c>
      <c r="G137" s="116">
        <f>'longitudinal-acma'!G149</f>
        <v>4.0464947385740892E-2</v>
      </c>
      <c r="H137" s="118" t="str">
        <f t="shared" si="20"/>
        <v xml:space="preserve">  - [105, -0.038, 0.926, 0, 0, 0, 0.040]</v>
      </c>
      <c r="I137" s="97">
        <f>'longitudinal-acma'!I137</f>
        <v>105</v>
      </c>
      <c r="J137" s="116">
        <f>'longitudinal-acma'!J137</f>
        <v>-0.17823890479944013</v>
      </c>
      <c r="K137" s="116">
        <f>'longitudinal-acma'!K137</f>
        <v>-5.6996132813126023E-2</v>
      </c>
      <c r="L137" s="117">
        <v>0</v>
      </c>
      <c r="M137" s="117">
        <v>0</v>
      </c>
      <c r="N137" s="117">
        <v>0</v>
      </c>
      <c r="O137" s="116">
        <f>'longitudinal-acma'!O137</f>
        <v>2.5387246753204216E-2</v>
      </c>
      <c r="P137" s="118" t="str">
        <f t="shared" si="21"/>
        <v xml:space="preserve">  - [105, -0.178, -0.057, 0, 0, 0, 0.025]</v>
      </c>
      <c r="Q137" s="97">
        <f>Report_table_graphs!Q137</f>
        <v>105</v>
      </c>
      <c r="R137" s="214">
        <f>Report_table_graphs!R137</f>
        <v>-0.44650903968466116</v>
      </c>
      <c r="S137" s="214">
        <f>Report_table_graphs!S137</f>
        <v>0.95925265000902682</v>
      </c>
      <c r="T137" s="117">
        <v>0</v>
      </c>
      <c r="U137" s="117">
        <v>0</v>
      </c>
      <c r="V137" s="117">
        <v>0</v>
      </c>
      <c r="W137" s="214">
        <f>Report_table_graphs!W137</f>
        <v>-6.0372473648677332E-3</v>
      </c>
      <c r="X137" s="118" t="str">
        <f t="shared" si="22"/>
        <v xml:space="preserve">  - [105, -0.447, 0.959, 0, 0, 0, -0.006]</v>
      </c>
      <c r="Y137" s="235">
        <f>Q137+180</f>
        <v>285</v>
      </c>
      <c r="Z137" t="str">
        <f>"  - ["&amp;Y137&amp;", "&amp;FIXED(-R137,3,1)&amp;", "&amp;FIXED(-S137,3,1)&amp;", 0, 0, 0"&amp;", "&amp;FIXED(W137,3,1)&amp;"]"</f>
        <v xml:space="preserve">  - [285, 0.447, -0.959, 0, 0, 0, -0.006]</v>
      </c>
    </row>
    <row r="138" spans="1:26" x14ac:dyDescent="0.25">
      <c r="A138" s="97">
        <f>'longitudinal-acma'!A150</f>
        <v>120</v>
      </c>
      <c r="B138" s="116">
        <f>'longitudinal-acma'!B150</f>
        <v>-4.7603522876586202E-2</v>
      </c>
      <c r="C138" s="116">
        <f>'longitudinal-acma'!C150</f>
        <v>0.79471031839459216</v>
      </c>
      <c r="D138" s="117">
        <v>0</v>
      </c>
      <c r="E138" s="117">
        <v>0</v>
      </c>
      <c r="F138" s="117">
        <v>0</v>
      </c>
      <c r="G138" s="116">
        <f>'longitudinal-acma'!G150</f>
        <v>4.8960952321409006E-2</v>
      </c>
      <c r="H138" s="118" t="str">
        <f t="shared" si="20"/>
        <v xml:space="preserve">  - [120, -0.048, 0.795, 0, 0, 0, 0.049]</v>
      </c>
      <c r="I138" s="97">
        <f>'longitudinal-acma'!I138</f>
        <v>120</v>
      </c>
      <c r="J138" s="116">
        <f>'longitudinal-acma'!J138</f>
        <v>-6.0562446736328955E-2</v>
      </c>
      <c r="K138" s="116">
        <f>'longitudinal-acma'!K138</f>
        <v>0.20820593582145863</v>
      </c>
      <c r="L138" s="117">
        <v>0</v>
      </c>
      <c r="M138" s="117">
        <v>0</v>
      </c>
      <c r="N138" s="117">
        <v>0</v>
      </c>
      <c r="O138" s="116">
        <f>'longitudinal-acma'!O138</f>
        <v>4.3021385245726719E-2</v>
      </c>
      <c r="P138" s="118" t="str">
        <f t="shared" si="21"/>
        <v xml:space="preserve">  - [120, -0.061, 0.208, 0, 0, 0, 0.043]</v>
      </c>
      <c r="Q138" s="97">
        <f>Report_table_graphs!Q138</f>
        <v>120</v>
      </c>
      <c r="R138" s="214">
        <f>Report_table_graphs!R138</f>
        <v>-0.58630040727964639</v>
      </c>
      <c r="S138" s="214">
        <f>Report_table_graphs!S138</f>
        <v>0.69925820839565</v>
      </c>
      <c r="T138" s="117">
        <v>0</v>
      </c>
      <c r="U138" s="117">
        <v>0</v>
      </c>
      <c r="V138" s="117">
        <v>0</v>
      </c>
      <c r="W138" s="214">
        <f>Report_table_graphs!W138</f>
        <v>6.2936291816842165E-3</v>
      </c>
      <c r="X138" s="118" t="str">
        <f t="shared" si="22"/>
        <v xml:space="preserve">  - [120, -0.586, 0.699, 0, 0, 0, 0.006]</v>
      </c>
      <c r="Y138" s="235">
        <f>Q138+180</f>
        <v>300</v>
      </c>
      <c r="Z138" t="str">
        <f>"  - ["&amp;Y138&amp;", "&amp;FIXED(-R138,3,1)&amp;", "&amp;FIXED(-S138,3,1)&amp;", 0, 0, 0"&amp;", "&amp;FIXED(W138,3,1)&amp;"]"</f>
        <v xml:space="preserve">  - [300, 0.586, -0.699, 0, 0, 0, 0.006]</v>
      </c>
    </row>
    <row r="139" spans="1:26" x14ac:dyDescent="0.25">
      <c r="A139" s="97">
        <f>'longitudinal-acma'!A151</f>
        <v>135</v>
      </c>
      <c r="B139" s="116">
        <f>'longitudinal-acma'!B151</f>
        <v>-0.16543602623348283</v>
      </c>
      <c r="C139" s="116">
        <f>'longitudinal-acma'!C151</f>
        <v>0.57265269931638318</v>
      </c>
      <c r="D139" s="117">
        <v>0</v>
      </c>
      <c r="E139" s="117">
        <v>0</v>
      </c>
      <c r="F139" s="117">
        <v>0</v>
      </c>
      <c r="G139" s="116">
        <f>'longitudinal-acma'!G151</f>
        <v>6.1054183780424501E-2</v>
      </c>
      <c r="H139" s="118" t="str">
        <f t="shared" si="20"/>
        <v xml:space="preserve">  - [135, -0.165, 0.573, 0, 0, 0, 0.061]</v>
      </c>
      <c r="I139" s="97">
        <f>'longitudinal-acma'!I139</f>
        <v>135</v>
      </c>
      <c r="J139" s="116">
        <f>'longitudinal-acma'!J139</f>
        <v>-0.45236286954170574</v>
      </c>
      <c r="K139" s="116">
        <f>'longitudinal-acma'!K139</f>
        <v>0.27522905014392851</v>
      </c>
      <c r="L139" s="117">
        <v>0</v>
      </c>
      <c r="M139" s="117">
        <v>0</v>
      </c>
      <c r="N139" s="117">
        <v>0</v>
      </c>
      <c r="O139" s="116">
        <f>'longitudinal-acma'!O139</f>
        <v>7.0492979696582247E-2</v>
      </c>
      <c r="P139" s="118" t="str">
        <f t="shared" si="21"/>
        <v xml:space="preserve">  - [135, -0.452, 0.275, 0, 0, 0, 0.070]</v>
      </c>
      <c r="Q139" s="97">
        <f>Report_table_graphs!Q139</f>
        <v>135</v>
      </c>
      <c r="R139" s="214">
        <f>Report_table_graphs!R139</f>
        <v>-0.61166078541468372</v>
      </c>
      <c r="S139" s="214">
        <f>Report_table_graphs!S139</f>
        <v>0.48334004029659028</v>
      </c>
      <c r="T139" s="117">
        <v>0</v>
      </c>
      <c r="U139" s="117">
        <v>0</v>
      </c>
      <c r="V139" s="117">
        <v>0</v>
      </c>
      <c r="W139" s="214">
        <f>Report_table_graphs!W139</f>
        <v>2.4289769462206703E-2</v>
      </c>
      <c r="X139" s="118" t="str">
        <f t="shared" si="22"/>
        <v xml:space="preserve">  - [135, -0.612, 0.483, 0, 0, 0, 0.024]</v>
      </c>
      <c r="Y139" s="235">
        <f>Q139+180</f>
        <v>315</v>
      </c>
      <c r="Z139" t="str">
        <f>"  - ["&amp;Y139&amp;", "&amp;FIXED(-R139,3,1)&amp;", "&amp;FIXED(-S139,3,1)&amp;", 0, 0, 0"&amp;", "&amp;FIXED(W139,3,1)&amp;"]"</f>
        <v xml:space="preserve">  - [315, 0.612, -0.483, 0, 0, 0, 0.024]</v>
      </c>
    </row>
    <row r="140" spans="1:26" x14ac:dyDescent="0.25">
      <c r="A140" s="97">
        <f>'longitudinal-acma'!A152</f>
        <v>150</v>
      </c>
      <c r="B140" s="116">
        <f>'longitudinal-acma'!B152</f>
        <v>-0.23739702131244031</v>
      </c>
      <c r="C140" s="116">
        <f>'longitudinal-acma'!C152</f>
        <v>0.31747294290300521</v>
      </c>
      <c r="D140" s="117">
        <v>0</v>
      </c>
      <c r="E140" s="117">
        <v>0</v>
      </c>
      <c r="F140" s="117">
        <v>0</v>
      </c>
      <c r="G140" s="116">
        <f>'longitudinal-acma'!G152</f>
        <v>3.0750966061762371E-2</v>
      </c>
      <c r="H140" s="118" t="str">
        <f t="shared" si="20"/>
        <v xml:space="preserve">  - [150, -0.237, 0.317, 0, 0, 0, 0.031]</v>
      </c>
      <c r="I140" s="97">
        <f>'longitudinal-acma'!I140</f>
        <v>150</v>
      </c>
      <c r="J140" s="116">
        <f>'longitudinal-acma'!J140</f>
        <v>-0.54691425292673257</v>
      </c>
      <c r="K140" s="116">
        <f>'longitudinal-acma'!K140</f>
        <v>0.22189221951176519</v>
      </c>
      <c r="L140" s="117">
        <v>0</v>
      </c>
      <c r="M140" s="117">
        <v>0</v>
      </c>
      <c r="N140" s="117">
        <v>0</v>
      </c>
      <c r="O140" s="116">
        <f>'longitudinal-acma'!O140</f>
        <v>4.4865985375486278E-2</v>
      </c>
      <c r="P140" s="118" t="str">
        <f t="shared" si="21"/>
        <v xml:space="preserve">  - [150, -0.547, 0.222, 0, 0, 0, 0.045]</v>
      </c>
      <c r="Q140" s="97">
        <f>Report_table_graphs!Q140</f>
        <v>150</v>
      </c>
      <c r="R140" s="214">
        <f>Report_table_graphs!R140</f>
        <v>-0.64515247175231138</v>
      </c>
      <c r="S140" s="214">
        <f>Report_table_graphs!S140</f>
        <v>0.2592619893513684</v>
      </c>
      <c r="T140" s="117">
        <v>0</v>
      </c>
      <c r="U140" s="117">
        <v>0</v>
      </c>
      <c r="V140" s="117">
        <v>0</v>
      </c>
      <c r="W140" s="214">
        <f>Report_table_graphs!W140</f>
        <v>2.6886161284603513E-2</v>
      </c>
      <c r="X140" s="118" t="str">
        <f t="shared" si="22"/>
        <v xml:space="preserve">  - [150, -0.645, 0.259, 0, 0, 0, 0.027]</v>
      </c>
      <c r="Y140" s="235">
        <f>Q140+180</f>
        <v>330</v>
      </c>
      <c r="Z140" t="str">
        <f>"  - ["&amp;Y140&amp;", "&amp;FIXED(-R140,3,1)&amp;", "&amp;FIXED(-S140,3,1)&amp;", 0, 0, 0"&amp;", "&amp;FIXED(W140,3,1)&amp;"]"</f>
        <v xml:space="preserve">  - [330, 0.645, -0.259, 0, 0, 0, 0.027]</v>
      </c>
    </row>
    <row r="141" spans="1:26" x14ac:dyDescent="0.25">
      <c r="A141" s="97">
        <f>'longitudinal-acma'!A153</f>
        <v>165</v>
      </c>
      <c r="B141" s="116">
        <f>'longitudinal-acma'!B153</f>
        <v>-0.30441397580531182</v>
      </c>
      <c r="C141" s="116">
        <f>'longitudinal-acma'!C153</f>
        <v>9.8037080796873427E-2</v>
      </c>
      <c r="D141" s="117">
        <v>0</v>
      </c>
      <c r="E141" s="117">
        <v>0</v>
      </c>
      <c r="F141" s="117">
        <v>0</v>
      </c>
      <c r="G141" s="116">
        <f>'longitudinal-acma'!G153</f>
        <v>8.7460972076043361E-3</v>
      </c>
      <c r="H141" s="118" t="str">
        <f t="shared" si="20"/>
        <v xml:space="preserve">  - [165, -0.304, 0.098, 0, 0, 0, 0.009]</v>
      </c>
      <c r="I141" s="97">
        <f>'longitudinal-acma'!I141</f>
        <v>165</v>
      </c>
      <c r="J141" s="116">
        <f>'longitudinal-acma'!J141</f>
        <v>-0.48262391813708094</v>
      </c>
      <c r="K141" s="116">
        <f>'longitudinal-acma'!K141</f>
        <v>0.11412996379946054</v>
      </c>
      <c r="L141" s="117">
        <v>0</v>
      </c>
      <c r="M141" s="117">
        <v>0</v>
      </c>
      <c r="N141" s="117">
        <v>0</v>
      </c>
      <c r="O141" s="116">
        <f>'longitudinal-acma'!O141</f>
        <v>1.3635063691431075E-2</v>
      </c>
      <c r="P141" s="118" t="str">
        <f t="shared" si="21"/>
        <v xml:space="preserve">  - [165, -0.483, 0.114, 0, 0, 0, 0.014]</v>
      </c>
      <c r="Q141" s="97">
        <f>Report_table_graphs!Q141</f>
        <v>165</v>
      </c>
      <c r="R141" s="214">
        <f>Report_table_graphs!R141</f>
        <v>-0.6840950108596906</v>
      </c>
      <c r="S141" s="214">
        <f>Report_table_graphs!S141</f>
        <v>7.4218008458163356E-2</v>
      </c>
      <c r="T141" s="117">
        <v>0</v>
      </c>
      <c r="U141" s="117">
        <v>0</v>
      </c>
      <c r="V141" s="117">
        <v>0</v>
      </c>
      <c r="W141" s="214">
        <f>Report_table_graphs!W141</f>
        <v>1.6043399964240201E-2</v>
      </c>
      <c r="X141" s="118" t="str">
        <f t="shared" si="22"/>
        <v xml:space="preserve">  - [165, -0.684, 0.074, 0, 0, 0, 0.016]</v>
      </c>
      <c r="Y141" s="235">
        <f>Q141+180</f>
        <v>345</v>
      </c>
      <c r="Z141" t="str">
        <f>"  - ["&amp;Y141&amp;", "&amp;FIXED(-R141,3,1)&amp;", "&amp;FIXED(-S141,3,1)&amp;", 0, 0, 0"&amp;", "&amp;FIXED(W141,3,1)&amp;"]"</f>
        <v xml:space="preserve">  - [345, 0.684, -0.074, 0, 0, 0, 0.016]</v>
      </c>
    </row>
    <row r="142" spans="1:26" x14ac:dyDescent="0.25">
      <c r="A142" s="97">
        <f>'longitudinal-acma'!A130</f>
        <v>180</v>
      </c>
      <c r="B142" s="116">
        <f>'longitudinal-acma'!B130</f>
        <v>-0.18136453656125834</v>
      </c>
      <c r="C142" s="116">
        <f>'longitudinal-acma'!C130</f>
        <v>8.6152820706655048E-3</v>
      </c>
      <c r="D142" s="117">
        <v>0</v>
      </c>
      <c r="E142" s="117">
        <v>0</v>
      </c>
      <c r="F142" s="117">
        <v>0</v>
      </c>
      <c r="G142" s="116">
        <f>'longitudinal-acma'!G130</f>
        <v>-2.702982192781729E-3</v>
      </c>
      <c r="H142" s="118" t="str">
        <f t="shared" si="20"/>
        <v xml:space="preserve">  - [180, -0.181, 0.009, 0, 0, 0, -0.003]</v>
      </c>
      <c r="I142" s="97">
        <f>'longitudinal-acma'!I142</f>
        <v>180</v>
      </c>
      <c r="J142" s="116">
        <f>'longitudinal-acma'!J142</f>
        <v>-0.23283094049548267</v>
      </c>
      <c r="K142" s="116">
        <f>'longitudinal-acma'!K142</f>
        <v>1.5060106571838686E-2</v>
      </c>
      <c r="L142" s="117">
        <v>0</v>
      </c>
      <c r="M142" s="117">
        <v>0</v>
      </c>
      <c r="N142" s="117">
        <v>0</v>
      </c>
      <c r="O142" s="116">
        <f>'longitudinal-acma'!O142</f>
        <v>8.2107705145526531E-3</v>
      </c>
      <c r="P142" s="118" t="str">
        <f t="shared" si="21"/>
        <v xml:space="preserve">  - [180, -0.233, 0.015, 0, 0, 0, 0.008]</v>
      </c>
      <c r="Q142" s="97">
        <f>Report_table_graphs!Q142</f>
        <v>180</v>
      </c>
      <c r="R142" s="214">
        <f>Report_table_graphs!R142</f>
        <v>-0.74575305719028429</v>
      </c>
      <c r="S142" s="214">
        <f>Report_table_graphs!S142</f>
        <v>-2.5953937427874454E-2</v>
      </c>
      <c r="T142" s="117">
        <v>0</v>
      </c>
      <c r="U142" s="117">
        <v>0</v>
      </c>
      <c r="V142" s="117">
        <v>0</v>
      </c>
      <c r="W142" s="214">
        <f>Report_table_graphs!W142</f>
        <v>-9.0480653247131341E-3</v>
      </c>
      <c r="X142" s="118" t="str">
        <f t="shared" si="22"/>
        <v xml:space="preserve">  - [180, -0.746, -0.026, 0, 0, 0, -0.009]</v>
      </c>
      <c r="Y142" s="236">
        <f>Q142+180-360</f>
        <v>0</v>
      </c>
      <c r="Z142" t="str">
        <f>"  - ["&amp;Y142&amp;", "&amp;FIXED(-R142,3,1)&amp;", "&amp;FIXED(-S142,3,1)&amp;", 0, 0, 0"&amp;", "&amp;FIXED(W142,3,1)&amp;"]"</f>
        <v xml:space="preserve">  - [0, 0.746, 0.026, 0, 0, 0, -0.009]</v>
      </c>
    </row>
    <row r="143" spans="1:26" x14ac:dyDescent="0.25">
      <c r="A143" s="97">
        <f>'longitudinal-acma'!A131</f>
        <v>195</v>
      </c>
      <c r="B143" s="116">
        <f>'longitudinal-acma'!B131</f>
        <v>-0.49443054026511635</v>
      </c>
      <c r="C143" s="116">
        <f>'longitudinal-acma'!C131</f>
        <v>-0.13035303079316454</v>
      </c>
      <c r="D143" s="117">
        <v>0</v>
      </c>
      <c r="E143" s="117">
        <v>0</v>
      </c>
      <c r="F143" s="117">
        <v>0</v>
      </c>
      <c r="G143" s="116">
        <f>'longitudinal-acma'!G131</f>
        <v>9.8934966964245551E-3</v>
      </c>
      <c r="H143" s="118" t="str">
        <f t="shared" si="20"/>
        <v xml:space="preserve">  - [195, -0.494, -0.130, 0, 0, 0, 0.010]</v>
      </c>
      <c r="I143" s="98">
        <f>'longitudinal-acma'!I143</f>
        <v>195</v>
      </c>
      <c r="J143" s="116">
        <f>'longitudinal-acma'!J143</f>
        <v>-0.28298732890916328</v>
      </c>
      <c r="K143" s="116">
        <f>'longitudinal-acma'!K143</f>
        <v>-9.5236272365585795E-2</v>
      </c>
      <c r="L143" s="117">
        <v>0</v>
      </c>
      <c r="M143" s="117">
        <v>0</v>
      </c>
      <c r="N143" s="117">
        <v>0</v>
      </c>
      <c r="O143" s="116">
        <f>'longitudinal-acma'!O143</f>
        <v>-9.4125755546560688E-3</v>
      </c>
      <c r="P143" s="118" t="str">
        <f t="shared" si="21"/>
        <v xml:space="preserve">  - [195, -0.283, -0.095, 0, 0, 0, -0.009]</v>
      </c>
      <c r="Q143" s="98">
        <f>Report_table_graphs!Q143</f>
        <v>195</v>
      </c>
      <c r="R143" s="214">
        <f>Report_table_graphs!R143</f>
        <v>-0.10582830892908414</v>
      </c>
      <c r="S143" s="214">
        <f>Report_table_graphs!S143</f>
        <v>-3.6530938382215869E-2</v>
      </c>
      <c r="T143" s="117">
        <v>0</v>
      </c>
      <c r="U143" s="117">
        <v>0</v>
      </c>
      <c r="V143" s="117">
        <v>0</v>
      </c>
      <c r="W143" s="214">
        <f>Report_table_graphs!W143</f>
        <v>-4.4242065661305903E-3</v>
      </c>
      <c r="X143" s="118" t="str">
        <f t="shared" si="22"/>
        <v xml:space="preserve">  - [195, -0.106, -0.037, 0, 0, 0, -0.004]</v>
      </c>
      <c r="Y143" s="236">
        <f t="shared" ref="Y143:Y153" si="23">Q143+180-360</f>
        <v>15</v>
      </c>
      <c r="Z143" t="str">
        <f>"  - ["&amp;Y143&amp;", "&amp;FIXED(-R143,3,1)&amp;", "&amp;FIXED(-S143,3,1)&amp;", 0, 0, 0"&amp;", "&amp;FIXED(W143,3,1)&amp;"]"</f>
        <v xml:space="preserve">  - [15, 0.106, 0.037, 0, 0, 0, -0.004]</v>
      </c>
    </row>
    <row r="144" spans="1:26" x14ac:dyDescent="0.25">
      <c r="A144" s="97">
        <f>'longitudinal-acma'!A132</f>
        <v>210</v>
      </c>
      <c r="B144" s="116">
        <f>'longitudinal-acma'!B132</f>
        <v>-0.2230400475947695</v>
      </c>
      <c r="C144" s="116">
        <f>'longitudinal-acma'!C132</f>
        <v>-0.17547966543309407</v>
      </c>
      <c r="D144" s="117">
        <v>0</v>
      </c>
      <c r="E144" s="117">
        <v>0</v>
      </c>
      <c r="F144" s="117">
        <v>0</v>
      </c>
      <c r="G144" s="116">
        <f>'longitudinal-acma'!G132</f>
        <v>2.9488240441747231E-2</v>
      </c>
      <c r="H144" s="118" t="str">
        <f t="shared" si="20"/>
        <v xml:space="preserve">  - [210, -0.223, -0.175, 0, 0, 0, 0.029]</v>
      </c>
      <c r="I144" s="98">
        <f>'longitudinal-acma'!I144</f>
        <v>210</v>
      </c>
      <c r="J144" s="116">
        <f>'longitudinal-acma'!J144</f>
        <v>-0.29259178557522403</v>
      </c>
      <c r="K144" s="116">
        <f>'longitudinal-acma'!K144</f>
        <v>-0.34077902586507985</v>
      </c>
      <c r="L144" s="117">
        <v>0</v>
      </c>
      <c r="M144" s="117">
        <v>0</v>
      </c>
      <c r="N144" s="117">
        <v>0</v>
      </c>
      <c r="O144" s="116">
        <f>'longitudinal-acma'!O144</f>
        <v>-2.65942326719012E-2</v>
      </c>
      <c r="P144" s="118" t="str">
        <f t="shared" si="21"/>
        <v xml:space="preserve">  - [210, -0.293, -0.341, 0, 0, 0, -0.027]</v>
      </c>
      <c r="Q144" s="98">
        <f>Report_table_graphs!Q144</f>
        <v>210</v>
      </c>
      <c r="R144" s="214">
        <f>Report_table_graphs!R144</f>
        <v>-4.9197552079134545E-2</v>
      </c>
      <c r="S144" s="214">
        <f>Report_table_graphs!S144</f>
        <v>1.6353832465489972E-2</v>
      </c>
      <c r="T144" s="117">
        <v>0</v>
      </c>
      <c r="U144" s="117">
        <v>0</v>
      </c>
      <c r="V144" s="117">
        <v>0</v>
      </c>
      <c r="W144" s="214">
        <f>Report_table_graphs!W144</f>
        <v>7.3794722355854277E-3</v>
      </c>
      <c r="X144" s="118" t="str">
        <f t="shared" si="22"/>
        <v xml:space="preserve">  - [210, -0.049, 0.016, 0, 0, 0, 0.007]</v>
      </c>
      <c r="Y144" s="236">
        <f t="shared" si="23"/>
        <v>30</v>
      </c>
      <c r="Z144" t="str">
        <f>"  - ["&amp;Y144&amp;", "&amp;FIXED(-R144,3,1)&amp;", "&amp;FIXED(-S144,3,1)&amp;", 0, 0, 0"&amp;", "&amp;FIXED(W144,3,1)&amp;"]"</f>
        <v xml:space="preserve">  - [30, 0.049, -0.016, 0, 0, 0, 0.007]</v>
      </c>
    </row>
    <row r="145" spans="1:26" x14ac:dyDescent="0.25">
      <c r="A145" s="97">
        <f>'longitudinal-acma'!A133</f>
        <v>225</v>
      </c>
      <c r="B145" s="116">
        <f>'longitudinal-acma'!B133</f>
        <v>-0.19003521072884128</v>
      </c>
      <c r="C145" s="116">
        <f>'longitudinal-acma'!C133</f>
        <v>-0.37844882183208794</v>
      </c>
      <c r="D145" s="117">
        <v>0</v>
      </c>
      <c r="E145" s="117">
        <v>0</v>
      </c>
      <c r="F145" s="117">
        <v>0</v>
      </c>
      <c r="G145" s="116">
        <f>'longitudinal-acma'!G133</f>
        <v>4.5698075801451604E-2</v>
      </c>
      <c r="H145" s="118" t="str">
        <f t="shared" si="20"/>
        <v xml:space="preserve">  - [225, -0.190, -0.378, 0, 0, 0, 0.046]</v>
      </c>
      <c r="I145" s="98">
        <f>'longitudinal-acma'!I145</f>
        <v>225</v>
      </c>
      <c r="J145" s="116">
        <f>'longitudinal-acma'!J145</f>
        <v>-0.22559164944345392</v>
      </c>
      <c r="K145" s="116">
        <f>'longitudinal-acma'!K145</f>
        <v>-0.62188462642368014</v>
      </c>
      <c r="L145" s="117">
        <v>0</v>
      </c>
      <c r="M145" s="117">
        <v>0</v>
      </c>
      <c r="N145" s="117">
        <v>0</v>
      </c>
      <c r="O145" s="116">
        <f>'longitudinal-acma'!O145</f>
        <v>-2.4247607736278268E-2</v>
      </c>
      <c r="P145" s="118" t="str">
        <f t="shared" si="21"/>
        <v xml:space="preserve">  - [225, -0.226, -0.622, 0, 0, 0, -0.024]</v>
      </c>
      <c r="Q145" s="98">
        <f>Report_table_graphs!Q145</f>
        <v>225</v>
      </c>
      <c r="R145" s="214">
        <f>Report_table_graphs!R145</f>
        <v>3.6263587577852932E-2</v>
      </c>
      <c r="S145" s="214">
        <f>Report_table_graphs!S145</f>
        <v>3.8847430998169862E-2</v>
      </c>
      <c r="T145" s="117">
        <v>0</v>
      </c>
      <c r="U145" s="117">
        <v>0</v>
      </c>
      <c r="V145" s="117">
        <v>0</v>
      </c>
      <c r="W145" s="214">
        <f>Report_table_graphs!W145</f>
        <v>1.1762718276124139E-2</v>
      </c>
      <c r="X145" s="118" t="str">
        <f t="shared" si="22"/>
        <v xml:space="preserve">  - [225, 0.036, 0.039, 0, 0, 0, 0.012]</v>
      </c>
      <c r="Y145" s="236">
        <f t="shared" si="23"/>
        <v>45</v>
      </c>
      <c r="Z145" t="str">
        <f>"  - ["&amp;Y145&amp;", "&amp;FIXED(-R145,3,1)&amp;", "&amp;FIXED(-S145,3,1)&amp;", 0, 0, 0"&amp;", "&amp;FIXED(W145,3,1)&amp;"]"</f>
        <v xml:space="preserve">  - [45, -0.036, -0.039, 0, 0, 0, 0.012]</v>
      </c>
    </row>
    <row r="146" spans="1:26" x14ac:dyDescent="0.25">
      <c r="A146" s="97">
        <f>'longitudinal-acma'!A134</f>
        <v>240</v>
      </c>
      <c r="B146" s="116">
        <f>'longitudinal-acma'!B134</f>
        <v>-6.6537551573926407E-2</v>
      </c>
      <c r="C146" s="116">
        <f>'longitudinal-acma'!C134</f>
        <v>-0.43434726662649292</v>
      </c>
      <c r="D146" s="117">
        <v>0</v>
      </c>
      <c r="E146" s="117">
        <v>0</v>
      </c>
      <c r="F146" s="117">
        <v>0</v>
      </c>
      <c r="G146" s="116">
        <f>'longitudinal-acma'!G134</f>
        <v>9.7794187258205503E-2</v>
      </c>
      <c r="H146" s="118" t="str">
        <f t="shared" si="20"/>
        <v xml:space="preserve">  - [240, -0.067, -0.434, 0, 0, 0, 0.098]</v>
      </c>
      <c r="I146" s="98">
        <f>'longitudinal-acma'!I146</f>
        <v>240</v>
      </c>
      <c r="J146" s="116">
        <f>'longitudinal-acma'!J146</f>
        <v>-2.4595358526772373E-2</v>
      </c>
      <c r="K146" s="116">
        <f>'longitudinal-acma'!K146</f>
        <v>-0.87325186277180256</v>
      </c>
      <c r="L146" s="117">
        <v>0</v>
      </c>
      <c r="M146" s="117">
        <v>0</v>
      </c>
      <c r="N146" s="117">
        <v>0</v>
      </c>
      <c r="O146" s="116">
        <f>'longitudinal-acma'!O146</f>
        <v>-1.2574604548419003E-2</v>
      </c>
      <c r="P146" s="118" t="str">
        <f t="shared" si="21"/>
        <v xml:space="preserve">  - [240, -0.025, -0.873, 0, 0, 0, -0.013]</v>
      </c>
      <c r="Q146" s="98">
        <f>Report_table_graphs!Q146</f>
        <v>240</v>
      </c>
      <c r="R146" s="214">
        <f>Report_table_graphs!R146</f>
        <v>0.12265950921836158</v>
      </c>
      <c r="S146" s="214">
        <f>Report_table_graphs!S146</f>
        <v>8.4643932679412989E-2</v>
      </c>
      <c r="T146" s="117">
        <v>0</v>
      </c>
      <c r="U146" s="117">
        <v>0</v>
      </c>
      <c r="V146" s="117">
        <v>0</v>
      </c>
      <c r="W146" s="214">
        <f>Report_table_graphs!W146</f>
        <v>6.8489404242657263E-3</v>
      </c>
      <c r="X146" s="118" t="str">
        <f t="shared" si="22"/>
        <v xml:space="preserve">  - [240, 0.123, 0.085, 0, 0, 0, 0.007]</v>
      </c>
      <c r="Y146" s="236">
        <f t="shared" si="23"/>
        <v>60</v>
      </c>
      <c r="Z146" t="str">
        <f>"  - ["&amp;Y146&amp;", "&amp;FIXED(-R146,3,1)&amp;", "&amp;FIXED(-S146,3,1)&amp;", 0, 0, 0"&amp;", "&amp;FIXED(W146,3,1)&amp;"]"</f>
        <v xml:space="preserve">  - [60, -0.123, -0.085, 0, 0, 0, 0.007]</v>
      </c>
    </row>
    <row r="147" spans="1:26" x14ac:dyDescent="0.25">
      <c r="A147" s="97">
        <f>'longitudinal-acma'!A135</f>
        <v>255</v>
      </c>
      <c r="B147" s="116">
        <f>'longitudinal-acma'!B135</f>
        <v>-6.6746706087107116E-2</v>
      </c>
      <c r="C147" s="116">
        <f>'longitudinal-acma'!C135</f>
        <v>-0.55917625086173628</v>
      </c>
      <c r="D147" s="117">
        <v>0</v>
      </c>
      <c r="E147" s="117">
        <v>0</v>
      </c>
      <c r="F147" s="117">
        <v>0</v>
      </c>
      <c r="G147" s="116">
        <f>'longitudinal-acma'!G135</f>
        <v>0.11199183561362323</v>
      </c>
      <c r="H147" s="118" t="str">
        <f t="shared" si="20"/>
        <v xml:space="preserve">  - [255, -0.067, -0.559, 0, 0, 0, 0.112]</v>
      </c>
      <c r="I147" s="98">
        <f>'longitudinal-acma'!I147</f>
        <v>255</v>
      </c>
      <c r="J147" s="116">
        <f>'longitudinal-acma'!J147</f>
        <v>-8.0088669854806477E-2</v>
      </c>
      <c r="K147" s="116">
        <f>'longitudinal-acma'!K147</f>
        <v>-0.97367162963430831</v>
      </c>
      <c r="L147" s="117">
        <v>0</v>
      </c>
      <c r="M147" s="117">
        <v>0</v>
      </c>
      <c r="N147" s="117">
        <v>0</v>
      </c>
      <c r="O147" s="116">
        <f>'longitudinal-acma'!O147</f>
        <v>-1.7978925231948467E-2</v>
      </c>
      <c r="P147" s="118" t="str">
        <f t="shared" si="21"/>
        <v xml:space="preserve">  - [255, -0.080, -0.974, 0, 0, 0, -0.018]</v>
      </c>
      <c r="Q147" s="98">
        <f>Report_table_graphs!Q147</f>
        <v>255</v>
      </c>
      <c r="R147" s="214">
        <f>Report_table_graphs!R147</f>
        <v>0.16419859632547865</v>
      </c>
      <c r="S147" s="214">
        <f>Report_table_graphs!S147</f>
        <v>0.11589890411499236</v>
      </c>
      <c r="T147" s="117">
        <v>0</v>
      </c>
      <c r="U147" s="117">
        <v>0</v>
      </c>
      <c r="V147" s="117">
        <v>0</v>
      </c>
      <c r="W147" s="214">
        <f>Report_table_graphs!W147</f>
        <v>7.1933656711325837E-3</v>
      </c>
      <c r="X147" s="118" t="str">
        <f t="shared" si="22"/>
        <v xml:space="preserve">  - [255, 0.164, 0.116, 0, 0, 0, 0.007]</v>
      </c>
      <c r="Y147" s="236">
        <f t="shared" si="23"/>
        <v>75</v>
      </c>
      <c r="Z147" t="str">
        <f>"  - ["&amp;Y147&amp;", "&amp;FIXED(-R147,3,1)&amp;", "&amp;FIXED(-S147,3,1)&amp;", 0, 0, 0"&amp;", "&amp;FIXED(W147,3,1)&amp;"]"</f>
        <v xml:space="preserve">  - [75, -0.164, -0.116, 0, 0, 0, 0.007]</v>
      </c>
    </row>
    <row r="148" spans="1:26" x14ac:dyDescent="0.25">
      <c r="A148" s="97">
        <f>'longitudinal-acma'!A136</f>
        <v>270</v>
      </c>
      <c r="B148" s="116">
        <f>'longitudinal-acma'!B136</f>
        <v>0.15668340453668009</v>
      </c>
      <c r="C148" s="116">
        <f>'longitudinal-acma'!C136</f>
        <v>-0.68059907542870879</v>
      </c>
      <c r="D148" s="117">
        <v>0</v>
      </c>
      <c r="E148" s="117">
        <v>0</v>
      </c>
      <c r="F148" s="117">
        <v>0</v>
      </c>
      <c r="G148" s="116">
        <f>'longitudinal-acma'!G136</f>
        <v>0.12627076167231299</v>
      </c>
      <c r="H148" s="118" t="str">
        <f t="shared" si="20"/>
        <v xml:space="preserve">  - [270, 0.157, -0.681, 0, 0, 0, 0.126]</v>
      </c>
      <c r="I148" s="98">
        <f>'longitudinal-acma'!I148</f>
        <v>270</v>
      </c>
      <c r="J148" s="116">
        <f>'longitudinal-acma'!J148</f>
        <v>-4.8486807748704092E-2</v>
      </c>
      <c r="K148" s="116">
        <f>'longitudinal-acma'!K148</f>
        <v>-1.1130393649259578</v>
      </c>
      <c r="L148" s="117">
        <v>0</v>
      </c>
      <c r="M148" s="117">
        <v>0</v>
      </c>
      <c r="N148" s="117">
        <v>0</v>
      </c>
      <c r="O148" s="116">
        <f>'longitudinal-acma'!O148</f>
        <v>-1.7630714454490135E-2</v>
      </c>
      <c r="P148" s="118" t="str">
        <f t="shared" si="21"/>
        <v xml:space="preserve">  - [270, -0.048, -1.113, 0, 0, 0, -0.018]</v>
      </c>
      <c r="Q148" s="98">
        <f>Report_table_graphs!Q148</f>
        <v>270</v>
      </c>
      <c r="R148" s="214">
        <f>Report_table_graphs!R148</f>
        <v>-5.5675085225116418E-2</v>
      </c>
      <c r="S148" s="214">
        <f>Report_table_graphs!S148</f>
        <v>6.8611707543907122E-2</v>
      </c>
      <c r="T148" s="117">
        <v>0</v>
      </c>
      <c r="U148" s="117">
        <v>0</v>
      </c>
      <c r="V148" s="117">
        <v>0</v>
      </c>
      <c r="W148" s="214">
        <f>Report_table_graphs!W148</f>
        <v>9.5992838942828302E-3</v>
      </c>
      <c r="X148" s="118" t="str">
        <f t="shared" si="22"/>
        <v xml:space="preserve">  - [270, -0.056, 0.069, 0, 0, 0, 0.010]</v>
      </c>
      <c r="Y148" s="236">
        <f t="shared" si="23"/>
        <v>90</v>
      </c>
      <c r="Z148" t="str">
        <f>"  - ["&amp;Y148&amp;", "&amp;FIXED(-R148,3,1)&amp;", "&amp;FIXED(-S148,3,1)&amp;", 0, 0, 0"&amp;", "&amp;FIXED(W148,3,1)&amp;"]"</f>
        <v xml:space="preserve">  - [90, 0.056, -0.069, 0, 0, 0, 0.010]</v>
      </c>
    </row>
    <row r="149" spans="1:26" x14ac:dyDescent="0.25">
      <c r="A149" s="97">
        <f>'longitudinal-acma'!A137</f>
        <v>285</v>
      </c>
      <c r="B149" s="116">
        <f>'longitudinal-acma'!B137</f>
        <v>0.21585838109610098</v>
      </c>
      <c r="C149" s="116">
        <f>'longitudinal-acma'!C137</f>
        <v>-0.79758294508685079</v>
      </c>
      <c r="D149" s="117">
        <v>0</v>
      </c>
      <c r="E149" s="117">
        <v>0</v>
      </c>
      <c r="F149" s="117">
        <v>0</v>
      </c>
      <c r="G149" s="116">
        <f>'longitudinal-acma'!G137</f>
        <v>0.13096957769987769</v>
      </c>
      <c r="H149" s="118" t="str">
        <f t="shared" si="20"/>
        <v xml:space="preserve">  - [285, 0.216, -0.798, 0, 0, 0, 0.131]</v>
      </c>
      <c r="I149" s="98">
        <f>'longitudinal-acma'!I149</f>
        <v>285</v>
      </c>
      <c r="J149" s="116">
        <f>'longitudinal-acma'!J149</f>
        <v>3.5065356998295549E-2</v>
      </c>
      <c r="K149" s="116">
        <f>'longitudinal-acma'!K149</f>
        <v>-1.215327831253102</v>
      </c>
      <c r="L149" s="117">
        <v>0</v>
      </c>
      <c r="M149" s="117">
        <v>0</v>
      </c>
      <c r="N149" s="117">
        <v>0</v>
      </c>
      <c r="O149" s="116">
        <f>'longitudinal-acma'!O149</f>
        <v>2.4745887980116461E-2</v>
      </c>
      <c r="P149" s="118" t="str">
        <f t="shared" si="21"/>
        <v xml:space="preserve">  - [285, 0.035, -1.215, 0, 0, 0, 0.025]</v>
      </c>
      <c r="Q149" s="98">
        <f>Report_table_graphs!Q149</f>
        <v>285</v>
      </c>
      <c r="R149" s="214">
        <f>Report_table_graphs!R149</f>
        <v>6.5488714360673744E-2</v>
      </c>
      <c r="S149" s="214">
        <f>Report_table_graphs!S149</f>
        <v>-4.7824516086850802E-2</v>
      </c>
      <c r="T149" s="117">
        <v>0</v>
      </c>
      <c r="U149" s="117">
        <v>0</v>
      </c>
      <c r="V149" s="117">
        <v>0</v>
      </c>
      <c r="W149" s="214">
        <f>Report_table_graphs!W149</f>
        <v>2.3437645957862227E-2</v>
      </c>
      <c r="X149" s="118" t="str">
        <f t="shared" si="22"/>
        <v xml:space="preserve">  - [285, 0.065, -0.048, 0, 0, 0, 0.023]</v>
      </c>
      <c r="Y149" s="236">
        <f t="shared" si="23"/>
        <v>105</v>
      </c>
      <c r="Z149" t="str">
        <f>"  - ["&amp;Y149&amp;", "&amp;FIXED(-R149,3,1)&amp;", "&amp;FIXED(-S149,3,1)&amp;", 0, 0, 0"&amp;", "&amp;FIXED(W149,3,1)&amp;"]"</f>
        <v xml:space="preserve">  - [105, -0.065, 0.048, 0, 0, 0, 0.023]</v>
      </c>
    </row>
    <row r="150" spans="1:26" x14ac:dyDescent="0.25">
      <c r="A150" s="97">
        <f>'longitudinal-acma'!A138</f>
        <v>300</v>
      </c>
      <c r="B150" s="116">
        <f>'longitudinal-acma'!B138</f>
        <v>0.13634291843768695</v>
      </c>
      <c r="C150" s="116">
        <f>'longitudinal-acma'!C138</f>
        <v>-0.8436213849160844</v>
      </c>
      <c r="D150" s="117">
        <v>0</v>
      </c>
      <c r="E150" s="117">
        <v>0</v>
      </c>
      <c r="F150" s="117">
        <v>0</v>
      </c>
      <c r="G150" s="116">
        <f>'longitudinal-acma'!G138</f>
        <v>0.14708732001215077</v>
      </c>
      <c r="H150" s="118" t="str">
        <f t="shared" si="20"/>
        <v xml:space="preserve">  - [300, 0.136, -0.844, 0, 0, 0, 0.147]</v>
      </c>
      <c r="I150" s="98">
        <f>'longitudinal-acma'!I150</f>
        <v>300</v>
      </c>
      <c r="J150" s="116">
        <f>'longitudinal-acma'!J150</f>
        <v>6.2811441129175277E-2</v>
      </c>
      <c r="K150" s="116">
        <f>'longitudinal-acma'!K150</f>
        <v>-1.1466672095863408</v>
      </c>
      <c r="L150" s="117">
        <v>0</v>
      </c>
      <c r="M150" s="117">
        <v>0</v>
      </c>
      <c r="N150" s="117">
        <v>0</v>
      </c>
      <c r="O150" s="116">
        <f>'longitudinal-acma'!O150</f>
        <v>9.9603493512147923E-2</v>
      </c>
      <c r="P150" s="118" t="str">
        <f t="shared" si="21"/>
        <v xml:space="preserve">  - [300, 0.063, -1.147, 0, 0, 0, 0.100]</v>
      </c>
      <c r="Q150" s="98">
        <f>Report_table_graphs!Q150</f>
        <v>300</v>
      </c>
      <c r="R150" s="214">
        <f>Report_table_graphs!R150</f>
        <v>0.34163155594591044</v>
      </c>
      <c r="S150" s="214">
        <f>Report_table_graphs!S150</f>
        <v>-0.17057271593644452</v>
      </c>
      <c r="T150" s="117">
        <v>0</v>
      </c>
      <c r="U150" s="117">
        <v>0</v>
      </c>
      <c r="V150" s="117">
        <v>0</v>
      </c>
      <c r="W150" s="214">
        <f>Report_table_graphs!W150</f>
        <v>6.5381504464654225E-2</v>
      </c>
      <c r="X150" s="118" t="str">
        <f t="shared" si="22"/>
        <v xml:space="preserve">  - [300, 0.342, -0.171, 0, 0, 0, 0.065]</v>
      </c>
      <c r="Y150" s="236">
        <f t="shared" si="23"/>
        <v>120</v>
      </c>
      <c r="Z150" t="str">
        <f>"  - ["&amp;Y150&amp;", "&amp;FIXED(-R150,3,1)&amp;", "&amp;FIXED(-S150,3,1)&amp;", 0, 0, 0"&amp;", "&amp;FIXED(W150,3,1)&amp;"]"</f>
        <v xml:space="preserve">  - [120, -0.342, 0.171, 0, 0, 0, 0.065]</v>
      </c>
    </row>
    <row r="151" spans="1:26" x14ac:dyDescent="0.25">
      <c r="A151" s="97">
        <f>'longitudinal-acma'!A139</f>
        <v>315</v>
      </c>
      <c r="B151" s="116">
        <f>'longitudinal-acma'!B139</f>
        <v>0.42539593211934051</v>
      </c>
      <c r="C151" s="116">
        <f>'longitudinal-acma'!C139</f>
        <v>-0.66767570648565144</v>
      </c>
      <c r="D151" s="117">
        <v>0</v>
      </c>
      <c r="E151" s="117">
        <v>0</v>
      </c>
      <c r="F151" s="117">
        <v>0</v>
      </c>
      <c r="G151" s="116">
        <f>'longitudinal-acma'!G139</f>
        <v>0.17068985599201345</v>
      </c>
      <c r="H151" s="118" t="str">
        <f t="shared" si="20"/>
        <v xml:space="preserve">  - [315, 0.425, -0.668, 0, 0, 0, 0.171]</v>
      </c>
      <c r="I151" s="98">
        <f>'longitudinal-acma'!I151</f>
        <v>315</v>
      </c>
      <c r="J151" s="116">
        <f>'longitudinal-acma'!J151</f>
        <v>0.51957489153842373</v>
      </c>
      <c r="K151" s="116">
        <f>'longitudinal-acma'!K151</f>
        <v>-0.83658486032283685</v>
      </c>
      <c r="L151" s="117">
        <v>0</v>
      </c>
      <c r="M151" s="117">
        <v>0</v>
      </c>
      <c r="N151" s="117">
        <v>0</v>
      </c>
      <c r="O151" s="116">
        <f>'longitudinal-acma'!O151</f>
        <v>9.7261938745945326E-2</v>
      </c>
      <c r="P151" s="118" t="str">
        <f t="shared" si="21"/>
        <v xml:space="preserve">  - [315, 0.520, -0.837, 0, 0, 0, 0.097]</v>
      </c>
      <c r="Q151" s="98">
        <f>Report_table_graphs!Q151</f>
        <v>315</v>
      </c>
      <c r="R151" s="214">
        <f>Report_table_graphs!R151</f>
        <v>0.55079486711670622</v>
      </c>
      <c r="S151" s="214">
        <f>Report_table_graphs!S151</f>
        <v>-0.16313402763738669</v>
      </c>
      <c r="T151" s="117">
        <v>0</v>
      </c>
      <c r="U151" s="117">
        <v>0</v>
      </c>
      <c r="V151" s="117">
        <v>0</v>
      </c>
      <c r="W151" s="214">
        <f>Report_table_graphs!W151</f>
        <v>7.6713723710255324E-2</v>
      </c>
      <c r="X151" s="118" t="str">
        <f t="shared" si="22"/>
        <v xml:space="preserve">  - [315, 0.551, -0.163, 0, 0, 0, 0.077]</v>
      </c>
      <c r="Y151" s="236">
        <f t="shared" si="23"/>
        <v>135</v>
      </c>
      <c r="Z151" t="str">
        <f>"  - ["&amp;Y151&amp;", "&amp;FIXED(-R151,3,1)&amp;", "&amp;FIXED(-S151,3,1)&amp;", 0, 0, 0"&amp;", "&amp;FIXED(W151,3,1)&amp;"]"</f>
        <v xml:space="preserve">  - [135, -0.551, 0.163, 0, 0, 0, 0.077]</v>
      </c>
    </row>
    <row r="152" spans="1:26" x14ac:dyDescent="0.25">
      <c r="A152" s="97">
        <f>'longitudinal-acma'!A140</f>
        <v>330</v>
      </c>
      <c r="B152" s="116">
        <f>'longitudinal-acma'!B140</f>
        <v>0.69052468794955235</v>
      </c>
      <c r="C152" s="116">
        <f>'longitudinal-acma'!C140</f>
        <v>-0.42449411085101391</v>
      </c>
      <c r="D152" s="117">
        <v>0</v>
      </c>
      <c r="E152" s="117">
        <v>0</v>
      </c>
      <c r="F152" s="117">
        <v>0</v>
      </c>
      <c r="G152" s="116">
        <f>'longitudinal-acma'!G140</f>
        <v>9.5979006885149681E-2</v>
      </c>
      <c r="H152" s="118" t="str">
        <f t="shared" si="20"/>
        <v xml:space="preserve">  - [330, 0.691, -0.424, 0, 0, 0, 0.096]</v>
      </c>
      <c r="I152" s="98">
        <f>'longitudinal-acma'!I152</f>
        <v>330</v>
      </c>
      <c r="J152" s="116">
        <f>'longitudinal-acma'!J152</f>
        <v>0.67825458776148073</v>
      </c>
      <c r="K152" s="116">
        <f>'longitudinal-acma'!K152</f>
        <v>-0.51141300739667939</v>
      </c>
      <c r="L152" s="117">
        <v>0</v>
      </c>
      <c r="M152" s="117">
        <v>0</v>
      </c>
      <c r="N152" s="117">
        <v>0</v>
      </c>
      <c r="O152" s="116">
        <f>'longitudinal-acma'!O152</f>
        <v>7.594344203160279E-2</v>
      </c>
      <c r="P152" s="118" t="str">
        <f t="shared" si="21"/>
        <v xml:space="preserve">  - [330, 0.678, -0.511, 0, 0, 0, 0.076]</v>
      </c>
      <c r="Q152" s="98">
        <f>Report_table_graphs!Q152</f>
        <v>330</v>
      </c>
      <c r="R152" s="214">
        <f>Report_table_graphs!R152</f>
        <v>0.63023220927168189</v>
      </c>
      <c r="S152" s="214">
        <f>Report_table_graphs!S152</f>
        <v>-0.18450250653482358</v>
      </c>
      <c r="T152" s="117">
        <v>0</v>
      </c>
      <c r="U152" s="117">
        <v>0</v>
      </c>
      <c r="V152" s="117">
        <v>0</v>
      </c>
      <c r="W152" s="214">
        <f>Report_table_graphs!W152</f>
        <v>6.3211069751552745E-2</v>
      </c>
      <c r="X152" s="118" t="str">
        <f t="shared" si="22"/>
        <v xml:space="preserve">  - [330, 0.630, -0.185, 0, 0, 0, 0.063]</v>
      </c>
      <c r="Y152" s="236">
        <f t="shared" si="23"/>
        <v>150</v>
      </c>
      <c r="Z152" t="str">
        <f>"  - ["&amp;Y152&amp;", "&amp;FIXED(-R152,3,1)&amp;", "&amp;FIXED(-S152,3,1)&amp;", 0, 0, 0"&amp;", "&amp;FIXED(W152,3,1)&amp;"]"</f>
        <v xml:space="preserve">  - [150, -0.630, 0.185, 0, 0, 0, 0.063]</v>
      </c>
    </row>
    <row r="153" spans="1:26" x14ac:dyDescent="0.25">
      <c r="A153" s="97">
        <f>'longitudinal-acma'!A141</f>
        <v>345</v>
      </c>
      <c r="B153" s="116">
        <f>'longitudinal-acma'!B141</f>
        <v>1.0500471082219376</v>
      </c>
      <c r="C153" s="116">
        <f>'longitudinal-acma'!C141</f>
        <v>-0.18502223024011757</v>
      </c>
      <c r="D153" s="117">
        <v>0</v>
      </c>
      <c r="E153" s="117">
        <v>0</v>
      </c>
      <c r="F153" s="117">
        <v>0</v>
      </c>
      <c r="G153" s="116">
        <f>'longitudinal-acma'!G141</f>
        <v>4.2261221483028841E-2</v>
      </c>
      <c r="H153" s="118" t="str">
        <f t="shared" si="20"/>
        <v xml:space="preserve">  - [345, 1.050, -0.185, 0, 0, 0, 0.042]</v>
      </c>
      <c r="I153" s="98">
        <f>'longitudinal-acma'!I153</f>
        <v>345</v>
      </c>
      <c r="J153" s="116">
        <f>'longitudinal-acma'!J153</f>
        <v>0.79822490036749738</v>
      </c>
      <c r="K153" s="116">
        <f>'longitudinal-acma'!K153</f>
        <v>-0.18832650344808199</v>
      </c>
      <c r="L153" s="117">
        <v>0</v>
      </c>
      <c r="M153" s="117">
        <v>0</v>
      </c>
      <c r="N153" s="117">
        <v>0</v>
      </c>
      <c r="O153" s="116">
        <f>'longitudinal-acma'!O153</f>
        <v>2.2830764483111051E-2</v>
      </c>
      <c r="P153" s="118" t="str">
        <f t="shared" si="21"/>
        <v xml:space="preserve">  - [345, 0.798, -0.188, 0, 0, 0, 0.023]</v>
      </c>
      <c r="Q153" s="98">
        <f>Report_table_graphs!Q153</f>
        <v>345</v>
      </c>
      <c r="R153" s="214">
        <f>Report_table_graphs!R153</f>
        <v>0.56909698856326318</v>
      </c>
      <c r="S153" s="214">
        <f>Report_table_graphs!S153</f>
        <v>-0.1239075457961288</v>
      </c>
      <c r="T153" s="117">
        <v>0</v>
      </c>
      <c r="U153" s="117">
        <v>0</v>
      </c>
      <c r="V153" s="117">
        <v>0</v>
      </c>
      <c r="W153" s="214">
        <f>Report_table_graphs!W153</f>
        <v>5.7503634312775088E-2</v>
      </c>
      <c r="X153" s="118" t="str">
        <f t="shared" si="22"/>
        <v xml:space="preserve">  - [345, 0.569, -0.124, 0, 0, 0, 0.058]</v>
      </c>
      <c r="Y153" s="236">
        <f t="shared" si="23"/>
        <v>165</v>
      </c>
      <c r="Z153" t="str">
        <f>"  - ["&amp;Y153&amp;", "&amp;FIXED(-R153,3,1)&amp;", "&amp;FIXED(-S153,3,1)&amp;", 0, 0, 0"&amp;", "&amp;FIXED(W153,3,1)&amp;"]"</f>
        <v xml:space="preserve">  - [165, -0.569, 0.124, 0, 0, 0, 0.058]</v>
      </c>
    </row>
    <row r="154" spans="1:26" ht="15.75" thickBot="1" x14ac:dyDescent="0.3">
      <c r="A154" s="29">
        <v>360</v>
      </c>
      <c r="B154" s="39"/>
      <c r="C154" s="40"/>
      <c r="D154" s="40"/>
      <c r="E154" s="40"/>
      <c r="F154" s="40"/>
      <c r="G154" s="41"/>
      <c r="H154" s="28"/>
      <c r="I154" s="29"/>
      <c r="J154" s="39"/>
      <c r="K154" s="40"/>
      <c r="L154" s="40"/>
      <c r="M154" s="40"/>
      <c r="N154" s="40"/>
      <c r="O154" s="41"/>
      <c r="Q154" s="29"/>
      <c r="R154" s="36"/>
      <c r="S154" s="37"/>
      <c r="T154" s="37"/>
      <c r="U154" s="37"/>
      <c r="V154" s="37"/>
      <c r="W154" s="38"/>
    </row>
    <row r="156" spans="1:26" ht="15.75" customHeight="1" thickBot="1" x14ac:dyDescent="0.3">
      <c r="A156" s="221" t="s">
        <v>78</v>
      </c>
      <c r="B156" s="221"/>
      <c r="C156" s="221"/>
      <c r="D156" s="221"/>
      <c r="E156" s="221"/>
      <c r="F156" s="221"/>
      <c r="G156" s="221"/>
      <c r="H156" s="13"/>
      <c r="I156" s="221" t="s">
        <v>79</v>
      </c>
      <c r="J156" s="221"/>
      <c r="K156" s="221"/>
      <c r="L156" s="221"/>
      <c r="M156" s="221"/>
      <c r="N156" s="221"/>
      <c r="O156" s="221"/>
    </row>
    <row r="157" spans="1:26" x14ac:dyDescent="0.25">
      <c r="A157" s="14" t="s">
        <v>55</v>
      </c>
      <c r="B157" s="15"/>
      <c r="C157" s="15"/>
      <c r="D157" s="15"/>
      <c r="E157" s="15"/>
      <c r="F157" s="15"/>
      <c r="G157" s="15"/>
      <c r="H157" s="16"/>
      <c r="I157" s="14" t="s">
        <v>55</v>
      </c>
      <c r="J157" s="15">
        <f t="shared" ref="J157:O157" si="24">B157</f>
        <v>0</v>
      </c>
      <c r="K157" s="15">
        <f t="shared" si="24"/>
        <v>0</v>
      </c>
      <c r="L157" s="15">
        <f t="shared" si="24"/>
        <v>0</v>
      </c>
      <c r="M157" s="15">
        <f t="shared" si="24"/>
        <v>0</v>
      </c>
      <c r="N157" s="15">
        <f t="shared" si="24"/>
        <v>0</v>
      </c>
      <c r="O157" s="15">
        <f t="shared" si="24"/>
        <v>0</v>
      </c>
    </row>
    <row r="158" spans="1:26" x14ac:dyDescent="0.25">
      <c r="A158" s="14"/>
      <c r="B158" s="213" t="s">
        <v>57</v>
      </c>
      <c r="C158" s="213" t="s">
        <v>57</v>
      </c>
      <c r="D158" s="213" t="s">
        <v>57</v>
      </c>
      <c r="E158" s="213" t="s">
        <v>58</v>
      </c>
      <c r="F158" s="213" t="s">
        <v>58</v>
      </c>
      <c r="G158" s="213" t="s">
        <v>58</v>
      </c>
      <c r="H158" s="19"/>
      <c r="I158" s="14"/>
      <c r="J158" s="213" t="s">
        <v>57</v>
      </c>
      <c r="K158" s="213" t="s">
        <v>57</v>
      </c>
      <c r="L158" s="213" t="s">
        <v>57</v>
      </c>
      <c r="M158" s="213" t="s">
        <v>58</v>
      </c>
      <c r="N158" s="213" t="s">
        <v>58</v>
      </c>
      <c r="O158" s="213" t="s">
        <v>58</v>
      </c>
    </row>
    <row r="159" spans="1:26" ht="27" x14ac:dyDescent="0.25">
      <c r="A159" s="93" t="s">
        <v>59</v>
      </c>
      <c r="B159" s="90" t="s">
        <v>60</v>
      </c>
      <c r="C159" s="90" t="s">
        <v>61</v>
      </c>
      <c r="D159" s="90" t="s">
        <v>62</v>
      </c>
      <c r="E159" s="90" t="s">
        <v>63</v>
      </c>
      <c r="F159" s="90" t="s">
        <v>64</v>
      </c>
      <c r="G159" s="90" t="s">
        <v>65</v>
      </c>
      <c r="H159" s="13"/>
      <c r="I159" s="93" t="s">
        <v>59</v>
      </c>
      <c r="J159" s="90" t="s">
        <v>60</v>
      </c>
      <c r="K159" s="90" t="s">
        <v>61</v>
      </c>
      <c r="L159" s="90" t="s">
        <v>62</v>
      </c>
      <c r="M159" s="90" t="s">
        <v>63</v>
      </c>
      <c r="N159" s="90" t="s">
        <v>64</v>
      </c>
      <c r="O159" s="90" t="s">
        <v>65</v>
      </c>
    </row>
    <row r="160" spans="1:26" ht="33.75" x14ac:dyDescent="0.25">
      <c r="A160" s="93"/>
      <c r="B160" s="94" t="str">
        <f t="shared" ref="B160:G160" si="25">CONCATENATE($A$156,"-",B159)</f>
        <v>openDomain-long-full-FST1-Cx [-]</v>
      </c>
      <c r="C160" s="94" t="str">
        <f t="shared" si="25"/>
        <v>openDomain-long-full-FST1-Cy [-]</v>
      </c>
      <c r="D160" s="94" t="str">
        <f t="shared" si="25"/>
        <v>openDomain-long-full-FST1-Cz [-]</v>
      </c>
      <c r="E160" s="94" t="str">
        <f t="shared" si="25"/>
        <v>openDomain-long-full-FST1-Cnx [-]</v>
      </c>
      <c r="F160" s="94" t="str">
        <f t="shared" si="25"/>
        <v>openDomain-long-full-FST1-Cny [-]</v>
      </c>
      <c r="G160" s="94" t="str">
        <f t="shared" si="25"/>
        <v>openDomain-long-full-FST1-Cnz [-]</v>
      </c>
      <c r="H160" s="24"/>
      <c r="I160" s="93"/>
      <c r="J160" s="94" t="str">
        <f t="shared" ref="J160:O160" si="26">CONCATENATE($I$156,"-",J159)</f>
        <v>openDomain-long-full-FST2-Cx [-]</v>
      </c>
      <c r="K160" s="94" t="str">
        <f t="shared" si="26"/>
        <v>openDomain-long-full-FST2-Cy [-]</v>
      </c>
      <c r="L160" s="94" t="str">
        <f t="shared" si="26"/>
        <v>openDomain-long-full-FST2-Cz [-]</v>
      </c>
      <c r="M160" s="94" t="str">
        <f t="shared" si="26"/>
        <v>openDomain-long-full-FST2-Cnx [-]</v>
      </c>
      <c r="N160" s="94" t="str">
        <f t="shared" si="26"/>
        <v>openDomain-long-full-FST2-Cny [-]</v>
      </c>
      <c r="O160" s="94" t="str">
        <f t="shared" si="26"/>
        <v>openDomain-long-full-FST2-Cnz [-]</v>
      </c>
    </row>
    <row r="161" spans="1:16" x14ac:dyDescent="0.25">
      <c r="A161" s="97">
        <f>'longitudinal-acma'!A173</f>
        <v>0</v>
      </c>
      <c r="B161" s="116">
        <f>'longitudinal-acma'!B173</f>
        <v>0.85256212204150716</v>
      </c>
      <c r="C161" s="116">
        <f>'longitudinal-acma'!C173</f>
        <v>2.589228798891623E-2</v>
      </c>
      <c r="D161" s="117">
        <v>0</v>
      </c>
      <c r="E161" s="117">
        <v>0</v>
      </c>
      <c r="F161" s="117">
        <v>0</v>
      </c>
      <c r="G161" s="116">
        <f>'longitudinal-acma'!G173</f>
        <v>5.0322719776563817E-3</v>
      </c>
      <c r="H161" s="118" t="str">
        <f t="shared" ref="H161:H184" si="27">"  - ["&amp;A161&amp;", "&amp;FIXED(B161,3,1)&amp;", "&amp;FIXED(C161,3,1)&amp;", 0, 0, 0"&amp;", "&amp;FIXED(G161,3,1)&amp;"]"</f>
        <v xml:space="preserve">  - [0, 0.853, 0.026, 0, 0, 0, 0.005]</v>
      </c>
      <c r="I161" s="97">
        <f>'longitudinal-acma'!I161</f>
        <v>0</v>
      </c>
      <c r="J161" s="116">
        <f>'longitudinal-acma'!J161</f>
        <v>0.68524292103502238</v>
      </c>
      <c r="K161" s="116">
        <f>'longitudinal-acma'!K161</f>
        <v>-1.7210341662862578E-2</v>
      </c>
      <c r="L161" s="117">
        <v>0</v>
      </c>
      <c r="M161" s="117">
        <v>0</v>
      </c>
      <c r="N161" s="117">
        <v>0</v>
      </c>
      <c r="O161" s="116">
        <f>'longitudinal-acma'!O161</f>
        <v>2.2834735724865918E-3</v>
      </c>
      <c r="P161" s="118" t="str">
        <f>"  - ["&amp;I161&amp;", "&amp;FIXED(J161,3,1)&amp;", "&amp;FIXED(K161,3,1)&amp;", 0, 0, 0"&amp;", "&amp;FIXED(O161,3,1)&amp;"]"</f>
        <v xml:space="preserve">  - [0, 0.685, -0.017, 0, 0, 0, 0.002]</v>
      </c>
    </row>
    <row r="162" spans="1:16" x14ac:dyDescent="0.25">
      <c r="A162" s="97">
        <f>'longitudinal-acma'!A174</f>
        <v>15</v>
      </c>
      <c r="B162" s="116">
        <f>'longitudinal-acma'!B174</f>
        <v>0.84100218399000648</v>
      </c>
      <c r="C162" s="116">
        <f>'longitudinal-acma'!C174</f>
        <v>0.19951348812831943</v>
      </c>
      <c r="D162" s="117">
        <v>0</v>
      </c>
      <c r="E162" s="117">
        <v>0</v>
      </c>
      <c r="F162" s="117">
        <v>0</v>
      </c>
      <c r="G162" s="116">
        <f>'longitudinal-acma'!G174</f>
        <v>-4.0572215165164356E-2</v>
      </c>
      <c r="H162" s="118" t="str">
        <f t="shared" si="27"/>
        <v xml:space="preserve">  - [15, 0.841, 0.200, 0, 0, 0, -0.041]</v>
      </c>
      <c r="I162" s="97">
        <f>'longitudinal-acma'!I162</f>
        <v>15</v>
      </c>
      <c r="J162" s="116">
        <f>'longitudinal-acma'!J162</f>
        <v>0.9765561207996899</v>
      </c>
      <c r="K162" s="116">
        <f>'longitudinal-acma'!K162</f>
        <v>0.14801532201130435</v>
      </c>
      <c r="L162" s="117">
        <v>0</v>
      </c>
      <c r="M162" s="117">
        <v>0</v>
      </c>
      <c r="N162" s="117">
        <v>0</v>
      </c>
      <c r="O162" s="116">
        <f>'longitudinal-acma'!O162</f>
        <v>-5.2342638958659182E-3</v>
      </c>
      <c r="P162" s="118" t="str">
        <f t="shared" ref="P162:P184" si="28">"  - ["&amp;I162&amp;", "&amp;FIXED(J162,3,1)&amp;", "&amp;FIXED(K162,3,1)&amp;", 0, 0, 0"&amp;", "&amp;FIXED(O162,3,1)&amp;"]"</f>
        <v xml:space="preserve">  - [15, 0.977, 0.148, 0, 0, 0, -0.005]</v>
      </c>
    </row>
    <row r="163" spans="1:16" x14ac:dyDescent="0.25">
      <c r="A163" s="97">
        <f>'longitudinal-acma'!A175</f>
        <v>30</v>
      </c>
      <c r="B163" s="116">
        <f>'longitudinal-acma'!B175</f>
        <v>0.52726675976623238</v>
      </c>
      <c r="C163" s="116">
        <f>'longitudinal-acma'!C175</f>
        <v>0.49055633150603062</v>
      </c>
      <c r="D163" s="117">
        <v>0</v>
      </c>
      <c r="E163" s="117">
        <v>0</v>
      </c>
      <c r="F163" s="117">
        <v>0</v>
      </c>
      <c r="G163" s="116">
        <f>'longitudinal-acma'!G175</f>
        <v>-7.1063201113708938E-2</v>
      </c>
      <c r="H163" s="118" t="str">
        <f t="shared" si="27"/>
        <v xml:space="preserve">  - [30, 0.527, 0.491, 0, 0, 0, -0.071]</v>
      </c>
      <c r="I163" s="97">
        <f>'longitudinal-acma'!I163</f>
        <v>30</v>
      </c>
      <c r="J163" s="116">
        <f>'longitudinal-acma'!J163</f>
        <v>0.99136146417060222</v>
      </c>
      <c r="K163" s="116">
        <f>'longitudinal-acma'!K163</f>
        <v>0.4243342702683629</v>
      </c>
      <c r="L163" s="117">
        <v>0</v>
      </c>
      <c r="M163" s="117">
        <v>0</v>
      </c>
      <c r="N163" s="117">
        <v>0</v>
      </c>
      <c r="O163" s="116">
        <f>'longitudinal-acma'!O163</f>
        <v>-3.6055175126295705E-2</v>
      </c>
      <c r="P163" s="118" t="str">
        <f t="shared" si="28"/>
        <v xml:space="preserve">  - [30, 0.991, 0.424, 0, 0, 0, -0.036]</v>
      </c>
    </row>
    <row r="164" spans="1:16" x14ac:dyDescent="0.25">
      <c r="A164" s="97">
        <f>'longitudinal-acma'!A176</f>
        <v>45</v>
      </c>
      <c r="B164" s="116">
        <f>'longitudinal-acma'!B176</f>
        <v>0.30670955660230176</v>
      </c>
      <c r="C164" s="116">
        <f>'longitudinal-acma'!C176</f>
        <v>0.77551060314674058</v>
      </c>
      <c r="D164" s="117">
        <v>0</v>
      </c>
      <c r="E164" s="117">
        <v>0</v>
      </c>
      <c r="F164" s="117">
        <v>0</v>
      </c>
      <c r="G164" s="116">
        <f>'longitudinal-acma'!G176</f>
        <v>-0.13668257532519471</v>
      </c>
      <c r="H164" s="118" t="str">
        <f t="shared" si="27"/>
        <v xml:space="preserve">  - [45, 0.307, 0.776, 0, 0, 0, -0.137]</v>
      </c>
      <c r="I164" s="97">
        <f>'longitudinal-acma'!I164</f>
        <v>45</v>
      </c>
      <c r="J164" s="116">
        <f>'longitudinal-acma'!J164</f>
        <v>0.75964286287204252</v>
      </c>
      <c r="K164" s="116">
        <f>'longitudinal-acma'!K164</f>
        <v>0.75669328451209739</v>
      </c>
      <c r="L164" s="117">
        <v>0</v>
      </c>
      <c r="M164" s="117">
        <v>0</v>
      </c>
      <c r="N164" s="117">
        <v>0</v>
      </c>
      <c r="O164" s="116">
        <f>'longitudinal-acma'!O164</f>
        <v>-5.7180109481710928E-2</v>
      </c>
      <c r="P164" s="118" t="str">
        <f t="shared" si="28"/>
        <v xml:space="preserve">  - [45, 0.760, 0.757, 0, 0, 0, -0.057]</v>
      </c>
    </row>
    <row r="165" spans="1:16" x14ac:dyDescent="0.25">
      <c r="A165" s="97">
        <f>'longitudinal-acma'!A177</f>
        <v>60</v>
      </c>
      <c r="B165" s="116">
        <f>'longitudinal-acma'!B177</f>
        <v>6.745804657120634E-2</v>
      </c>
      <c r="C165" s="116">
        <f>'longitudinal-acma'!C177</f>
        <v>1.0497206419402738</v>
      </c>
      <c r="D165" s="117">
        <v>0</v>
      </c>
      <c r="E165" s="117">
        <v>0</v>
      </c>
      <c r="F165" s="117">
        <v>0</v>
      </c>
      <c r="G165" s="116">
        <f>'longitudinal-acma'!G177</f>
        <v>-0.13896791488502067</v>
      </c>
      <c r="H165" s="118" t="str">
        <f t="shared" si="27"/>
        <v xml:space="preserve">  - [60, 0.067, 1.050, 0, 0, 0, -0.139]</v>
      </c>
      <c r="I165" s="97">
        <f>'longitudinal-acma'!I165</f>
        <v>60</v>
      </c>
      <c r="J165" s="116">
        <f>'longitudinal-acma'!J165</f>
        <v>0.10017229202624714</v>
      </c>
      <c r="K165" s="116">
        <f>'longitudinal-acma'!K165</f>
        <v>0.98744268483071918</v>
      </c>
      <c r="L165" s="117">
        <v>0</v>
      </c>
      <c r="M165" s="117">
        <v>0</v>
      </c>
      <c r="N165" s="117">
        <v>0</v>
      </c>
      <c r="O165" s="116">
        <f>'longitudinal-acma'!O165</f>
        <v>-4.9807625025628299E-2</v>
      </c>
      <c r="P165" s="118" t="str">
        <f t="shared" si="28"/>
        <v xml:space="preserve">  - [60, 0.100, 0.987, 0, 0, 0, -0.050]</v>
      </c>
    </row>
    <row r="166" spans="1:16" x14ac:dyDescent="0.25">
      <c r="A166" s="97">
        <f>'longitudinal-acma'!A178</f>
        <v>75</v>
      </c>
      <c r="B166" s="116">
        <f>'longitudinal-acma'!B178</f>
        <v>0.10426243460531529</v>
      </c>
      <c r="C166" s="116">
        <f>'longitudinal-acma'!C178</f>
        <v>1.0775590275632998</v>
      </c>
      <c r="D166" s="117">
        <v>0</v>
      </c>
      <c r="E166" s="117">
        <v>0</v>
      </c>
      <c r="F166" s="117">
        <v>0</v>
      </c>
      <c r="G166" s="116">
        <f>'longitudinal-acma'!G178</f>
        <v>-3.8012020917284069E-2</v>
      </c>
      <c r="H166" s="118" t="str">
        <f t="shared" si="27"/>
        <v xml:space="preserve">  - [75, 0.104, 1.078, 0, 0, 0, -0.038]</v>
      </c>
      <c r="I166" s="97">
        <f>'longitudinal-acma'!I166</f>
        <v>75</v>
      </c>
      <c r="J166" s="116">
        <f>'longitudinal-acma'!J166</f>
        <v>8.4950666591754306E-2</v>
      </c>
      <c r="K166" s="116">
        <f>'longitudinal-acma'!K166</f>
        <v>1.0671493307811943</v>
      </c>
      <c r="L166" s="117">
        <v>0</v>
      </c>
      <c r="M166" s="117">
        <v>0</v>
      </c>
      <c r="N166" s="117">
        <v>0</v>
      </c>
      <c r="O166" s="116">
        <f>'longitudinal-acma'!O166</f>
        <v>-2.8171753061456091E-2</v>
      </c>
      <c r="P166" s="118" t="str">
        <f t="shared" si="28"/>
        <v xml:space="preserve">  - [75, 0.085, 1.067, 0, 0, 0, -0.028]</v>
      </c>
    </row>
    <row r="167" spans="1:16" x14ac:dyDescent="0.25">
      <c r="A167" s="97">
        <f>'longitudinal-acma'!A179</f>
        <v>90</v>
      </c>
      <c r="B167" s="116">
        <f>'longitudinal-acma'!B179</f>
        <v>-0.25396219991139113</v>
      </c>
      <c r="C167" s="116">
        <f>'longitudinal-acma'!C179</f>
        <v>0.96858507075307898</v>
      </c>
      <c r="D167" s="117">
        <v>0</v>
      </c>
      <c r="E167" s="117">
        <v>0</v>
      </c>
      <c r="F167" s="117">
        <v>0</v>
      </c>
      <c r="G167" s="116">
        <f>'longitudinal-acma'!G179</f>
        <v>-1.6793237952578449E-2</v>
      </c>
      <c r="H167" s="118" t="str">
        <f t="shared" si="27"/>
        <v xml:space="preserve">  - [90, -0.254, 0.969, 0, 0, 0, -0.017]</v>
      </c>
      <c r="I167" s="97">
        <f>'longitudinal-acma'!I167</f>
        <v>90</v>
      </c>
      <c r="J167" s="116">
        <f>'longitudinal-acma'!J167</f>
        <v>-0.37631445669657176</v>
      </c>
      <c r="K167" s="116">
        <f>'longitudinal-acma'!K167</f>
        <v>0.96153276858171943</v>
      </c>
      <c r="L167" s="117">
        <v>0</v>
      </c>
      <c r="M167" s="117">
        <v>0</v>
      </c>
      <c r="N167" s="117">
        <v>0</v>
      </c>
      <c r="O167" s="116">
        <f>'longitudinal-acma'!O167</f>
        <v>2.5931686025490361E-3</v>
      </c>
      <c r="P167" s="118" t="str">
        <f t="shared" si="28"/>
        <v xml:space="preserve">  - [90, -0.376, 0.962, 0, 0, 0, 0.003]</v>
      </c>
    </row>
    <row r="168" spans="1:16" x14ac:dyDescent="0.25">
      <c r="A168" s="97">
        <f>'longitudinal-acma'!A180</f>
        <v>105</v>
      </c>
      <c r="B168" s="116">
        <f>'longitudinal-acma'!B180</f>
        <v>-9.9906911376018814E-2</v>
      </c>
      <c r="C168" s="116">
        <f>'longitudinal-acma'!C180</f>
        <v>0.84116460055678943</v>
      </c>
      <c r="D168" s="117">
        <v>0</v>
      </c>
      <c r="E168" s="117">
        <v>0</v>
      </c>
      <c r="F168" s="117">
        <v>0</v>
      </c>
      <c r="G168" s="116">
        <f>'longitudinal-acma'!G180</f>
        <v>3.1540659404316579E-2</v>
      </c>
      <c r="H168" s="118" t="str">
        <f t="shared" si="27"/>
        <v xml:space="preserve">  - [105, -0.100, 0.841, 0, 0, 0, 0.032]</v>
      </c>
      <c r="I168" s="97">
        <f>'longitudinal-acma'!I168</f>
        <v>105</v>
      </c>
      <c r="J168" s="116">
        <f>'longitudinal-acma'!J168</f>
        <v>-0.32327744036055994</v>
      </c>
      <c r="K168" s="116">
        <f>'longitudinal-acma'!K168</f>
        <v>0.84476016644166008</v>
      </c>
      <c r="L168" s="117">
        <v>0</v>
      </c>
      <c r="M168" s="117">
        <v>0</v>
      </c>
      <c r="N168" s="117">
        <v>0</v>
      </c>
      <c r="O168" s="116">
        <f>'longitudinal-acma'!O168</f>
        <v>2.589132040345235E-2</v>
      </c>
      <c r="P168" s="118" t="str">
        <f t="shared" si="28"/>
        <v xml:space="preserve">  - [105, -0.323, 0.845, 0, 0, 0, 0.026]</v>
      </c>
    </row>
    <row r="169" spans="1:16" x14ac:dyDescent="0.25">
      <c r="A169" s="97">
        <f>'longitudinal-acma'!A181</f>
        <v>120</v>
      </c>
      <c r="B169" s="116">
        <f>'longitudinal-acma'!B181</f>
        <v>-6.3027348882921164E-2</v>
      </c>
      <c r="C169" s="116">
        <f>'longitudinal-acma'!C181</f>
        <v>0.7531741431213147</v>
      </c>
      <c r="D169" s="117">
        <v>0</v>
      </c>
      <c r="E169" s="117">
        <v>0</v>
      </c>
      <c r="F169" s="117">
        <v>0</v>
      </c>
      <c r="G169" s="116">
        <f>'longitudinal-acma'!G181</f>
        <v>4.7497785945811534E-2</v>
      </c>
      <c r="H169" s="118" t="str">
        <f t="shared" si="27"/>
        <v xml:space="preserve">  - [120, -0.063, 0.753, 0, 0, 0, 0.047]</v>
      </c>
      <c r="I169" s="97">
        <f>'longitudinal-acma'!I169</f>
        <v>120</v>
      </c>
      <c r="J169" s="116">
        <f>'longitudinal-acma'!J169</f>
        <v>-0.11230277052360291</v>
      </c>
      <c r="K169" s="116">
        <f>'longitudinal-acma'!K169</f>
        <v>0.78442119314073344</v>
      </c>
      <c r="L169" s="117">
        <v>0</v>
      </c>
      <c r="M169" s="117">
        <v>0</v>
      </c>
      <c r="N169" s="117">
        <v>0</v>
      </c>
      <c r="O169" s="116">
        <f>'longitudinal-acma'!O169</f>
        <v>3.0582506863248662E-2</v>
      </c>
      <c r="P169" s="118" t="str">
        <f t="shared" si="28"/>
        <v xml:space="preserve">  - [120, -0.112, 0.784, 0, 0, 0, 0.031]</v>
      </c>
    </row>
    <row r="170" spans="1:16" x14ac:dyDescent="0.25">
      <c r="A170" s="97">
        <f>'longitudinal-acma'!A182</f>
        <v>135</v>
      </c>
      <c r="B170" s="116">
        <f>'longitudinal-acma'!B182</f>
        <v>-0.20980507322716149</v>
      </c>
      <c r="C170" s="116">
        <f>'longitudinal-acma'!C182</f>
        <v>0.52444167007207754</v>
      </c>
      <c r="D170" s="117">
        <v>0</v>
      </c>
      <c r="E170" s="117">
        <v>0</v>
      </c>
      <c r="F170" s="117">
        <v>0</v>
      </c>
      <c r="G170" s="116">
        <f>'longitudinal-acma'!G182</f>
        <v>3.4363494783123491E-2</v>
      </c>
      <c r="H170" s="118" t="str">
        <f t="shared" si="27"/>
        <v xml:space="preserve">  - [135, -0.210, 0.524, 0, 0, 0, 0.034]</v>
      </c>
      <c r="I170" s="97">
        <f>'longitudinal-acma'!I170</f>
        <v>135</v>
      </c>
      <c r="J170" s="116">
        <f>'longitudinal-acma'!J170</f>
        <v>-0.65045899892214665</v>
      </c>
      <c r="K170" s="116">
        <f>'longitudinal-acma'!K170</f>
        <v>0.59439701242006981</v>
      </c>
      <c r="L170" s="117">
        <v>0</v>
      </c>
      <c r="M170" s="117">
        <v>0</v>
      </c>
      <c r="N170" s="117">
        <v>0</v>
      </c>
      <c r="O170" s="116">
        <f>'longitudinal-acma'!O170</f>
        <v>1.3850892717722161E-2</v>
      </c>
      <c r="P170" s="118" t="str">
        <f t="shared" si="28"/>
        <v xml:space="preserve">  - [135, -0.650, 0.594, 0, 0, 0, 0.014]</v>
      </c>
    </row>
    <row r="171" spans="1:16" x14ac:dyDescent="0.25">
      <c r="A171" s="97">
        <f>'longitudinal-acma'!A183</f>
        <v>150</v>
      </c>
      <c r="B171" s="116">
        <f>'longitudinal-acma'!B183</f>
        <v>-0.27164571033464746</v>
      </c>
      <c r="C171" s="116">
        <f>'longitudinal-acma'!C183</f>
        <v>0.27946779808301703</v>
      </c>
      <c r="D171" s="117">
        <v>0</v>
      </c>
      <c r="E171" s="117">
        <v>0</v>
      </c>
      <c r="F171" s="117">
        <v>0</v>
      </c>
      <c r="G171" s="116">
        <f>'longitudinal-acma'!G183</f>
        <v>1.4755386556479677E-2</v>
      </c>
      <c r="H171" s="118" t="str">
        <f t="shared" si="27"/>
        <v xml:space="preserve">  - [150, -0.272, 0.279, 0, 0, 0, 0.015]</v>
      </c>
      <c r="I171" s="97">
        <f>'longitudinal-acma'!I171</f>
        <v>150</v>
      </c>
      <c r="J171" s="116">
        <f>'longitudinal-acma'!J171</f>
        <v>-0.79370209221009902</v>
      </c>
      <c r="K171" s="116">
        <f>'longitudinal-acma'!K171</f>
        <v>0.36707258007721799</v>
      </c>
      <c r="L171" s="117">
        <v>0</v>
      </c>
      <c r="M171" s="117">
        <v>0</v>
      </c>
      <c r="N171" s="117">
        <v>0</v>
      </c>
      <c r="O171" s="116">
        <f>'longitudinal-acma'!O171</f>
        <v>9.9212807416202177E-3</v>
      </c>
      <c r="P171" s="118" t="str">
        <f t="shared" si="28"/>
        <v xml:space="preserve">  - [150, -0.794, 0.367, 0, 0, 0, 0.010]</v>
      </c>
    </row>
    <row r="172" spans="1:16" x14ac:dyDescent="0.25">
      <c r="A172" s="97">
        <f>'longitudinal-acma'!A184</f>
        <v>165</v>
      </c>
      <c r="B172" s="116">
        <f>'longitudinal-acma'!B184</f>
        <v>-0.28786979569125437</v>
      </c>
      <c r="C172" s="116">
        <f>'longitudinal-acma'!C184</f>
        <v>8.2951654361115582E-2</v>
      </c>
      <c r="D172" s="117">
        <v>0</v>
      </c>
      <c r="E172" s="117">
        <v>0</v>
      </c>
      <c r="F172" s="117">
        <v>0</v>
      </c>
      <c r="G172" s="116">
        <f>'longitudinal-acma'!G184</f>
        <v>1.7310369765636392E-3</v>
      </c>
      <c r="H172" s="118" t="str">
        <f t="shared" si="27"/>
        <v xml:space="preserve">  - [165, -0.288, 0.083, 0, 0, 0, 0.002]</v>
      </c>
      <c r="I172" s="97">
        <f>'longitudinal-acma'!I172</f>
        <v>165</v>
      </c>
      <c r="J172" s="116">
        <f>'longitudinal-acma'!J172</f>
        <v>-0.69880015923620165</v>
      </c>
      <c r="K172" s="116">
        <f>'longitudinal-acma'!K172</f>
        <v>0.16462118032883041</v>
      </c>
      <c r="L172" s="117">
        <v>0</v>
      </c>
      <c r="M172" s="117">
        <v>0</v>
      </c>
      <c r="N172" s="117">
        <v>0</v>
      </c>
      <c r="O172" s="116">
        <f>'longitudinal-acma'!O172</f>
        <v>-7.3680894010646287E-4</v>
      </c>
      <c r="P172" s="118" t="str">
        <f t="shared" si="28"/>
        <v xml:space="preserve">  - [165, -0.699, 0.165, 0, 0, 0, -0.001]</v>
      </c>
    </row>
    <row r="173" spans="1:16" x14ac:dyDescent="0.25">
      <c r="A173" s="97">
        <f>'longitudinal-acma'!A161</f>
        <v>180</v>
      </c>
      <c r="B173" s="116">
        <f>'longitudinal-acma'!B161</f>
        <v>-0.18881644237788692</v>
      </c>
      <c r="C173" s="116">
        <f>'longitudinal-acma'!C161</f>
        <v>-3.296052655395813E-3</v>
      </c>
      <c r="D173" s="117">
        <v>0</v>
      </c>
      <c r="E173" s="117">
        <v>0</v>
      </c>
      <c r="F173" s="117">
        <v>0</v>
      </c>
      <c r="G173" s="116">
        <f>'longitudinal-acma'!G161</f>
        <v>-6.7510627726506071E-4</v>
      </c>
      <c r="H173" s="118" t="str">
        <f t="shared" si="27"/>
        <v xml:space="preserve">  - [180, -0.189, -0.003, 0, 0, 0, -0.001]</v>
      </c>
      <c r="I173" s="97">
        <f>'longitudinal-acma'!I173</f>
        <v>180</v>
      </c>
      <c r="J173" s="116">
        <f>'longitudinal-acma'!J173</f>
        <v>-0.19773536460960695</v>
      </c>
      <c r="K173" s="116">
        <f>'longitudinal-acma'!K173</f>
        <v>1.3063311172093353E-2</v>
      </c>
      <c r="L173" s="117">
        <v>0</v>
      </c>
      <c r="M173" s="117">
        <v>0</v>
      </c>
      <c r="N173" s="117">
        <v>0</v>
      </c>
      <c r="O173" s="116">
        <f>'longitudinal-acma'!O173</f>
        <v>3.6361122448578319E-3</v>
      </c>
      <c r="P173" s="118" t="str">
        <f t="shared" si="28"/>
        <v xml:space="preserve">  - [180, -0.198, 0.013, 0, 0, 0, 0.004]</v>
      </c>
    </row>
    <row r="174" spans="1:16" x14ac:dyDescent="0.25">
      <c r="A174" s="97">
        <f>'longitudinal-acma'!A162</f>
        <v>195</v>
      </c>
      <c r="B174" s="116">
        <f>'longitudinal-acma'!B162</f>
        <v>-0.76154768051654953</v>
      </c>
      <c r="C174" s="116">
        <f>'longitudinal-acma'!C162</f>
        <v>-0.15340589389093442</v>
      </c>
      <c r="D174" s="117">
        <v>0</v>
      </c>
      <c r="E174" s="117">
        <v>0</v>
      </c>
      <c r="F174" s="117">
        <v>0</v>
      </c>
      <c r="G174" s="116">
        <f>'longitudinal-acma'!G162</f>
        <v>1.1215320928678893E-2</v>
      </c>
      <c r="H174" s="118" t="str">
        <f t="shared" si="27"/>
        <v xml:space="preserve">  - [195, -0.762, -0.153, 0, 0, 0, 0.011]</v>
      </c>
      <c r="I174" s="98">
        <f>'longitudinal-acma'!I174</f>
        <v>195</v>
      </c>
      <c r="J174" s="116">
        <f>'longitudinal-acma'!J174</f>
        <v>-0.2741158585834319</v>
      </c>
      <c r="K174" s="116">
        <f>'longitudinal-acma'!K174</f>
        <v>-8.7936628761219271E-2</v>
      </c>
      <c r="L174" s="117">
        <v>0</v>
      </c>
      <c r="M174" s="117">
        <v>0</v>
      </c>
      <c r="N174" s="117">
        <v>0</v>
      </c>
      <c r="O174" s="116">
        <f>'longitudinal-acma'!O174</f>
        <v>-8.521723627835867E-4</v>
      </c>
      <c r="P174" s="118" t="str">
        <f t="shared" si="28"/>
        <v xml:space="preserve">  - [195, -0.274, -0.088, 0, 0, 0, -0.001]</v>
      </c>
    </row>
    <row r="175" spans="1:16" x14ac:dyDescent="0.25">
      <c r="A175" s="97">
        <f>'longitudinal-acma'!A163</f>
        <v>210</v>
      </c>
      <c r="B175" s="116">
        <f>'longitudinal-acma'!B163</f>
        <v>-0.61483796917636735</v>
      </c>
      <c r="C175" s="116">
        <f>'longitudinal-acma'!C163</f>
        <v>-0.35080522156861682</v>
      </c>
      <c r="D175" s="117">
        <v>0</v>
      </c>
      <c r="E175" s="117">
        <v>0</v>
      </c>
      <c r="F175" s="117">
        <v>0</v>
      </c>
      <c r="G175" s="116">
        <f>'longitudinal-acma'!G163</f>
        <v>-1.2794075861597832E-2</v>
      </c>
      <c r="H175" s="118" t="str">
        <f t="shared" si="27"/>
        <v xml:space="preserve">  - [210, -0.615, -0.351, 0, 0, 0, -0.013]</v>
      </c>
      <c r="I175" s="98">
        <f>'longitudinal-acma'!I175</f>
        <v>210</v>
      </c>
      <c r="J175" s="116">
        <f>'longitudinal-acma'!J175</f>
        <v>-0.34174134123229655</v>
      </c>
      <c r="K175" s="116">
        <f>'longitudinal-acma'!K175</f>
        <v>-0.3120261791492554</v>
      </c>
      <c r="L175" s="117">
        <v>0</v>
      </c>
      <c r="M175" s="117">
        <v>0</v>
      </c>
      <c r="N175" s="117">
        <v>0</v>
      </c>
      <c r="O175" s="116">
        <f>'longitudinal-acma'!O175</f>
        <v>-1.7871911137202712E-2</v>
      </c>
      <c r="P175" s="118" t="str">
        <f t="shared" si="28"/>
        <v xml:space="preserve">  - [210, -0.342, -0.312, 0, 0, 0, -0.018]</v>
      </c>
    </row>
    <row r="176" spans="1:16" x14ac:dyDescent="0.25">
      <c r="A176" s="97">
        <f>'longitudinal-acma'!A164</f>
        <v>225</v>
      </c>
      <c r="B176" s="116">
        <f>'longitudinal-acma'!B164</f>
        <v>-0.40661311440140668</v>
      </c>
      <c r="C176" s="116">
        <f>'longitudinal-acma'!C164</f>
        <v>-0.56238159528771081</v>
      </c>
      <c r="D176" s="117">
        <v>0</v>
      </c>
      <c r="E176" s="117">
        <v>0</v>
      </c>
      <c r="F176" s="117">
        <v>0</v>
      </c>
      <c r="G176" s="116">
        <f>'longitudinal-acma'!G164</f>
        <v>-2.5251317635824382E-2</v>
      </c>
      <c r="H176" s="118" t="str">
        <f t="shared" si="27"/>
        <v xml:space="preserve">  - [225, -0.407, -0.562, 0, 0, 0, -0.025]</v>
      </c>
      <c r="I176" s="98">
        <f>'longitudinal-acma'!I176</f>
        <v>225</v>
      </c>
      <c r="J176" s="116">
        <f>'longitudinal-acma'!J176</f>
        <v>-0.34724429308434024</v>
      </c>
      <c r="K176" s="116">
        <f>'longitudinal-acma'!K176</f>
        <v>-0.58326782635157282</v>
      </c>
      <c r="L176" s="117">
        <v>0</v>
      </c>
      <c r="M176" s="117">
        <v>0</v>
      </c>
      <c r="N176" s="117">
        <v>0</v>
      </c>
      <c r="O176" s="116">
        <f>'longitudinal-acma'!O176</f>
        <v>-2.5334732759481844E-2</v>
      </c>
      <c r="P176" s="118" t="str">
        <f t="shared" si="28"/>
        <v xml:space="preserve">  - [225, -0.347, -0.583, 0, 0, 0, -0.025]</v>
      </c>
    </row>
    <row r="177" spans="1:26" x14ac:dyDescent="0.25">
      <c r="A177" s="97">
        <f>'longitudinal-acma'!A165</f>
        <v>240</v>
      </c>
      <c r="B177" s="116">
        <f>'longitudinal-acma'!B165</f>
        <v>-0.17291564020420469</v>
      </c>
      <c r="C177" s="116">
        <f>'longitudinal-acma'!C165</f>
        <v>-0.73211974270856306</v>
      </c>
      <c r="D177" s="117">
        <v>0</v>
      </c>
      <c r="E177" s="117">
        <v>0</v>
      </c>
      <c r="F177" s="117">
        <v>0</v>
      </c>
      <c r="G177" s="116">
        <f>'longitudinal-acma'!G165</f>
        <v>-3.375575117040551E-2</v>
      </c>
      <c r="H177" s="118" t="str">
        <f t="shared" si="27"/>
        <v xml:space="preserve">  - [240, -0.173, -0.732, 0, 0, 0, -0.034]</v>
      </c>
      <c r="I177" s="98">
        <f>'longitudinal-acma'!I177</f>
        <v>240</v>
      </c>
      <c r="J177" s="116">
        <f>'longitudinal-acma'!J177</f>
        <v>-4.5967539204752543E-2</v>
      </c>
      <c r="K177" s="116">
        <f>'longitudinal-acma'!K177</f>
        <v>-0.78679778294903768</v>
      </c>
      <c r="L177" s="117">
        <v>0</v>
      </c>
      <c r="M177" s="117">
        <v>0</v>
      </c>
      <c r="N177" s="117">
        <v>0</v>
      </c>
      <c r="O177" s="116">
        <f>'longitudinal-acma'!O177</f>
        <v>-3.8657350774332057E-2</v>
      </c>
      <c r="P177" s="118" t="str">
        <f t="shared" si="28"/>
        <v xml:space="preserve">  - [240, -0.046, -0.787, 0, 0, 0, -0.039]</v>
      </c>
    </row>
    <row r="178" spans="1:26" x14ac:dyDescent="0.25">
      <c r="A178" s="97">
        <f>'longitudinal-acma'!A166</f>
        <v>255</v>
      </c>
      <c r="B178" s="116">
        <f>'longitudinal-acma'!B166</f>
        <v>-0.37089747529997841</v>
      </c>
      <c r="C178" s="116">
        <f>'longitudinal-acma'!C166</f>
        <v>-0.82740313696716861</v>
      </c>
      <c r="D178" s="117">
        <v>0</v>
      </c>
      <c r="E178" s="117">
        <v>0</v>
      </c>
      <c r="F178" s="117">
        <v>0</v>
      </c>
      <c r="G178" s="116">
        <f>'longitudinal-acma'!G166</f>
        <v>-2.5026530027716026E-2</v>
      </c>
      <c r="H178" s="118" t="str">
        <f t="shared" si="27"/>
        <v xml:space="preserve">  - [255, -0.371, -0.827, 0, 0, 0, -0.025]</v>
      </c>
      <c r="I178" s="98">
        <f>'longitudinal-acma'!I178</f>
        <v>255</v>
      </c>
      <c r="J178" s="116">
        <f>'longitudinal-acma'!J178</f>
        <v>-5.5224644023705867E-2</v>
      </c>
      <c r="K178" s="116">
        <f>'longitudinal-acma'!K178</f>
        <v>-0.87044786464440849</v>
      </c>
      <c r="L178" s="117">
        <v>0</v>
      </c>
      <c r="M178" s="117">
        <v>0</v>
      </c>
      <c r="N178" s="117">
        <v>0</v>
      </c>
      <c r="O178" s="116">
        <f>'longitudinal-acma'!O178</f>
        <v>-3.140474506477145E-2</v>
      </c>
      <c r="P178" s="118" t="str">
        <f t="shared" si="28"/>
        <v xml:space="preserve">  - [255, -0.055, -0.870, 0, 0, 0, -0.031]</v>
      </c>
    </row>
    <row r="179" spans="1:26" x14ac:dyDescent="0.25">
      <c r="A179" s="97">
        <f>'longitudinal-acma'!A167</f>
        <v>270</v>
      </c>
      <c r="B179" s="116">
        <f>'longitudinal-acma'!B167</f>
        <v>-0.39015575345663434</v>
      </c>
      <c r="C179" s="116">
        <f>'longitudinal-acma'!C167</f>
        <v>-0.92821658540953145</v>
      </c>
      <c r="D179" s="117">
        <v>0</v>
      </c>
      <c r="E179" s="117">
        <v>0</v>
      </c>
      <c r="F179" s="117">
        <v>0</v>
      </c>
      <c r="G179" s="116">
        <f>'longitudinal-acma'!G167</f>
        <v>1.8165510002355213E-2</v>
      </c>
      <c r="H179" s="118" t="str">
        <f t="shared" si="27"/>
        <v xml:space="preserve">  - [270, -0.390, -0.928, 0, 0, 0, 0.018]</v>
      </c>
      <c r="I179" s="98">
        <f>'longitudinal-acma'!I179</f>
        <v>270</v>
      </c>
      <c r="J179" s="116">
        <f>'longitudinal-acma'!J179</f>
        <v>-1.9389070598275229E-2</v>
      </c>
      <c r="K179" s="116">
        <f>'longitudinal-acma'!K179</f>
        <v>-0.97861801206150445</v>
      </c>
      <c r="L179" s="117">
        <v>0</v>
      </c>
      <c r="M179" s="117">
        <v>0</v>
      </c>
      <c r="N179" s="117">
        <v>0</v>
      </c>
      <c r="O179" s="116">
        <f>'longitudinal-acma'!O179</f>
        <v>-2.4485426464963326E-2</v>
      </c>
      <c r="P179" s="118" t="str">
        <f t="shared" si="28"/>
        <v xml:space="preserve">  - [270, -0.019, -0.979, 0, 0, 0, -0.024]</v>
      </c>
    </row>
    <row r="180" spans="1:26" x14ac:dyDescent="0.25">
      <c r="A180" s="97">
        <f>'longitudinal-acma'!A168</f>
        <v>285</v>
      </c>
      <c r="B180" s="116">
        <f>'longitudinal-acma'!B168</f>
        <v>8.4506282848956088E-2</v>
      </c>
      <c r="C180" s="116">
        <f>'longitudinal-acma'!C168</f>
        <v>-1.0495930352227634</v>
      </c>
      <c r="D180" s="117">
        <v>0</v>
      </c>
      <c r="E180" s="117">
        <v>0</v>
      </c>
      <c r="F180" s="117">
        <v>0</v>
      </c>
      <c r="G180" s="116">
        <f>'longitudinal-acma'!G168</f>
        <v>3.4589687358572749E-2</v>
      </c>
      <c r="H180" s="118" t="str">
        <f t="shared" si="27"/>
        <v xml:space="preserve">  - [285, 0.085, -1.050, 0, 0, 0, 0.035]</v>
      </c>
      <c r="I180" s="98">
        <f>'longitudinal-acma'!I180</f>
        <v>285</v>
      </c>
      <c r="J180" s="116">
        <f>'longitudinal-acma'!J180</f>
        <v>9.6443713369470094E-2</v>
      </c>
      <c r="K180" s="116">
        <f>'longitudinal-acma'!K180</f>
        <v>-1.0961972742566706</v>
      </c>
      <c r="L180" s="117">
        <v>0</v>
      </c>
      <c r="M180" s="117">
        <v>0</v>
      </c>
      <c r="N180" s="117">
        <v>0</v>
      </c>
      <c r="O180" s="116">
        <f>'longitudinal-acma'!O180</f>
        <v>3.4987407707122026E-2</v>
      </c>
      <c r="P180" s="118" t="str">
        <f t="shared" si="28"/>
        <v xml:space="preserve">  - [285, 0.096, -1.096, 0, 0, 0, 0.035]</v>
      </c>
    </row>
    <row r="181" spans="1:26" x14ac:dyDescent="0.25">
      <c r="A181" s="97">
        <f>'longitudinal-acma'!A169</f>
        <v>300</v>
      </c>
      <c r="B181" s="116">
        <f>'longitudinal-acma'!B169</f>
        <v>0.15738729380251143</v>
      </c>
      <c r="C181" s="116">
        <f>'longitudinal-acma'!C169</f>
        <v>-0.92476236617757579</v>
      </c>
      <c r="D181" s="117">
        <v>0</v>
      </c>
      <c r="E181" s="117">
        <v>0</v>
      </c>
      <c r="F181" s="117">
        <v>0</v>
      </c>
      <c r="G181" s="116">
        <f>'longitudinal-acma'!G169</f>
        <v>5.945281883964719E-2</v>
      </c>
      <c r="H181" s="118" t="str">
        <f t="shared" si="27"/>
        <v xml:space="preserve">  - [300, 0.157, -0.925, 0, 0, 0, 0.059]</v>
      </c>
      <c r="I181" s="98">
        <f>'longitudinal-acma'!I181</f>
        <v>300</v>
      </c>
      <c r="J181" s="116">
        <f>'longitudinal-acma'!J181</f>
        <v>4.7318186868872625E-2</v>
      </c>
      <c r="K181" s="116">
        <f>'longitudinal-acma'!K181</f>
        <v>-1.1248268196956526</v>
      </c>
      <c r="L181" s="117">
        <v>0</v>
      </c>
      <c r="M181" s="117">
        <v>0</v>
      </c>
      <c r="N181" s="117">
        <v>0</v>
      </c>
      <c r="O181" s="116">
        <f>'longitudinal-acma'!O181</f>
        <v>0.12412378054589927</v>
      </c>
      <c r="P181" s="118" t="str">
        <f t="shared" si="28"/>
        <v xml:space="preserve">  - [300, 0.047, -1.125, 0, 0, 0, 0.124]</v>
      </c>
    </row>
    <row r="182" spans="1:26" x14ac:dyDescent="0.25">
      <c r="A182" s="97">
        <f>'longitudinal-acma'!A170</f>
        <v>315</v>
      </c>
      <c r="B182" s="116">
        <f>'longitudinal-acma'!B170</f>
        <v>0.47326416960196471</v>
      </c>
      <c r="C182" s="116">
        <f>'longitudinal-acma'!C170</f>
        <v>-0.69445823189288181</v>
      </c>
      <c r="D182" s="117">
        <v>0</v>
      </c>
      <c r="E182" s="117">
        <v>0</v>
      </c>
      <c r="F182" s="117">
        <v>0</v>
      </c>
      <c r="G182" s="116">
        <f>'longitudinal-acma'!G170</f>
        <v>7.7603618953740447E-2</v>
      </c>
      <c r="H182" s="118" t="str">
        <f t="shared" si="27"/>
        <v xml:space="preserve">  - [315, 0.473, -0.694, 0, 0, 0, 0.078]</v>
      </c>
      <c r="I182" s="98">
        <f>'longitudinal-acma'!I182</f>
        <v>315</v>
      </c>
      <c r="J182" s="116">
        <f>'longitudinal-acma'!J182</f>
        <v>0.48687733424391338</v>
      </c>
      <c r="K182" s="116">
        <f>'longitudinal-acma'!K182</f>
        <v>-0.84980343367033462</v>
      </c>
      <c r="L182" s="117">
        <v>0</v>
      </c>
      <c r="M182" s="117">
        <v>0</v>
      </c>
      <c r="N182" s="117">
        <v>0</v>
      </c>
      <c r="O182" s="116">
        <f>'longitudinal-acma'!O182</f>
        <v>9.6451095351176963E-2</v>
      </c>
      <c r="P182" s="118" t="str">
        <f t="shared" si="28"/>
        <v xml:space="preserve">  - [315, 0.487, -0.850, 0, 0, 0, 0.096]</v>
      </c>
    </row>
    <row r="183" spans="1:26" x14ac:dyDescent="0.25">
      <c r="A183" s="97">
        <f>'longitudinal-acma'!A171</f>
        <v>330</v>
      </c>
      <c r="B183" s="116">
        <f>'longitudinal-acma'!B171</f>
        <v>0.75353688596794099</v>
      </c>
      <c r="C183" s="116">
        <f>'longitudinal-acma'!C171</f>
        <v>-0.38989753105925845</v>
      </c>
      <c r="D183" s="117">
        <v>0</v>
      </c>
      <c r="E183" s="117">
        <v>0</v>
      </c>
      <c r="F183" s="117">
        <v>0</v>
      </c>
      <c r="G183" s="116">
        <f>'longitudinal-acma'!G171</f>
        <v>3.2710987966004815E-2</v>
      </c>
      <c r="H183" s="118" t="str">
        <f t="shared" si="27"/>
        <v xml:space="preserve">  - [330, 0.754, -0.390, 0, 0, 0, 0.033]</v>
      </c>
      <c r="I183" s="98">
        <f>'longitudinal-acma'!I183</f>
        <v>330</v>
      </c>
      <c r="J183" s="116">
        <f>'longitudinal-acma'!J183</f>
        <v>0.67214957269196174</v>
      </c>
      <c r="K183" s="116">
        <f>'longitudinal-acma'!K183</f>
        <v>-0.53015785546252914</v>
      </c>
      <c r="L183" s="117">
        <v>0</v>
      </c>
      <c r="M183" s="117">
        <v>0</v>
      </c>
      <c r="N183" s="117">
        <v>0</v>
      </c>
      <c r="O183" s="116">
        <f>'longitudinal-acma'!O183</f>
        <v>7.1182427555021285E-2</v>
      </c>
      <c r="P183" s="118" t="str">
        <f t="shared" si="28"/>
        <v xml:space="preserve">  - [330, 0.672, -0.530, 0, 0, 0, 0.071]</v>
      </c>
    </row>
    <row r="184" spans="1:26" x14ac:dyDescent="0.25">
      <c r="A184" s="97">
        <f>'longitudinal-acma'!A172</f>
        <v>345</v>
      </c>
      <c r="B184" s="116">
        <f>'longitudinal-acma'!B172</f>
        <v>1.0418074528717729</v>
      </c>
      <c r="C184" s="116">
        <f>'longitudinal-acma'!C172</f>
        <v>-0.13406849151133524</v>
      </c>
      <c r="D184" s="117">
        <v>0</v>
      </c>
      <c r="E184" s="117">
        <v>0</v>
      </c>
      <c r="F184" s="117">
        <v>0</v>
      </c>
      <c r="G184" s="116">
        <f>'longitudinal-acma'!G172</f>
        <v>6.1571542328620714E-3</v>
      </c>
      <c r="H184" s="118" t="str">
        <f t="shared" si="27"/>
        <v xml:space="preserve">  - [345, 1.042, -0.134, 0, 0, 0, 0.006]</v>
      </c>
      <c r="I184" s="98">
        <f>'longitudinal-acma'!I184</f>
        <v>345</v>
      </c>
      <c r="J184" s="116">
        <f>'longitudinal-acma'!J184</f>
        <v>0.77994435509170779</v>
      </c>
      <c r="K184" s="116">
        <f>'longitudinal-acma'!K184</f>
        <v>-0.21009043111849066</v>
      </c>
      <c r="L184" s="117">
        <v>0</v>
      </c>
      <c r="M184" s="117">
        <v>0</v>
      </c>
      <c r="N184" s="117">
        <v>0</v>
      </c>
      <c r="O184" s="116">
        <f>'longitudinal-acma'!O184</f>
        <v>3.9130680948697837E-2</v>
      </c>
      <c r="P184" s="118" t="str">
        <f t="shared" si="28"/>
        <v xml:space="preserve">  - [345, 0.780, -0.210, 0, 0, 0, 0.039]</v>
      </c>
    </row>
    <row r="185" spans="1:26" ht="15.75" thickBot="1" x14ac:dyDescent="0.3">
      <c r="A185" s="29">
        <f>openDomain_trans_full_FST1!P38</f>
        <v>360</v>
      </c>
      <c r="B185" s="36"/>
      <c r="C185" s="37"/>
      <c r="D185" s="37"/>
      <c r="E185" s="37"/>
      <c r="F185" s="37"/>
      <c r="G185" s="38"/>
      <c r="H185" s="28"/>
      <c r="I185" s="29"/>
      <c r="J185" s="39"/>
      <c r="K185" s="40"/>
      <c r="L185" s="40"/>
      <c r="M185" s="40"/>
      <c r="N185" s="40"/>
      <c r="O185" s="41"/>
    </row>
    <row r="186" spans="1:26" ht="15.75" thickBot="1" x14ac:dyDescent="0.3"/>
    <row r="187" spans="1:26" ht="15.75" customHeight="1" thickBot="1" x14ac:dyDescent="0.3">
      <c r="A187" s="221" t="s">
        <v>266</v>
      </c>
      <c r="B187" s="221"/>
      <c r="C187" s="221"/>
      <c r="D187" s="221"/>
      <c r="E187" s="221"/>
      <c r="F187" s="221"/>
      <c r="G187" s="221"/>
      <c r="H187" s="13"/>
      <c r="I187" s="221" t="s">
        <v>267</v>
      </c>
      <c r="J187" s="221"/>
      <c r="K187" s="221"/>
      <c r="L187" s="221"/>
      <c r="M187" s="221"/>
      <c r="N187" s="221"/>
      <c r="O187" s="221"/>
      <c r="Q187" s="221" t="str">
        <f>Report_table_graphs!Q187</f>
        <v>openDomain-trans-LNGC-light-LNGC</v>
      </c>
      <c r="R187" s="221"/>
      <c r="S187" s="221"/>
      <c r="T187" s="221"/>
      <c r="U187" s="221"/>
      <c r="V187" s="221"/>
      <c r="W187" s="221"/>
    </row>
    <row r="188" spans="1:26" x14ac:dyDescent="0.25">
      <c r="A188" s="14" t="s">
        <v>55</v>
      </c>
      <c r="B188" s="15"/>
      <c r="C188" s="15"/>
      <c r="D188" s="15"/>
      <c r="E188" s="15"/>
      <c r="F188" s="15"/>
      <c r="G188" s="15"/>
      <c r="H188" s="16"/>
      <c r="I188" s="14" t="s">
        <v>55</v>
      </c>
      <c r="J188" s="15">
        <f t="shared" ref="J188:O188" si="29">B188</f>
        <v>0</v>
      </c>
      <c r="K188" s="15">
        <f t="shared" si="29"/>
        <v>0</v>
      </c>
      <c r="L188" s="15">
        <f t="shared" si="29"/>
        <v>0</v>
      </c>
      <c r="M188" s="15">
        <f t="shared" si="29"/>
        <v>0</v>
      </c>
      <c r="N188" s="15">
        <f t="shared" si="29"/>
        <v>0</v>
      </c>
      <c r="O188" s="15">
        <f t="shared" si="29"/>
        <v>0</v>
      </c>
      <c r="Q188" s="14" t="s">
        <v>55</v>
      </c>
      <c r="R188" s="15">
        <f>openDomain_trans_LNGC_LNGC!S67</f>
        <v>0</v>
      </c>
      <c r="S188" s="15">
        <f>openDomain_trans_LNGC_LNGC!T67</f>
        <v>0</v>
      </c>
      <c r="T188" s="15">
        <f>openDomain_trans_LNGC_LNGC!U67</f>
        <v>0</v>
      </c>
      <c r="U188" s="15">
        <f>openDomain_trans_LNGC_LNGC!V67</f>
        <v>0</v>
      </c>
      <c r="V188" s="15">
        <f>openDomain_trans_LNGC_LNGC!W67</f>
        <v>0</v>
      </c>
      <c r="W188" s="15">
        <f>openDomain_trans_LNGC_LNGC!X67</f>
        <v>0</v>
      </c>
    </row>
    <row r="189" spans="1:26" x14ac:dyDescent="0.25">
      <c r="A189" s="14"/>
      <c r="B189" s="213" t="s">
        <v>57</v>
      </c>
      <c r="C189" s="213" t="s">
        <v>57</v>
      </c>
      <c r="D189" s="213" t="s">
        <v>57</v>
      </c>
      <c r="E189" s="213" t="s">
        <v>58</v>
      </c>
      <c r="F189" s="213" t="s">
        <v>58</v>
      </c>
      <c r="G189" s="213" t="s">
        <v>58</v>
      </c>
      <c r="H189" s="19"/>
      <c r="I189" s="14"/>
      <c r="J189" s="213" t="s">
        <v>57</v>
      </c>
      <c r="K189" s="213" t="s">
        <v>57</v>
      </c>
      <c r="L189" s="213" t="s">
        <v>57</v>
      </c>
      <c r="M189" s="213" t="s">
        <v>58</v>
      </c>
      <c r="N189" s="213" t="s">
        <v>58</v>
      </c>
      <c r="O189" s="213" t="s">
        <v>58</v>
      </c>
      <c r="Q189" s="14"/>
      <c r="R189" s="213" t="s">
        <v>57</v>
      </c>
      <c r="S189" s="213" t="s">
        <v>57</v>
      </c>
      <c r="T189" s="213" t="s">
        <v>57</v>
      </c>
      <c r="U189" s="213" t="s">
        <v>58</v>
      </c>
      <c r="V189" s="213" t="s">
        <v>58</v>
      </c>
      <c r="W189" s="213" t="s">
        <v>58</v>
      </c>
    </row>
    <row r="190" spans="1:26" ht="27" x14ac:dyDescent="0.25">
      <c r="A190" s="93" t="s">
        <v>59</v>
      </c>
      <c r="B190" s="90" t="s">
        <v>60</v>
      </c>
      <c r="C190" s="90" t="s">
        <v>61</v>
      </c>
      <c r="D190" s="90" t="s">
        <v>62</v>
      </c>
      <c r="E190" s="90" t="s">
        <v>63</v>
      </c>
      <c r="F190" s="90" t="s">
        <v>64</v>
      </c>
      <c r="G190" s="90" t="s">
        <v>65</v>
      </c>
      <c r="H190" s="13"/>
      <c r="I190" s="93" t="s">
        <v>59</v>
      </c>
      <c r="J190" s="90" t="s">
        <v>60</v>
      </c>
      <c r="K190" s="90" t="s">
        <v>61</v>
      </c>
      <c r="L190" s="90" t="s">
        <v>62</v>
      </c>
      <c r="M190" s="90" t="s">
        <v>63</v>
      </c>
      <c r="N190" s="90" t="s">
        <v>64</v>
      </c>
      <c r="O190" s="90" t="s">
        <v>65</v>
      </c>
      <c r="Q190" s="93" t="s">
        <v>59</v>
      </c>
      <c r="R190" s="90" t="s">
        <v>60</v>
      </c>
      <c r="S190" s="90" t="s">
        <v>61</v>
      </c>
      <c r="T190" s="90" t="s">
        <v>62</v>
      </c>
      <c r="U190" s="90" t="s">
        <v>63</v>
      </c>
      <c r="V190" s="90" t="s">
        <v>64</v>
      </c>
      <c r="W190" s="90" t="s">
        <v>65</v>
      </c>
    </row>
    <row r="191" spans="1:26" ht="34.5" customHeight="1" x14ac:dyDescent="0.35">
      <c r="A191" s="93"/>
      <c r="B191" s="94" t="str">
        <f t="shared" ref="B191:G191" si="30">CONCATENATE($A$187,"-",B190)</f>
        <v>openDomain-long-light-LNGC-full-FST1-Cx [-]</v>
      </c>
      <c r="C191" s="94" t="str">
        <f t="shared" si="30"/>
        <v>openDomain-long-light-LNGC-full-FST1-Cy [-]</v>
      </c>
      <c r="D191" s="94" t="str">
        <f t="shared" si="30"/>
        <v>openDomain-long-light-LNGC-full-FST1-Cz [-]</v>
      </c>
      <c r="E191" s="94" t="str">
        <f t="shared" si="30"/>
        <v>openDomain-long-light-LNGC-full-FST1-Cnx [-]</v>
      </c>
      <c r="F191" s="94" t="str">
        <f t="shared" si="30"/>
        <v>openDomain-long-light-LNGC-full-FST1-Cny [-]</v>
      </c>
      <c r="G191" s="94" t="str">
        <f t="shared" si="30"/>
        <v>openDomain-long-light-LNGC-full-FST1-Cnz [-]</v>
      </c>
      <c r="H191" s="24"/>
      <c r="I191" s="93"/>
      <c r="J191" s="94" t="str">
        <f t="shared" ref="J191:O191" si="31">CONCATENATE($I$187,"-",J190)</f>
        <v>openDomain-long-light-LNGC-full-FST2-Cx [-]</v>
      </c>
      <c r="K191" s="94" t="str">
        <f t="shared" si="31"/>
        <v>openDomain-long-light-LNGC-full-FST2-Cy [-]</v>
      </c>
      <c r="L191" s="94" t="str">
        <f t="shared" si="31"/>
        <v>openDomain-long-light-LNGC-full-FST2-Cz [-]</v>
      </c>
      <c r="M191" s="94" t="str">
        <f t="shared" si="31"/>
        <v>openDomain-long-light-LNGC-full-FST2-Cnx [-]</v>
      </c>
      <c r="N191" s="94" t="str">
        <f t="shared" si="31"/>
        <v>openDomain-long-light-LNGC-full-FST2-Cny [-]</v>
      </c>
      <c r="O191" s="94" t="str">
        <f t="shared" si="31"/>
        <v>openDomain-long-light-LNGC-full-FST2-Cnz [-]</v>
      </c>
      <c r="Q191" s="93"/>
      <c r="R191" s="94" t="str">
        <f t="shared" ref="R191:W191" si="32">CONCATENATE($Q$125,"-",R190)</f>
        <v>openDomain-trans-LNGC-full-LNGC-Cx [-]</v>
      </c>
      <c r="S191" s="94" t="str">
        <f t="shared" si="32"/>
        <v>openDomain-trans-LNGC-full-LNGC-Cy [-]</v>
      </c>
      <c r="T191" s="94" t="str">
        <f t="shared" si="32"/>
        <v>openDomain-trans-LNGC-full-LNGC-Cz [-]</v>
      </c>
      <c r="U191" s="94" t="str">
        <f t="shared" si="32"/>
        <v>openDomain-trans-LNGC-full-LNGC-Cnx [-]</v>
      </c>
      <c r="V191" s="94" t="str">
        <f t="shared" si="32"/>
        <v>openDomain-trans-LNGC-full-LNGC-Cny [-]</v>
      </c>
      <c r="W191" s="94" t="str">
        <f t="shared" si="32"/>
        <v>openDomain-trans-LNGC-full-LNGC-Cnz [-]</v>
      </c>
      <c r="X191" s="234" t="s">
        <v>277</v>
      </c>
      <c r="Z191" s="234" t="s">
        <v>278</v>
      </c>
    </row>
    <row r="192" spans="1:26" x14ac:dyDescent="0.25">
      <c r="A192" s="97">
        <f>'longitudinal-acma'!A204</f>
        <v>0</v>
      </c>
      <c r="B192" s="116">
        <f>'longitudinal-acma'!B204</f>
        <v>1.0326107359246517</v>
      </c>
      <c r="C192" s="116">
        <f>'longitudinal-acma'!C204</f>
        <v>-1.1289059667185519E-2</v>
      </c>
      <c r="D192" s="117">
        <v>0</v>
      </c>
      <c r="E192" s="117">
        <v>0</v>
      </c>
      <c r="F192" s="117">
        <v>0</v>
      </c>
      <c r="G192" s="116">
        <f>'longitudinal-acma'!G204</f>
        <v>-2.1914542431814145E-3</v>
      </c>
      <c r="H192" s="118" t="str">
        <f t="shared" ref="H192:H215" si="33">"  - ["&amp;A192&amp;", "&amp;FIXED(B192,3,1)&amp;", "&amp;FIXED(C192,3,1)&amp;", 0, 0, 0"&amp;", "&amp;FIXED(G192,3,1)&amp;"]"</f>
        <v xml:space="preserve">  - [0, 1.033, -0.011, 0, 0, 0, -0.002]</v>
      </c>
      <c r="I192" s="97">
        <f>'longitudinal-acma'!I192</f>
        <v>0</v>
      </c>
      <c r="J192" s="116">
        <f>'longitudinal-acma'!J192</f>
        <v>0.76392878875106263</v>
      </c>
      <c r="K192" s="116">
        <f>'longitudinal-acma'!K192</f>
        <v>1.3004696052818888E-2</v>
      </c>
      <c r="L192" s="117">
        <v>0</v>
      </c>
      <c r="M192" s="117">
        <v>0</v>
      </c>
      <c r="N192" s="117">
        <v>0</v>
      </c>
      <c r="O192" s="116">
        <f>'longitudinal-acma'!O192</f>
        <v>-2.4769705174683552E-2</v>
      </c>
      <c r="P192" s="118" t="str">
        <f>"  - ["&amp;I192&amp;", "&amp;FIXED(J192,3,1)&amp;", "&amp;FIXED(K192,3,1)&amp;", 0, 0, 0"&amp;", "&amp;FIXED(O192,3,1)&amp;"]"</f>
        <v xml:space="preserve">  - [0, 0.764, 0.013, 0, 0, 0, -0.025]</v>
      </c>
      <c r="Q192" s="97">
        <f>Report_table_graphs!Q192</f>
        <v>0</v>
      </c>
      <c r="R192" s="214">
        <f>Report_table_graphs!R192</f>
        <v>0.62632738746465022</v>
      </c>
      <c r="S192" s="214">
        <f>Report_table_graphs!S192</f>
        <v>-5.496424725937564E-2</v>
      </c>
      <c r="T192" s="117">
        <v>0</v>
      </c>
      <c r="U192" s="117">
        <v>0</v>
      </c>
      <c r="V192" s="117">
        <v>0</v>
      </c>
      <c r="W192" s="214">
        <f>Report_table_graphs!W192</f>
        <v>1.4582584571417348E-2</v>
      </c>
      <c r="X192" s="118" t="str">
        <f>"  - ["&amp;Q192&amp;", "&amp;FIXED(R192,3,1)&amp;", "&amp;FIXED(S192,3,1)&amp;", 0, 0, 0"&amp;", "&amp;FIXED(W192,3,1)&amp;"]"</f>
        <v xml:space="preserve">  - [0, 0.626, -0.055, 0, 0, 0, 0.015]</v>
      </c>
      <c r="Y192" s="235">
        <f>Q192+180</f>
        <v>180</v>
      </c>
      <c r="Z192" t="str">
        <f>"  - ["&amp;Y192&amp;", "&amp;FIXED(-R192,3,1)&amp;", "&amp;FIXED(-S192,3,1)&amp;", 0, 0, 0"&amp;", "&amp;FIXED(W192,3,1)&amp;"]"</f>
        <v xml:space="preserve">  - [180, -0.626, 0.055, 0, 0, 0, 0.015]</v>
      </c>
    </row>
    <row r="193" spans="1:26" x14ac:dyDescent="0.25">
      <c r="A193" s="97">
        <f>'longitudinal-acma'!A205</f>
        <v>15</v>
      </c>
      <c r="B193" s="116">
        <f>'longitudinal-acma'!B205</f>
        <v>0.8506334705561529</v>
      </c>
      <c r="C193" s="116">
        <f>'longitudinal-acma'!C205</f>
        <v>0.17050009518068573</v>
      </c>
      <c r="D193" s="117">
        <v>0</v>
      </c>
      <c r="E193" s="117">
        <v>0</v>
      </c>
      <c r="F193" s="117">
        <v>0</v>
      </c>
      <c r="G193" s="116">
        <f>'longitudinal-acma'!G205</f>
        <v>-3.3787141766557331E-2</v>
      </c>
      <c r="H193" s="118" t="str">
        <f t="shared" si="33"/>
        <v xml:space="preserve">  - [15, 0.851, 0.171, 0, 0, 0, -0.034]</v>
      </c>
      <c r="I193" s="97">
        <f>'longitudinal-acma'!I193</f>
        <v>15</v>
      </c>
      <c r="J193" s="116">
        <f>'longitudinal-acma'!J193</f>
        <v>0.72915187919297064</v>
      </c>
      <c r="K193" s="116">
        <f>'longitudinal-acma'!K193</f>
        <v>8.4333435106295138E-2</v>
      </c>
      <c r="L193" s="117">
        <v>0</v>
      </c>
      <c r="M193" s="117">
        <v>0</v>
      </c>
      <c r="N193" s="117">
        <v>0</v>
      </c>
      <c r="O193" s="116">
        <f>'longitudinal-acma'!O193</f>
        <v>-2.3793821821235888E-2</v>
      </c>
      <c r="P193" s="118" t="str">
        <f t="shared" ref="P193:P215" si="34">"  - ["&amp;I193&amp;", "&amp;FIXED(J193,3,1)&amp;", "&amp;FIXED(K193,3,1)&amp;", 0, 0, 0"&amp;", "&amp;FIXED(O193,3,1)&amp;"]"</f>
        <v xml:space="preserve">  - [15, 0.729, 0.084, 0, 0, 0, -0.024]</v>
      </c>
      <c r="Q193" s="97">
        <f>Report_table_graphs!Q193</f>
        <v>15</v>
      </c>
      <c r="R193" s="214">
        <f>Report_table_graphs!R193</f>
        <v>0.75780435674143432</v>
      </c>
      <c r="S193" s="214">
        <f>Report_table_graphs!S193</f>
        <v>0.10321089898161777</v>
      </c>
      <c r="T193" s="117">
        <v>0</v>
      </c>
      <c r="U193" s="117">
        <v>0</v>
      </c>
      <c r="V193" s="117">
        <v>0</v>
      </c>
      <c r="W193" s="214">
        <f>Report_table_graphs!W193</f>
        <v>-4.7638181489594304E-2</v>
      </c>
      <c r="X193" s="118" t="str">
        <f t="shared" ref="X193:X215" si="35">"  - ["&amp;Q193&amp;", "&amp;FIXED(R193,3,1)&amp;", "&amp;FIXED(S193,3,1)&amp;", 0, 0, 0"&amp;", "&amp;FIXED(W193,3,1)&amp;"]"</f>
        <v xml:space="preserve">  - [15, 0.758, 0.103, 0, 0, 0, -0.048]</v>
      </c>
      <c r="Y193" s="235">
        <f>Q193+180</f>
        <v>195</v>
      </c>
      <c r="Z193" t="str">
        <f>"  - ["&amp;Y193&amp;", "&amp;FIXED(-R193,3,1)&amp;", "&amp;FIXED(-S193,3,1)&amp;", 0, 0, 0"&amp;", "&amp;FIXED(W193,3,1)&amp;"]"</f>
        <v xml:space="preserve">  - [195, -0.758, -0.103, 0, 0, 0, -0.048]</v>
      </c>
    </row>
    <row r="194" spans="1:26" x14ac:dyDescent="0.25">
      <c r="A194" s="97">
        <f>'longitudinal-acma'!A206</f>
        <v>30</v>
      </c>
      <c r="B194" s="116">
        <f>'longitudinal-acma'!B206</f>
        <v>0.52485040240031688</v>
      </c>
      <c r="C194" s="116">
        <f>'longitudinal-acma'!C206</f>
        <v>0.45075170512303836</v>
      </c>
      <c r="D194" s="117">
        <v>0</v>
      </c>
      <c r="E194" s="117">
        <v>0</v>
      </c>
      <c r="F194" s="117">
        <v>0</v>
      </c>
      <c r="G194" s="116">
        <f>'longitudinal-acma'!G206</f>
        <v>-7.3776030583076399E-2</v>
      </c>
      <c r="H194" s="118" t="str">
        <f t="shared" si="33"/>
        <v xml:space="preserve">  - [30, 0.525, 0.451, 0, 0, 0, -0.074]</v>
      </c>
      <c r="I194" s="97">
        <f>'longitudinal-acma'!I194</f>
        <v>30</v>
      </c>
      <c r="J194" s="116">
        <f>'longitudinal-acma'!J194</f>
        <v>0.70323090510909636</v>
      </c>
      <c r="K194" s="116">
        <f>'longitudinal-acma'!K194</f>
        <v>0.17563173011827862</v>
      </c>
      <c r="L194" s="117">
        <v>0</v>
      </c>
      <c r="M194" s="117">
        <v>0</v>
      </c>
      <c r="N194" s="117">
        <v>0</v>
      </c>
      <c r="O194" s="116">
        <f>'longitudinal-acma'!O194</f>
        <v>-4.3810245965361115E-2</v>
      </c>
      <c r="P194" s="118" t="str">
        <f t="shared" si="34"/>
        <v xml:space="preserve">  - [30, 0.703, 0.176, 0, 0, 0, -0.044]</v>
      </c>
      <c r="Q194" s="97">
        <f>Report_table_graphs!Q194</f>
        <v>30</v>
      </c>
      <c r="R194" s="214">
        <f>Report_table_graphs!R194</f>
        <v>0.86739085770925761</v>
      </c>
      <c r="S194" s="214">
        <f>Report_table_graphs!S194</f>
        <v>0.42850390587962761</v>
      </c>
      <c r="T194" s="117">
        <v>0</v>
      </c>
      <c r="U194" s="117">
        <v>0</v>
      </c>
      <c r="V194" s="117">
        <v>0</v>
      </c>
      <c r="W194" s="214">
        <f>Report_table_graphs!W194</f>
        <v>-8.8965701108110459E-2</v>
      </c>
      <c r="X194" s="118" t="str">
        <f t="shared" si="35"/>
        <v xml:space="preserve">  - [30, 0.867, 0.429, 0, 0, 0, -0.089]</v>
      </c>
      <c r="Y194" s="235">
        <f>Q194+180</f>
        <v>210</v>
      </c>
      <c r="Z194" t="str">
        <f>"  - ["&amp;Y194&amp;", "&amp;FIXED(-R194,3,1)&amp;", "&amp;FIXED(-S194,3,1)&amp;", 0, 0, 0"&amp;", "&amp;FIXED(W194,3,1)&amp;"]"</f>
        <v xml:space="preserve">  - [210, -0.867, -0.429, 0, 0, 0, -0.089]</v>
      </c>
    </row>
    <row r="195" spans="1:26" x14ac:dyDescent="0.25">
      <c r="A195" s="97">
        <f>'longitudinal-acma'!A207</f>
        <v>45</v>
      </c>
      <c r="B195" s="116">
        <f>'longitudinal-acma'!B207</f>
        <v>0.31701990741250269</v>
      </c>
      <c r="C195" s="116">
        <f>'longitudinal-acma'!C207</f>
        <v>0.73199381591732204</v>
      </c>
      <c r="D195" s="117">
        <v>0</v>
      </c>
      <c r="E195" s="117">
        <v>0</v>
      </c>
      <c r="F195" s="117">
        <v>0</v>
      </c>
      <c r="G195" s="116">
        <f>'longitudinal-acma'!G207</f>
        <v>-0.14180173890474021</v>
      </c>
      <c r="H195" s="118" t="str">
        <f t="shared" si="33"/>
        <v xml:space="preserve">  - [45, 0.317, 0.732, 0, 0, 0, -0.142]</v>
      </c>
      <c r="I195" s="97">
        <f>'longitudinal-acma'!I195</f>
        <v>45</v>
      </c>
      <c r="J195" s="116">
        <f>'longitudinal-acma'!J195</f>
        <v>0.4836912606129834</v>
      </c>
      <c r="K195" s="116">
        <f>'longitudinal-acma'!K195</f>
        <v>0.13802608440277966</v>
      </c>
      <c r="L195" s="117">
        <v>0</v>
      </c>
      <c r="M195" s="117">
        <v>0</v>
      </c>
      <c r="N195" s="117">
        <v>0</v>
      </c>
      <c r="O195" s="116">
        <f>'longitudinal-acma'!O195</f>
        <v>-7.1374800547647693E-2</v>
      </c>
      <c r="P195" s="118" t="str">
        <f t="shared" si="34"/>
        <v xml:space="preserve">  - [45, 0.484, 0.138, 0, 0, 0, -0.071]</v>
      </c>
      <c r="Q195" s="97">
        <f>Report_table_graphs!Q195</f>
        <v>45</v>
      </c>
      <c r="R195" s="214">
        <f>Report_table_graphs!R195</f>
        <v>0.65960473532134545</v>
      </c>
      <c r="S195" s="214">
        <f>Report_table_graphs!S195</f>
        <v>0.74940707180917188</v>
      </c>
      <c r="T195" s="117">
        <v>0</v>
      </c>
      <c r="U195" s="117">
        <v>0</v>
      </c>
      <c r="V195" s="117">
        <v>0</v>
      </c>
      <c r="W195" s="214">
        <f>Report_table_graphs!W195</f>
        <v>-0.13415503211151447</v>
      </c>
      <c r="X195" s="118" t="str">
        <f t="shared" si="35"/>
        <v xml:space="preserve">  - [45, 0.660, 0.749, 0, 0, 0, -0.134]</v>
      </c>
      <c r="Y195" s="235">
        <f>Q195+180</f>
        <v>225</v>
      </c>
      <c r="Z195" t="str">
        <f>"  - ["&amp;Y195&amp;", "&amp;FIXED(-R195,3,1)&amp;", "&amp;FIXED(-S195,3,1)&amp;", 0, 0, 0"&amp;", "&amp;FIXED(W195,3,1)&amp;"]"</f>
        <v xml:space="preserve">  - [225, -0.660, -0.749, 0, 0, 0, -0.134]</v>
      </c>
    </row>
    <row r="196" spans="1:26" x14ac:dyDescent="0.25">
      <c r="A196" s="97">
        <f>'longitudinal-acma'!A208</f>
        <v>60</v>
      </c>
      <c r="B196" s="116">
        <f>'longitudinal-acma'!B208</f>
        <v>9.9835423851485042E-2</v>
      </c>
      <c r="C196" s="116">
        <f>'longitudinal-acma'!C208</f>
        <v>1.0346274715000183</v>
      </c>
      <c r="D196" s="117">
        <v>0</v>
      </c>
      <c r="E196" s="117">
        <v>0</v>
      </c>
      <c r="F196" s="117">
        <v>0</v>
      </c>
      <c r="G196" s="116">
        <f>'longitudinal-acma'!G208</f>
        <v>-0.10527239667434292</v>
      </c>
      <c r="H196" s="118" t="str">
        <f t="shared" si="33"/>
        <v xml:space="preserve">  - [60, 0.100, 1.035, 0, 0, 0, -0.105]</v>
      </c>
      <c r="I196" s="97">
        <f>'longitudinal-acma'!I196</f>
        <v>60</v>
      </c>
      <c r="J196" s="116">
        <f>'longitudinal-acma'!J196</f>
        <v>7.3312895500244377E-2</v>
      </c>
      <c r="K196" s="116">
        <f>'longitudinal-acma'!K196</f>
        <v>0.1374649777429896</v>
      </c>
      <c r="L196" s="117">
        <v>0</v>
      </c>
      <c r="M196" s="117">
        <v>0</v>
      </c>
      <c r="N196" s="117">
        <v>0</v>
      </c>
      <c r="O196" s="116">
        <f>'longitudinal-acma'!O196</f>
        <v>-5.611046244187385E-2</v>
      </c>
      <c r="P196" s="118" t="str">
        <f t="shared" si="34"/>
        <v xml:space="preserve">  - [60, 0.073, 0.137, 0, 0, 0, -0.056]</v>
      </c>
      <c r="Q196" s="97">
        <f>Report_table_graphs!Q196</f>
        <v>60</v>
      </c>
      <c r="R196" s="214">
        <f>Report_table_graphs!R196</f>
        <v>0.29731514617984733</v>
      </c>
      <c r="S196" s="214">
        <f>Report_table_graphs!S196</f>
        <v>0.86816241447725595</v>
      </c>
      <c r="T196" s="117">
        <v>0</v>
      </c>
      <c r="U196" s="117">
        <v>0</v>
      </c>
      <c r="V196" s="117">
        <v>0</v>
      </c>
      <c r="W196" s="214">
        <f>Report_table_graphs!W196</f>
        <v>-0.16655030001899607</v>
      </c>
      <c r="X196" s="118" t="str">
        <f t="shared" si="35"/>
        <v xml:space="preserve">  - [60, 0.297, 0.868, 0, 0, 0, -0.167]</v>
      </c>
      <c r="Y196" s="235">
        <f>Q196+180</f>
        <v>240</v>
      </c>
      <c r="Z196" t="str">
        <f>"  - ["&amp;Y196&amp;", "&amp;FIXED(-R196,3,1)&amp;", "&amp;FIXED(-S196,3,1)&amp;", 0, 0, 0"&amp;", "&amp;FIXED(W196,3,1)&amp;"]"</f>
        <v xml:space="preserve">  - [240, -0.297, -0.868, 0, 0, 0, -0.167]</v>
      </c>
    </row>
    <row r="197" spans="1:26" x14ac:dyDescent="0.25">
      <c r="A197" s="97">
        <f>'longitudinal-acma'!A209</f>
        <v>75</v>
      </c>
      <c r="B197" s="116">
        <f>'longitudinal-acma'!B209</f>
        <v>0.15079172924458056</v>
      </c>
      <c r="C197" s="116">
        <f>'longitudinal-acma'!C209</f>
        <v>1.0266600000327442</v>
      </c>
      <c r="D197" s="117">
        <v>0</v>
      </c>
      <c r="E197" s="117">
        <v>0</v>
      </c>
      <c r="F197" s="117">
        <v>0</v>
      </c>
      <c r="G197" s="116">
        <f>'longitudinal-acma'!G209</f>
        <v>-4.8567981449852013E-2</v>
      </c>
      <c r="H197" s="118" t="str">
        <f t="shared" si="33"/>
        <v xml:space="preserve">  - [75, 0.151, 1.027, 0, 0, 0, -0.049]</v>
      </c>
      <c r="I197" s="97">
        <f>'longitudinal-acma'!I197</f>
        <v>75</v>
      </c>
      <c r="J197" s="116">
        <f>'longitudinal-acma'!J197</f>
        <v>0.14961164699362781</v>
      </c>
      <c r="K197" s="116">
        <f>'longitudinal-acma'!K197</f>
        <v>0.11291665007329398</v>
      </c>
      <c r="L197" s="117">
        <v>0</v>
      </c>
      <c r="M197" s="117">
        <v>0</v>
      </c>
      <c r="N197" s="117">
        <v>0</v>
      </c>
      <c r="O197" s="116">
        <f>'longitudinal-acma'!O197</f>
        <v>-3.7222839151924869E-2</v>
      </c>
      <c r="P197" s="118" t="str">
        <f t="shared" si="34"/>
        <v xml:space="preserve">  - [75, 0.150, 0.113, 0, 0, 0, -0.037]</v>
      </c>
      <c r="Q197" s="97">
        <f>Report_table_graphs!Q197</f>
        <v>75</v>
      </c>
      <c r="R197" s="214">
        <f>Report_table_graphs!R197</f>
        <v>-0.14454899252413772</v>
      </c>
      <c r="S197" s="214">
        <f>Report_table_graphs!S197</f>
        <v>0.92405340941073921</v>
      </c>
      <c r="T197" s="117">
        <v>0</v>
      </c>
      <c r="U197" s="117">
        <v>0</v>
      </c>
      <c r="V197" s="117">
        <v>0</v>
      </c>
      <c r="W197" s="214">
        <f>Report_table_graphs!W197</f>
        <v>-9.3171626409037117E-2</v>
      </c>
      <c r="X197" s="118" t="str">
        <f t="shared" si="35"/>
        <v xml:space="preserve">  - [75, -0.145, 0.924, 0, 0, 0, -0.093]</v>
      </c>
      <c r="Y197" s="235">
        <f>Q197+180</f>
        <v>255</v>
      </c>
      <c r="Z197" t="str">
        <f>"  - ["&amp;Y197&amp;", "&amp;FIXED(-R197,3,1)&amp;", "&amp;FIXED(-S197,3,1)&amp;", 0, 0, 0"&amp;", "&amp;FIXED(W197,3,1)&amp;"]"</f>
        <v xml:space="preserve">  - [255, 0.145, -0.924, 0, 0, 0, -0.093]</v>
      </c>
    </row>
    <row r="198" spans="1:26" x14ac:dyDescent="0.25">
      <c r="A198" s="97">
        <f>'longitudinal-acma'!A210</f>
        <v>90</v>
      </c>
      <c r="B198" s="116">
        <f>'longitudinal-acma'!B210</f>
        <v>-3.0428437494667844E-2</v>
      </c>
      <c r="C198" s="116">
        <f>'longitudinal-acma'!C210</f>
        <v>0.91924520150500766</v>
      </c>
      <c r="D198" s="117">
        <v>0</v>
      </c>
      <c r="E198" s="117">
        <v>0</v>
      </c>
      <c r="F198" s="117">
        <v>0</v>
      </c>
      <c r="G198" s="116">
        <f>'longitudinal-acma'!G210</f>
        <v>3.6151708242358395E-2</v>
      </c>
      <c r="H198" s="118" t="str">
        <f t="shared" si="33"/>
        <v xml:space="preserve">  - [90, -0.030, 0.919, 0, 0, 0, 0.036]</v>
      </c>
      <c r="I198" s="97">
        <f>'longitudinal-acma'!I198</f>
        <v>90</v>
      </c>
      <c r="J198" s="116">
        <f>'longitudinal-acma'!J198</f>
        <v>-0.21922017881524056</v>
      </c>
      <c r="K198" s="116">
        <f>'longitudinal-acma'!K198</f>
        <v>-0.12174237067142167</v>
      </c>
      <c r="L198" s="117">
        <v>0</v>
      </c>
      <c r="M198" s="117">
        <v>0</v>
      </c>
      <c r="N198" s="117">
        <v>0</v>
      </c>
      <c r="O198" s="116">
        <f>'longitudinal-acma'!O198</f>
        <v>-1.5783610186505832E-3</v>
      </c>
      <c r="P198" s="118" t="str">
        <f t="shared" si="34"/>
        <v xml:space="preserve">  - [90, -0.219, -0.122, 0, 0, 0, -0.002]</v>
      </c>
      <c r="Q198" s="97">
        <f>Report_table_graphs!Q198</f>
        <v>90</v>
      </c>
      <c r="R198" s="214">
        <f>Report_table_graphs!R198</f>
        <v>-0.32885339980523309</v>
      </c>
      <c r="S198" s="214">
        <f>Report_table_graphs!S198</f>
        <v>1.0736948907324553</v>
      </c>
      <c r="T198" s="117">
        <v>0</v>
      </c>
      <c r="U198" s="117">
        <v>0</v>
      </c>
      <c r="V198" s="117">
        <v>0</v>
      </c>
      <c r="W198" s="214">
        <f>Report_table_graphs!W198</f>
        <v>-2.0085378041739422E-2</v>
      </c>
      <c r="X198" s="118" t="str">
        <f t="shared" si="35"/>
        <v xml:space="preserve">  - [90, -0.329, 1.074, 0, 0, 0, -0.020]</v>
      </c>
      <c r="Y198" s="235">
        <f>Q198+180</f>
        <v>270</v>
      </c>
      <c r="Z198" t="str">
        <f>"  - ["&amp;Y198&amp;", "&amp;FIXED(-R198,3,1)&amp;", "&amp;FIXED(-S198,3,1)&amp;", 0, 0, 0"&amp;", "&amp;FIXED(W198,3,1)&amp;"]"</f>
        <v xml:space="preserve">  - [270, 0.329, -1.074, 0, 0, 0, -0.020]</v>
      </c>
    </row>
    <row r="199" spans="1:26" x14ac:dyDescent="0.25">
      <c r="A199" s="97">
        <f>'longitudinal-acma'!A211</f>
        <v>105</v>
      </c>
      <c r="B199" s="116">
        <f>'longitudinal-acma'!B211</f>
        <v>-0.1367265906684324</v>
      </c>
      <c r="C199" s="116">
        <f>'longitudinal-acma'!C211</f>
        <v>0.81171398614934498</v>
      </c>
      <c r="D199" s="117">
        <v>0</v>
      </c>
      <c r="E199" s="117">
        <v>0</v>
      </c>
      <c r="F199" s="117">
        <v>0</v>
      </c>
      <c r="G199" s="116">
        <f>'longitudinal-acma'!G211</f>
        <v>2.8429620401801605E-2</v>
      </c>
      <c r="H199" s="118" t="str">
        <f t="shared" si="33"/>
        <v xml:space="preserve">  - [105, -0.137, 0.812, 0, 0, 0, 0.028]</v>
      </c>
      <c r="I199" s="97">
        <f>'longitudinal-acma'!I199</f>
        <v>105</v>
      </c>
      <c r="J199" s="116">
        <f>'longitudinal-acma'!J199</f>
        <v>-8.1673108704362701E-2</v>
      </c>
      <c r="K199" s="116">
        <f>'longitudinal-acma'!K199</f>
        <v>-8.5322782312607814E-2</v>
      </c>
      <c r="L199" s="117">
        <v>0</v>
      </c>
      <c r="M199" s="117">
        <v>0</v>
      </c>
      <c r="N199" s="117">
        <v>0</v>
      </c>
      <c r="O199" s="116">
        <f>'longitudinal-acma'!O199</f>
        <v>3.6870203348025343E-3</v>
      </c>
      <c r="P199" s="118" t="str">
        <f t="shared" si="34"/>
        <v xml:space="preserve">  - [105, -0.082, -0.085, 0, 0, 0, 0.004]</v>
      </c>
      <c r="Q199" s="97">
        <f>Report_table_graphs!Q199</f>
        <v>105</v>
      </c>
      <c r="R199" s="214">
        <f>Report_table_graphs!R199</f>
        <v>-0.38086949145523502</v>
      </c>
      <c r="S199" s="214">
        <f>Report_table_graphs!S199</f>
        <v>1.0166406516760373</v>
      </c>
      <c r="T199" s="117">
        <v>0</v>
      </c>
      <c r="U199" s="117">
        <v>0</v>
      </c>
      <c r="V199" s="117">
        <v>0</v>
      </c>
      <c r="W199" s="214">
        <f>Report_table_graphs!W199</f>
        <v>2.2468959282973981E-2</v>
      </c>
      <c r="X199" s="118" t="str">
        <f t="shared" si="35"/>
        <v xml:space="preserve">  - [105, -0.381, 1.017, 0, 0, 0, 0.022]</v>
      </c>
      <c r="Y199" s="235">
        <f>Q199+180</f>
        <v>285</v>
      </c>
      <c r="Z199" t="str">
        <f>"  - ["&amp;Y199&amp;", "&amp;FIXED(-R199,3,1)&amp;", "&amp;FIXED(-S199,3,1)&amp;", 0, 0, 0"&amp;", "&amp;FIXED(W199,3,1)&amp;"]"</f>
        <v xml:space="preserve">  - [285, 0.381, -1.017, 0, 0, 0, 0.022]</v>
      </c>
    </row>
    <row r="200" spans="1:26" x14ac:dyDescent="0.25">
      <c r="A200" s="97">
        <f>'longitudinal-acma'!A212</f>
        <v>120</v>
      </c>
      <c r="B200" s="116">
        <f>'longitudinal-acma'!B212</f>
        <v>-7.9000194582958677E-2</v>
      </c>
      <c r="C200" s="116">
        <f>'longitudinal-acma'!C212</f>
        <v>0.66216913045800996</v>
      </c>
      <c r="D200" s="117">
        <v>0</v>
      </c>
      <c r="E200" s="117">
        <v>0</v>
      </c>
      <c r="F200" s="117">
        <v>0</v>
      </c>
      <c r="G200" s="116">
        <f>'longitudinal-acma'!G212</f>
        <v>1.8990350135164581E-2</v>
      </c>
      <c r="H200" s="118" t="str">
        <f t="shared" si="33"/>
        <v xml:space="preserve">  - [120, -0.079, 0.662, 0, 0, 0, 0.019]</v>
      </c>
      <c r="I200" s="97">
        <f>'longitudinal-acma'!I200</f>
        <v>120</v>
      </c>
      <c r="J200" s="116">
        <f>'longitudinal-acma'!J200</f>
        <v>-3.8807797315235648E-2</v>
      </c>
      <c r="K200" s="116">
        <f>'longitudinal-acma'!K200</f>
        <v>-2.6571241512031766E-3</v>
      </c>
      <c r="L200" s="117">
        <v>0</v>
      </c>
      <c r="M200" s="117">
        <v>0</v>
      </c>
      <c r="N200" s="117">
        <v>0</v>
      </c>
      <c r="O200" s="116">
        <f>'longitudinal-acma'!O200</f>
        <v>1.8707554762955332E-2</v>
      </c>
      <c r="P200" s="118" t="str">
        <f t="shared" si="34"/>
        <v xml:space="preserve">  - [120, -0.039, -0.003, 0, 0, 0, 0.019]</v>
      </c>
      <c r="Q200" s="97">
        <f>Report_table_graphs!Q200</f>
        <v>120</v>
      </c>
      <c r="R200" s="214">
        <f>Report_table_graphs!R200</f>
        <v>-0.47648112154410022</v>
      </c>
      <c r="S200" s="214">
        <f>Report_table_graphs!S200</f>
        <v>0.80910469207999514</v>
      </c>
      <c r="T200" s="117">
        <v>0</v>
      </c>
      <c r="U200" s="117">
        <v>0</v>
      </c>
      <c r="V200" s="117">
        <v>0</v>
      </c>
      <c r="W200" s="214">
        <f>Report_table_graphs!W200</f>
        <v>3.6471115570450581E-2</v>
      </c>
      <c r="X200" s="118" t="str">
        <f t="shared" si="35"/>
        <v xml:space="preserve">  - [120, -0.476, 0.809, 0, 0, 0, 0.036]</v>
      </c>
      <c r="Y200" s="235">
        <f>Q200+180</f>
        <v>300</v>
      </c>
      <c r="Z200" t="str">
        <f>"  - ["&amp;Y200&amp;", "&amp;FIXED(-R200,3,1)&amp;", "&amp;FIXED(-S200,3,1)&amp;", 0, 0, 0"&amp;", "&amp;FIXED(W200,3,1)&amp;"]"</f>
        <v xml:space="preserve">  - [300, 0.476, -0.809, 0, 0, 0, 0.036]</v>
      </c>
    </row>
    <row r="201" spans="1:26" x14ac:dyDescent="0.25">
      <c r="A201" s="97">
        <f>'longitudinal-acma'!A213</f>
        <v>135</v>
      </c>
      <c r="B201" s="116">
        <f>'longitudinal-acma'!B213</f>
        <v>-0.2207744242965933</v>
      </c>
      <c r="C201" s="116">
        <f>'longitudinal-acma'!C213</f>
        <v>0.48676563954298957</v>
      </c>
      <c r="D201" s="117">
        <v>0</v>
      </c>
      <c r="E201" s="117">
        <v>0</v>
      </c>
      <c r="F201" s="117">
        <v>0</v>
      </c>
      <c r="G201" s="116">
        <f>'longitudinal-acma'!G213</f>
        <v>3.030262742259995E-2</v>
      </c>
      <c r="H201" s="118" t="str">
        <f t="shared" si="33"/>
        <v xml:space="preserve">  - [135, -0.221, 0.487, 0, 0, 0, 0.030]</v>
      </c>
      <c r="I201" s="97">
        <f>'longitudinal-acma'!I201</f>
        <v>135</v>
      </c>
      <c r="J201" s="116">
        <f>'longitudinal-acma'!J201</f>
        <v>-0.44268380266646035</v>
      </c>
      <c r="K201" s="116">
        <f>'longitudinal-acma'!K201</f>
        <v>0.18949062004875664</v>
      </c>
      <c r="L201" s="117">
        <v>0</v>
      </c>
      <c r="M201" s="117">
        <v>0</v>
      </c>
      <c r="N201" s="117">
        <v>0</v>
      </c>
      <c r="O201" s="116">
        <f>'longitudinal-acma'!O201</f>
        <v>5.3136870431442863E-2</v>
      </c>
      <c r="P201" s="118" t="str">
        <f t="shared" si="34"/>
        <v xml:space="preserve">  - [135, -0.443, 0.189, 0, 0, 0, 0.053]</v>
      </c>
      <c r="Q201" s="97">
        <f>Report_table_graphs!Q201</f>
        <v>135</v>
      </c>
      <c r="R201" s="214">
        <f>Report_table_graphs!R201</f>
        <v>-0.66519958713327032</v>
      </c>
      <c r="S201" s="214">
        <f>Report_table_graphs!S201</f>
        <v>0.50906049968371436</v>
      </c>
      <c r="T201" s="117">
        <v>0</v>
      </c>
      <c r="U201" s="117">
        <v>0</v>
      </c>
      <c r="V201" s="117">
        <v>0</v>
      </c>
      <c r="W201" s="214">
        <f>Report_table_graphs!W201</f>
        <v>6.3561293852584091E-2</v>
      </c>
      <c r="X201" s="118" t="str">
        <f t="shared" si="35"/>
        <v xml:space="preserve">  - [135, -0.665, 0.509, 0, 0, 0, 0.064]</v>
      </c>
      <c r="Y201" s="235">
        <f>Q201+180</f>
        <v>315</v>
      </c>
      <c r="Z201" t="str">
        <f>"  - ["&amp;Y201&amp;", "&amp;FIXED(-R201,3,1)&amp;", "&amp;FIXED(-S201,3,1)&amp;", 0, 0, 0"&amp;", "&amp;FIXED(W201,3,1)&amp;"]"</f>
        <v xml:space="preserve">  - [315, 0.665, -0.509, 0, 0, 0, 0.064]</v>
      </c>
    </row>
    <row r="202" spans="1:26" x14ac:dyDescent="0.25">
      <c r="A202" s="97">
        <f>'longitudinal-acma'!A214</f>
        <v>150</v>
      </c>
      <c r="B202" s="116">
        <f>'longitudinal-acma'!B214</f>
        <v>-0.25717369100531973</v>
      </c>
      <c r="C202" s="116">
        <f>'longitudinal-acma'!C214</f>
        <v>0.26569025395375129</v>
      </c>
      <c r="D202" s="117">
        <v>0</v>
      </c>
      <c r="E202" s="117">
        <v>0</v>
      </c>
      <c r="F202" s="117">
        <v>0</v>
      </c>
      <c r="G202" s="116">
        <f>'longitudinal-acma'!G214</f>
        <v>1.1119436201842171E-2</v>
      </c>
      <c r="H202" s="118" t="str">
        <f t="shared" si="33"/>
        <v xml:space="preserve">  - [150, -0.257, 0.266, 0, 0, 0, 0.011]</v>
      </c>
      <c r="I202" s="97">
        <f>'longitudinal-acma'!I202</f>
        <v>150</v>
      </c>
      <c r="J202" s="116">
        <f>'longitudinal-acma'!J202</f>
        <v>-0.50584699859258575</v>
      </c>
      <c r="K202" s="116">
        <f>'longitudinal-acma'!K202</f>
        <v>0.16461354253530552</v>
      </c>
      <c r="L202" s="117">
        <v>0</v>
      </c>
      <c r="M202" s="117">
        <v>0</v>
      </c>
      <c r="N202" s="117">
        <v>0</v>
      </c>
      <c r="O202" s="116">
        <f>'longitudinal-acma'!O202</f>
        <v>1.7398197352894443E-2</v>
      </c>
      <c r="P202" s="118" t="str">
        <f t="shared" si="34"/>
        <v xml:space="preserve">  - [150, -0.506, 0.165, 0, 0, 0, 0.017]</v>
      </c>
      <c r="Q202" s="97">
        <f>Report_table_graphs!Q202</f>
        <v>150</v>
      </c>
      <c r="R202" s="214">
        <f>Report_table_graphs!R202</f>
        <v>-0.67973825353632911</v>
      </c>
      <c r="S202" s="214">
        <f>Report_table_graphs!S202</f>
        <v>0.30464061917829088</v>
      </c>
      <c r="T202" s="117">
        <v>0</v>
      </c>
      <c r="U202" s="117">
        <v>0</v>
      </c>
      <c r="V202" s="117">
        <v>0</v>
      </c>
      <c r="W202" s="214">
        <f>Report_table_graphs!W202</f>
        <v>4.4806958288460166E-2</v>
      </c>
      <c r="X202" s="118" t="str">
        <f t="shared" si="35"/>
        <v xml:space="preserve">  - [150, -0.680, 0.305, 0, 0, 0, 0.045]</v>
      </c>
      <c r="Y202" s="235">
        <f>Q202+180</f>
        <v>330</v>
      </c>
      <c r="Z202" t="str">
        <f>"  - ["&amp;Y202&amp;", "&amp;FIXED(-R202,3,1)&amp;", "&amp;FIXED(-S202,3,1)&amp;", 0, 0, 0"&amp;", "&amp;FIXED(W202,3,1)&amp;"]"</f>
        <v xml:space="preserve">  - [330, 0.680, -0.305, 0, 0, 0, 0.045]</v>
      </c>
    </row>
    <row r="203" spans="1:26" x14ac:dyDescent="0.25">
      <c r="A203" s="97">
        <f>'longitudinal-acma'!A215</f>
        <v>165</v>
      </c>
      <c r="B203" s="116">
        <f>'longitudinal-acma'!B215</f>
        <v>-0.27533933085705375</v>
      </c>
      <c r="C203" s="116">
        <f>'longitudinal-acma'!C215</f>
        <v>8.0324998185502289E-2</v>
      </c>
      <c r="D203" s="117">
        <v>0</v>
      </c>
      <c r="E203" s="117">
        <v>0</v>
      </c>
      <c r="F203" s="117">
        <v>0</v>
      </c>
      <c r="G203" s="116">
        <f>'longitudinal-acma'!G215</f>
        <v>-4.6662161531216761E-4</v>
      </c>
      <c r="H203" s="118" t="str">
        <f t="shared" si="33"/>
        <v xml:space="preserve">  - [165, -0.275, 0.080, 0, 0, 0, 0.000]</v>
      </c>
      <c r="I203" s="97">
        <f>'longitudinal-acma'!I203</f>
        <v>165</v>
      </c>
      <c r="J203" s="116">
        <f>'longitudinal-acma'!J203</f>
        <v>-0.46292972791783066</v>
      </c>
      <c r="K203" s="116">
        <f>'longitudinal-acma'!K203</f>
        <v>8.2215628737120031E-2</v>
      </c>
      <c r="L203" s="117">
        <v>0</v>
      </c>
      <c r="M203" s="117">
        <v>0</v>
      </c>
      <c r="N203" s="117">
        <v>0</v>
      </c>
      <c r="O203" s="116">
        <f>'longitudinal-acma'!O203</f>
        <v>-1.7502713395726264E-3</v>
      </c>
      <c r="P203" s="118" t="str">
        <f t="shared" si="34"/>
        <v xml:space="preserve">  - [165, -0.463, 0.082, 0, 0, 0, -0.002]</v>
      </c>
      <c r="Q203" s="97">
        <f>Report_table_graphs!Q203</f>
        <v>165</v>
      </c>
      <c r="R203" s="214">
        <f>Report_table_graphs!R203</f>
        <v>-0.65976800737033015</v>
      </c>
      <c r="S203" s="214">
        <f>Report_table_graphs!S203</f>
        <v>0.11332964511144708</v>
      </c>
      <c r="T203" s="117">
        <v>0</v>
      </c>
      <c r="U203" s="117">
        <v>0</v>
      </c>
      <c r="V203" s="117">
        <v>0</v>
      </c>
      <c r="W203" s="214">
        <f>Report_table_graphs!W203</f>
        <v>2.3777583448270339E-2</v>
      </c>
      <c r="X203" s="118" t="str">
        <f t="shared" si="35"/>
        <v xml:space="preserve">  - [165, -0.660, 0.113, 0, 0, 0, 0.024]</v>
      </c>
      <c r="Y203" s="235">
        <f>Q203+180</f>
        <v>345</v>
      </c>
      <c r="Z203" t="str">
        <f>"  - ["&amp;Y203&amp;", "&amp;FIXED(-R203,3,1)&amp;", "&amp;FIXED(-S203,3,1)&amp;", 0, 0, 0"&amp;", "&amp;FIXED(W203,3,1)&amp;"]"</f>
        <v xml:space="preserve">  - [345, 0.660, -0.113, 0, 0, 0, 0.024]</v>
      </c>
    </row>
    <row r="204" spans="1:26" x14ac:dyDescent="0.25">
      <c r="A204" s="97">
        <f>'longitudinal-acma'!A192</f>
        <v>180</v>
      </c>
      <c r="B204" s="116">
        <f>'longitudinal-acma'!B192</f>
        <v>-0.17568708473902206</v>
      </c>
      <c r="C204" s="116">
        <f>'longitudinal-acma'!C192</f>
        <v>8.5419744535567468E-3</v>
      </c>
      <c r="D204" s="117">
        <v>0</v>
      </c>
      <c r="E204" s="117">
        <v>0</v>
      </c>
      <c r="F204" s="117">
        <v>0</v>
      </c>
      <c r="G204" s="116">
        <f>'longitudinal-acma'!G192</f>
        <v>-5.1662959538290899E-4</v>
      </c>
      <c r="H204" s="118" t="str">
        <f t="shared" si="33"/>
        <v xml:space="preserve">  - [180, -0.176, 0.009, 0, 0, 0, -0.001]</v>
      </c>
      <c r="I204" s="97">
        <f>'longitudinal-acma'!I204</f>
        <v>180</v>
      </c>
      <c r="J204" s="116">
        <f>'longitudinal-acma'!J204</f>
        <v>-0.19602598534509319</v>
      </c>
      <c r="K204" s="116">
        <f>'longitudinal-acma'!K204</f>
        <v>-5.7300182444565667E-4</v>
      </c>
      <c r="L204" s="117">
        <v>0</v>
      </c>
      <c r="M204" s="117">
        <v>0</v>
      </c>
      <c r="N204" s="117">
        <v>0</v>
      </c>
      <c r="O204" s="116">
        <f>'longitudinal-acma'!O204</f>
        <v>-1.135762927773755E-3</v>
      </c>
      <c r="P204" s="118" t="str">
        <f t="shared" si="34"/>
        <v xml:space="preserve">  - [180, -0.196, -0.001, 0, 0, 0, -0.001]</v>
      </c>
      <c r="Q204" s="97">
        <f>Report_table_graphs!Q204</f>
        <v>180</v>
      </c>
      <c r="R204" s="214">
        <f>Report_table_graphs!R204</f>
        <v>-0.74547449617301231</v>
      </c>
      <c r="S204" s="214">
        <f>Report_table_graphs!S204</f>
        <v>-6.2961242761024883E-3</v>
      </c>
      <c r="T204" s="117">
        <v>0</v>
      </c>
      <c r="U204" s="117">
        <v>0</v>
      </c>
      <c r="V204" s="117">
        <v>0</v>
      </c>
      <c r="W204" s="214">
        <f>Report_table_graphs!W204</f>
        <v>-1.3173880905189447E-2</v>
      </c>
      <c r="X204" s="118" t="str">
        <f t="shared" si="35"/>
        <v xml:space="preserve">  - [180, -0.745, -0.006, 0, 0, 0, -0.013]</v>
      </c>
      <c r="Y204" s="236">
        <f>Q204+180-360</f>
        <v>0</v>
      </c>
      <c r="Z204" t="str">
        <f>"  - ["&amp;Y204&amp;", "&amp;FIXED(-R204,3,1)&amp;", "&amp;FIXED(-S204,3,1)&amp;", 0, 0, 0"&amp;", "&amp;FIXED(W204,3,1)&amp;"]"</f>
        <v xml:space="preserve">  - [0, 0.745, 0.006, 0, 0, 0, -0.013]</v>
      </c>
    </row>
    <row r="205" spans="1:26" x14ac:dyDescent="0.25">
      <c r="A205" s="97">
        <f>'longitudinal-acma'!A193</f>
        <v>195</v>
      </c>
      <c r="B205" s="116">
        <f>'longitudinal-acma'!B193</f>
        <v>-0.47098985635084273</v>
      </c>
      <c r="C205" s="116">
        <f>'longitudinal-acma'!C193</f>
        <v>-9.6072544943017299E-2</v>
      </c>
      <c r="D205" s="117">
        <v>0</v>
      </c>
      <c r="E205" s="117">
        <v>0</v>
      </c>
      <c r="F205" s="117">
        <v>0</v>
      </c>
      <c r="G205" s="116">
        <f>'longitudinal-acma'!G193</f>
        <v>1.2314711065874654E-2</v>
      </c>
      <c r="H205" s="118" t="str">
        <f t="shared" si="33"/>
        <v xml:space="preserve">  - [195, -0.471, -0.096, 0, 0, 0, 0.012]</v>
      </c>
      <c r="I205" s="98">
        <f>'longitudinal-acma'!I205</f>
        <v>195</v>
      </c>
      <c r="J205" s="116">
        <f>'longitudinal-acma'!J205</f>
        <v>-0.26632524355049342</v>
      </c>
      <c r="K205" s="116">
        <f>'longitudinal-acma'!K205</f>
        <v>-7.3012433106630276E-2</v>
      </c>
      <c r="L205" s="117">
        <v>0</v>
      </c>
      <c r="M205" s="117">
        <v>0</v>
      </c>
      <c r="N205" s="117">
        <v>0</v>
      </c>
      <c r="O205" s="116">
        <f>'longitudinal-acma'!O205</f>
        <v>1.0276780823772276E-3</v>
      </c>
      <c r="P205" s="118" t="str">
        <f t="shared" si="34"/>
        <v xml:space="preserve">  - [195, -0.266, -0.073, 0, 0, 0, 0.001]</v>
      </c>
      <c r="Q205" s="98">
        <f>Report_table_graphs!Q205</f>
        <v>195</v>
      </c>
      <c r="R205" s="214">
        <f>Report_table_graphs!R205</f>
        <v>-0.14322372238185632</v>
      </c>
      <c r="S205" s="214">
        <f>Report_table_graphs!S205</f>
        <v>-7.0180445552272652E-2</v>
      </c>
      <c r="T205" s="117">
        <v>0</v>
      </c>
      <c r="U205" s="117">
        <v>0</v>
      </c>
      <c r="V205" s="117">
        <v>0</v>
      </c>
      <c r="W205" s="214">
        <f>Report_table_graphs!W205</f>
        <v>-4.8440423496839006E-3</v>
      </c>
      <c r="X205" s="118" t="str">
        <f t="shared" si="35"/>
        <v xml:space="preserve">  - [195, -0.143, -0.070, 0, 0, 0, -0.005]</v>
      </c>
      <c r="Y205" s="236">
        <f t="shared" ref="Y205:Y215" si="36">Q205+180-360</f>
        <v>15</v>
      </c>
      <c r="Z205" t="str">
        <f>"  - ["&amp;Y205&amp;", "&amp;FIXED(-R205,3,1)&amp;", "&amp;FIXED(-S205,3,1)&amp;", 0, 0, 0"&amp;", "&amp;FIXED(W205,3,1)&amp;"]"</f>
        <v xml:space="preserve">  - [15, 0.143, 0.070, 0, 0, 0, -0.005]</v>
      </c>
    </row>
    <row r="206" spans="1:26" x14ac:dyDescent="0.25">
      <c r="A206" s="97">
        <f>'longitudinal-acma'!A194</f>
        <v>210</v>
      </c>
      <c r="B206" s="116">
        <f>'longitudinal-acma'!B194</f>
        <v>-0.15144137094487492</v>
      </c>
      <c r="C206" s="116">
        <f>'longitudinal-acma'!C194</f>
        <v>-7.0662200773818601E-2</v>
      </c>
      <c r="D206" s="117">
        <v>0</v>
      </c>
      <c r="E206" s="117">
        <v>0</v>
      </c>
      <c r="F206" s="117">
        <v>0</v>
      </c>
      <c r="G206" s="116">
        <f>'longitudinal-acma'!G194</f>
        <v>2.5181753920444874E-2</v>
      </c>
      <c r="H206" s="118" t="str">
        <f t="shared" si="33"/>
        <v xml:space="preserve">  - [210, -0.151, -0.071, 0, 0, 0, 0.025]</v>
      </c>
      <c r="I206" s="98">
        <f>'longitudinal-acma'!I206</f>
        <v>210</v>
      </c>
      <c r="J206" s="116">
        <f>'longitudinal-acma'!J206</f>
        <v>-0.31873579764626164</v>
      </c>
      <c r="K206" s="116">
        <f>'longitudinal-acma'!K206</f>
        <v>-0.27245632597570973</v>
      </c>
      <c r="L206" s="117">
        <v>0</v>
      </c>
      <c r="M206" s="117">
        <v>0</v>
      </c>
      <c r="N206" s="117">
        <v>0</v>
      </c>
      <c r="O206" s="116">
        <f>'longitudinal-acma'!O206</f>
        <v>-9.2929210270160465E-3</v>
      </c>
      <c r="P206" s="118" t="str">
        <f t="shared" si="34"/>
        <v xml:space="preserve">  - [210, -0.319, -0.272, 0, 0, 0, -0.009]</v>
      </c>
      <c r="Q206" s="98">
        <f>Report_table_graphs!Q206</f>
        <v>210</v>
      </c>
      <c r="R206" s="214">
        <f>Report_table_graphs!R206</f>
        <v>-8.3047234322797495E-2</v>
      </c>
      <c r="S206" s="214">
        <f>Report_table_graphs!S206</f>
        <v>-5.4535292439095211E-2</v>
      </c>
      <c r="T206" s="117">
        <v>0</v>
      </c>
      <c r="U206" s="117">
        <v>0</v>
      </c>
      <c r="V206" s="117">
        <v>0</v>
      </c>
      <c r="W206" s="214">
        <f>Report_table_graphs!W206</f>
        <v>2.1373354346460455E-3</v>
      </c>
      <c r="X206" s="118" t="str">
        <f t="shared" si="35"/>
        <v xml:space="preserve">  - [210, -0.083, -0.055, 0, 0, 0, 0.002]</v>
      </c>
      <c r="Y206" s="236">
        <f t="shared" si="36"/>
        <v>30</v>
      </c>
      <c r="Z206" t="str">
        <f>"  - ["&amp;Y206&amp;", "&amp;FIXED(-R206,3,1)&amp;", "&amp;FIXED(-S206,3,1)&amp;", 0, 0, 0"&amp;", "&amp;FIXED(W206,3,1)&amp;"]"</f>
        <v xml:space="preserve">  - [30, 0.083, 0.055, 0, 0, 0, 0.002]</v>
      </c>
    </row>
    <row r="207" spans="1:26" x14ac:dyDescent="0.25">
      <c r="A207" s="97">
        <f>'longitudinal-acma'!A195</f>
        <v>225</v>
      </c>
      <c r="B207" s="116">
        <f>'longitudinal-acma'!B195</f>
        <v>-0.11005243598730736</v>
      </c>
      <c r="C207" s="116">
        <f>'longitudinal-acma'!C195</f>
        <v>-0.17425560992913447</v>
      </c>
      <c r="D207" s="117">
        <v>0</v>
      </c>
      <c r="E207" s="117">
        <v>0</v>
      </c>
      <c r="F207" s="117">
        <v>0</v>
      </c>
      <c r="G207" s="116">
        <f>'longitudinal-acma'!G195</f>
        <v>8.3081062336370387E-2</v>
      </c>
      <c r="H207" s="118" t="str">
        <f t="shared" si="33"/>
        <v xml:space="preserve">  - [225, -0.110, -0.174, 0, 0, 0, 0.083]</v>
      </c>
      <c r="I207" s="98">
        <f>'longitudinal-acma'!I207</f>
        <v>225</v>
      </c>
      <c r="J207" s="116">
        <f>'longitudinal-acma'!J207</f>
        <v>-0.29505843946513194</v>
      </c>
      <c r="K207" s="116">
        <f>'longitudinal-acma'!K207</f>
        <v>-0.49865279368126059</v>
      </c>
      <c r="L207" s="117">
        <v>0</v>
      </c>
      <c r="M207" s="117">
        <v>0</v>
      </c>
      <c r="N207" s="117">
        <v>0</v>
      </c>
      <c r="O207" s="116">
        <f>'longitudinal-acma'!O207</f>
        <v>-1.6033837743517569E-2</v>
      </c>
      <c r="P207" s="118" t="str">
        <f t="shared" si="34"/>
        <v xml:space="preserve">  - [225, -0.295, -0.499, 0, 0, 0, -0.016]</v>
      </c>
      <c r="Q207" s="98">
        <f>Report_table_graphs!Q207</f>
        <v>225</v>
      </c>
      <c r="R207" s="214">
        <f>Report_table_graphs!R207</f>
        <v>3.3051322024026601E-2</v>
      </c>
      <c r="S207" s="214">
        <f>Report_table_graphs!S207</f>
        <v>-8.0670096268219346E-2</v>
      </c>
      <c r="T207" s="117">
        <v>0</v>
      </c>
      <c r="U207" s="117">
        <v>0</v>
      </c>
      <c r="V207" s="117">
        <v>0</v>
      </c>
      <c r="W207" s="214">
        <f>Report_table_graphs!W207</f>
        <v>3.669915063511889E-3</v>
      </c>
      <c r="X207" s="118" t="str">
        <f t="shared" si="35"/>
        <v xml:space="preserve">  - [225, 0.033, -0.081, 0, 0, 0, 0.004]</v>
      </c>
      <c r="Y207" s="236">
        <f t="shared" si="36"/>
        <v>45</v>
      </c>
      <c r="Z207" t="str">
        <f>"  - ["&amp;Y207&amp;", "&amp;FIXED(-R207,3,1)&amp;", "&amp;FIXED(-S207,3,1)&amp;", 0, 0, 0"&amp;", "&amp;FIXED(W207,3,1)&amp;"]"</f>
        <v xml:space="preserve">  - [45, -0.033, 0.081, 0, 0, 0, 0.004]</v>
      </c>
    </row>
    <row r="208" spans="1:26" x14ac:dyDescent="0.25">
      <c r="A208" s="97">
        <f>'longitudinal-acma'!A196</f>
        <v>240</v>
      </c>
      <c r="B208" s="116">
        <f>'longitudinal-acma'!B196</f>
        <v>-5.7231754565363925E-2</v>
      </c>
      <c r="C208" s="116">
        <f>'longitudinal-acma'!C196</f>
        <v>-0.25394670955345994</v>
      </c>
      <c r="D208" s="117">
        <v>0</v>
      </c>
      <c r="E208" s="117">
        <v>0</v>
      </c>
      <c r="F208" s="117">
        <v>0</v>
      </c>
      <c r="G208" s="116">
        <f>'longitudinal-acma'!G196</f>
        <v>7.8101351491990448E-2</v>
      </c>
      <c r="H208" s="118" t="str">
        <f t="shared" si="33"/>
        <v xml:space="preserve">  - [240, -0.057, -0.254, 0, 0, 0, 0.078]</v>
      </c>
      <c r="I208" s="98">
        <f>'longitudinal-acma'!I208</f>
        <v>240</v>
      </c>
      <c r="J208" s="116">
        <f>'longitudinal-acma'!J208</f>
        <v>-3.3451826581146218E-2</v>
      </c>
      <c r="K208" s="116">
        <f>'longitudinal-acma'!K208</f>
        <v>-0.68944084212802015</v>
      </c>
      <c r="L208" s="117">
        <v>0</v>
      </c>
      <c r="M208" s="117">
        <v>0</v>
      </c>
      <c r="N208" s="117">
        <v>0</v>
      </c>
      <c r="O208" s="116">
        <f>'longitudinal-acma'!O208</f>
        <v>-1.3246900837502917E-2</v>
      </c>
      <c r="P208" s="118" t="str">
        <f t="shared" si="34"/>
        <v xml:space="preserve">  - [240, -0.033, -0.689, 0, 0, 0, -0.013]</v>
      </c>
      <c r="Q208" s="98">
        <f>Report_table_graphs!Q208</f>
        <v>240</v>
      </c>
      <c r="R208" s="214">
        <f>Report_table_graphs!R208</f>
        <v>0.12823259019993669</v>
      </c>
      <c r="S208" s="214">
        <f>Report_table_graphs!S208</f>
        <v>-1.5089160245071134E-2</v>
      </c>
      <c r="T208" s="117">
        <v>0</v>
      </c>
      <c r="U208" s="117">
        <v>0</v>
      </c>
      <c r="V208" s="117">
        <v>0</v>
      </c>
      <c r="W208" s="214">
        <f>Report_table_graphs!W208</f>
        <v>8.0264431494380221E-3</v>
      </c>
      <c r="X208" s="118" t="str">
        <f t="shared" si="35"/>
        <v xml:space="preserve">  - [240, 0.128, -0.015, 0, 0, 0, 0.008]</v>
      </c>
      <c r="Y208" s="236">
        <f t="shared" si="36"/>
        <v>60</v>
      </c>
      <c r="Z208" t="str">
        <f>"  - ["&amp;Y208&amp;", "&amp;FIXED(-R208,3,1)&amp;", "&amp;FIXED(-S208,3,1)&amp;", 0, 0, 0"&amp;", "&amp;FIXED(W208,3,1)&amp;"]"</f>
        <v xml:space="preserve">  - [60, -0.128, 0.015, 0, 0, 0, 0.008]</v>
      </c>
    </row>
    <row r="209" spans="1:26" x14ac:dyDescent="0.25">
      <c r="A209" s="97">
        <f>'longitudinal-acma'!A197</f>
        <v>255</v>
      </c>
      <c r="B209" s="116">
        <f>'longitudinal-acma'!B197</f>
        <v>-0.11745215319608615</v>
      </c>
      <c r="C209" s="116">
        <f>'longitudinal-acma'!C197</f>
        <v>-0.33949895103404065</v>
      </c>
      <c r="D209" s="117">
        <v>0</v>
      </c>
      <c r="E209" s="117">
        <v>0</v>
      </c>
      <c r="F209" s="117">
        <v>0</v>
      </c>
      <c r="G209" s="116">
        <f>'longitudinal-acma'!G197</f>
        <v>0.14054526504444118</v>
      </c>
      <c r="H209" s="118" t="str">
        <f t="shared" si="33"/>
        <v xml:space="preserve">  - [255, -0.117, -0.339, 0, 0, 0, 0.141]</v>
      </c>
      <c r="I209" s="98">
        <f>'longitudinal-acma'!I209</f>
        <v>255</v>
      </c>
      <c r="J209" s="116">
        <f>'longitudinal-acma'!J209</f>
        <v>-9.416631867004488E-2</v>
      </c>
      <c r="K209" s="116">
        <f>'longitudinal-acma'!K209</f>
        <v>-0.86898373472454693</v>
      </c>
      <c r="L209" s="117">
        <v>0</v>
      </c>
      <c r="M209" s="117">
        <v>0</v>
      </c>
      <c r="N209" s="117">
        <v>0</v>
      </c>
      <c r="O209" s="116">
        <f>'longitudinal-acma'!O209</f>
        <v>-2.3109690485044757E-2</v>
      </c>
      <c r="P209" s="118" t="str">
        <f t="shared" si="34"/>
        <v xml:space="preserve">  - [255, -0.094, -0.869, 0, 0, 0, -0.023]</v>
      </c>
      <c r="Q209" s="98">
        <f>Report_table_graphs!Q209</f>
        <v>255</v>
      </c>
      <c r="R209" s="214">
        <f>Report_table_graphs!R209</f>
        <v>0.15045823665118419</v>
      </c>
      <c r="S209" s="214">
        <f>Report_table_graphs!S209</f>
        <v>8.0368225791437015E-2</v>
      </c>
      <c r="T209" s="117">
        <v>0</v>
      </c>
      <c r="U209" s="117">
        <v>0</v>
      </c>
      <c r="V209" s="117">
        <v>0</v>
      </c>
      <c r="W209" s="214">
        <f>Report_table_graphs!W209</f>
        <v>1.562788722761662E-2</v>
      </c>
      <c r="X209" s="118" t="str">
        <f t="shared" si="35"/>
        <v xml:space="preserve">  - [255, 0.150, 0.080, 0, 0, 0, 0.016]</v>
      </c>
      <c r="Y209" s="236">
        <f t="shared" si="36"/>
        <v>75</v>
      </c>
      <c r="Z209" t="str">
        <f>"  - ["&amp;Y209&amp;", "&amp;FIXED(-R209,3,1)&amp;", "&amp;FIXED(-S209,3,1)&amp;", 0, 0, 0"&amp;", "&amp;FIXED(W209,3,1)&amp;"]"</f>
        <v xml:space="preserve">  - [75, -0.150, -0.080, 0, 0, 0, 0.016]</v>
      </c>
    </row>
    <row r="210" spans="1:26" x14ac:dyDescent="0.25">
      <c r="A210" s="97">
        <f>'longitudinal-acma'!A198</f>
        <v>270</v>
      </c>
      <c r="B210" s="116">
        <f>'longitudinal-acma'!B198</f>
        <v>-4.9773139194543771E-2</v>
      </c>
      <c r="C210" s="116">
        <f>'longitudinal-acma'!C198</f>
        <v>-0.48442610082469462</v>
      </c>
      <c r="D210" s="117">
        <v>0</v>
      </c>
      <c r="E210" s="117">
        <v>0</v>
      </c>
      <c r="F210" s="117">
        <v>0</v>
      </c>
      <c r="G210" s="116">
        <f>'longitudinal-acma'!G198</f>
        <v>0.15611227741073283</v>
      </c>
      <c r="H210" s="118" t="str">
        <f t="shared" si="33"/>
        <v xml:space="preserve">  - [270, -0.050, -0.484, 0, 0, 0, 0.156]</v>
      </c>
      <c r="I210" s="98">
        <f>'longitudinal-acma'!I210</f>
        <v>270</v>
      </c>
      <c r="J210" s="116">
        <f>'longitudinal-acma'!J210</f>
        <v>-9.378771071098236E-3</v>
      </c>
      <c r="K210" s="116">
        <f>'longitudinal-acma'!K210</f>
        <v>-0.83658119352048865</v>
      </c>
      <c r="L210" s="117">
        <v>0</v>
      </c>
      <c r="M210" s="117">
        <v>0</v>
      </c>
      <c r="N210" s="117">
        <v>0</v>
      </c>
      <c r="O210" s="116">
        <f>'longitudinal-acma'!O210</f>
        <v>-2.491007002876405E-2</v>
      </c>
      <c r="P210" s="118" t="str">
        <f t="shared" si="34"/>
        <v xml:space="preserve">  - [270, -0.009, -0.837, 0, 0, 0, -0.025]</v>
      </c>
      <c r="Q210" s="98">
        <f>Report_table_graphs!Q210</f>
        <v>270</v>
      </c>
      <c r="R210" s="214">
        <f>Report_table_graphs!R210</f>
        <v>-1.1730397847322134E-2</v>
      </c>
      <c r="S210" s="214">
        <f>Report_table_graphs!S210</f>
        <v>-5.2146346792619952E-2</v>
      </c>
      <c r="T210" s="117">
        <v>0</v>
      </c>
      <c r="U210" s="117">
        <v>0</v>
      </c>
      <c r="V210" s="117">
        <v>0</v>
      </c>
      <c r="W210" s="214">
        <f>Report_table_graphs!W210</f>
        <v>4.1155297813131916E-2</v>
      </c>
      <c r="X210" s="118" t="str">
        <f t="shared" si="35"/>
        <v xml:space="preserve">  - [270, -0.012, -0.052, 0, 0, 0, 0.041]</v>
      </c>
      <c r="Y210" s="236">
        <f t="shared" si="36"/>
        <v>90</v>
      </c>
      <c r="Z210" t="str">
        <f>"  - ["&amp;Y210&amp;", "&amp;FIXED(-R210,3,1)&amp;", "&amp;FIXED(-S210,3,1)&amp;", 0, 0, 0"&amp;", "&amp;FIXED(W210,3,1)&amp;"]"</f>
        <v xml:space="preserve">  - [90, 0.012, 0.052, 0, 0, 0, 0.041]</v>
      </c>
    </row>
    <row r="211" spans="1:26" x14ac:dyDescent="0.25">
      <c r="A211" s="97">
        <f>'longitudinal-acma'!A199</f>
        <v>285</v>
      </c>
      <c r="B211" s="116">
        <f>'longitudinal-acma'!B199</f>
        <v>0.27382936477624009</v>
      </c>
      <c r="C211" s="116">
        <f>'longitudinal-acma'!C199</f>
        <v>-0.6442898672756282</v>
      </c>
      <c r="D211" s="117">
        <v>0</v>
      </c>
      <c r="E211" s="117">
        <v>0</v>
      </c>
      <c r="F211" s="117">
        <v>0</v>
      </c>
      <c r="G211" s="116">
        <f>'longitudinal-acma'!G199</f>
        <v>0.14910479916108629</v>
      </c>
      <c r="H211" s="118" t="str">
        <f t="shared" si="33"/>
        <v xml:space="preserve">  - [285, 0.274, -0.644, 0, 0, 0, 0.149]</v>
      </c>
      <c r="I211" s="98">
        <f>'longitudinal-acma'!I211</f>
        <v>285</v>
      </c>
      <c r="J211" s="116">
        <f>'longitudinal-acma'!J211</f>
        <v>0.11418597805485389</v>
      </c>
      <c r="K211" s="116">
        <f>'longitudinal-acma'!K211</f>
        <v>-0.89752269471891744</v>
      </c>
      <c r="L211" s="117">
        <v>0</v>
      </c>
      <c r="M211" s="117">
        <v>0</v>
      </c>
      <c r="N211" s="117">
        <v>0</v>
      </c>
      <c r="O211" s="116">
        <f>'longitudinal-acma'!O211</f>
        <v>4.4306388094853551E-2</v>
      </c>
      <c r="P211" s="118" t="str">
        <f t="shared" si="34"/>
        <v xml:space="preserve">  - [285, 0.114, -0.898, 0, 0, 0, 0.044]</v>
      </c>
      <c r="Q211" s="98">
        <f>Report_table_graphs!Q211</f>
        <v>285</v>
      </c>
      <c r="R211" s="214">
        <f>Report_table_graphs!R211</f>
        <v>0.12282865362787938</v>
      </c>
      <c r="S211" s="214">
        <f>Report_table_graphs!S211</f>
        <v>-0.16047680275914944</v>
      </c>
      <c r="T211" s="117">
        <v>0</v>
      </c>
      <c r="U211" s="117">
        <v>0</v>
      </c>
      <c r="V211" s="117">
        <v>0</v>
      </c>
      <c r="W211" s="214">
        <f>Report_table_graphs!W211</f>
        <v>4.6616983560581422E-2</v>
      </c>
      <c r="X211" s="118" t="str">
        <f t="shared" si="35"/>
        <v xml:space="preserve">  - [285, 0.123, -0.160, 0, 0, 0, 0.047]</v>
      </c>
      <c r="Y211" s="236">
        <f t="shared" si="36"/>
        <v>105</v>
      </c>
      <c r="Z211" t="str">
        <f>"  - ["&amp;Y211&amp;", "&amp;FIXED(-R211,3,1)&amp;", "&amp;FIXED(-S211,3,1)&amp;", 0, 0, 0"&amp;", "&amp;FIXED(W211,3,1)&amp;"]"</f>
        <v xml:space="preserve">  - [105, -0.123, 0.160, 0, 0, 0, 0.047]</v>
      </c>
    </row>
    <row r="212" spans="1:26" x14ac:dyDescent="0.25">
      <c r="A212" s="97">
        <f>'longitudinal-acma'!A200</f>
        <v>300</v>
      </c>
      <c r="B212" s="116">
        <f>'longitudinal-acma'!B200</f>
        <v>0.13988793181949058</v>
      </c>
      <c r="C212" s="116">
        <f>'longitudinal-acma'!C200</f>
        <v>-0.72430872564190152</v>
      </c>
      <c r="D212" s="117">
        <v>0</v>
      </c>
      <c r="E212" s="117">
        <v>0</v>
      </c>
      <c r="F212" s="117">
        <v>0</v>
      </c>
      <c r="G212" s="116">
        <f>'longitudinal-acma'!G200</f>
        <v>0.19689927120522102</v>
      </c>
      <c r="H212" s="118" t="str">
        <f t="shared" si="33"/>
        <v xml:space="preserve">  - [300, 0.140, -0.724, 0, 0, 0, 0.197]</v>
      </c>
      <c r="I212" s="98">
        <f>'longitudinal-acma'!I212</f>
        <v>300</v>
      </c>
      <c r="J212" s="116">
        <f>'longitudinal-acma'!J212</f>
        <v>8.6048229447250574E-2</v>
      </c>
      <c r="K212" s="116">
        <f>'longitudinal-acma'!K212</f>
        <v>-0.8662010397762534</v>
      </c>
      <c r="L212" s="117">
        <v>0</v>
      </c>
      <c r="M212" s="117">
        <v>0</v>
      </c>
      <c r="N212" s="117">
        <v>0</v>
      </c>
      <c r="O212" s="116">
        <f>'longitudinal-acma'!O212</f>
        <v>6.1917547762153413E-2</v>
      </c>
      <c r="P212" s="118" t="str">
        <f t="shared" si="34"/>
        <v xml:space="preserve">  - [300, 0.086, -0.866, 0, 0, 0, 0.062]</v>
      </c>
      <c r="Q212" s="98">
        <f>Report_table_graphs!Q212</f>
        <v>300</v>
      </c>
      <c r="R212" s="214">
        <f>Report_table_graphs!R212</f>
        <v>0.45481888322043179</v>
      </c>
      <c r="S212" s="214">
        <f>Report_table_graphs!S212</f>
        <v>-0.24167618201588334</v>
      </c>
      <c r="T212" s="117">
        <v>0</v>
      </c>
      <c r="U212" s="117">
        <v>0</v>
      </c>
      <c r="V212" s="117">
        <v>0</v>
      </c>
      <c r="W212" s="214">
        <f>Report_table_graphs!W212</f>
        <v>7.1605648645282349E-2</v>
      </c>
      <c r="X212" s="118" t="str">
        <f t="shared" si="35"/>
        <v xml:space="preserve">  - [300, 0.455, -0.242, 0, 0, 0, 0.072]</v>
      </c>
      <c r="Y212" s="236">
        <f t="shared" si="36"/>
        <v>120</v>
      </c>
      <c r="Z212" t="str">
        <f>"  - ["&amp;Y212&amp;", "&amp;FIXED(-R212,3,1)&amp;", "&amp;FIXED(-S212,3,1)&amp;", 0, 0, 0"&amp;", "&amp;FIXED(W212,3,1)&amp;"]"</f>
        <v xml:space="preserve">  - [120, -0.455, 0.242, 0, 0, 0, 0.072]</v>
      </c>
    </row>
    <row r="213" spans="1:26" x14ac:dyDescent="0.25">
      <c r="A213" s="97">
        <f>'longitudinal-acma'!A201</f>
        <v>315</v>
      </c>
      <c r="B213" s="116">
        <f>'longitudinal-acma'!B201</f>
        <v>0.45313688267808255</v>
      </c>
      <c r="C213" s="116">
        <f>'longitudinal-acma'!C201</f>
        <v>-0.55678728263182464</v>
      </c>
      <c r="D213" s="117">
        <v>0</v>
      </c>
      <c r="E213" s="117">
        <v>0</v>
      </c>
      <c r="F213" s="117">
        <v>0</v>
      </c>
      <c r="G213" s="116">
        <f>'longitudinal-acma'!G201</f>
        <v>0.17644456300572398</v>
      </c>
      <c r="H213" s="118" t="str">
        <f t="shared" si="33"/>
        <v xml:space="preserve">  - [315, 0.453, -0.557, 0, 0, 0, 0.176]</v>
      </c>
      <c r="I213" s="98">
        <f>'longitudinal-acma'!I213</f>
        <v>315</v>
      </c>
      <c r="J213" s="116">
        <f>'longitudinal-acma'!J213</f>
        <v>0.56090862488394666</v>
      </c>
      <c r="K213" s="116">
        <f>'longitudinal-acma'!K213</f>
        <v>-0.58065742670107967</v>
      </c>
      <c r="L213" s="117">
        <v>0</v>
      </c>
      <c r="M213" s="117">
        <v>0</v>
      </c>
      <c r="N213" s="117">
        <v>0</v>
      </c>
      <c r="O213" s="116">
        <f>'longitudinal-acma'!O213</f>
        <v>4.7056306954310852E-2</v>
      </c>
      <c r="P213" s="118" t="str">
        <f t="shared" si="34"/>
        <v xml:space="preserve">  - [315, 0.561, -0.581, 0, 0, 0, 0.047]</v>
      </c>
      <c r="Q213" s="98">
        <f>Report_table_graphs!Q213</f>
        <v>315</v>
      </c>
      <c r="R213" s="214">
        <f>Report_table_graphs!R213</f>
        <v>0.57415235637273965</v>
      </c>
      <c r="S213" s="214">
        <f>Report_table_graphs!S213</f>
        <v>-0.29038886685305676</v>
      </c>
      <c r="T213" s="117">
        <v>0</v>
      </c>
      <c r="U213" s="117">
        <v>0</v>
      </c>
      <c r="V213" s="117">
        <v>0</v>
      </c>
      <c r="W213" s="214">
        <f>Report_table_graphs!W213</f>
        <v>9.1428311966638212E-2</v>
      </c>
      <c r="X213" s="118" t="str">
        <f t="shared" si="35"/>
        <v xml:space="preserve">  - [315, 0.574, -0.290, 0, 0, 0, 0.091]</v>
      </c>
      <c r="Y213" s="236">
        <f t="shared" si="36"/>
        <v>135</v>
      </c>
      <c r="Z213" t="str">
        <f>"  - ["&amp;Y213&amp;", "&amp;FIXED(-R213,3,1)&amp;", "&amp;FIXED(-S213,3,1)&amp;", 0, 0, 0"&amp;", "&amp;FIXED(W213,3,1)&amp;"]"</f>
        <v xml:space="preserve">  - [135, -0.574, 0.290, 0, 0, 0, 0.091]</v>
      </c>
    </row>
    <row r="214" spans="1:26" x14ac:dyDescent="0.25">
      <c r="A214" s="97">
        <f>'longitudinal-acma'!A202</f>
        <v>330</v>
      </c>
      <c r="B214" s="116">
        <f>'longitudinal-acma'!B202</f>
        <v>0.74834761882340284</v>
      </c>
      <c r="C214" s="116">
        <f>'longitudinal-acma'!C202</f>
        <v>-0.38005141676759335</v>
      </c>
      <c r="D214" s="117">
        <v>0</v>
      </c>
      <c r="E214" s="117">
        <v>0</v>
      </c>
      <c r="F214" s="117">
        <v>0</v>
      </c>
      <c r="G214" s="116">
        <f>'longitudinal-acma'!G202</f>
        <v>8.5263316098226141E-2</v>
      </c>
      <c r="H214" s="118" t="str">
        <f t="shared" si="33"/>
        <v xml:space="preserve">  - [330, 0.748, -0.380, 0, 0, 0, 0.085]</v>
      </c>
      <c r="I214" s="98">
        <f>'longitudinal-acma'!I214</f>
        <v>330</v>
      </c>
      <c r="J214" s="116">
        <f>'longitudinal-acma'!J214</f>
        <v>0.724527265143736</v>
      </c>
      <c r="K214" s="116">
        <f>'longitudinal-acma'!K214</f>
        <v>-0.40254812693116232</v>
      </c>
      <c r="L214" s="117">
        <v>0</v>
      </c>
      <c r="M214" s="117">
        <v>0</v>
      </c>
      <c r="N214" s="117">
        <v>0</v>
      </c>
      <c r="O214" s="116">
        <f>'longitudinal-acma'!O214</f>
        <v>3.683041104278402E-2</v>
      </c>
      <c r="P214" s="118" t="str">
        <f t="shared" si="34"/>
        <v xml:space="preserve">  - [330, 0.725, -0.403, 0, 0, 0, 0.037]</v>
      </c>
      <c r="Q214" s="98">
        <f>Report_table_graphs!Q214</f>
        <v>330</v>
      </c>
      <c r="R214" s="214">
        <f>Report_table_graphs!R214</f>
        <v>0.61665369556243965</v>
      </c>
      <c r="S214" s="214">
        <f>Report_table_graphs!S214</f>
        <v>-0.21476275215425794</v>
      </c>
      <c r="T214" s="117">
        <v>0</v>
      </c>
      <c r="U214" s="117">
        <v>0</v>
      </c>
      <c r="V214" s="117">
        <v>0</v>
      </c>
      <c r="W214" s="214">
        <f>Report_table_graphs!W214</f>
        <v>7.311964869926936E-2</v>
      </c>
      <c r="X214" s="118" t="str">
        <f t="shared" si="35"/>
        <v xml:space="preserve">  - [330, 0.617, -0.215, 0, 0, 0, 0.073]</v>
      </c>
      <c r="Y214" s="236">
        <f t="shared" si="36"/>
        <v>150</v>
      </c>
      <c r="Z214" t="str">
        <f>"  - ["&amp;Y214&amp;", "&amp;FIXED(-R214,3,1)&amp;", "&amp;FIXED(-S214,3,1)&amp;", 0, 0, 0"&amp;", "&amp;FIXED(W214,3,1)&amp;"]"</f>
        <v xml:space="preserve">  - [150, -0.617, 0.215, 0, 0, 0, 0.073]</v>
      </c>
    </row>
    <row r="215" spans="1:26" x14ac:dyDescent="0.25">
      <c r="A215" s="97">
        <f>'longitudinal-acma'!A203</f>
        <v>345</v>
      </c>
      <c r="B215" s="116">
        <f>'longitudinal-acma'!B203</f>
        <v>1.1742869704440577</v>
      </c>
      <c r="C215" s="116">
        <f>'longitudinal-acma'!C203</f>
        <v>-0.17758987583279359</v>
      </c>
      <c r="D215" s="117">
        <v>0</v>
      </c>
      <c r="E215" s="117">
        <v>0</v>
      </c>
      <c r="F215" s="117">
        <v>0</v>
      </c>
      <c r="G215" s="116">
        <f>'longitudinal-acma'!G203</f>
        <v>2.4856577402069157E-2</v>
      </c>
      <c r="H215" s="118" t="str">
        <f t="shared" si="33"/>
        <v xml:space="preserve">  - [345, 1.174, -0.178, 0, 0, 0, 0.025]</v>
      </c>
      <c r="I215" s="98">
        <f>'longitudinal-acma'!I215</f>
        <v>345</v>
      </c>
      <c r="J215" s="116">
        <f>'longitudinal-acma'!J215</f>
        <v>0.86613383167452207</v>
      </c>
      <c r="K215" s="116">
        <f>'longitudinal-acma'!K215</f>
        <v>-0.14237870934372371</v>
      </c>
      <c r="L215" s="117">
        <v>0</v>
      </c>
      <c r="M215" s="117">
        <v>0</v>
      </c>
      <c r="N215" s="117">
        <v>0</v>
      </c>
      <c r="O215" s="116">
        <f>'longitudinal-acma'!O215</f>
        <v>2.7071800165795997E-3</v>
      </c>
      <c r="P215" s="118" t="str">
        <f t="shared" si="34"/>
        <v xml:space="preserve">  - [345, 0.866, -0.142, 0, 0, 0, 0.003]</v>
      </c>
      <c r="Q215" s="98">
        <f>Report_table_graphs!Q215</f>
        <v>345</v>
      </c>
      <c r="R215" s="214">
        <f>Report_table_graphs!R215</f>
        <v>0.56850964995829922</v>
      </c>
      <c r="S215" s="214">
        <f>Report_table_graphs!S215</f>
        <v>-0.17267708400989695</v>
      </c>
      <c r="T215" s="117">
        <v>0</v>
      </c>
      <c r="U215" s="117">
        <v>0</v>
      </c>
      <c r="V215" s="117">
        <v>0</v>
      </c>
      <c r="W215" s="214">
        <f>Report_table_graphs!W215</f>
        <v>6.2829223941992599E-2</v>
      </c>
      <c r="X215" s="118" t="str">
        <f t="shared" si="35"/>
        <v xml:space="preserve">  - [345, 0.569, -0.173, 0, 0, 0, 0.063]</v>
      </c>
      <c r="Y215" s="236">
        <f t="shared" si="36"/>
        <v>165</v>
      </c>
      <c r="Z215" t="str">
        <f>"  - ["&amp;Y215&amp;", "&amp;FIXED(-R215,3,1)&amp;", "&amp;FIXED(-S215,3,1)&amp;", 0, 0, 0"&amp;", "&amp;FIXED(W215,3,1)&amp;"]"</f>
        <v xml:space="preserve">  - [165, -0.569, 0.173, 0, 0, 0, 0.063]</v>
      </c>
    </row>
    <row r="216" spans="1:26" ht="15.75" thickBot="1" x14ac:dyDescent="0.3">
      <c r="A216" s="29">
        <f>openDomain_trans_LNGC_FST1!P38</f>
        <v>360</v>
      </c>
      <c r="B216" s="39"/>
      <c r="C216" s="40"/>
      <c r="D216" s="40"/>
      <c r="E216" s="40"/>
      <c r="F216" s="40"/>
      <c r="G216" s="41"/>
      <c r="H216" s="28"/>
      <c r="I216" s="29"/>
      <c r="J216" s="36"/>
      <c r="K216" s="37"/>
      <c r="L216" s="37"/>
      <c r="M216" s="37"/>
      <c r="N216" s="37"/>
      <c r="O216" s="38"/>
      <c r="Q216" s="29"/>
      <c r="R216" s="36"/>
      <c r="S216" s="37"/>
      <c r="T216" s="37"/>
      <c r="U216" s="37"/>
      <c r="V216" s="37"/>
      <c r="W216" s="38"/>
    </row>
  </sheetData>
  <mergeCells count="20">
    <mergeCell ref="A63:G63"/>
    <mergeCell ref="I63:O63"/>
    <mergeCell ref="A94:G94"/>
    <mergeCell ref="I94:O94"/>
    <mergeCell ref="Q94:W94"/>
    <mergeCell ref="A1:G1"/>
    <mergeCell ref="I1:O1"/>
    <mergeCell ref="R1:X1"/>
    <mergeCell ref="A32:G32"/>
    <mergeCell ref="I32:O32"/>
    <mergeCell ref="Y94:AC94"/>
    <mergeCell ref="AE94:AK94"/>
    <mergeCell ref="A156:G156"/>
    <mergeCell ref="I156:O156"/>
    <mergeCell ref="A187:G187"/>
    <mergeCell ref="I187:O187"/>
    <mergeCell ref="Q187:W187"/>
    <mergeCell ref="A125:G125"/>
    <mergeCell ref="I125:O125"/>
    <mergeCell ref="Q125:W125"/>
  </mergeCells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6"/>
  <sheetViews>
    <sheetView topLeftCell="A178" zoomScaleNormal="100" workbookViewId="0">
      <selection activeCell="A204" sqref="A204:A216"/>
    </sheetView>
  </sheetViews>
  <sheetFormatPr defaultColWidth="8.5703125" defaultRowHeight="12" x14ac:dyDescent="0.2"/>
  <cols>
    <col min="1" max="17" width="12.7109375" style="162" customWidth="1"/>
    <col min="18" max="18" width="8.7109375" style="162" bestFit="1" customWidth="1"/>
    <col min="19" max="19" width="10.7109375" style="162" customWidth="1"/>
    <col min="20" max="21" width="14.5703125" style="162" customWidth="1"/>
    <col min="22" max="22" width="14.42578125" style="162" customWidth="1"/>
    <col min="23" max="23" width="12" style="162" customWidth="1"/>
    <col min="24" max="24" width="14.5703125" style="162" customWidth="1"/>
    <col min="25" max="25" width="8.85546875" style="162" customWidth="1"/>
    <col min="26" max="26" width="11.7109375" style="162" customWidth="1"/>
    <col min="27" max="27" width="12.140625" style="162" customWidth="1"/>
    <col min="28" max="30" width="8.7109375" style="162" bestFit="1" customWidth="1"/>
    <col min="31" max="31" width="9.7109375" style="162" bestFit="1" customWidth="1"/>
    <col min="32" max="33" width="8.5703125" style="162"/>
    <col min="34" max="38" width="8.7109375" style="162" bestFit="1" customWidth="1"/>
    <col min="39" max="39" width="9.7109375" style="162" bestFit="1" customWidth="1"/>
    <col min="40" max="16384" width="8.5703125" style="162"/>
  </cols>
  <sheetData>
    <row r="1" spans="1:24" ht="15.75" customHeight="1" x14ac:dyDescent="0.2">
      <c r="A1" s="225" t="s">
        <v>53</v>
      </c>
      <c r="B1" s="225"/>
      <c r="C1" s="225"/>
      <c r="D1" s="225"/>
      <c r="E1" s="225"/>
      <c r="F1" s="225"/>
      <c r="G1" s="225"/>
      <c r="H1" s="160"/>
      <c r="I1" s="226" t="s">
        <v>54</v>
      </c>
      <c r="J1" s="226"/>
      <c r="K1" s="226"/>
      <c r="L1" s="226"/>
      <c r="M1" s="226"/>
      <c r="N1" s="226"/>
      <c r="O1" s="226"/>
      <c r="R1" s="227"/>
      <c r="S1" s="227"/>
      <c r="T1" s="227"/>
      <c r="U1" s="227"/>
      <c r="V1" s="227"/>
      <c r="W1" s="227"/>
      <c r="X1" s="227"/>
    </row>
    <row r="2" spans="1:24" x14ac:dyDescent="0.2">
      <c r="A2" s="159" t="s">
        <v>55</v>
      </c>
      <c r="B2" s="163">
        <f>openDomain_long_FST1!S5</f>
        <v>1678</v>
      </c>
      <c r="C2" s="163">
        <f>openDomain_long_FST1!T5</f>
        <v>7811</v>
      </c>
      <c r="D2" s="163">
        <f>openDomain_long_FST1!U5</f>
        <v>8949</v>
      </c>
      <c r="E2" s="163">
        <f>openDomain_long_FST1!V5</f>
        <v>298215</v>
      </c>
      <c r="F2" s="163">
        <f>openDomain_long_FST1!W5</f>
        <v>32704</v>
      </c>
      <c r="G2" s="163">
        <f>openDomain_long_FST1!X5</f>
        <v>1598052</v>
      </c>
      <c r="H2" s="164"/>
      <c r="I2" s="161" t="s">
        <v>55</v>
      </c>
      <c r="J2" s="165">
        <f t="shared" ref="J2:O2" si="0">B2</f>
        <v>1678</v>
      </c>
      <c r="K2" s="165">
        <f t="shared" si="0"/>
        <v>7811</v>
      </c>
      <c r="L2" s="165">
        <f t="shared" si="0"/>
        <v>8949</v>
      </c>
      <c r="M2" s="165">
        <f t="shared" si="0"/>
        <v>298215</v>
      </c>
      <c r="N2" s="165">
        <f t="shared" si="0"/>
        <v>32704</v>
      </c>
      <c r="O2" s="165">
        <f t="shared" si="0"/>
        <v>1598052</v>
      </c>
      <c r="Q2" s="162" t="s">
        <v>56</v>
      </c>
    </row>
    <row r="3" spans="1:24" x14ac:dyDescent="0.2">
      <c r="A3" s="159"/>
      <c r="B3" s="166" t="s">
        <v>57</v>
      </c>
      <c r="C3" s="166" t="s">
        <v>57</v>
      </c>
      <c r="D3" s="166" t="s">
        <v>57</v>
      </c>
      <c r="E3" s="166" t="s">
        <v>58</v>
      </c>
      <c r="F3" s="166" t="s">
        <v>58</v>
      </c>
      <c r="G3" s="166" t="s">
        <v>58</v>
      </c>
      <c r="H3" s="167"/>
      <c r="I3" s="161"/>
      <c r="J3" s="168" t="s">
        <v>57</v>
      </c>
      <c r="K3" s="168" t="s">
        <v>57</v>
      </c>
      <c r="L3" s="168" t="s">
        <v>57</v>
      </c>
      <c r="M3" s="168" t="s">
        <v>58</v>
      </c>
      <c r="N3" s="168" t="s">
        <v>58</v>
      </c>
      <c r="O3" s="168" t="s">
        <v>58</v>
      </c>
    </row>
    <row r="4" spans="1:24" ht="13.5" x14ac:dyDescent="0.2">
      <c r="A4" s="169" t="s">
        <v>59</v>
      </c>
      <c r="B4" s="159" t="s">
        <v>252</v>
      </c>
      <c r="C4" s="159" t="s">
        <v>253</v>
      </c>
      <c r="D4" s="159" t="s">
        <v>254</v>
      </c>
      <c r="E4" s="159" t="s">
        <v>255</v>
      </c>
      <c r="F4" s="159" t="s">
        <v>256</v>
      </c>
      <c r="G4" s="159" t="s">
        <v>257</v>
      </c>
      <c r="H4" s="160"/>
      <c r="I4" s="170" t="s">
        <v>59</v>
      </c>
      <c r="J4" s="161" t="s">
        <v>258</v>
      </c>
      <c r="K4" s="161" t="s">
        <v>259</v>
      </c>
      <c r="L4" s="161" t="s">
        <v>260</v>
      </c>
      <c r="M4" s="161" t="s">
        <v>261</v>
      </c>
      <c r="N4" s="161" t="s">
        <v>262</v>
      </c>
      <c r="O4" s="161" t="s">
        <v>263</v>
      </c>
    </row>
    <row r="5" spans="1:24" ht="48" x14ac:dyDescent="0.2">
      <c r="A5" s="169"/>
      <c r="B5" s="159" t="str">
        <f t="shared" ref="B5:G5" si="1">CONCATENATE($A$1,"-",B4)</f>
        <v>Open Domain FST1 (Long/trans) factors-Cx [-]</v>
      </c>
      <c r="C5" s="159" t="str">
        <f t="shared" si="1"/>
        <v>Open Domain FST1 (Long/trans) factors-Cy [-]</v>
      </c>
      <c r="D5" s="159" t="str">
        <f t="shared" si="1"/>
        <v>Open Domain FST1 (Long/trans) factors-Cz [-]</v>
      </c>
      <c r="E5" s="159" t="str">
        <f t="shared" si="1"/>
        <v>Open Domain FST1 (Long/trans) factors-Cnx [-]</v>
      </c>
      <c r="F5" s="159" t="str">
        <f t="shared" si="1"/>
        <v>Open Domain FST1 (Long/trans) factors-Cny [-]</v>
      </c>
      <c r="G5" s="159" t="str">
        <f t="shared" si="1"/>
        <v>Open Domain FST1 (Long/trans) factors-Cnz [-]</v>
      </c>
      <c r="H5" s="160"/>
      <c r="I5" s="170"/>
      <c r="J5" s="161" t="str">
        <f t="shared" ref="J5:O5" si="2">CONCATENATE($I$1,"-",J4)</f>
        <v>Open Domain FST2 (Long/trans) factors-Cx [-]</v>
      </c>
      <c r="K5" s="161" t="str">
        <f t="shared" si="2"/>
        <v>Open Domain FST2 (Long/trans) factors-Cy [-]</v>
      </c>
      <c r="L5" s="161" t="str">
        <f t="shared" si="2"/>
        <v>Open Domain FST2 (Long/trans) factors-Cz [-]</v>
      </c>
      <c r="M5" s="161" t="str">
        <f t="shared" si="2"/>
        <v>Open Domain FST2 (Long/trans) factors-Cnx [-]</v>
      </c>
      <c r="N5" s="161" t="str">
        <f t="shared" si="2"/>
        <v>Open Domain FST2 (Long/trans) factors-Cny [-]</v>
      </c>
      <c r="O5" s="161" t="str">
        <f t="shared" si="2"/>
        <v>Open Domain FST2 (Long/trans) factors-Cnz [-]</v>
      </c>
    </row>
    <row r="6" spans="1:24" x14ac:dyDescent="0.2">
      <c r="A6" s="171">
        <v>0</v>
      </c>
      <c r="B6" s="172">
        <f>IF(ABS(Report_table_graphs!B99)&gt;0.1, Report_table_graphs!B6/Report_table_graphs!B99, 1)</f>
        <v>0.76561541767876973</v>
      </c>
      <c r="C6" s="172">
        <f>IF(ABS(Report_table_graphs!C99)&gt;0.1, Report_table_graphs!C6/Report_table_graphs!C99, 1)</f>
        <v>1</v>
      </c>
      <c r="D6" s="173" t="s">
        <v>11</v>
      </c>
      <c r="E6" s="173" t="s">
        <v>11</v>
      </c>
      <c r="F6" s="173" t="s">
        <v>11</v>
      </c>
      <c r="G6" s="172">
        <f>G8</f>
        <v>1.681036193937316</v>
      </c>
      <c r="H6" s="174"/>
      <c r="I6" s="175"/>
      <c r="J6" s="176">
        <f>IF(ABS(Report_table_graphs!J99)&gt;0.1, Report_table_graphs!J6/Report_table_graphs!J99, 1)</f>
        <v>0.60290487583331998</v>
      </c>
      <c r="K6" s="176">
        <f>IF(ABS(Report_table_graphs!K99)&gt;0.1, Report_table_graphs!K6/Report_table_graphs!K99, 1)</f>
        <v>1</v>
      </c>
      <c r="L6" s="173" t="s">
        <v>11</v>
      </c>
      <c r="M6" s="173" t="s">
        <v>11</v>
      </c>
      <c r="N6" s="173" t="s">
        <v>11</v>
      </c>
      <c r="O6" s="172">
        <f>O8</f>
        <v>1.6855992404799247</v>
      </c>
    </row>
    <row r="7" spans="1:24" x14ac:dyDescent="0.2">
      <c r="A7" s="171">
        <v>15</v>
      </c>
      <c r="B7" s="177">
        <f t="shared" ref="B7:G7" si="3">AVERAGE(B6,B8)</f>
        <v>0.53585801560910462</v>
      </c>
      <c r="C7" s="177">
        <f t="shared" si="3"/>
        <v>1.0445993129126903</v>
      </c>
      <c r="D7" s="173" t="s">
        <v>11</v>
      </c>
      <c r="E7" s="173" t="s">
        <v>11</v>
      </c>
      <c r="F7" s="173" t="s">
        <v>11</v>
      </c>
      <c r="G7" s="177">
        <f t="shared" si="3"/>
        <v>1.681036193937316</v>
      </c>
      <c r="H7" s="174"/>
      <c r="I7" s="175"/>
      <c r="J7" s="178">
        <f t="shared" ref="J7:O7" si="4">AVERAGE(J6,J8)</f>
        <v>0.49531400400070569</v>
      </c>
      <c r="K7" s="178">
        <f t="shared" si="4"/>
        <v>1.0982757425751253</v>
      </c>
      <c r="L7" s="173" t="s">
        <v>11</v>
      </c>
      <c r="M7" s="173" t="s">
        <v>11</v>
      </c>
      <c r="N7" s="173" t="s">
        <v>11</v>
      </c>
      <c r="O7" s="177">
        <f t="shared" si="4"/>
        <v>1.6855992404799247</v>
      </c>
    </row>
    <row r="8" spans="1:24" x14ac:dyDescent="0.2">
      <c r="A8" s="171">
        <v>30</v>
      </c>
      <c r="B8" s="172">
        <f>IF(ABS(Report_table_graphs!B101)&gt;0.1, Report_table_graphs!B8/Report_table_graphs!B101, 1)</f>
        <v>0.3061006135394394</v>
      </c>
      <c r="C8" s="172">
        <f>IF(ABS(Report_table_graphs!C101)&gt;0.1, Report_table_graphs!C8/Report_table_graphs!C101, 1)</f>
        <v>1.0891986258253807</v>
      </c>
      <c r="D8" s="173" t="s">
        <v>11</v>
      </c>
      <c r="E8" s="173" t="s">
        <v>11</v>
      </c>
      <c r="F8" s="173" t="s">
        <v>11</v>
      </c>
      <c r="G8" s="172">
        <f>IF(ABS(Report_table_graphs!G8)&gt;inputs!$B$2, Report_table_graphs!G8/Report_table_graphs!G101, 1)</f>
        <v>1.681036193937316</v>
      </c>
      <c r="H8" s="174"/>
      <c r="I8" s="175"/>
      <c r="J8" s="176">
        <f>IF(ABS(Report_table_graphs!J101)&gt;0.1, Report_table_graphs!J8/Report_table_graphs!J101, 1)</f>
        <v>0.38772313216809146</v>
      </c>
      <c r="K8" s="176">
        <f>IF(ABS(Report_table_graphs!K101)&gt;0.1, Report_table_graphs!K8/Report_table_graphs!K101, 1)</f>
        <v>1.1965514851502506</v>
      </c>
      <c r="L8" s="173" t="s">
        <v>11</v>
      </c>
      <c r="M8" s="173" t="s">
        <v>11</v>
      </c>
      <c r="N8" s="173" t="s">
        <v>11</v>
      </c>
      <c r="O8" s="172">
        <f>IF(ABS(Report_table_graphs!O8)&gt;inputs!$B$2, Report_table_graphs!O8/Report_table_graphs!O101, 1)</f>
        <v>1.6855992404799247</v>
      </c>
    </row>
    <row r="9" spans="1:24" x14ac:dyDescent="0.2">
      <c r="A9" s="171">
        <v>45</v>
      </c>
      <c r="B9" s="172">
        <f>IF(ABS(Report_table_graphs!B102)&gt;0.1, Report_table_graphs!B9/Report_table_graphs!B102, 1)</f>
        <v>0.22329886075602687</v>
      </c>
      <c r="C9" s="172">
        <f>IF(ABS(Report_table_graphs!C102)&gt;0.1, Report_table_graphs!C9/Report_table_graphs!C102, 1)</f>
        <v>1.1527613087700792</v>
      </c>
      <c r="D9" s="173" t="s">
        <v>11</v>
      </c>
      <c r="E9" s="173" t="s">
        <v>11</v>
      </c>
      <c r="F9" s="173" t="s">
        <v>11</v>
      </c>
      <c r="G9" s="172">
        <f>IF(ABS(Report_table_graphs!G9)&gt;inputs!$B$2, Report_table_graphs!G9/Report_table_graphs!G102, 1)</f>
        <v>2.2341680549195182</v>
      </c>
      <c r="H9" s="174"/>
      <c r="I9" s="175"/>
      <c r="J9" s="176">
        <f>IF(ABS(Report_table_graphs!J102)&gt;0.1, Report_table_graphs!J9/Report_table_graphs!J102, 1)</f>
        <v>0.35279736793436656</v>
      </c>
      <c r="K9" s="176">
        <f>IF(ABS(Report_table_graphs!K102)&gt;0.1, Report_table_graphs!K9/Report_table_graphs!K102, 1)</f>
        <v>1.2648308148868026</v>
      </c>
      <c r="L9" s="173" t="s">
        <v>11</v>
      </c>
      <c r="M9" s="173" t="s">
        <v>11</v>
      </c>
      <c r="N9" s="173" t="s">
        <v>11</v>
      </c>
      <c r="O9" s="172">
        <f>IF(ABS(Report_table_graphs!O9)&gt;inputs!$B$2, Report_table_graphs!O9/Report_table_graphs!O102, 1)</f>
        <v>1.5641282379046808</v>
      </c>
    </row>
    <row r="10" spans="1:24" x14ac:dyDescent="0.2">
      <c r="A10" s="171">
        <v>60</v>
      </c>
      <c r="B10" s="172">
        <f>IF(ABS(Report_table_graphs!B103)&gt;0.1, Report_table_graphs!B10/Report_table_graphs!B103, 1)</f>
        <v>0.11993828163179525</v>
      </c>
      <c r="C10" s="172">
        <f>IF(ABS(Report_table_graphs!C103)&gt;0.1, Report_table_graphs!C10/Report_table_graphs!C103, 1)</f>
        <v>1.2620882382490113</v>
      </c>
      <c r="D10" s="173" t="s">
        <v>11</v>
      </c>
      <c r="E10" s="173" t="s">
        <v>11</v>
      </c>
      <c r="F10" s="173" t="s">
        <v>11</v>
      </c>
      <c r="G10" s="172">
        <f>IF(ABS(Report_table_graphs!G10)&gt;inputs!$B$2, Report_table_graphs!G10/Report_table_graphs!G103, 1)</f>
        <v>1.9956788069968132</v>
      </c>
      <c r="H10" s="174"/>
      <c r="I10" s="175"/>
      <c r="J10" s="176">
        <f>IF(ABS(Report_table_graphs!J103)&gt;0.1, Report_table_graphs!J10/Report_table_graphs!J103, 1)</f>
        <v>8.4459723482979587E-2</v>
      </c>
      <c r="K10" s="176">
        <f>IF(ABS(Report_table_graphs!K103)&gt;0.1, Report_table_graphs!K10/Report_table_graphs!K103, 1)</f>
        <v>1.3458853922989618</v>
      </c>
      <c r="L10" s="173" t="s">
        <v>11</v>
      </c>
      <c r="M10" s="173" t="s">
        <v>11</v>
      </c>
      <c r="N10" s="173" t="s">
        <v>11</v>
      </c>
      <c r="O10" s="172">
        <f>IF(ABS(Report_table_graphs!O10)&gt;inputs!$B$2, Report_table_graphs!O10/Report_table_graphs!O103, 1)</f>
        <v>1.7539783303069845</v>
      </c>
    </row>
    <row r="11" spans="1:24" x14ac:dyDescent="0.2">
      <c r="A11" s="171">
        <v>75</v>
      </c>
      <c r="B11" s="177">
        <f t="shared" ref="B11:G11" si="5">AVERAGE(B10,B12)</f>
        <v>0.51902410765977969</v>
      </c>
      <c r="C11" s="177">
        <f t="shared" si="5"/>
        <v>1.2742130250981027</v>
      </c>
      <c r="D11" s="173" t="s">
        <v>11</v>
      </c>
      <c r="E11" s="173" t="s">
        <v>11</v>
      </c>
      <c r="F11" s="173" t="s">
        <v>11</v>
      </c>
      <c r="G11" s="177">
        <f t="shared" si="5"/>
        <v>1.9956788069968132</v>
      </c>
      <c r="H11" s="174"/>
      <c r="I11" s="175"/>
      <c r="J11" s="178">
        <f t="shared" ref="J11:O11" si="6">AVERAGE(J10,J12)</f>
        <v>0.50295936072043101</v>
      </c>
      <c r="K11" s="178">
        <f t="shared" si="6"/>
        <v>1.3029003647720678</v>
      </c>
      <c r="L11" s="173" t="s">
        <v>11</v>
      </c>
      <c r="M11" s="173" t="s">
        <v>11</v>
      </c>
      <c r="N11" s="173" t="s">
        <v>11</v>
      </c>
      <c r="O11" s="177">
        <f t="shared" si="6"/>
        <v>1.7539783303069845</v>
      </c>
    </row>
    <row r="12" spans="1:24" x14ac:dyDescent="0.2">
      <c r="A12" s="171">
        <v>90</v>
      </c>
      <c r="B12" s="172">
        <f>IF(ABS(Report_table_graphs!B105)&gt;0.1, Report_table_graphs!B12/Report_table_graphs!B105, 1)</f>
        <v>0.91810993368776406</v>
      </c>
      <c r="C12" s="172">
        <f>IF(ABS(Report_table_graphs!C105)&gt;0.1, Report_table_graphs!C12/Report_table_graphs!C105, 1)</f>
        <v>1.286337811947194</v>
      </c>
      <c r="D12" s="173" t="s">
        <v>11</v>
      </c>
      <c r="E12" s="173" t="s">
        <v>11</v>
      </c>
      <c r="F12" s="173" t="s">
        <v>11</v>
      </c>
      <c r="G12" s="179">
        <f>G10</f>
        <v>1.9956788069968132</v>
      </c>
      <c r="H12" s="174"/>
      <c r="I12" s="175"/>
      <c r="J12" s="176">
        <f>IF(ABS(Report_table_graphs!J105)&gt;0.1, Report_table_graphs!J12/Report_table_graphs!J105, 1)</f>
        <v>0.92145899795788233</v>
      </c>
      <c r="K12" s="176">
        <f>IF(ABS(Report_table_graphs!K105)&gt;0.1, Report_table_graphs!K12/Report_table_graphs!K105, 1)</f>
        <v>1.2599153372451737</v>
      </c>
      <c r="L12" s="173" t="s">
        <v>11</v>
      </c>
      <c r="M12" s="173" t="s">
        <v>11</v>
      </c>
      <c r="N12" s="173" t="s">
        <v>11</v>
      </c>
      <c r="O12" s="179">
        <f>O10</f>
        <v>1.7539783303069845</v>
      </c>
    </row>
    <row r="13" spans="1:24" x14ac:dyDescent="0.2">
      <c r="A13" s="171">
        <v>105</v>
      </c>
      <c r="B13" s="172">
        <f t="shared" ref="B13:G13" si="7">B11</f>
        <v>0.51902410765977969</v>
      </c>
      <c r="C13" s="172">
        <f t="shared" si="7"/>
        <v>1.2742130250981027</v>
      </c>
      <c r="D13" s="173" t="s">
        <v>11</v>
      </c>
      <c r="E13" s="173" t="s">
        <v>11</v>
      </c>
      <c r="F13" s="173" t="s">
        <v>11</v>
      </c>
      <c r="G13" s="172">
        <f t="shared" si="7"/>
        <v>1.9956788069968132</v>
      </c>
      <c r="H13" s="174"/>
      <c r="I13" s="175"/>
      <c r="J13" s="176">
        <f t="shared" ref="J13:O13" si="8">J11</f>
        <v>0.50295936072043101</v>
      </c>
      <c r="K13" s="176">
        <f t="shared" si="8"/>
        <v>1.3029003647720678</v>
      </c>
      <c r="L13" s="173" t="s">
        <v>11</v>
      </c>
      <c r="M13" s="173" t="s">
        <v>11</v>
      </c>
      <c r="N13" s="173" t="s">
        <v>11</v>
      </c>
      <c r="O13" s="176">
        <f t="shared" si="8"/>
        <v>1.7539783303069845</v>
      </c>
    </row>
    <row r="14" spans="1:24" x14ac:dyDescent="0.2">
      <c r="A14" s="171">
        <v>120</v>
      </c>
      <c r="B14" s="172">
        <f t="shared" ref="B14:G14" si="9">B10</f>
        <v>0.11993828163179525</v>
      </c>
      <c r="C14" s="172">
        <f t="shared" si="9"/>
        <v>1.2620882382490113</v>
      </c>
      <c r="D14" s="173" t="s">
        <v>11</v>
      </c>
      <c r="E14" s="173" t="s">
        <v>11</v>
      </c>
      <c r="F14" s="173" t="s">
        <v>11</v>
      </c>
      <c r="G14" s="172">
        <f t="shared" si="9"/>
        <v>1.9956788069968132</v>
      </c>
      <c r="H14" s="174"/>
      <c r="I14" s="175"/>
      <c r="J14" s="176">
        <f t="shared" ref="J14:O14" si="10">J10</f>
        <v>8.4459723482979587E-2</v>
      </c>
      <c r="K14" s="176">
        <f t="shared" si="10"/>
        <v>1.3458853922989618</v>
      </c>
      <c r="L14" s="173" t="s">
        <v>11</v>
      </c>
      <c r="M14" s="173" t="s">
        <v>11</v>
      </c>
      <c r="N14" s="173" t="s">
        <v>11</v>
      </c>
      <c r="O14" s="176">
        <f t="shared" si="10"/>
        <v>1.7539783303069845</v>
      </c>
    </row>
    <row r="15" spans="1:24" x14ac:dyDescent="0.2">
      <c r="A15" s="171">
        <v>135</v>
      </c>
      <c r="B15" s="172">
        <f t="shared" ref="B15:G15" si="11">B9</f>
        <v>0.22329886075602687</v>
      </c>
      <c r="C15" s="172">
        <f t="shared" si="11"/>
        <v>1.1527613087700792</v>
      </c>
      <c r="D15" s="173" t="s">
        <v>11</v>
      </c>
      <c r="E15" s="173" t="s">
        <v>11</v>
      </c>
      <c r="F15" s="173" t="s">
        <v>11</v>
      </c>
      <c r="G15" s="172">
        <f t="shared" si="11"/>
        <v>2.2341680549195182</v>
      </c>
      <c r="H15" s="174"/>
      <c r="I15" s="175"/>
      <c r="J15" s="176">
        <f t="shared" ref="J15:O15" si="12">J9</f>
        <v>0.35279736793436656</v>
      </c>
      <c r="K15" s="176">
        <f t="shared" si="12"/>
        <v>1.2648308148868026</v>
      </c>
      <c r="L15" s="173" t="s">
        <v>11</v>
      </c>
      <c r="M15" s="173" t="s">
        <v>11</v>
      </c>
      <c r="N15" s="173" t="s">
        <v>11</v>
      </c>
      <c r="O15" s="176">
        <f t="shared" si="12"/>
        <v>1.5641282379046808</v>
      </c>
    </row>
    <row r="16" spans="1:24" x14ac:dyDescent="0.2">
      <c r="A16" s="171">
        <v>150</v>
      </c>
      <c r="B16" s="172">
        <f t="shared" ref="B16:G16" si="13">B8</f>
        <v>0.3061006135394394</v>
      </c>
      <c r="C16" s="172">
        <f t="shared" si="13"/>
        <v>1.0891986258253807</v>
      </c>
      <c r="D16" s="173" t="s">
        <v>11</v>
      </c>
      <c r="E16" s="173" t="s">
        <v>11</v>
      </c>
      <c r="F16" s="173" t="s">
        <v>11</v>
      </c>
      <c r="G16" s="172">
        <f t="shared" si="13"/>
        <v>1.681036193937316</v>
      </c>
      <c r="H16" s="174"/>
      <c r="I16" s="175"/>
      <c r="J16" s="176">
        <f t="shared" ref="J16:O16" si="14">J8</f>
        <v>0.38772313216809146</v>
      </c>
      <c r="K16" s="176">
        <f t="shared" si="14"/>
        <v>1.1965514851502506</v>
      </c>
      <c r="L16" s="173" t="s">
        <v>11</v>
      </c>
      <c r="M16" s="173" t="s">
        <v>11</v>
      </c>
      <c r="N16" s="173" t="s">
        <v>11</v>
      </c>
      <c r="O16" s="176">
        <f t="shared" si="14"/>
        <v>1.6855992404799247</v>
      </c>
    </row>
    <row r="17" spans="1:15" x14ac:dyDescent="0.2">
      <c r="A17" s="171">
        <v>165</v>
      </c>
      <c r="B17" s="172">
        <f t="shared" ref="B17:G17" si="15">B7</f>
        <v>0.53585801560910462</v>
      </c>
      <c r="C17" s="172">
        <f t="shared" si="15"/>
        <v>1.0445993129126903</v>
      </c>
      <c r="D17" s="173" t="s">
        <v>11</v>
      </c>
      <c r="E17" s="173" t="s">
        <v>11</v>
      </c>
      <c r="F17" s="173" t="s">
        <v>11</v>
      </c>
      <c r="G17" s="172">
        <f t="shared" si="15"/>
        <v>1.681036193937316</v>
      </c>
      <c r="H17" s="174"/>
      <c r="I17" s="175"/>
      <c r="J17" s="176">
        <f t="shared" ref="J17:O17" si="16">J7</f>
        <v>0.49531400400070569</v>
      </c>
      <c r="K17" s="176">
        <f t="shared" si="16"/>
        <v>1.0982757425751253</v>
      </c>
      <c r="L17" s="173" t="s">
        <v>11</v>
      </c>
      <c r="M17" s="173" t="s">
        <v>11</v>
      </c>
      <c r="N17" s="173" t="s">
        <v>11</v>
      </c>
      <c r="O17" s="176">
        <f t="shared" si="16"/>
        <v>1.6855992404799247</v>
      </c>
    </row>
    <row r="18" spans="1:15" x14ac:dyDescent="0.2">
      <c r="A18" s="171">
        <v>180</v>
      </c>
      <c r="B18" s="172">
        <f t="shared" ref="B18:G30" si="17">B6</f>
        <v>0.76561541767876973</v>
      </c>
      <c r="C18" s="172">
        <f t="shared" si="17"/>
        <v>1</v>
      </c>
      <c r="D18" s="173" t="s">
        <v>11</v>
      </c>
      <c r="E18" s="173" t="s">
        <v>11</v>
      </c>
      <c r="F18" s="173" t="s">
        <v>11</v>
      </c>
      <c r="G18" s="172">
        <f t="shared" si="17"/>
        <v>1.681036193937316</v>
      </c>
      <c r="H18" s="174"/>
      <c r="I18" s="175"/>
      <c r="J18" s="176">
        <f t="shared" ref="J18:O30" si="18">J6</f>
        <v>0.60290487583331998</v>
      </c>
      <c r="K18" s="176">
        <f t="shared" si="18"/>
        <v>1</v>
      </c>
      <c r="L18" s="173" t="s">
        <v>11</v>
      </c>
      <c r="M18" s="173" t="s">
        <v>11</v>
      </c>
      <c r="N18" s="173" t="s">
        <v>11</v>
      </c>
      <c r="O18" s="176">
        <f t="shared" si="18"/>
        <v>1.6855992404799247</v>
      </c>
    </row>
    <row r="19" spans="1:15" x14ac:dyDescent="0.2">
      <c r="A19" s="180">
        <v>195</v>
      </c>
      <c r="B19" s="172">
        <f t="shared" si="17"/>
        <v>0.53585801560910462</v>
      </c>
      <c r="C19" s="172">
        <f t="shared" si="17"/>
        <v>1.0445993129126903</v>
      </c>
      <c r="D19" s="173" t="s">
        <v>11</v>
      </c>
      <c r="E19" s="173" t="s">
        <v>11</v>
      </c>
      <c r="F19" s="173" t="s">
        <v>11</v>
      </c>
      <c r="G19" s="172">
        <f t="shared" si="17"/>
        <v>1.681036193937316</v>
      </c>
      <c r="H19" s="174"/>
      <c r="I19" s="181"/>
      <c r="J19" s="176">
        <f t="shared" si="18"/>
        <v>0.49531400400070569</v>
      </c>
      <c r="K19" s="176">
        <f t="shared" si="18"/>
        <v>1.0982757425751253</v>
      </c>
      <c r="L19" s="173" t="s">
        <v>11</v>
      </c>
      <c r="M19" s="173" t="s">
        <v>11</v>
      </c>
      <c r="N19" s="173" t="s">
        <v>11</v>
      </c>
      <c r="O19" s="176">
        <f t="shared" si="18"/>
        <v>1.6855992404799247</v>
      </c>
    </row>
    <row r="20" spans="1:15" x14ac:dyDescent="0.2">
      <c r="A20" s="180">
        <v>210</v>
      </c>
      <c r="B20" s="172">
        <f t="shared" si="17"/>
        <v>0.3061006135394394</v>
      </c>
      <c r="C20" s="172">
        <f t="shared" si="17"/>
        <v>1.0891986258253807</v>
      </c>
      <c r="D20" s="173" t="s">
        <v>11</v>
      </c>
      <c r="E20" s="173" t="s">
        <v>11</v>
      </c>
      <c r="F20" s="173" t="s">
        <v>11</v>
      </c>
      <c r="G20" s="172">
        <f t="shared" si="17"/>
        <v>1.681036193937316</v>
      </c>
      <c r="H20" s="174"/>
      <c r="I20" s="181"/>
      <c r="J20" s="176">
        <f t="shared" si="18"/>
        <v>0.38772313216809146</v>
      </c>
      <c r="K20" s="176">
        <f t="shared" si="18"/>
        <v>1.1965514851502506</v>
      </c>
      <c r="L20" s="173" t="s">
        <v>11</v>
      </c>
      <c r="M20" s="173" t="s">
        <v>11</v>
      </c>
      <c r="N20" s="173" t="s">
        <v>11</v>
      </c>
      <c r="O20" s="176">
        <f t="shared" si="18"/>
        <v>1.6855992404799247</v>
      </c>
    </row>
    <row r="21" spans="1:15" x14ac:dyDescent="0.2">
      <c r="A21" s="180">
        <v>225</v>
      </c>
      <c r="B21" s="172">
        <f t="shared" si="17"/>
        <v>0.22329886075602687</v>
      </c>
      <c r="C21" s="172">
        <f t="shared" si="17"/>
        <v>1.1527613087700792</v>
      </c>
      <c r="D21" s="173" t="s">
        <v>11</v>
      </c>
      <c r="E21" s="173" t="s">
        <v>11</v>
      </c>
      <c r="F21" s="173" t="s">
        <v>11</v>
      </c>
      <c r="G21" s="172">
        <f t="shared" si="17"/>
        <v>2.2341680549195182</v>
      </c>
      <c r="H21" s="174"/>
      <c r="I21" s="181"/>
      <c r="J21" s="176">
        <f t="shared" si="18"/>
        <v>0.35279736793436656</v>
      </c>
      <c r="K21" s="176">
        <f t="shared" si="18"/>
        <v>1.2648308148868026</v>
      </c>
      <c r="L21" s="173" t="s">
        <v>11</v>
      </c>
      <c r="M21" s="173" t="s">
        <v>11</v>
      </c>
      <c r="N21" s="173" t="s">
        <v>11</v>
      </c>
      <c r="O21" s="176">
        <f t="shared" si="18"/>
        <v>1.5641282379046808</v>
      </c>
    </row>
    <row r="22" spans="1:15" x14ac:dyDescent="0.2">
      <c r="A22" s="180">
        <v>240</v>
      </c>
      <c r="B22" s="172">
        <f t="shared" si="17"/>
        <v>0.11993828163179525</v>
      </c>
      <c r="C22" s="172">
        <f t="shared" si="17"/>
        <v>1.2620882382490113</v>
      </c>
      <c r="D22" s="173" t="s">
        <v>11</v>
      </c>
      <c r="E22" s="173" t="s">
        <v>11</v>
      </c>
      <c r="F22" s="173" t="s">
        <v>11</v>
      </c>
      <c r="G22" s="172">
        <f t="shared" si="17"/>
        <v>1.9956788069968132</v>
      </c>
      <c r="H22" s="174"/>
      <c r="I22" s="181"/>
      <c r="J22" s="176">
        <f t="shared" si="18"/>
        <v>8.4459723482979587E-2</v>
      </c>
      <c r="K22" s="176">
        <f t="shared" si="18"/>
        <v>1.3458853922989618</v>
      </c>
      <c r="L22" s="173" t="s">
        <v>11</v>
      </c>
      <c r="M22" s="173" t="s">
        <v>11</v>
      </c>
      <c r="N22" s="173" t="s">
        <v>11</v>
      </c>
      <c r="O22" s="176">
        <f t="shared" si="18"/>
        <v>1.7539783303069845</v>
      </c>
    </row>
    <row r="23" spans="1:15" ht="14.25" customHeight="1" x14ac:dyDescent="0.2">
      <c r="A23" s="180">
        <v>255</v>
      </c>
      <c r="B23" s="172">
        <f t="shared" si="17"/>
        <v>0.51902410765977969</v>
      </c>
      <c r="C23" s="172">
        <f t="shared" si="17"/>
        <v>1.2742130250981027</v>
      </c>
      <c r="D23" s="173" t="s">
        <v>11</v>
      </c>
      <c r="E23" s="173" t="s">
        <v>11</v>
      </c>
      <c r="F23" s="173" t="s">
        <v>11</v>
      </c>
      <c r="G23" s="172">
        <f t="shared" si="17"/>
        <v>1.9956788069968132</v>
      </c>
      <c r="H23" s="174"/>
      <c r="I23" s="181"/>
      <c r="J23" s="176">
        <f t="shared" si="18"/>
        <v>0.50295936072043101</v>
      </c>
      <c r="K23" s="176">
        <f t="shared" si="18"/>
        <v>1.3029003647720678</v>
      </c>
      <c r="L23" s="173" t="s">
        <v>11</v>
      </c>
      <c r="M23" s="173" t="s">
        <v>11</v>
      </c>
      <c r="N23" s="173" t="s">
        <v>11</v>
      </c>
      <c r="O23" s="176">
        <f t="shared" si="18"/>
        <v>1.7539783303069845</v>
      </c>
    </row>
    <row r="24" spans="1:15" x14ac:dyDescent="0.2">
      <c r="A24" s="180">
        <v>270</v>
      </c>
      <c r="B24" s="172">
        <f t="shared" si="17"/>
        <v>0.91810993368776406</v>
      </c>
      <c r="C24" s="172">
        <f t="shared" si="17"/>
        <v>1.286337811947194</v>
      </c>
      <c r="D24" s="173" t="s">
        <v>11</v>
      </c>
      <c r="E24" s="173" t="s">
        <v>11</v>
      </c>
      <c r="F24" s="173" t="s">
        <v>11</v>
      </c>
      <c r="G24" s="172">
        <f t="shared" si="17"/>
        <v>1.9956788069968132</v>
      </c>
      <c r="H24" s="174"/>
      <c r="I24" s="181"/>
      <c r="J24" s="176">
        <f t="shared" si="18"/>
        <v>0.92145899795788233</v>
      </c>
      <c r="K24" s="176">
        <f t="shared" si="18"/>
        <v>1.2599153372451737</v>
      </c>
      <c r="L24" s="173" t="s">
        <v>11</v>
      </c>
      <c r="M24" s="173" t="s">
        <v>11</v>
      </c>
      <c r="N24" s="173" t="s">
        <v>11</v>
      </c>
      <c r="O24" s="176">
        <f t="shared" si="18"/>
        <v>1.7539783303069845</v>
      </c>
    </row>
    <row r="25" spans="1:15" x14ac:dyDescent="0.2">
      <c r="A25" s="180">
        <v>285</v>
      </c>
      <c r="B25" s="172">
        <f t="shared" si="17"/>
        <v>0.51902410765977969</v>
      </c>
      <c r="C25" s="172">
        <f t="shared" si="17"/>
        <v>1.2742130250981027</v>
      </c>
      <c r="D25" s="173" t="s">
        <v>11</v>
      </c>
      <c r="E25" s="173" t="s">
        <v>11</v>
      </c>
      <c r="F25" s="173" t="s">
        <v>11</v>
      </c>
      <c r="G25" s="172">
        <f t="shared" si="17"/>
        <v>1.9956788069968132</v>
      </c>
      <c r="H25" s="174"/>
      <c r="I25" s="181"/>
      <c r="J25" s="176">
        <f t="shared" si="18"/>
        <v>0.50295936072043101</v>
      </c>
      <c r="K25" s="176">
        <f t="shared" si="18"/>
        <v>1.3029003647720678</v>
      </c>
      <c r="L25" s="173" t="s">
        <v>11</v>
      </c>
      <c r="M25" s="173" t="s">
        <v>11</v>
      </c>
      <c r="N25" s="173" t="s">
        <v>11</v>
      </c>
      <c r="O25" s="176">
        <f t="shared" si="18"/>
        <v>1.7539783303069845</v>
      </c>
    </row>
    <row r="26" spans="1:15" x14ac:dyDescent="0.2">
      <c r="A26" s="180">
        <v>300</v>
      </c>
      <c r="B26" s="172">
        <f t="shared" si="17"/>
        <v>0.11993828163179525</v>
      </c>
      <c r="C26" s="172">
        <f t="shared" si="17"/>
        <v>1.2620882382490113</v>
      </c>
      <c r="D26" s="173" t="s">
        <v>11</v>
      </c>
      <c r="E26" s="173" t="s">
        <v>11</v>
      </c>
      <c r="F26" s="173" t="s">
        <v>11</v>
      </c>
      <c r="G26" s="172">
        <f t="shared" si="17"/>
        <v>1.9956788069968132</v>
      </c>
      <c r="H26" s="174"/>
      <c r="I26" s="181"/>
      <c r="J26" s="176">
        <f t="shared" si="18"/>
        <v>8.4459723482979587E-2</v>
      </c>
      <c r="K26" s="176">
        <f t="shared" si="18"/>
        <v>1.3458853922989618</v>
      </c>
      <c r="L26" s="173" t="s">
        <v>11</v>
      </c>
      <c r="M26" s="173" t="s">
        <v>11</v>
      </c>
      <c r="N26" s="173" t="s">
        <v>11</v>
      </c>
      <c r="O26" s="176">
        <f t="shared" si="18"/>
        <v>1.7539783303069845</v>
      </c>
    </row>
    <row r="27" spans="1:15" x14ac:dyDescent="0.2">
      <c r="A27" s="180">
        <v>315</v>
      </c>
      <c r="B27" s="172">
        <f t="shared" si="17"/>
        <v>0.22329886075602687</v>
      </c>
      <c r="C27" s="172">
        <f t="shared" si="17"/>
        <v>1.1527613087700792</v>
      </c>
      <c r="D27" s="173" t="s">
        <v>11</v>
      </c>
      <c r="E27" s="173" t="s">
        <v>11</v>
      </c>
      <c r="F27" s="173" t="s">
        <v>11</v>
      </c>
      <c r="G27" s="172">
        <f t="shared" si="17"/>
        <v>2.2341680549195182</v>
      </c>
      <c r="H27" s="174"/>
      <c r="I27" s="181"/>
      <c r="J27" s="176">
        <f t="shared" si="18"/>
        <v>0.35279736793436656</v>
      </c>
      <c r="K27" s="176">
        <f t="shared" si="18"/>
        <v>1.2648308148868026</v>
      </c>
      <c r="L27" s="173" t="s">
        <v>11</v>
      </c>
      <c r="M27" s="173" t="s">
        <v>11</v>
      </c>
      <c r="N27" s="173" t="s">
        <v>11</v>
      </c>
      <c r="O27" s="176">
        <f t="shared" si="18"/>
        <v>1.5641282379046808</v>
      </c>
    </row>
    <row r="28" spans="1:15" x14ac:dyDescent="0.2">
      <c r="A28" s="180">
        <v>330</v>
      </c>
      <c r="B28" s="172">
        <f t="shared" si="17"/>
        <v>0.3061006135394394</v>
      </c>
      <c r="C28" s="172">
        <f t="shared" si="17"/>
        <v>1.0891986258253807</v>
      </c>
      <c r="D28" s="173" t="s">
        <v>11</v>
      </c>
      <c r="E28" s="173" t="s">
        <v>11</v>
      </c>
      <c r="F28" s="173" t="s">
        <v>11</v>
      </c>
      <c r="G28" s="172">
        <f t="shared" si="17"/>
        <v>1.681036193937316</v>
      </c>
      <c r="H28" s="174"/>
      <c r="I28" s="181"/>
      <c r="J28" s="176">
        <f t="shared" si="18"/>
        <v>0.38772313216809146</v>
      </c>
      <c r="K28" s="176">
        <f t="shared" si="18"/>
        <v>1.1965514851502506</v>
      </c>
      <c r="L28" s="173" t="s">
        <v>11</v>
      </c>
      <c r="M28" s="173" t="s">
        <v>11</v>
      </c>
      <c r="N28" s="173" t="s">
        <v>11</v>
      </c>
      <c r="O28" s="176">
        <f t="shared" si="18"/>
        <v>1.6855992404799247</v>
      </c>
    </row>
    <row r="29" spans="1:15" x14ac:dyDescent="0.2">
      <c r="A29" s="180">
        <v>345</v>
      </c>
      <c r="B29" s="172">
        <f t="shared" si="17"/>
        <v>0.53585801560910462</v>
      </c>
      <c r="C29" s="172">
        <f t="shared" si="17"/>
        <v>1.0445993129126903</v>
      </c>
      <c r="D29" s="173" t="s">
        <v>11</v>
      </c>
      <c r="E29" s="173" t="s">
        <v>11</v>
      </c>
      <c r="F29" s="173" t="s">
        <v>11</v>
      </c>
      <c r="G29" s="172">
        <f t="shared" si="17"/>
        <v>1.681036193937316</v>
      </c>
      <c r="H29" s="174"/>
      <c r="I29" s="181"/>
      <c r="J29" s="176">
        <f t="shared" si="18"/>
        <v>0.49531400400070569</v>
      </c>
      <c r="K29" s="176">
        <f t="shared" si="18"/>
        <v>1.0982757425751253</v>
      </c>
      <c r="L29" s="173" t="s">
        <v>11</v>
      </c>
      <c r="M29" s="173" t="s">
        <v>11</v>
      </c>
      <c r="N29" s="173" t="s">
        <v>11</v>
      </c>
      <c r="O29" s="176">
        <f t="shared" si="18"/>
        <v>1.6855992404799247</v>
      </c>
    </row>
    <row r="30" spans="1:15" x14ac:dyDescent="0.2">
      <c r="A30" s="180">
        <v>360</v>
      </c>
      <c r="B30" s="172">
        <f t="shared" si="17"/>
        <v>0.76561541767876973</v>
      </c>
      <c r="C30" s="172">
        <f t="shared" si="17"/>
        <v>1</v>
      </c>
      <c r="D30" s="173" t="s">
        <v>11</v>
      </c>
      <c r="E30" s="173" t="s">
        <v>11</v>
      </c>
      <c r="F30" s="173" t="s">
        <v>11</v>
      </c>
      <c r="G30" s="172">
        <f t="shared" si="17"/>
        <v>1.681036193937316</v>
      </c>
      <c r="H30" s="182"/>
      <c r="I30" s="181"/>
      <c r="J30" s="176">
        <f t="shared" si="18"/>
        <v>0.60290487583331998</v>
      </c>
      <c r="K30" s="176">
        <f t="shared" si="18"/>
        <v>1</v>
      </c>
      <c r="L30" s="173" t="s">
        <v>11</v>
      </c>
      <c r="M30" s="173" t="s">
        <v>11</v>
      </c>
      <c r="N30" s="173" t="s">
        <v>11</v>
      </c>
      <c r="O30" s="176">
        <f t="shared" si="18"/>
        <v>1.6855992404799247</v>
      </c>
    </row>
    <row r="31" spans="1:15" x14ac:dyDescent="0.2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</row>
    <row r="32" spans="1:15" ht="15.75" customHeight="1" x14ac:dyDescent="0.2">
      <c r="A32" s="228" t="s">
        <v>66</v>
      </c>
      <c r="B32" s="228"/>
      <c r="C32" s="228"/>
      <c r="D32" s="228"/>
      <c r="E32" s="228"/>
      <c r="F32" s="228"/>
      <c r="G32" s="228"/>
      <c r="H32" s="160"/>
      <c r="I32" s="228" t="s">
        <v>67</v>
      </c>
      <c r="J32" s="228"/>
      <c r="K32" s="228"/>
      <c r="L32" s="228"/>
      <c r="M32" s="228"/>
      <c r="N32" s="228"/>
      <c r="O32" s="228"/>
    </row>
    <row r="33" spans="1:15" x14ac:dyDescent="0.2">
      <c r="A33" s="184" t="s">
        <v>55</v>
      </c>
      <c r="B33" s="185">
        <f>topoDomain_long_FST1!S5</f>
        <v>1678</v>
      </c>
      <c r="C33" s="185">
        <f>topoDomain_long_FST1!T5</f>
        <v>7811</v>
      </c>
      <c r="D33" s="185">
        <f>topoDomain_long_FST1!U5</f>
        <v>8949</v>
      </c>
      <c r="E33" s="185">
        <f>topoDomain_long_FST1!V5</f>
        <v>298215</v>
      </c>
      <c r="F33" s="185">
        <f>topoDomain_long_FST1!W5</f>
        <v>32704</v>
      </c>
      <c r="G33" s="185">
        <f>topoDomain_long_FST1!X5</f>
        <v>1598052</v>
      </c>
      <c r="H33" s="164"/>
      <c r="I33" s="184" t="s">
        <v>55</v>
      </c>
      <c r="J33" s="185">
        <f t="shared" ref="J33:O33" si="19">B33</f>
        <v>1678</v>
      </c>
      <c r="K33" s="185">
        <f t="shared" si="19"/>
        <v>7811</v>
      </c>
      <c r="L33" s="185">
        <f t="shared" si="19"/>
        <v>8949</v>
      </c>
      <c r="M33" s="185">
        <f t="shared" si="19"/>
        <v>298215</v>
      </c>
      <c r="N33" s="185">
        <f t="shared" si="19"/>
        <v>32704</v>
      </c>
      <c r="O33" s="185">
        <f t="shared" si="19"/>
        <v>1598052</v>
      </c>
    </row>
    <row r="34" spans="1:15" x14ac:dyDescent="0.2">
      <c r="A34" s="186"/>
      <c r="B34" s="187" t="s">
        <v>57</v>
      </c>
      <c r="C34" s="187" t="s">
        <v>57</v>
      </c>
      <c r="D34" s="187" t="s">
        <v>57</v>
      </c>
      <c r="E34" s="187" t="s">
        <v>58</v>
      </c>
      <c r="F34" s="187" t="s">
        <v>58</v>
      </c>
      <c r="G34" s="187" t="s">
        <v>58</v>
      </c>
      <c r="H34" s="167"/>
      <c r="I34" s="186"/>
      <c r="J34" s="187" t="s">
        <v>57</v>
      </c>
      <c r="K34" s="187" t="s">
        <v>57</v>
      </c>
      <c r="L34" s="187" t="s">
        <v>57</v>
      </c>
      <c r="M34" s="187" t="s">
        <v>58</v>
      </c>
      <c r="N34" s="187" t="s">
        <v>58</v>
      </c>
      <c r="O34" s="187" t="s">
        <v>58</v>
      </c>
    </row>
    <row r="35" spans="1:15" ht="13.5" x14ac:dyDescent="0.2">
      <c r="A35" s="188" t="s">
        <v>59</v>
      </c>
      <c r="B35" s="189" t="s">
        <v>258</v>
      </c>
      <c r="C35" s="189" t="s">
        <v>259</v>
      </c>
      <c r="D35" s="189" t="s">
        <v>260</v>
      </c>
      <c r="E35" s="189" t="s">
        <v>261</v>
      </c>
      <c r="F35" s="189" t="s">
        <v>262</v>
      </c>
      <c r="G35" s="189" t="s">
        <v>263</v>
      </c>
      <c r="H35" s="160"/>
      <c r="I35" s="188" t="s">
        <v>59</v>
      </c>
      <c r="J35" s="189" t="s">
        <v>258</v>
      </c>
      <c r="K35" s="189" t="s">
        <v>259</v>
      </c>
      <c r="L35" s="189" t="s">
        <v>260</v>
      </c>
      <c r="M35" s="189" t="s">
        <v>261</v>
      </c>
      <c r="N35" s="189" t="s">
        <v>262</v>
      </c>
      <c r="O35" s="189" t="s">
        <v>263</v>
      </c>
    </row>
    <row r="36" spans="1:15" ht="36" x14ac:dyDescent="0.2">
      <c r="A36" s="190"/>
      <c r="B36" s="189" t="str">
        <f t="shared" ref="B36:G36" si="20">CONCATENATE($A$32,"-",B35)</f>
        <v>topoDomain-long-FST1-Cx [-]</v>
      </c>
      <c r="C36" s="189" t="str">
        <f t="shared" si="20"/>
        <v>topoDomain-long-FST1-Cy [-]</v>
      </c>
      <c r="D36" s="189" t="str">
        <f t="shared" si="20"/>
        <v>topoDomain-long-FST1-Cz [-]</v>
      </c>
      <c r="E36" s="189" t="str">
        <f t="shared" si="20"/>
        <v>topoDomain-long-FST1-Cnx [-]</v>
      </c>
      <c r="F36" s="189" t="str">
        <f t="shared" si="20"/>
        <v>topoDomain-long-FST1-Cny [-]</v>
      </c>
      <c r="G36" s="189" t="str">
        <f t="shared" si="20"/>
        <v>topoDomain-long-FST1-Cnz [-]</v>
      </c>
      <c r="H36" s="160"/>
      <c r="I36" s="190"/>
      <c r="J36" s="189" t="str">
        <f t="shared" ref="J36:O36" si="21">CONCATENATE($I$32,"-",J35)</f>
        <v>topoDomain-long-FST2-Cx [-]</v>
      </c>
      <c r="K36" s="189" t="str">
        <f t="shared" si="21"/>
        <v>topoDomain-long-FST2-Cy [-]</v>
      </c>
      <c r="L36" s="189" t="str">
        <f t="shared" si="21"/>
        <v>topoDomain-long-FST2-Cz [-]</v>
      </c>
      <c r="M36" s="189" t="str">
        <f t="shared" si="21"/>
        <v>topoDomain-long-FST2-Cnx [-]</v>
      </c>
      <c r="N36" s="189" t="str">
        <f t="shared" si="21"/>
        <v>topoDomain-long-FST2-Cny [-]</v>
      </c>
      <c r="O36" s="189" t="str">
        <f t="shared" si="21"/>
        <v>topoDomain-long-FST2-Cnz [-]</v>
      </c>
    </row>
    <row r="37" spans="1:15" x14ac:dyDescent="0.2">
      <c r="A37" s="191"/>
      <c r="B37" s="192"/>
      <c r="C37" s="193"/>
      <c r="D37" s="193"/>
      <c r="E37" s="193"/>
      <c r="F37" s="193"/>
      <c r="G37" s="194"/>
      <c r="H37" s="174"/>
      <c r="I37" s="191"/>
      <c r="J37" s="192"/>
      <c r="K37" s="193"/>
      <c r="L37" s="193"/>
      <c r="M37" s="193"/>
      <c r="N37" s="193"/>
      <c r="O37" s="194"/>
    </row>
    <row r="38" spans="1:15" x14ac:dyDescent="0.2">
      <c r="A38" s="191"/>
      <c r="B38" s="195"/>
      <c r="C38" s="174"/>
      <c r="D38" s="174"/>
      <c r="E38" s="174"/>
      <c r="F38" s="174"/>
      <c r="G38" s="196"/>
      <c r="H38" s="174"/>
      <c r="I38" s="191"/>
      <c r="J38" s="195"/>
      <c r="K38" s="174"/>
      <c r="L38" s="174"/>
      <c r="M38" s="174"/>
      <c r="N38" s="174"/>
      <c r="O38" s="196"/>
    </row>
    <row r="39" spans="1:15" x14ac:dyDescent="0.2">
      <c r="A39" s="191"/>
      <c r="B39" s="195"/>
      <c r="C39" s="174"/>
      <c r="D39" s="174"/>
      <c r="E39" s="174"/>
      <c r="F39" s="174"/>
      <c r="G39" s="196"/>
      <c r="H39" s="174"/>
      <c r="I39" s="191"/>
      <c r="J39" s="195"/>
      <c r="K39" s="174"/>
      <c r="L39" s="174"/>
      <c r="M39" s="174"/>
      <c r="N39" s="174"/>
      <c r="O39" s="196"/>
    </row>
    <row r="40" spans="1:15" x14ac:dyDescent="0.2">
      <c r="A40" s="191"/>
      <c r="B40" s="195"/>
      <c r="C40" s="174"/>
      <c r="D40" s="174"/>
      <c r="E40" s="174"/>
      <c r="F40" s="174"/>
      <c r="G40" s="196"/>
      <c r="H40" s="174"/>
      <c r="I40" s="191"/>
      <c r="J40" s="195"/>
      <c r="K40" s="174"/>
      <c r="L40" s="174"/>
      <c r="M40" s="174"/>
      <c r="N40" s="174"/>
      <c r="O40" s="196"/>
    </row>
    <row r="41" spans="1:15" ht="14.25" customHeight="1" x14ac:dyDescent="0.2">
      <c r="A41" s="191"/>
      <c r="B41" s="195"/>
      <c r="C41" s="174"/>
      <c r="D41" s="174"/>
      <c r="E41" s="174"/>
      <c r="F41" s="174"/>
      <c r="G41" s="196"/>
      <c r="H41" s="174"/>
      <c r="I41" s="191"/>
      <c r="J41" s="195"/>
      <c r="K41" s="174"/>
      <c r="L41" s="174"/>
      <c r="M41" s="174"/>
      <c r="N41" s="174"/>
      <c r="O41" s="196"/>
    </row>
    <row r="42" spans="1:15" x14ac:dyDescent="0.2">
      <c r="A42" s="191"/>
      <c r="B42" s="195"/>
      <c r="C42" s="174"/>
      <c r="D42" s="174"/>
      <c r="E42" s="174"/>
      <c r="F42" s="174"/>
      <c r="G42" s="196"/>
      <c r="H42" s="174"/>
      <c r="I42" s="191"/>
      <c r="J42" s="195"/>
      <c r="K42" s="174"/>
      <c r="L42" s="174"/>
      <c r="M42" s="174"/>
      <c r="N42" s="174"/>
      <c r="O42" s="196"/>
    </row>
    <row r="43" spans="1:15" x14ac:dyDescent="0.2">
      <c r="A43" s="191"/>
      <c r="B43" s="195"/>
      <c r="C43" s="174"/>
      <c r="D43" s="174"/>
      <c r="E43" s="174"/>
      <c r="F43" s="174"/>
      <c r="G43" s="196"/>
      <c r="H43" s="174"/>
      <c r="I43" s="191"/>
      <c r="J43" s="195"/>
      <c r="K43" s="174"/>
      <c r="L43" s="174"/>
      <c r="M43" s="174"/>
      <c r="N43" s="174"/>
      <c r="O43" s="196"/>
    </row>
    <row r="44" spans="1:15" x14ac:dyDescent="0.2">
      <c r="A44" s="191"/>
      <c r="B44" s="195"/>
      <c r="C44" s="174"/>
      <c r="D44" s="174"/>
      <c r="E44" s="174"/>
      <c r="F44" s="174"/>
      <c r="G44" s="196"/>
      <c r="H44" s="174"/>
      <c r="I44" s="191"/>
      <c r="J44" s="195"/>
      <c r="K44" s="174"/>
      <c r="L44" s="174"/>
      <c r="M44" s="174"/>
      <c r="N44" s="174"/>
      <c r="O44" s="196"/>
    </row>
    <row r="45" spans="1:15" x14ac:dyDescent="0.2">
      <c r="A45" s="191"/>
      <c r="B45" s="195"/>
      <c r="C45" s="174"/>
      <c r="D45" s="174"/>
      <c r="E45" s="174"/>
      <c r="F45" s="174"/>
      <c r="G45" s="196"/>
      <c r="H45" s="174"/>
      <c r="I45" s="191"/>
      <c r="J45" s="195"/>
      <c r="K45" s="174"/>
      <c r="L45" s="174"/>
      <c r="M45" s="174"/>
      <c r="N45" s="174"/>
      <c r="O45" s="196"/>
    </row>
    <row r="46" spans="1:15" x14ac:dyDescent="0.2">
      <c r="A46" s="191"/>
      <c r="B46" s="195"/>
      <c r="C46" s="174"/>
      <c r="D46" s="174"/>
      <c r="E46" s="174"/>
      <c r="F46" s="174"/>
      <c r="G46" s="196"/>
      <c r="H46" s="174"/>
      <c r="I46" s="191"/>
      <c r="J46" s="195"/>
      <c r="K46" s="174"/>
      <c r="L46" s="174"/>
      <c r="M46" s="174"/>
      <c r="N46" s="174"/>
      <c r="O46" s="196"/>
    </row>
    <row r="47" spans="1:15" x14ac:dyDescent="0.2">
      <c r="A47" s="191"/>
      <c r="B47" s="195"/>
      <c r="C47" s="174"/>
      <c r="D47" s="174"/>
      <c r="E47" s="174"/>
      <c r="F47" s="174"/>
      <c r="G47" s="196"/>
      <c r="H47" s="174"/>
      <c r="I47" s="191"/>
      <c r="J47" s="195"/>
      <c r="K47" s="174"/>
      <c r="L47" s="174"/>
      <c r="M47" s="174"/>
      <c r="N47" s="174"/>
      <c r="O47" s="196"/>
    </row>
    <row r="48" spans="1:15" x14ac:dyDescent="0.2">
      <c r="A48" s="191"/>
      <c r="B48" s="195"/>
      <c r="C48" s="174"/>
      <c r="D48" s="174"/>
      <c r="E48" s="174"/>
      <c r="F48" s="174"/>
      <c r="G48" s="196"/>
      <c r="H48" s="174"/>
      <c r="I48" s="191"/>
      <c r="J48" s="195"/>
      <c r="K48" s="174"/>
      <c r="L48" s="174"/>
      <c r="M48" s="174"/>
      <c r="N48" s="174"/>
      <c r="O48" s="196"/>
    </row>
    <row r="49" spans="1:15" x14ac:dyDescent="0.2">
      <c r="A49" s="191"/>
      <c r="B49" s="195"/>
      <c r="C49" s="174"/>
      <c r="D49" s="174"/>
      <c r="E49" s="174"/>
      <c r="F49" s="174"/>
      <c r="G49" s="196"/>
      <c r="H49" s="174"/>
      <c r="I49" s="191"/>
      <c r="J49" s="195"/>
      <c r="K49" s="174"/>
      <c r="L49" s="174"/>
      <c r="M49" s="174"/>
      <c r="N49" s="174"/>
      <c r="O49" s="196"/>
    </row>
    <row r="50" spans="1:15" x14ac:dyDescent="0.2">
      <c r="A50" s="197"/>
      <c r="B50" s="195"/>
      <c r="C50" s="174"/>
      <c r="D50" s="174"/>
      <c r="E50" s="174"/>
      <c r="F50" s="174"/>
      <c r="G50" s="196"/>
      <c r="H50" s="174"/>
      <c r="I50" s="197"/>
      <c r="J50" s="195"/>
      <c r="K50" s="174"/>
      <c r="L50" s="174"/>
      <c r="M50" s="174"/>
      <c r="N50" s="174"/>
      <c r="O50" s="196"/>
    </row>
    <row r="51" spans="1:15" x14ac:dyDescent="0.2">
      <c r="A51" s="197"/>
      <c r="B51" s="195"/>
      <c r="C51" s="174"/>
      <c r="D51" s="174"/>
      <c r="E51" s="174"/>
      <c r="F51" s="174"/>
      <c r="G51" s="196"/>
      <c r="H51" s="174"/>
      <c r="I51" s="197"/>
      <c r="J51" s="195"/>
      <c r="K51" s="174"/>
      <c r="L51" s="174"/>
      <c r="M51" s="174"/>
      <c r="N51" s="174"/>
      <c r="O51" s="196"/>
    </row>
    <row r="52" spans="1:15" x14ac:dyDescent="0.2">
      <c r="A52" s="197"/>
      <c r="B52" s="195"/>
      <c r="C52" s="174"/>
      <c r="D52" s="174"/>
      <c r="E52" s="174"/>
      <c r="F52" s="174"/>
      <c r="G52" s="196"/>
      <c r="H52" s="174"/>
      <c r="I52" s="197"/>
      <c r="J52" s="195"/>
      <c r="K52" s="174"/>
      <c r="L52" s="174"/>
      <c r="M52" s="174"/>
      <c r="N52" s="174"/>
      <c r="O52" s="196"/>
    </row>
    <row r="53" spans="1:15" x14ac:dyDescent="0.2">
      <c r="A53" s="197"/>
      <c r="B53" s="195"/>
      <c r="C53" s="174"/>
      <c r="D53" s="174"/>
      <c r="E53" s="174"/>
      <c r="F53" s="174"/>
      <c r="G53" s="196"/>
      <c r="H53" s="174"/>
      <c r="I53" s="197"/>
      <c r="J53" s="195"/>
      <c r="K53" s="174"/>
      <c r="L53" s="174"/>
      <c r="M53" s="174"/>
      <c r="N53" s="174"/>
      <c r="O53" s="196"/>
    </row>
    <row r="54" spans="1:15" x14ac:dyDescent="0.2">
      <c r="A54" s="197"/>
      <c r="B54" s="195"/>
      <c r="C54" s="174"/>
      <c r="D54" s="174"/>
      <c r="E54" s="174"/>
      <c r="F54" s="174"/>
      <c r="G54" s="196"/>
      <c r="H54" s="174"/>
      <c r="I54" s="197"/>
      <c r="J54" s="195"/>
      <c r="K54" s="174"/>
      <c r="L54" s="174"/>
      <c r="M54" s="174"/>
      <c r="N54" s="174"/>
      <c r="O54" s="196"/>
    </row>
    <row r="55" spans="1:15" x14ac:dyDescent="0.2">
      <c r="A55" s="197"/>
      <c r="B55" s="195"/>
      <c r="C55" s="174"/>
      <c r="D55" s="174"/>
      <c r="E55" s="174"/>
      <c r="F55" s="174"/>
      <c r="G55" s="196"/>
      <c r="H55" s="174"/>
      <c r="I55" s="197"/>
      <c r="J55" s="195"/>
      <c r="K55" s="174"/>
      <c r="L55" s="174"/>
      <c r="M55" s="174"/>
      <c r="N55" s="174"/>
      <c r="O55" s="196"/>
    </row>
    <row r="56" spans="1:15" x14ac:dyDescent="0.2">
      <c r="A56" s="197"/>
      <c r="B56" s="195"/>
      <c r="C56" s="174"/>
      <c r="D56" s="174"/>
      <c r="E56" s="174"/>
      <c r="F56" s="174"/>
      <c r="G56" s="196"/>
      <c r="H56" s="174"/>
      <c r="I56" s="197"/>
      <c r="J56" s="195"/>
      <c r="K56" s="174"/>
      <c r="L56" s="174"/>
      <c r="M56" s="174"/>
      <c r="N56" s="174"/>
      <c r="O56" s="196"/>
    </row>
    <row r="57" spans="1:15" x14ac:dyDescent="0.2">
      <c r="A57" s="197"/>
      <c r="B57" s="195"/>
      <c r="C57" s="174"/>
      <c r="D57" s="174"/>
      <c r="E57" s="174"/>
      <c r="F57" s="174"/>
      <c r="G57" s="196"/>
      <c r="H57" s="174"/>
      <c r="I57" s="197"/>
      <c r="J57" s="195"/>
      <c r="K57" s="174"/>
      <c r="L57" s="174"/>
      <c r="M57" s="174"/>
      <c r="N57" s="174"/>
      <c r="O57" s="196"/>
    </row>
    <row r="58" spans="1:15" x14ac:dyDescent="0.2">
      <c r="A58" s="197"/>
      <c r="B58" s="195"/>
      <c r="C58" s="174"/>
      <c r="D58" s="174"/>
      <c r="E58" s="174"/>
      <c r="F58" s="174"/>
      <c r="G58" s="196"/>
      <c r="H58" s="174"/>
      <c r="I58" s="197"/>
      <c r="J58" s="195"/>
      <c r="K58" s="174"/>
      <c r="L58" s="174"/>
      <c r="M58" s="174"/>
      <c r="N58" s="174"/>
      <c r="O58" s="196"/>
    </row>
    <row r="59" spans="1:15" x14ac:dyDescent="0.2">
      <c r="A59" s="197"/>
      <c r="B59" s="195"/>
      <c r="C59" s="174"/>
      <c r="D59" s="174"/>
      <c r="E59" s="174"/>
      <c r="F59" s="174"/>
      <c r="G59" s="196"/>
      <c r="H59" s="174"/>
      <c r="I59" s="197"/>
      <c r="J59" s="195"/>
      <c r="K59" s="174"/>
      <c r="L59" s="174"/>
      <c r="M59" s="174"/>
      <c r="N59" s="174"/>
      <c r="O59" s="196"/>
    </row>
    <row r="60" spans="1:15" x14ac:dyDescent="0.2">
      <c r="A60" s="197"/>
      <c r="B60" s="195"/>
      <c r="C60" s="174"/>
      <c r="D60" s="174"/>
      <c r="E60" s="174"/>
      <c r="F60" s="174"/>
      <c r="G60" s="196"/>
      <c r="H60" s="174"/>
      <c r="I60" s="197"/>
      <c r="J60" s="195"/>
      <c r="K60" s="174"/>
      <c r="L60" s="174"/>
      <c r="M60" s="174"/>
      <c r="N60" s="174"/>
      <c r="O60" s="196"/>
    </row>
    <row r="61" spans="1:15" x14ac:dyDescent="0.2">
      <c r="A61" s="198"/>
      <c r="B61" s="199"/>
      <c r="C61" s="200"/>
      <c r="D61" s="200"/>
      <c r="E61" s="200"/>
      <c r="F61" s="200"/>
      <c r="G61" s="201"/>
      <c r="H61" s="182"/>
      <c r="I61" s="198"/>
      <c r="J61" s="199"/>
      <c r="K61" s="200"/>
      <c r="L61" s="200"/>
      <c r="M61" s="200"/>
      <c r="N61" s="200"/>
      <c r="O61" s="201"/>
    </row>
    <row r="62" spans="1:15" x14ac:dyDescent="0.2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</row>
    <row r="63" spans="1:15" ht="15.75" customHeight="1" x14ac:dyDescent="0.2">
      <c r="A63" s="228" t="s">
        <v>68</v>
      </c>
      <c r="B63" s="228"/>
      <c r="C63" s="228"/>
      <c r="D63" s="228"/>
      <c r="E63" s="228"/>
      <c r="F63" s="228"/>
      <c r="G63" s="228"/>
      <c r="H63" s="160"/>
      <c r="I63" s="228" t="s">
        <v>69</v>
      </c>
      <c r="J63" s="228"/>
      <c r="K63" s="228"/>
      <c r="L63" s="228"/>
      <c r="M63" s="228"/>
      <c r="N63" s="228"/>
      <c r="O63" s="228"/>
    </row>
    <row r="64" spans="1:15" x14ac:dyDescent="0.2">
      <c r="A64" s="184" t="s">
        <v>55</v>
      </c>
      <c r="B64" s="185">
        <f>topoDomain_trans_FST1!S5</f>
        <v>1678</v>
      </c>
      <c r="C64" s="185">
        <f>topoDomain_trans_FST1!T5</f>
        <v>7811</v>
      </c>
      <c r="D64" s="185">
        <f>topoDomain_trans_FST1!U5</f>
        <v>8949</v>
      </c>
      <c r="E64" s="185">
        <f>topoDomain_trans_FST1!V5</f>
        <v>298215</v>
      </c>
      <c r="F64" s="185">
        <f>topoDomain_trans_FST1!W5</f>
        <v>32704</v>
      </c>
      <c r="G64" s="185">
        <f>topoDomain_trans_FST1!X5</f>
        <v>1598052</v>
      </c>
      <c r="H64" s="164"/>
      <c r="I64" s="184" t="s">
        <v>55</v>
      </c>
      <c r="J64" s="185">
        <f t="shared" ref="J64:O64" si="22">B64</f>
        <v>1678</v>
      </c>
      <c r="K64" s="185">
        <f t="shared" si="22"/>
        <v>7811</v>
      </c>
      <c r="L64" s="185">
        <f t="shared" si="22"/>
        <v>8949</v>
      </c>
      <c r="M64" s="185">
        <f t="shared" si="22"/>
        <v>298215</v>
      </c>
      <c r="N64" s="185">
        <f t="shared" si="22"/>
        <v>32704</v>
      </c>
      <c r="O64" s="185">
        <f t="shared" si="22"/>
        <v>1598052</v>
      </c>
    </row>
    <row r="65" spans="1:15" x14ac:dyDescent="0.2">
      <c r="A65" s="186"/>
      <c r="B65" s="187" t="s">
        <v>57</v>
      </c>
      <c r="C65" s="187" t="s">
        <v>57</v>
      </c>
      <c r="D65" s="187" t="s">
        <v>57</v>
      </c>
      <c r="E65" s="187" t="s">
        <v>58</v>
      </c>
      <c r="F65" s="187" t="s">
        <v>58</v>
      </c>
      <c r="G65" s="187" t="s">
        <v>58</v>
      </c>
      <c r="H65" s="167"/>
      <c r="I65" s="186"/>
      <c r="J65" s="187" t="s">
        <v>57</v>
      </c>
      <c r="K65" s="187" t="s">
        <v>57</v>
      </c>
      <c r="L65" s="187" t="s">
        <v>57</v>
      </c>
      <c r="M65" s="187" t="s">
        <v>58</v>
      </c>
      <c r="N65" s="187" t="s">
        <v>58</v>
      </c>
      <c r="O65" s="187" t="s">
        <v>58</v>
      </c>
    </row>
    <row r="66" spans="1:15" ht="13.5" x14ac:dyDescent="0.2">
      <c r="A66" s="188" t="s">
        <v>59</v>
      </c>
      <c r="B66" s="189" t="s">
        <v>258</v>
      </c>
      <c r="C66" s="189" t="s">
        <v>259</v>
      </c>
      <c r="D66" s="189" t="s">
        <v>260</v>
      </c>
      <c r="E66" s="189" t="s">
        <v>261</v>
      </c>
      <c r="F66" s="189" t="s">
        <v>262</v>
      </c>
      <c r="G66" s="189" t="s">
        <v>263</v>
      </c>
      <c r="H66" s="160"/>
      <c r="I66" s="188" t="s">
        <v>59</v>
      </c>
      <c r="J66" s="189" t="s">
        <v>258</v>
      </c>
      <c r="K66" s="189" t="s">
        <v>259</v>
      </c>
      <c r="L66" s="189" t="s">
        <v>260</v>
      </c>
      <c r="M66" s="189" t="s">
        <v>261</v>
      </c>
      <c r="N66" s="189" t="s">
        <v>262</v>
      </c>
      <c r="O66" s="189" t="s">
        <v>263</v>
      </c>
    </row>
    <row r="67" spans="1:15" ht="36" x14ac:dyDescent="0.2">
      <c r="A67" s="190"/>
      <c r="B67" s="189" t="str">
        <f t="shared" ref="B67:G67" si="23">CONCATENATE($A$63,"-",B66)</f>
        <v>topoDomain-trans-FST1-Cx [-]</v>
      </c>
      <c r="C67" s="189" t="str">
        <f t="shared" si="23"/>
        <v>topoDomain-trans-FST1-Cy [-]</v>
      </c>
      <c r="D67" s="189" t="str">
        <f t="shared" si="23"/>
        <v>topoDomain-trans-FST1-Cz [-]</v>
      </c>
      <c r="E67" s="189" t="str">
        <f t="shared" si="23"/>
        <v>topoDomain-trans-FST1-Cnx [-]</v>
      </c>
      <c r="F67" s="189" t="str">
        <f t="shared" si="23"/>
        <v>topoDomain-trans-FST1-Cny [-]</v>
      </c>
      <c r="G67" s="189" t="str">
        <f t="shared" si="23"/>
        <v>topoDomain-trans-FST1-Cnz [-]</v>
      </c>
      <c r="H67" s="160"/>
      <c r="I67" s="190"/>
      <c r="J67" s="189" t="str">
        <f t="shared" ref="J67:O67" si="24">CONCATENATE($I$63,"-",J66)</f>
        <v>topoDomain-trans-FST2-Cx [-]</v>
      </c>
      <c r="K67" s="189" t="str">
        <f t="shared" si="24"/>
        <v>topoDomain-trans-FST2-Cy [-]</v>
      </c>
      <c r="L67" s="189" t="str">
        <f t="shared" si="24"/>
        <v>topoDomain-trans-FST2-Cz [-]</v>
      </c>
      <c r="M67" s="189" t="str">
        <f t="shared" si="24"/>
        <v>topoDomain-trans-FST2-Cnx [-]</v>
      </c>
      <c r="N67" s="189" t="str">
        <f t="shared" si="24"/>
        <v>topoDomain-trans-FST2-Cny [-]</v>
      </c>
      <c r="O67" s="189" t="str">
        <f t="shared" si="24"/>
        <v>topoDomain-trans-FST2-Cnz [-]</v>
      </c>
    </row>
    <row r="68" spans="1:15" x14ac:dyDescent="0.2">
      <c r="A68" s="191"/>
      <c r="B68" s="192"/>
      <c r="C68" s="193"/>
      <c r="D68" s="193"/>
      <c r="E68" s="193"/>
      <c r="F68" s="193"/>
      <c r="G68" s="194"/>
      <c r="H68" s="174"/>
      <c r="I68" s="191"/>
      <c r="J68" s="192"/>
      <c r="K68" s="193"/>
      <c r="L68" s="193"/>
      <c r="M68" s="193"/>
      <c r="N68" s="193"/>
      <c r="O68" s="194"/>
    </row>
    <row r="69" spans="1:15" x14ac:dyDescent="0.2">
      <c r="A69" s="191"/>
      <c r="B69" s="195"/>
      <c r="C69" s="174"/>
      <c r="D69" s="174"/>
      <c r="E69" s="174"/>
      <c r="F69" s="174"/>
      <c r="G69" s="196"/>
      <c r="H69" s="174"/>
      <c r="I69" s="191"/>
      <c r="J69" s="195"/>
      <c r="K69" s="174"/>
      <c r="L69" s="174"/>
      <c r="M69" s="174"/>
      <c r="N69" s="174"/>
      <c r="O69" s="196"/>
    </row>
    <row r="70" spans="1:15" x14ac:dyDescent="0.2">
      <c r="A70" s="191"/>
      <c r="B70" s="195"/>
      <c r="C70" s="174"/>
      <c r="D70" s="174"/>
      <c r="E70" s="174"/>
      <c r="F70" s="174"/>
      <c r="G70" s="196"/>
      <c r="H70" s="174"/>
      <c r="I70" s="191"/>
      <c r="J70" s="195"/>
      <c r="K70" s="174"/>
      <c r="L70" s="174"/>
      <c r="M70" s="174"/>
      <c r="N70" s="174"/>
      <c r="O70" s="196"/>
    </row>
    <row r="71" spans="1:15" x14ac:dyDescent="0.2">
      <c r="A71" s="191"/>
      <c r="B71" s="195"/>
      <c r="C71" s="174"/>
      <c r="D71" s="174"/>
      <c r="E71" s="174"/>
      <c r="F71" s="174"/>
      <c r="G71" s="196"/>
      <c r="H71" s="174"/>
      <c r="I71" s="191"/>
      <c r="J71" s="195"/>
      <c r="K71" s="174"/>
      <c r="L71" s="174"/>
      <c r="M71" s="174"/>
      <c r="N71" s="174"/>
      <c r="O71" s="196"/>
    </row>
    <row r="72" spans="1:15" x14ac:dyDescent="0.2">
      <c r="A72" s="191"/>
      <c r="B72" s="195"/>
      <c r="C72" s="174"/>
      <c r="D72" s="174"/>
      <c r="E72" s="174"/>
      <c r="F72" s="174"/>
      <c r="G72" s="196"/>
      <c r="H72" s="174"/>
      <c r="I72" s="191"/>
      <c r="J72" s="195"/>
      <c r="K72" s="174"/>
      <c r="L72" s="174"/>
      <c r="M72" s="174"/>
      <c r="N72" s="174"/>
      <c r="O72" s="196"/>
    </row>
    <row r="73" spans="1:15" x14ac:dyDescent="0.2">
      <c r="A73" s="191"/>
      <c r="B73" s="195"/>
      <c r="C73" s="174"/>
      <c r="D73" s="174"/>
      <c r="E73" s="174"/>
      <c r="F73" s="174"/>
      <c r="G73" s="196"/>
      <c r="H73" s="174"/>
      <c r="I73" s="191"/>
      <c r="J73" s="195"/>
      <c r="K73" s="174"/>
      <c r="L73" s="174"/>
      <c r="M73" s="174"/>
      <c r="N73" s="174"/>
      <c r="O73" s="196"/>
    </row>
    <row r="74" spans="1:15" x14ac:dyDescent="0.2">
      <c r="A74" s="191"/>
      <c r="B74" s="195"/>
      <c r="C74" s="174"/>
      <c r="D74" s="174"/>
      <c r="E74" s="174"/>
      <c r="F74" s="174"/>
      <c r="G74" s="196"/>
      <c r="H74" s="174"/>
      <c r="I74" s="191"/>
      <c r="J74" s="195"/>
      <c r="K74" s="174"/>
      <c r="L74" s="174"/>
      <c r="M74" s="174"/>
      <c r="N74" s="174"/>
      <c r="O74" s="196"/>
    </row>
    <row r="75" spans="1:15" x14ac:dyDescent="0.2">
      <c r="A75" s="191"/>
      <c r="B75" s="195"/>
      <c r="C75" s="174"/>
      <c r="D75" s="174"/>
      <c r="E75" s="174"/>
      <c r="F75" s="174"/>
      <c r="G75" s="196"/>
      <c r="H75" s="174"/>
      <c r="I75" s="191"/>
      <c r="J75" s="195"/>
      <c r="K75" s="174"/>
      <c r="L75" s="174"/>
      <c r="M75" s="174"/>
      <c r="N75" s="174"/>
      <c r="O75" s="196"/>
    </row>
    <row r="76" spans="1:15" x14ac:dyDescent="0.2">
      <c r="A76" s="191"/>
      <c r="B76" s="195"/>
      <c r="C76" s="174"/>
      <c r="D76" s="174"/>
      <c r="E76" s="174"/>
      <c r="F76" s="174"/>
      <c r="G76" s="196"/>
      <c r="H76" s="174"/>
      <c r="I76" s="191"/>
      <c r="J76" s="195"/>
      <c r="K76" s="174"/>
      <c r="L76" s="174"/>
      <c r="M76" s="174"/>
      <c r="N76" s="174"/>
      <c r="O76" s="196"/>
    </row>
    <row r="77" spans="1:15" x14ac:dyDescent="0.2">
      <c r="A77" s="191"/>
      <c r="B77" s="195"/>
      <c r="C77" s="174"/>
      <c r="D77" s="174"/>
      <c r="E77" s="174"/>
      <c r="F77" s="174"/>
      <c r="G77" s="196"/>
      <c r="H77" s="174"/>
      <c r="I77" s="191"/>
      <c r="J77" s="195"/>
      <c r="K77" s="174"/>
      <c r="L77" s="174"/>
      <c r="M77" s="174"/>
      <c r="N77" s="174"/>
      <c r="O77" s="196"/>
    </row>
    <row r="78" spans="1:15" x14ac:dyDescent="0.2">
      <c r="A78" s="191"/>
      <c r="B78" s="195"/>
      <c r="C78" s="174"/>
      <c r="D78" s="174"/>
      <c r="E78" s="174"/>
      <c r="F78" s="174"/>
      <c r="G78" s="196"/>
      <c r="H78" s="174"/>
      <c r="I78" s="191"/>
      <c r="J78" s="195"/>
      <c r="K78" s="174"/>
      <c r="L78" s="174"/>
      <c r="M78" s="174"/>
      <c r="N78" s="174"/>
      <c r="O78" s="196"/>
    </row>
    <row r="79" spans="1:15" x14ac:dyDescent="0.2">
      <c r="A79" s="191"/>
      <c r="B79" s="195"/>
      <c r="C79" s="174"/>
      <c r="D79" s="174"/>
      <c r="E79" s="174"/>
      <c r="F79" s="174"/>
      <c r="G79" s="196"/>
      <c r="H79" s="174"/>
      <c r="I79" s="191"/>
      <c r="J79" s="195"/>
      <c r="K79" s="174"/>
      <c r="L79" s="174"/>
      <c r="M79" s="174"/>
      <c r="N79" s="174"/>
      <c r="O79" s="196"/>
    </row>
    <row r="80" spans="1:15" x14ac:dyDescent="0.2">
      <c r="A80" s="191"/>
      <c r="B80" s="195"/>
      <c r="C80" s="174"/>
      <c r="D80" s="174"/>
      <c r="E80" s="174"/>
      <c r="F80" s="174"/>
      <c r="G80" s="196"/>
      <c r="H80" s="174"/>
      <c r="I80" s="191"/>
      <c r="J80" s="195"/>
      <c r="K80" s="174"/>
      <c r="L80" s="174"/>
      <c r="M80" s="174"/>
      <c r="N80" s="174"/>
      <c r="O80" s="196"/>
    </row>
    <row r="81" spans="1:39" x14ac:dyDescent="0.2">
      <c r="A81" s="191"/>
      <c r="B81" s="195"/>
      <c r="C81" s="174"/>
      <c r="D81" s="174"/>
      <c r="E81" s="174"/>
      <c r="F81" s="174"/>
      <c r="G81" s="196"/>
      <c r="H81" s="174"/>
      <c r="I81" s="197"/>
      <c r="J81" s="195"/>
      <c r="K81" s="174"/>
      <c r="L81" s="174"/>
      <c r="M81" s="174"/>
      <c r="N81" s="174"/>
      <c r="O81" s="196"/>
    </row>
    <row r="82" spans="1:39" x14ac:dyDescent="0.2">
      <c r="A82" s="191"/>
      <c r="B82" s="195"/>
      <c r="C82" s="174"/>
      <c r="D82" s="174"/>
      <c r="E82" s="174"/>
      <c r="F82" s="174"/>
      <c r="G82" s="196"/>
      <c r="H82" s="174"/>
      <c r="I82" s="197"/>
      <c r="J82" s="195"/>
      <c r="K82" s="174"/>
      <c r="L82" s="174"/>
      <c r="M82" s="174"/>
      <c r="N82" s="174"/>
      <c r="O82" s="196"/>
    </row>
    <row r="83" spans="1:39" x14ac:dyDescent="0.2">
      <c r="A83" s="191"/>
      <c r="B83" s="195"/>
      <c r="C83" s="174"/>
      <c r="D83" s="174"/>
      <c r="E83" s="174"/>
      <c r="F83" s="174"/>
      <c r="G83" s="196"/>
      <c r="H83" s="174"/>
      <c r="I83" s="197"/>
      <c r="J83" s="195"/>
      <c r="K83" s="174"/>
      <c r="L83" s="174"/>
      <c r="M83" s="174"/>
      <c r="N83" s="174"/>
      <c r="O83" s="196"/>
    </row>
    <row r="84" spans="1:39" x14ac:dyDescent="0.2">
      <c r="A84" s="191"/>
      <c r="B84" s="195"/>
      <c r="C84" s="174"/>
      <c r="D84" s="174"/>
      <c r="E84" s="174"/>
      <c r="F84" s="174"/>
      <c r="G84" s="196"/>
      <c r="H84" s="174"/>
      <c r="I84" s="197"/>
      <c r="J84" s="195"/>
      <c r="K84" s="174"/>
      <c r="L84" s="174"/>
      <c r="M84" s="174"/>
      <c r="N84" s="174"/>
      <c r="O84" s="196"/>
    </row>
    <row r="85" spans="1:39" x14ac:dyDescent="0.2">
      <c r="A85" s="191"/>
      <c r="B85" s="195"/>
      <c r="C85" s="174"/>
      <c r="D85" s="174"/>
      <c r="E85" s="174"/>
      <c r="F85" s="174"/>
      <c r="G85" s="196"/>
      <c r="H85" s="174"/>
      <c r="I85" s="197"/>
      <c r="J85" s="195"/>
      <c r="K85" s="174"/>
      <c r="L85" s="174"/>
      <c r="M85" s="174"/>
      <c r="N85" s="174"/>
      <c r="O85" s="196"/>
    </row>
    <row r="86" spans="1:39" x14ac:dyDescent="0.2">
      <c r="A86" s="191"/>
      <c r="B86" s="195"/>
      <c r="C86" s="174"/>
      <c r="D86" s="174"/>
      <c r="E86" s="174"/>
      <c r="F86" s="174"/>
      <c r="G86" s="196"/>
      <c r="H86" s="174"/>
      <c r="I86" s="197"/>
      <c r="J86" s="195"/>
      <c r="K86" s="174"/>
      <c r="L86" s="174"/>
      <c r="M86" s="174"/>
      <c r="N86" s="174"/>
      <c r="O86" s="196"/>
    </row>
    <row r="87" spans="1:39" x14ac:dyDescent="0.2">
      <c r="A87" s="191"/>
      <c r="B87" s="195"/>
      <c r="C87" s="174"/>
      <c r="D87" s="174"/>
      <c r="E87" s="174"/>
      <c r="F87" s="174"/>
      <c r="G87" s="196"/>
      <c r="H87" s="174"/>
      <c r="I87" s="197"/>
      <c r="J87" s="195"/>
      <c r="K87" s="174"/>
      <c r="L87" s="174"/>
      <c r="M87" s="174"/>
      <c r="N87" s="174"/>
      <c r="O87" s="196"/>
    </row>
    <row r="88" spans="1:39" x14ac:dyDescent="0.2">
      <c r="A88" s="191"/>
      <c r="B88" s="195"/>
      <c r="C88" s="174"/>
      <c r="D88" s="174"/>
      <c r="E88" s="174"/>
      <c r="F88" s="174"/>
      <c r="G88" s="196"/>
      <c r="H88" s="174"/>
      <c r="I88" s="197"/>
      <c r="J88" s="195"/>
      <c r="K88" s="174"/>
      <c r="L88" s="174"/>
      <c r="M88" s="174"/>
      <c r="N88" s="174"/>
      <c r="O88" s="196"/>
    </row>
    <row r="89" spans="1:39" x14ac:dyDescent="0.2">
      <c r="A89" s="191"/>
      <c r="B89" s="195"/>
      <c r="C89" s="174"/>
      <c r="D89" s="174"/>
      <c r="E89" s="174"/>
      <c r="F89" s="174"/>
      <c r="G89" s="196"/>
      <c r="H89" s="174"/>
      <c r="I89" s="197"/>
      <c r="J89" s="195"/>
      <c r="K89" s="174"/>
      <c r="L89" s="174"/>
      <c r="M89" s="174"/>
      <c r="N89" s="174"/>
      <c r="O89" s="196"/>
    </row>
    <row r="90" spans="1:39" x14ac:dyDescent="0.2">
      <c r="A90" s="191"/>
      <c r="B90" s="195"/>
      <c r="C90" s="174"/>
      <c r="D90" s="174"/>
      <c r="E90" s="174"/>
      <c r="F90" s="174"/>
      <c r="G90" s="196"/>
      <c r="H90" s="174"/>
      <c r="I90" s="197"/>
      <c r="J90" s="195"/>
      <c r="K90" s="174"/>
      <c r="L90" s="174"/>
      <c r="M90" s="174"/>
      <c r="N90" s="174"/>
      <c r="O90" s="196"/>
    </row>
    <row r="91" spans="1:39" x14ac:dyDescent="0.2">
      <c r="A91" s="191"/>
      <c r="B91" s="195"/>
      <c r="C91" s="174"/>
      <c r="D91" s="174"/>
      <c r="E91" s="174"/>
      <c r="F91" s="174"/>
      <c r="G91" s="196"/>
      <c r="H91" s="174"/>
      <c r="I91" s="197"/>
      <c r="J91" s="195"/>
      <c r="K91" s="174"/>
      <c r="L91" s="174"/>
      <c r="M91" s="174"/>
      <c r="N91" s="174"/>
      <c r="O91" s="196"/>
    </row>
    <row r="92" spans="1:39" x14ac:dyDescent="0.2">
      <c r="A92" s="191"/>
      <c r="B92" s="199"/>
      <c r="C92" s="200"/>
      <c r="D92" s="200"/>
      <c r="E92" s="200"/>
      <c r="F92" s="200"/>
      <c r="G92" s="201"/>
      <c r="H92" s="182"/>
      <c r="I92" s="198"/>
      <c r="J92" s="199"/>
      <c r="K92" s="200"/>
      <c r="L92" s="200"/>
      <c r="M92" s="200"/>
      <c r="N92" s="200"/>
      <c r="O92" s="201"/>
    </row>
    <row r="94" spans="1:39" ht="15.75" customHeight="1" x14ac:dyDescent="0.2">
      <c r="A94" s="228" t="s">
        <v>70</v>
      </c>
      <c r="B94" s="228"/>
      <c r="C94" s="228"/>
      <c r="D94" s="228"/>
      <c r="E94" s="228"/>
      <c r="F94" s="228"/>
      <c r="G94" s="228"/>
      <c r="H94" s="160"/>
      <c r="I94" s="228" t="s">
        <v>71</v>
      </c>
      <c r="J94" s="228"/>
      <c r="K94" s="228"/>
      <c r="L94" s="228"/>
      <c r="M94" s="228"/>
      <c r="N94" s="228"/>
      <c r="O94" s="228"/>
      <c r="Q94" s="228" t="s">
        <v>72</v>
      </c>
      <c r="R94" s="228"/>
      <c r="S94" s="228"/>
      <c r="T94" s="228"/>
      <c r="U94" s="228"/>
      <c r="V94" s="228"/>
      <c r="W94" s="228"/>
      <c r="Y94" s="228" t="s">
        <v>73</v>
      </c>
      <c r="Z94" s="228"/>
      <c r="AA94" s="228"/>
      <c r="AB94" s="228"/>
      <c r="AC94" s="228"/>
      <c r="AD94" s="228"/>
      <c r="AE94" s="228"/>
      <c r="AG94" s="228" t="s">
        <v>74</v>
      </c>
      <c r="AH94" s="228"/>
      <c r="AI94" s="228"/>
      <c r="AJ94" s="228"/>
      <c r="AK94" s="228"/>
      <c r="AL94" s="228"/>
      <c r="AM94" s="228"/>
    </row>
    <row r="95" spans="1:39" x14ac:dyDescent="0.2">
      <c r="A95" s="184" t="s">
        <v>55</v>
      </c>
      <c r="B95" s="185">
        <f>openDomain_trans_FST1!S5</f>
        <v>1678</v>
      </c>
      <c r="C95" s="185">
        <f>openDomain_trans_FST1!T5</f>
        <v>7811</v>
      </c>
      <c r="D95" s="185">
        <f>openDomain_trans_FST1!U5</f>
        <v>8949</v>
      </c>
      <c r="E95" s="185">
        <f>openDomain_trans_FST1!V5</f>
        <v>298215</v>
      </c>
      <c r="F95" s="185">
        <f>openDomain_trans_FST1!W5</f>
        <v>32704</v>
      </c>
      <c r="G95" s="185">
        <f>openDomain_trans_FST1!X5</f>
        <v>1598052</v>
      </c>
      <c r="H95" s="164"/>
      <c r="I95" s="184" t="s">
        <v>55</v>
      </c>
      <c r="J95" s="185">
        <f t="shared" ref="J95:O95" si="25">B95</f>
        <v>1678</v>
      </c>
      <c r="K95" s="185">
        <f t="shared" si="25"/>
        <v>7811</v>
      </c>
      <c r="L95" s="185">
        <f t="shared" si="25"/>
        <v>8949</v>
      </c>
      <c r="M95" s="185">
        <f t="shared" si="25"/>
        <v>298215</v>
      </c>
      <c r="N95" s="185">
        <f t="shared" si="25"/>
        <v>32704</v>
      </c>
      <c r="O95" s="185">
        <f t="shared" si="25"/>
        <v>1598052</v>
      </c>
      <c r="Q95" s="184" t="s">
        <v>55</v>
      </c>
      <c r="R95" s="185">
        <f t="shared" ref="R95:W95" si="26">J95</f>
        <v>1678</v>
      </c>
      <c r="S95" s="185">
        <f t="shared" si="26"/>
        <v>7811</v>
      </c>
      <c r="T95" s="185">
        <f t="shared" si="26"/>
        <v>8949</v>
      </c>
      <c r="U95" s="185">
        <f t="shared" si="26"/>
        <v>298215</v>
      </c>
      <c r="V95" s="185">
        <f t="shared" si="26"/>
        <v>32704</v>
      </c>
      <c r="W95" s="185">
        <f t="shared" si="26"/>
        <v>1598052</v>
      </c>
      <c r="Y95" s="184" t="s">
        <v>55</v>
      </c>
      <c r="Z95" s="185">
        <f t="shared" ref="Z95:AE95" si="27">R95</f>
        <v>1678</v>
      </c>
      <c r="AA95" s="185">
        <f t="shared" si="27"/>
        <v>7811</v>
      </c>
      <c r="AB95" s="185">
        <f t="shared" si="27"/>
        <v>8949</v>
      </c>
      <c r="AC95" s="185">
        <f t="shared" si="27"/>
        <v>298215</v>
      </c>
      <c r="AD95" s="185">
        <f t="shared" si="27"/>
        <v>32704</v>
      </c>
      <c r="AE95" s="185">
        <f t="shared" si="27"/>
        <v>1598052</v>
      </c>
      <c r="AG95" s="184" t="s">
        <v>55</v>
      </c>
      <c r="AH95" s="185">
        <f t="shared" ref="AH95:AM95" si="28">Z95</f>
        <v>1678</v>
      </c>
      <c r="AI95" s="185">
        <f t="shared" si="28"/>
        <v>7811</v>
      </c>
      <c r="AJ95" s="185">
        <f t="shared" si="28"/>
        <v>8949</v>
      </c>
      <c r="AK95" s="185">
        <f t="shared" si="28"/>
        <v>298215</v>
      </c>
      <c r="AL95" s="185">
        <f t="shared" si="28"/>
        <v>32704</v>
      </c>
      <c r="AM95" s="185">
        <f t="shared" si="28"/>
        <v>1598052</v>
      </c>
    </row>
    <row r="96" spans="1:39" x14ac:dyDescent="0.2">
      <c r="A96" s="186"/>
      <c r="B96" s="187" t="s">
        <v>57</v>
      </c>
      <c r="C96" s="187" t="s">
        <v>57</v>
      </c>
      <c r="D96" s="187" t="s">
        <v>57</v>
      </c>
      <c r="E96" s="187" t="s">
        <v>58</v>
      </c>
      <c r="F96" s="187" t="s">
        <v>58</v>
      </c>
      <c r="G96" s="187" t="s">
        <v>58</v>
      </c>
      <c r="H96" s="167"/>
      <c r="I96" s="186"/>
      <c r="J96" s="187" t="s">
        <v>57</v>
      </c>
      <c r="K96" s="187" t="s">
        <v>57</v>
      </c>
      <c r="L96" s="187" t="s">
        <v>57</v>
      </c>
      <c r="M96" s="187" t="s">
        <v>58</v>
      </c>
      <c r="N96" s="187" t="s">
        <v>58</v>
      </c>
      <c r="O96" s="187" t="s">
        <v>58</v>
      </c>
      <c r="Q96" s="186"/>
      <c r="R96" s="187" t="s">
        <v>57</v>
      </c>
      <c r="S96" s="187" t="s">
        <v>57</v>
      </c>
      <c r="T96" s="187" t="s">
        <v>57</v>
      </c>
      <c r="U96" s="187" t="s">
        <v>58</v>
      </c>
      <c r="V96" s="187" t="s">
        <v>58</v>
      </c>
      <c r="W96" s="187" t="s">
        <v>58</v>
      </c>
      <c r="Y96" s="186"/>
      <c r="Z96" s="187" t="s">
        <v>57</v>
      </c>
      <c r="AA96" s="187" t="s">
        <v>57</v>
      </c>
      <c r="AB96" s="187" t="s">
        <v>57</v>
      </c>
      <c r="AC96" s="187" t="s">
        <v>58</v>
      </c>
      <c r="AD96" s="187" t="s">
        <v>58</v>
      </c>
      <c r="AE96" s="187" t="s">
        <v>58</v>
      </c>
      <c r="AG96" s="186"/>
      <c r="AH96" s="187" t="s">
        <v>57</v>
      </c>
      <c r="AI96" s="187" t="s">
        <v>57</v>
      </c>
      <c r="AJ96" s="187" t="s">
        <v>57</v>
      </c>
      <c r="AK96" s="187" t="s">
        <v>58</v>
      </c>
      <c r="AL96" s="187" t="s">
        <v>58</v>
      </c>
      <c r="AM96" s="187" t="s">
        <v>58</v>
      </c>
    </row>
    <row r="97" spans="1:39" ht="24" x14ac:dyDescent="0.2">
      <c r="A97" s="188" t="s">
        <v>59</v>
      </c>
      <c r="B97" s="189" t="s">
        <v>258</v>
      </c>
      <c r="C97" s="189" t="s">
        <v>259</v>
      </c>
      <c r="D97" s="189" t="s">
        <v>260</v>
      </c>
      <c r="E97" s="189" t="s">
        <v>261</v>
      </c>
      <c r="F97" s="189" t="s">
        <v>262</v>
      </c>
      <c r="G97" s="189" t="s">
        <v>263</v>
      </c>
      <c r="H97" s="160"/>
      <c r="I97" s="188" t="s">
        <v>59</v>
      </c>
      <c r="J97" s="189" t="s">
        <v>258</v>
      </c>
      <c r="K97" s="189" t="s">
        <v>259</v>
      </c>
      <c r="L97" s="189" t="s">
        <v>260</v>
      </c>
      <c r="M97" s="189" t="s">
        <v>261</v>
      </c>
      <c r="N97" s="189" t="s">
        <v>262</v>
      </c>
      <c r="O97" s="189" t="s">
        <v>263</v>
      </c>
      <c r="Q97" s="188" t="s">
        <v>59</v>
      </c>
      <c r="R97" s="189" t="s">
        <v>258</v>
      </c>
      <c r="S97" s="189" t="s">
        <v>259</v>
      </c>
      <c r="T97" s="189" t="s">
        <v>260</v>
      </c>
      <c r="U97" s="189" t="s">
        <v>261</v>
      </c>
      <c r="V97" s="189" t="s">
        <v>262</v>
      </c>
      <c r="W97" s="189" t="s">
        <v>263</v>
      </c>
      <c r="Y97" s="188" t="s">
        <v>59</v>
      </c>
      <c r="Z97" s="189" t="s">
        <v>258</v>
      </c>
      <c r="AA97" s="189" t="s">
        <v>259</v>
      </c>
      <c r="AB97" s="189" t="s">
        <v>260</v>
      </c>
      <c r="AC97" s="189" t="s">
        <v>261</v>
      </c>
      <c r="AD97" s="189" t="s">
        <v>262</v>
      </c>
      <c r="AE97" s="189" t="s">
        <v>263</v>
      </c>
      <c r="AG97" s="188" t="s">
        <v>59</v>
      </c>
      <c r="AH97" s="189" t="s">
        <v>258</v>
      </c>
      <c r="AI97" s="189" t="s">
        <v>259</v>
      </c>
      <c r="AJ97" s="189" t="s">
        <v>260</v>
      </c>
      <c r="AK97" s="189" t="s">
        <v>261</v>
      </c>
      <c r="AL97" s="189" t="s">
        <v>262</v>
      </c>
      <c r="AM97" s="189" t="s">
        <v>263</v>
      </c>
    </row>
    <row r="98" spans="1:39" ht="60" x14ac:dyDescent="0.2">
      <c r="A98" s="190"/>
      <c r="B98" s="189" t="str">
        <f t="shared" ref="B98:G98" si="29">CONCATENATE($A$94,"-",B97)</f>
        <v>openDomain-long-FST1-Cx [-]</v>
      </c>
      <c r="C98" s="189" t="str">
        <f t="shared" si="29"/>
        <v>openDomain-long-FST1-Cy [-]</v>
      </c>
      <c r="D98" s="189" t="str">
        <f t="shared" si="29"/>
        <v>openDomain-long-FST1-Cz [-]</v>
      </c>
      <c r="E98" s="189" t="str">
        <f t="shared" si="29"/>
        <v>openDomain-long-FST1-Cnx [-]</v>
      </c>
      <c r="F98" s="189" t="str">
        <f t="shared" si="29"/>
        <v>openDomain-long-FST1-Cny [-]</v>
      </c>
      <c r="G98" s="189" t="str">
        <f t="shared" si="29"/>
        <v>openDomain-long-FST1-Cnz [-]</v>
      </c>
      <c r="H98" s="160"/>
      <c r="I98" s="190"/>
      <c r="J98" s="189" t="str">
        <f t="shared" ref="J98:O98" si="30">CONCATENATE($I$94,"-",J97)</f>
        <v>openDomain-long-FST2-Cx [-]</v>
      </c>
      <c r="K98" s="189" t="str">
        <f t="shared" si="30"/>
        <v>openDomain-long-FST2-Cy [-]</v>
      </c>
      <c r="L98" s="189" t="str">
        <f t="shared" si="30"/>
        <v>openDomain-long-FST2-Cz [-]</v>
      </c>
      <c r="M98" s="189" t="str">
        <f t="shared" si="30"/>
        <v>openDomain-long-FST2-Cnx [-]</v>
      </c>
      <c r="N98" s="189" t="str">
        <f t="shared" si="30"/>
        <v>openDomain-long-FST2-Cny [-]</v>
      </c>
      <c r="O98" s="189" t="str">
        <f t="shared" si="30"/>
        <v>openDomain-long-FST2-Cnz [-]</v>
      </c>
      <c r="Q98" s="190"/>
      <c r="R98" s="189" t="str">
        <f t="shared" ref="R98:W98" si="31">CONCATENATE($Q$94,"-",R97)</f>
        <v>openDomain-trans-FST2-noApp-Cx [-]</v>
      </c>
      <c r="S98" s="189" t="str">
        <f t="shared" si="31"/>
        <v>openDomain-trans-FST2-noApp-Cy [-]</v>
      </c>
      <c r="T98" s="189" t="str">
        <f t="shared" si="31"/>
        <v>openDomain-trans-FST2-noApp-Cz [-]</v>
      </c>
      <c r="U98" s="189" t="str">
        <f t="shared" si="31"/>
        <v>openDomain-trans-FST2-noApp-Cnx [-]</v>
      </c>
      <c r="V98" s="189" t="str">
        <f t="shared" si="31"/>
        <v>openDomain-trans-FST2-noApp-Cny [-]</v>
      </c>
      <c r="W98" s="189" t="str">
        <f t="shared" si="31"/>
        <v>openDomain-trans-FST2-noApp-Cnz [-]</v>
      </c>
      <c r="Y98" s="190"/>
      <c r="Z98" s="189" t="str">
        <f t="shared" ref="Z98:AE98" si="32">CONCATENATE($Y$94,"-",Z97)</f>
        <v>openDomain-trans-FST2-hull-Cx [-]</v>
      </c>
      <c r="AA98" s="189" t="str">
        <f t="shared" si="32"/>
        <v>openDomain-trans-FST2-hull-Cy [-]</v>
      </c>
      <c r="AB98" s="189" t="str">
        <f t="shared" si="32"/>
        <v>openDomain-trans-FST2-hull-Cz [-]</v>
      </c>
      <c r="AC98" s="189" t="str">
        <f t="shared" si="32"/>
        <v>openDomain-trans-FST2-hull-Cnx [-]</v>
      </c>
      <c r="AD98" s="189" t="str">
        <f t="shared" si="32"/>
        <v>openDomain-trans-FST2-hull-Cny [-]</v>
      </c>
      <c r="AE98" s="189" t="str">
        <f t="shared" si="32"/>
        <v>openDomain-trans-FST2-hull-Cnz [-]</v>
      </c>
      <c r="AG98" s="190"/>
      <c r="AH98" s="189" t="str">
        <f t="shared" ref="AH98:AM98" si="33">CONCATENATE($AG$94,"-",AH97)</f>
        <v>openDomain-trans-FST2-topsides-Cx [-]</v>
      </c>
      <c r="AI98" s="189" t="str">
        <f t="shared" si="33"/>
        <v>openDomain-trans-FST2-topsides-Cy [-]</v>
      </c>
      <c r="AJ98" s="189" t="str">
        <f t="shared" si="33"/>
        <v>openDomain-trans-FST2-topsides-Cz [-]</v>
      </c>
      <c r="AK98" s="189" t="str">
        <f t="shared" si="33"/>
        <v>openDomain-trans-FST2-topsides-Cnx [-]</v>
      </c>
      <c r="AL98" s="189" t="str">
        <f t="shared" si="33"/>
        <v>openDomain-trans-FST2-topsides-Cny [-]</v>
      </c>
      <c r="AM98" s="189" t="str">
        <f t="shared" si="33"/>
        <v>openDomain-trans-FST2-topsides-Cnz [-]</v>
      </c>
    </row>
    <row r="99" spans="1:39" x14ac:dyDescent="0.2">
      <c r="A99" s="191">
        <f>openDomain_trans_FST1!P14+180</f>
        <v>180</v>
      </c>
      <c r="B99" s="202">
        <f>-openDomain_trans_FST1!S14*B6</f>
        <v>-0.17973342291245667</v>
      </c>
      <c r="C99" s="203">
        <f>-openDomain_trans_FST1!T14*C6</f>
        <v>1.069471695154617E-3</v>
      </c>
      <c r="D99" s="203" t="e">
        <f>openDomain_trans_FST1!U14*D6</f>
        <v>#VALUE!</v>
      </c>
      <c r="E99" s="203" t="e">
        <f>openDomain_trans_FST1!V14*E6</f>
        <v>#VALUE!</v>
      </c>
      <c r="F99" s="203" t="e">
        <f>openDomain_trans_FST1!W14*F6</f>
        <v>#VALUE!</v>
      </c>
      <c r="G99" s="204">
        <f>openDomain_trans_FST1!X14*G6</f>
        <v>3.630820805666847E-4</v>
      </c>
      <c r="H99" s="174"/>
      <c r="I99" s="191">
        <f>openDomain_trans_FST2!P14</f>
        <v>0</v>
      </c>
      <c r="J99" s="202">
        <f>openDomain_trans_FST2!S14*J6</f>
        <v>0.69236329614215808</v>
      </c>
      <c r="K99" s="203">
        <f>openDomain_trans_FST2!T14*K6</f>
        <v>-1.5221195426332487E-2</v>
      </c>
      <c r="L99" s="203" t="e">
        <f>openDomain_trans_FST2!U14*L6</f>
        <v>#VALUE!</v>
      </c>
      <c r="M99" s="203" t="e">
        <f>openDomain_trans_FST2!V14*M6</f>
        <v>#VALUE!</v>
      </c>
      <c r="N99" s="203" t="e">
        <f>openDomain_trans_FST2!W14*N6</f>
        <v>#VALUE!</v>
      </c>
      <c r="O99" s="204">
        <f>openDomain_trans_FST2!X14*O6</f>
        <v>3.4237135593225012E-3</v>
      </c>
      <c r="Q99" s="191"/>
      <c r="R99" s="192"/>
      <c r="S99" s="193"/>
      <c r="T99" s="193"/>
      <c r="U99" s="193"/>
      <c r="V99" s="193"/>
      <c r="W99" s="194"/>
      <c r="Y99" s="191"/>
      <c r="Z99" s="192"/>
      <c r="AA99" s="193"/>
      <c r="AB99" s="193"/>
      <c r="AC99" s="193"/>
      <c r="AD99" s="193"/>
      <c r="AE99" s="194"/>
      <c r="AG99" s="191"/>
      <c r="AH99" s="192"/>
      <c r="AI99" s="193"/>
      <c r="AJ99" s="193"/>
      <c r="AK99" s="193"/>
      <c r="AL99" s="193"/>
      <c r="AM99" s="194"/>
    </row>
    <row r="100" spans="1:39" x14ac:dyDescent="0.2">
      <c r="A100" s="191">
        <f>openDomain_trans_FST1!P15+180</f>
        <v>195</v>
      </c>
      <c r="B100" s="205">
        <f>-openDomain_trans_FST1!S15*B7</f>
        <v>-0.66951348622626006</v>
      </c>
      <c r="C100" s="206">
        <f>-openDomain_trans_FST1!T15*C7</f>
        <v>-0.16273091032669537</v>
      </c>
      <c r="D100" s="206" t="e">
        <f>openDomain_trans_FST1!U15*D7</f>
        <v>#VALUE!</v>
      </c>
      <c r="E100" s="206" t="e">
        <f>openDomain_trans_FST1!V15*E7</f>
        <v>#VALUE!</v>
      </c>
      <c r="F100" s="206" t="e">
        <f>openDomain_trans_FST1!W15*F7</f>
        <v>#VALUE!</v>
      </c>
      <c r="G100" s="207">
        <f>openDomain_trans_FST1!X15*G7</f>
        <v>-7.619030472421095E-3</v>
      </c>
      <c r="H100" s="174"/>
      <c r="I100" s="191">
        <f>openDomain_trans_FST2!P15</f>
        <v>15</v>
      </c>
      <c r="J100" s="205">
        <f>openDomain_trans_FST2!S15*J7</f>
        <v>0.95474673072268501</v>
      </c>
      <c r="K100" s="206">
        <f>openDomain_trans_FST2!T15*K7</f>
        <v>0.18486395647878812</v>
      </c>
      <c r="L100" s="206" t="e">
        <f>openDomain_trans_FST2!U15*L7</f>
        <v>#VALUE!</v>
      </c>
      <c r="M100" s="206" t="e">
        <f>openDomain_trans_FST2!V15*M7</f>
        <v>#VALUE!</v>
      </c>
      <c r="N100" s="206" t="e">
        <f>openDomain_trans_FST2!W15*N7</f>
        <v>#VALUE!</v>
      </c>
      <c r="O100" s="207">
        <f>openDomain_trans_FST2!X15*O7</f>
        <v>-8.9443115039141447E-3</v>
      </c>
      <c r="Q100" s="191"/>
      <c r="R100" s="195"/>
      <c r="S100" s="174"/>
      <c r="T100" s="174"/>
      <c r="U100" s="174"/>
      <c r="V100" s="174"/>
      <c r="W100" s="196"/>
      <c r="Y100" s="191"/>
      <c r="Z100" s="195"/>
      <c r="AA100" s="174"/>
      <c r="AB100" s="174"/>
      <c r="AC100" s="174"/>
      <c r="AD100" s="174"/>
      <c r="AE100" s="196"/>
      <c r="AG100" s="191"/>
      <c r="AH100" s="195"/>
      <c r="AI100" s="174"/>
      <c r="AJ100" s="174"/>
      <c r="AK100" s="174"/>
      <c r="AL100" s="174"/>
      <c r="AM100" s="196"/>
    </row>
    <row r="101" spans="1:39" x14ac:dyDescent="0.2">
      <c r="A101" s="191">
        <f>openDomain_trans_FST1!P16+180</f>
        <v>210</v>
      </c>
      <c r="B101" s="205">
        <f>-openDomain_trans_FST1!S16*B8</f>
        <v>-0.50444916098767589</v>
      </c>
      <c r="C101" s="206">
        <f>-openDomain_trans_FST1!T16*C8</f>
        <v>-0.35842049519945629</v>
      </c>
      <c r="D101" s="206" t="e">
        <f>openDomain_trans_FST1!U16*D8</f>
        <v>#VALUE!</v>
      </c>
      <c r="E101" s="206" t="e">
        <f>openDomain_trans_FST1!V16*E8</f>
        <v>#VALUE!</v>
      </c>
      <c r="F101" s="206" t="e">
        <f>openDomain_trans_FST1!W16*F8</f>
        <v>#VALUE!</v>
      </c>
      <c r="G101" s="207">
        <f>openDomain_trans_FST1!X16*G8</f>
        <v>-2.47297853177957E-2</v>
      </c>
      <c r="H101" s="174"/>
      <c r="I101" s="191">
        <f>openDomain_trans_FST2!P16</f>
        <v>30</v>
      </c>
      <c r="J101" s="205">
        <f>openDomain_trans_FST2!S16*J8</f>
        <v>0.90796016544859315</v>
      </c>
      <c r="K101" s="206">
        <f>openDomain_trans_FST2!T16*K8</f>
        <v>0.51025377175112341</v>
      </c>
      <c r="L101" s="206" t="e">
        <f>openDomain_trans_FST2!U16*L8</f>
        <v>#VALUE!</v>
      </c>
      <c r="M101" s="206" t="e">
        <f>openDomain_trans_FST2!V16*M8</f>
        <v>#VALUE!</v>
      </c>
      <c r="N101" s="206" t="e">
        <f>openDomain_trans_FST2!W16*N8</f>
        <v>#VALUE!</v>
      </c>
      <c r="O101" s="207">
        <f>openDomain_trans_FST2!X16*O8</f>
        <v>-5.3215836580409119E-2</v>
      </c>
      <c r="Q101" s="191"/>
      <c r="R101" s="195"/>
      <c r="S101" s="174"/>
      <c r="T101" s="174"/>
      <c r="U101" s="174"/>
      <c r="V101" s="174"/>
      <c r="W101" s="196"/>
      <c r="Y101" s="191"/>
      <c r="Z101" s="195"/>
      <c r="AA101" s="174"/>
      <c r="AB101" s="174"/>
      <c r="AC101" s="174"/>
      <c r="AD101" s="174"/>
      <c r="AE101" s="196"/>
      <c r="AG101" s="191"/>
      <c r="AH101" s="195"/>
      <c r="AI101" s="174"/>
      <c r="AJ101" s="174"/>
      <c r="AK101" s="174"/>
      <c r="AL101" s="174"/>
      <c r="AM101" s="196"/>
    </row>
    <row r="102" spans="1:39" x14ac:dyDescent="0.2">
      <c r="A102" s="191">
        <f>openDomain_trans_FST1!P17+180</f>
        <v>225</v>
      </c>
      <c r="B102" s="205">
        <f>-openDomain_trans_FST1!S17*B9</f>
        <v>-0.32277978626843556</v>
      </c>
      <c r="C102" s="206">
        <f>-openDomain_trans_FST1!T17*C9</f>
        <v>-0.60480998321408241</v>
      </c>
      <c r="D102" s="206" t="e">
        <f>openDomain_trans_FST1!U17*D9</f>
        <v>#VALUE!</v>
      </c>
      <c r="E102" s="206" t="e">
        <f>openDomain_trans_FST1!V17*E9</f>
        <v>#VALUE!</v>
      </c>
      <c r="F102" s="206" t="e">
        <f>openDomain_trans_FST1!W17*F9</f>
        <v>#VALUE!</v>
      </c>
      <c r="G102" s="207">
        <f>openDomain_trans_FST1!X17*G9</f>
        <v>-4.3340836834848642E-2</v>
      </c>
      <c r="H102" s="174"/>
      <c r="I102" s="191">
        <f>openDomain_trans_FST2!P17</f>
        <v>45</v>
      </c>
      <c r="J102" s="205">
        <f>openDomain_trans_FST2!S17*J9</f>
        <v>0.70221613735348265</v>
      </c>
      <c r="K102" s="206">
        <f>openDomain_trans_FST2!T17*K9</f>
        <v>0.87371457437214439</v>
      </c>
      <c r="L102" s="206" t="e">
        <f>openDomain_trans_FST2!U17*L9</f>
        <v>#VALUE!</v>
      </c>
      <c r="M102" s="206" t="e">
        <f>openDomain_trans_FST2!V17*M9</f>
        <v>#VALUE!</v>
      </c>
      <c r="N102" s="206" t="e">
        <f>openDomain_trans_FST2!W17*N9</f>
        <v>#VALUE!</v>
      </c>
      <c r="O102" s="207">
        <f>openDomain_trans_FST2!X17*O9</f>
        <v>-7.8704174053024364E-2</v>
      </c>
      <c r="Q102" s="191"/>
      <c r="R102" s="195"/>
      <c r="S102" s="174"/>
      <c r="T102" s="174"/>
      <c r="U102" s="174"/>
      <c r="V102" s="174"/>
      <c r="W102" s="196"/>
      <c r="Y102" s="191"/>
      <c r="Z102" s="195"/>
      <c r="AA102" s="174"/>
      <c r="AB102" s="174"/>
      <c r="AC102" s="174"/>
      <c r="AD102" s="174"/>
      <c r="AE102" s="196"/>
      <c r="AG102" s="191"/>
      <c r="AH102" s="195"/>
      <c r="AI102" s="174"/>
      <c r="AJ102" s="174"/>
      <c r="AK102" s="174"/>
      <c r="AL102" s="174"/>
      <c r="AM102" s="196"/>
    </row>
    <row r="103" spans="1:39" x14ac:dyDescent="0.2">
      <c r="A103" s="191">
        <f>openDomain_trans_FST1!P18+180</f>
        <v>240</v>
      </c>
      <c r="B103" s="205">
        <f>-openDomain_trans_FST1!S18*B10</f>
        <v>-0.13943987089342857</v>
      </c>
      <c r="C103" s="206">
        <f>-openDomain_trans_FST1!T18*C10</f>
        <v>-0.79547344402048403</v>
      </c>
      <c r="D103" s="206" t="e">
        <f>openDomain_trans_FST1!U18*D10</f>
        <v>#VALUE!</v>
      </c>
      <c r="E103" s="206" t="e">
        <f>openDomain_trans_FST1!V18*E10</f>
        <v>#VALUE!</v>
      </c>
      <c r="F103" s="206" t="e">
        <f>openDomain_trans_FST1!W18*F10</f>
        <v>#VALUE!</v>
      </c>
      <c r="G103" s="207">
        <f>openDomain_trans_FST1!X18*G10</f>
        <v>-5.1174243105358778E-2</v>
      </c>
      <c r="H103" s="174"/>
      <c r="I103" s="191">
        <f>openDomain_trans_FST2!P18</f>
        <v>60</v>
      </c>
      <c r="J103" s="205">
        <f>openDomain_trans_FST2!S18*J10</f>
        <v>8.3957844134965293E-2</v>
      </c>
      <c r="K103" s="206">
        <f>openDomain_trans_FST2!T18*K10</f>
        <v>1.1307056148726662</v>
      </c>
      <c r="L103" s="206" t="e">
        <f>openDomain_trans_FST2!U18*L10</f>
        <v>#VALUE!</v>
      </c>
      <c r="M103" s="206" t="e">
        <f>openDomain_trans_FST2!V18*M10</f>
        <v>#VALUE!</v>
      </c>
      <c r="N103" s="206" t="e">
        <f>openDomain_trans_FST2!W18*N10</f>
        <v>#VALUE!</v>
      </c>
      <c r="O103" s="207">
        <f>openDomain_trans_FST2!X18*O10</f>
        <v>-7.6983872165764564E-2</v>
      </c>
      <c r="Q103" s="191"/>
      <c r="R103" s="195"/>
      <c r="S103" s="174"/>
      <c r="T103" s="174"/>
      <c r="U103" s="174"/>
      <c r="V103" s="174"/>
      <c r="W103" s="196"/>
      <c r="Y103" s="191"/>
      <c r="Z103" s="195"/>
      <c r="AA103" s="174"/>
      <c r="AB103" s="174"/>
      <c r="AC103" s="174"/>
      <c r="AD103" s="174"/>
      <c r="AE103" s="196"/>
      <c r="AG103" s="191"/>
      <c r="AH103" s="195"/>
      <c r="AI103" s="174"/>
      <c r="AJ103" s="174"/>
      <c r="AK103" s="174"/>
      <c r="AL103" s="174"/>
      <c r="AM103" s="196"/>
    </row>
    <row r="104" spans="1:39" x14ac:dyDescent="0.2">
      <c r="A104" s="191">
        <f>openDomain_trans_FST1!P19+180</f>
        <v>255</v>
      </c>
      <c r="B104" s="205">
        <f>-openDomain_trans_FST1!S19*B11</f>
        <v>-0.40457193319277029</v>
      </c>
      <c r="C104" s="206">
        <f>-openDomain_trans_FST1!T19*C11</f>
        <v>-0.87949420614767093</v>
      </c>
      <c r="D104" s="206" t="e">
        <f>openDomain_trans_FST1!U19*D11</f>
        <v>#VALUE!</v>
      </c>
      <c r="E104" s="206" t="e">
        <f>openDomain_trans_FST1!V19*E11</f>
        <v>#VALUE!</v>
      </c>
      <c r="F104" s="206" t="e">
        <f>openDomain_trans_FST1!W19*F11</f>
        <v>#VALUE!</v>
      </c>
      <c r="G104" s="207">
        <f>openDomain_trans_FST1!X19*G11</f>
        <v>-3.1391999341475817E-2</v>
      </c>
      <c r="H104" s="174"/>
      <c r="I104" s="191">
        <f>openDomain_trans_FST2!P19</f>
        <v>75</v>
      </c>
      <c r="J104" s="205">
        <f>openDomain_trans_FST2!S19*J11</f>
        <v>9.5327761957611779E-2</v>
      </c>
      <c r="K104" s="206">
        <f>openDomain_trans_FST2!T19*K11</f>
        <v>1.1860157439396202</v>
      </c>
      <c r="L104" s="206" t="e">
        <f>openDomain_trans_FST2!U19*L11</f>
        <v>#VALUE!</v>
      </c>
      <c r="M104" s="206" t="e">
        <f>openDomain_trans_FST2!V19*M11</f>
        <v>#VALUE!</v>
      </c>
      <c r="N104" s="206" t="e">
        <f>openDomain_trans_FST2!W19*N11</f>
        <v>#VALUE!</v>
      </c>
      <c r="O104" s="207">
        <f>openDomain_trans_FST2!X19*O11</f>
        <v>-1.2950472830291338E-2</v>
      </c>
      <c r="Q104" s="191"/>
      <c r="R104" s="195"/>
      <c r="S104" s="174"/>
      <c r="T104" s="174"/>
      <c r="U104" s="174"/>
      <c r="V104" s="174"/>
      <c r="W104" s="196"/>
      <c r="Y104" s="191"/>
      <c r="Z104" s="195"/>
      <c r="AA104" s="174"/>
      <c r="AB104" s="174"/>
      <c r="AC104" s="174"/>
      <c r="AD104" s="174"/>
      <c r="AE104" s="196"/>
      <c r="AG104" s="191"/>
      <c r="AH104" s="195"/>
      <c r="AI104" s="174"/>
      <c r="AJ104" s="174"/>
      <c r="AK104" s="174"/>
      <c r="AL104" s="174"/>
      <c r="AM104" s="196"/>
    </row>
    <row r="105" spans="1:39" x14ac:dyDescent="0.2">
      <c r="A105" s="191">
        <f>openDomain_trans_FST1!P20+180</f>
        <v>270</v>
      </c>
      <c r="B105" s="205">
        <f>-openDomain_trans_FST1!S20*B12</f>
        <v>-0.28081580798741324</v>
      </c>
      <c r="C105" s="206">
        <f>-openDomain_trans_FST1!T20*C12</f>
        <v>-1.0238709387462637</v>
      </c>
      <c r="D105" s="206" t="e">
        <f>openDomain_trans_FST1!U20*D12</f>
        <v>#VALUE!</v>
      </c>
      <c r="E105" s="206" t="e">
        <f>openDomain_trans_FST1!V20*E12</f>
        <v>#VALUE!</v>
      </c>
      <c r="F105" s="206" t="e">
        <f>openDomain_trans_FST1!W20*F12</f>
        <v>#VALUE!</v>
      </c>
      <c r="G105" s="207">
        <f>openDomain_trans_FST1!X20*G12</f>
        <v>2.3440980057131244E-2</v>
      </c>
      <c r="H105" s="174"/>
      <c r="I105" s="191">
        <f>openDomain_trans_FST2!P20</f>
        <v>90</v>
      </c>
      <c r="J105" s="205">
        <f>openDomain_trans_FST2!S20*J12</f>
        <v>-0.2231348601382141</v>
      </c>
      <c r="K105" s="206">
        <f>openDomain_trans_FST2!T20*K12</f>
        <v>1.0648697459768313</v>
      </c>
      <c r="L105" s="206" t="e">
        <f>openDomain_trans_FST2!U20*L12</f>
        <v>#VALUE!</v>
      </c>
      <c r="M105" s="206" t="e">
        <f>openDomain_trans_FST2!V20*M12</f>
        <v>#VALUE!</v>
      </c>
      <c r="N105" s="206" t="e">
        <f>openDomain_trans_FST2!W20*N12</f>
        <v>#VALUE!</v>
      </c>
      <c r="O105" s="207">
        <f>openDomain_trans_FST2!X20*O12</f>
        <v>1.0741656481791241E-2</v>
      </c>
      <c r="Q105" s="191"/>
      <c r="R105" s="195"/>
      <c r="S105" s="174"/>
      <c r="T105" s="174"/>
      <c r="U105" s="174"/>
      <c r="V105" s="174"/>
      <c r="W105" s="196"/>
      <c r="Y105" s="191"/>
      <c r="Z105" s="195"/>
      <c r="AA105" s="174"/>
      <c r="AB105" s="174"/>
      <c r="AC105" s="174"/>
      <c r="AD105" s="174"/>
      <c r="AE105" s="196"/>
      <c r="AG105" s="191"/>
      <c r="AH105" s="195"/>
      <c r="AI105" s="174"/>
      <c r="AJ105" s="174"/>
      <c r="AK105" s="174"/>
      <c r="AL105" s="174"/>
      <c r="AM105" s="196"/>
    </row>
    <row r="106" spans="1:39" x14ac:dyDescent="0.2">
      <c r="A106" s="191">
        <f>openDomain_trans_FST1!P21+180</f>
        <v>285</v>
      </c>
      <c r="B106" s="205">
        <f>-openDomain_trans_FST1!S21*B13</f>
        <v>0.10324630767335627</v>
      </c>
      <c r="C106" s="206">
        <f>-openDomain_trans_FST1!T21*C13</f>
        <v>-1.1574253788453515</v>
      </c>
      <c r="D106" s="206" t="e">
        <f>openDomain_trans_FST1!U21*D13</f>
        <v>#VALUE!</v>
      </c>
      <c r="E106" s="206" t="e">
        <f>openDomain_trans_FST1!V21*E13</f>
        <v>#VALUE!</v>
      </c>
      <c r="F106" s="206" t="e">
        <f>openDomain_trans_FST1!W21*F13</f>
        <v>#VALUE!</v>
      </c>
      <c r="G106" s="207">
        <f>openDomain_trans_FST1!X21*G13</f>
        <v>1.9623090263882041E-2</v>
      </c>
      <c r="H106" s="174"/>
      <c r="I106" s="191">
        <f>openDomain_trans_FST2!P21</f>
        <v>105</v>
      </c>
      <c r="J106" s="205">
        <f>openDomain_trans_FST2!S21*J13</f>
        <v>-0.33233449627541001</v>
      </c>
      <c r="K106" s="206">
        <f>openDomain_trans_FST2!T21*K13</f>
        <v>0.90517913324384103</v>
      </c>
      <c r="L106" s="206" t="e">
        <f>openDomain_trans_FST2!U21*L13</f>
        <v>#VALUE!</v>
      </c>
      <c r="M106" s="206" t="e">
        <f>openDomain_trans_FST2!V21*M13</f>
        <v>#VALUE!</v>
      </c>
      <c r="N106" s="206" t="e">
        <f>openDomain_trans_FST2!W21*N13</f>
        <v>#VALUE!</v>
      </c>
      <c r="O106" s="207">
        <f>openDomain_trans_FST2!X21*O13</f>
        <v>3.2910187468696832E-2</v>
      </c>
      <c r="Q106" s="191"/>
      <c r="R106" s="195"/>
      <c r="S106" s="174"/>
      <c r="T106" s="174"/>
      <c r="U106" s="174"/>
      <c r="V106" s="174"/>
      <c r="W106" s="196"/>
      <c r="Y106" s="191"/>
      <c r="Z106" s="195"/>
      <c r="AA106" s="174"/>
      <c r="AB106" s="174"/>
      <c r="AC106" s="174"/>
      <c r="AD106" s="174"/>
      <c r="AE106" s="196"/>
      <c r="AG106" s="191"/>
      <c r="AH106" s="195"/>
      <c r="AI106" s="174"/>
      <c r="AJ106" s="174"/>
      <c r="AK106" s="174"/>
      <c r="AL106" s="174"/>
      <c r="AM106" s="196"/>
    </row>
    <row r="107" spans="1:39" x14ac:dyDescent="0.2">
      <c r="A107" s="191">
        <f>openDomain_trans_FST1!P22+180</f>
        <v>300</v>
      </c>
      <c r="B107" s="205">
        <f>-openDomain_trans_FST1!S22*B14</f>
        <v>0.13776436731877556</v>
      </c>
      <c r="C107" s="206">
        <f>-openDomain_trans_FST1!T22*C14</f>
        <v>-1.0410154624672774</v>
      </c>
      <c r="D107" s="206" t="e">
        <f>openDomain_trans_FST1!U22*D14</f>
        <v>#VALUE!</v>
      </c>
      <c r="E107" s="206" t="e">
        <f>openDomain_trans_FST1!V22*E14</f>
        <v>#VALUE!</v>
      </c>
      <c r="F107" s="206" t="e">
        <f>openDomain_trans_FST1!W22*F14</f>
        <v>#VALUE!</v>
      </c>
      <c r="G107" s="207">
        <f>openDomain_trans_FST1!X22*G14</f>
        <v>8.3387397257222703E-2</v>
      </c>
      <c r="H107" s="174"/>
      <c r="I107" s="191">
        <f>openDomain_trans_FST2!P22</f>
        <v>120</v>
      </c>
      <c r="J107" s="205">
        <f>openDomain_trans_FST2!S22*J14</f>
        <v>-9.5213291575173914E-2</v>
      </c>
      <c r="K107" s="206">
        <f>openDomain_trans_FST2!T22*K14</f>
        <v>0.82863331619784253</v>
      </c>
      <c r="L107" s="206" t="e">
        <f>openDomain_trans_FST2!U22*L14</f>
        <v>#VALUE!</v>
      </c>
      <c r="M107" s="206" t="e">
        <f>openDomain_trans_FST2!V22*M14</f>
        <v>#VALUE!</v>
      </c>
      <c r="N107" s="206" t="e">
        <f>openDomain_trans_FST2!W22*N14</f>
        <v>#VALUE!</v>
      </c>
      <c r="O107" s="207">
        <f>openDomain_trans_FST2!X22*O14</f>
        <v>4.2217627817563649E-2</v>
      </c>
      <c r="Q107" s="191"/>
      <c r="R107" s="195"/>
      <c r="S107" s="174"/>
      <c r="T107" s="174"/>
      <c r="U107" s="174"/>
      <c r="V107" s="174"/>
      <c r="W107" s="196"/>
      <c r="Y107" s="191"/>
      <c r="Z107" s="195"/>
      <c r="AA107" s="174"/>
      <c r="AB107" s="174"/>
      <c r="AC107" s="174"/>
      <c r="AD107" s="174"/>
      <c r="AE107" s="196"/>
      <c r="AG107" s="191"/>
      <c r="AH107" s="195"/>
      <c r="AI107" s="174"/>
      <c r="AJ107" s="174"/>
      <c r="AK107" s="174"/>
      <c r="AL107" s="174"/>
      <c r="AM107" s="196"/>
    </row>
    <row r="108" spans="1:39" x14ac:dyDescent="0.2">
      <c r="A108" s="191">
        <f>openDomain_trans_FST1!P23+180</f>
        <v>315</v>
      </c>
      <c r="B108" s="205">
        <f>-openDomain_trans_FST1!S23*B15</f>
        <v>0.44049154741575453</v>
      </c>
      <c r="C108" s="206">
        <f>-openDomain_trans_FST1!T23*C15</f>
        <v>-0.80608454261229601</v>
      </c>
      <c r="D108" s="206" t="e">
        <f>openDomain_trans_FST1!U23*D15</f>
        <v>#VALUE!</v>
      </c>
      <c r="E108" s="206" t="e">
        <f>openDomain_trans_FST1!V23*E15</f>
        <v>#VALUE!</v>
      </c>
      <c r="F108" s="206" t="e">
        <f>openDomain_trans_FST1!W23*F15</f>
        <v>#VALUE!</v>
      </c>
      <c r="G108" s="207">
        <f>openDomain_trans_FST1!X23*G15</f>
        <v>0.10979344213221577</v>
      </c>
      <c r="H108" s="174"/>
      <c r="I108" s="191">
        <f>openDomain_trans_FST2!P23</f>
        <v>135</v>
      </c>
      <c r="J108" s="205">
        <f>openDomain_trans_FST2!S23*J15</f>
        <v>-0.51583544908168155</v>
      </c>
      <c r="K108" s="206">
        <f>openDomain_trans_FST2!T23*K15</f>
        <v>0.64279020421167343</v>
      </c>
      <c r="L108" s="206" t="e">
        <f>openDomain_trans_FST2!U23*L15</f>
        <v>#VALUE!</v>
      </c>
      <c r="M108" s="206" t="e">
        <f>openDomain_trans_FST2!V23*M15</f>
        <v>#VALUE!</v>
      </c>
      <c r="N108" s="206" t="e">
        <f>openDomain_trans_FST2!W23*N15</f>
        <v>#VALUE!</v>
      </c>
      <c r="O108" s="207">
        <f>openDomain_trans_FST2!X23*O15</f>
        <v>3.0875186399097053E-2</v>
      </c>
      <c r="Q108" s="191"/>
      <c r="R108" s="195"/>
      <c r="S108" s="174"/>
      <c r="T108" s="174"/>
      <c r="U108" s="174"/>
      <c r="V108" s="174"/>
      <c r="W108" s="196"/>
      <c r="Y108" s="191"/>
      <c r="Z108" s="195"/>
      <c r="AA108" s="174"/>
      <c r="AB108" s="174"/>
      <c r="AC108" s="174"/>
      <c r="AD108" s="174"/>
      <c r="AE108" s="196"/>
      <c r="AG108" s="191"/>
      <c r="AH108" s="195"/>
      <c r="AI108" s="174"/>
      <c r="AJ108" s="174"/>
      <c r="AK108" s="174"/>
      <c r="AL108" s="174"/>
      <c r="AM108" s="196"/>
    </row>
    <row r="109" spans="1:39" x14ac:dyDescent="0.2">
      <c r="A109" s="191">
        <f>openDomain_trans_FST1!P24+180</f>
        <v>330</v>
      </c>
      <c r="B109" s="205">
        <f>-openDomain_trans_FST1!S24*B16</f>
        <v>0.69739249531362812</v>
      </c>
      <c r="C109" s="206">
        <f>-openDomain_trans_FST1!T24*C16</f>
        <v>-0.46180886950574579</v>
      </c>
      <c r="D109" s="206" t="e">
        <f>openDomain_trans_FST1!U24*D16</f>
        <v>#VALUE!</v>
      </c>
      <c r="E109" s="206" t="e">
        <f>openDomain_trans_FST1!V24*E16</f>
        <v>#VALUE!</v>
      </c>
      <c r="F109" s="206" t="e">
        <f>openDomain_trans_FST1!W24*F16</f>
        <v>#VALUE!</v>
      </c>
      <c r="G109" s="207">
        <f>openDomain_trans_FST1!X24*G16</f>
        <v>5.0831532812837393E-2</v>
      </c>
      <c r="H109" s="174"/>
      <c r="I109" s="191">
        <f>openDomain_trans_FST2!P24</f>
        <v>150</v>
      </c>
      <c r="J109" s="205">
        <f>openDomain_trans_FST2!S24*J16</f>
        <v>-0.66217970994544206</v>
      </c>
      <c r="K109" s="206">
        <f>openDomain_trans_FST2!T24*K16</f>
        <v>0.39367147051218293</v>
      </c>
      <c r="L109" s="206" t="e">
        <f>openDomain_trans_FST2!U24*L16</f>
        <v>#VALUE!</v>
      </c>
      <c r="M109" s="206" t="e">
        <f>openDomain_trans_FST2!V24*M16</f>
        <v>#VALUE!</v>
      </c>
      <c r="N109" s="206" t="e">
        <f>openDomain_trans_FST2!W24*N16</f>
        <v>#VALUE!</v>
      </c>
      <c r="O109" s="207">
        <f>openDomain_trans_FST2!X24*O16</f>
        <v>2.8579752960390239E-2</v>
      </c>
      <c r="Q109" s="191"/>
      <c r="R109" s="195"/>
      <c r="S109" s="174"/>
      <c r="T109" s="174"/>
      <c r="U109" s="174"/>
      <c r="V109" s="174"/>
      <c r="W109" s="196"/>
      <c r="Y109" s="191"/>
      <c r="Z109" s="195"/>
      <c r="AA109" s="174"/>
      <c r="AB109" s="174"/>
      <c r="AC109" s="174"/>
      <c r="AD109" s="174"/>
      <c r="AE109" s="196"/>
      <c r="AG109" s="191"/>
      <c r="AH109" s="195"/>
      <c r="AI109" s="174"/>
      <c r="AJ109" s="174"/>
      <c r="AK109" s="174"/>
      <c r="AL109" s="174"/>
      <c r="AM109" s="196"/>
    </row>
    <row r="110" spans="1:39" x14ac:dyDescent="0.2">
      <c r="A110" s="191">
        <f>openDomain_trans_FST1!P25+180</f>
        <v>345</v>
      </c>
      <c r="B110" s="205">
        <f>-openDomain_trans_FST1!S25*B17</f>
        <v>1.0023117037525273</v>
      </c>
      <c r="C110" s="206">
        <f>-openDomain_trans_FST1!T25*C17</f>
        <v>-0.15907788415476293</v>
      </c>
      <c r="D110" s="206" t="e">
        <f>openDomain_trans_FST1!U25*D17</f>
        <v>#VALUE!</v>
      </c>
      <c r="E110" s="206" t="e">
        <f>openDomain_trans_FST1!V25*E17</f>
        <v>#VALUE!</v>
      </c>
      <c r="F110" s="206" t="e">
        <f>openDomain_trans_FST1!W25*F17</f>
        <v>#VALUE!</v>
      </c>
      <c r="G110" s="207">
        <f>openDomain_trans_FST1!X25*G17</f>
        <v>7.0068831741784974E-3</v>
      </c>
      <c r="H110" s="174"/>
      <c r="I110" s="191">
        <f>openDomain_trans_FST2!P25</f>
        <v>165</v>
      </c>
      <c r="J110" s="205">
        <f>openDomain_trans_FST2!S25*J17</f>
        <v>-0.6502602555528374</v>
      </c>
      <c r="K110" s="206">
        <f>openDomain_trans_FST2!T25*K17</f>
        <v>0.17031734029397377</v>
      </c>
      <c r="L110" s="206" t="e">
        <f>openDomain_trans_FST2!U25*L17</f>
        <v>#VALUE!</v>
      </c>
      <c r="M110" s="206" t="e">
        <f>openDomain_trans_FST2!V25*M17</f>
        <v>#VALUE!</v>
      </c>
      <c r="N110" s="206" t="e">
        <f>openDomain_trans_FST2!W25*N17</f>
        <v>#VALUE!</v>
      </c>
      <c r="O110" s="207">
        <f>openDomain_trans_FST2!X25*O17</f>
        <v>1.7230739696529374E-2</v>
      </c>
      <c r="Q110" s="191"/>
      <c r="R110" s="195"/>
      <c r="S110" s="174"/>
      <c r="T110" s="174"/>
      <c r="U110" s="174"/>
      <c r="V110" s="174"/>
      <c r="W110" s="196"/>
      <c r="Y110" s="191"/>
      <c r="Z110" s="195"/>
      <c r="AA110" s="174"/>
      <c r="AB110" s="174"/>
      <c r="AC110" s="174"/>
      <c r="AD110" s="174"/>
      <c r="AE110" s="196"/>
      <c r="AG110" s="191"/>
      <c r="AH110" s="195"/>
      <c r="AI110" s="174"/>
      <c r="AJ110" s="174"/>
      <c r="AK110" s="174"/>
      <c r="AL110" s="174"/>
      <c r="AM110" s="196"/>
    </row>
    <row r="111" spans="1:39" x14ac:dyDescent="0.2">
      <c r="A111" s="197">
        <f>openDomain_trans_FST1!P26-180</f>
        <v>0</v>
      </c>
      <c r="B111" s="205">
        <f>-openDomain_trans_FST1!S26*B18</f>
        <v>0.81123761476258704</v>
      </c>
      <c r="C111" s="206">
        <f>-openDomain_trans_FST1!T26*C18</f>
        <v>3.313498455269303E-2</v>
      </c>
      <c r="D111" s="206" t="e">
        <f>openDomain_trans_FST1!U26*D18</f>
        <v>#VALUE!</v>
      </c>
      <c r="E111" s="206" t="e">
        <f>openDomain_trans_FST1!V26*E18</f>
        <v>#VALUE!</v>
      </c>
      <c r="F111" s="206" t="e">
        <f>openDomain_trans_FST1!W26*F18</f>
        <v>#VALUE!</v>
      </c>
      <c r="G111" s="207">
        <f>openDomain_trans_FST1!X26*G18</f>
        <v>2.9667909026279788E-3</v>
      </c>
      <c r="H111" s="174"/>
      <c r="I111" s="191">
        <f>openDomain_trans_FST2!P26</f>
        <v>180</v>
      </c>
      <c r="J111" s="205">
        <f>openDomain_trans_FST2!S26*J18</f>
        <v>-0.21750904897029646</v>
      </c>
      <c r="K111" s="206">
        <f>openDomain_trans_FST2!T26*K18</f>
        <v>1.5082188803506088E-2</v>
      </c>
      <c r="L111" s="206" t="e">
        <f>openDomain_trans_FST2!U26*L18</f>
        <v>#VALUE!</v>
      </c>
      <c r="M111" s="206" t="e">
        <f>openDomain_trans_FST2!V26*M18</f>
        <v>#VALUE!</v>
      </c>
      <c r="N111" s="206" t="e">
        <f>openDomain_trans_FST2!W26*N18</f>
        <v>#VALUE!</v>
      </c>
      <c r="O111" s="207">
        <f>openDomain_trans_FST2!X26*O18</f>
        <v>4.9041365002184551E-3</v>
      </c>
      <c r="Q111" s="191"/>
      <c r="R111" s="195"/>
      <c r="S111" s="174"/>
      <c r="T111" s="174"/>
      <c r="U111" s="174"/>
      <c r="V111" s="174"/>
      <c r="W111" s="196"/>
      <c r="Y111" s="191"/>
      <c r="Z111" s="195"/>
      <c r="AA111" s="174"/>
      <c r="AB111" s="174"/>
      <c r="AC111" s="174"/>
      <c r="AD111" s="174"/>
      <c r="AE111" s="196"/>
      <c r="AG111" s="191"/>
      <c r="AH111" s="195"/>
      <c r="AI111" s="174"/>
      <c r="AJ111" s="174"/>
      <c r="AK111" s="174"/>
      <c r="AL111" s="174"/>
      <c r="AM111" s="196"/>
    </row>
    <row r="112" spans="1:39" x14ac:dyDescent="0.2">
      <c r="A112" s="197">
        <f>openDomain_trans_FST1!P27-180</f>
        <v>15</v>
      </c>
      <c r="B112" s="205">
        <f>-openDomain_trans_FST1!S27*B19</f>
        <v>0.81107607551592908</v>
      </c>
      <c r="C112" s="206">
        <f>-openDomain_trans_FST1!T27*C19</f>
        <v>0.21352984445305348</v>
      </c>
      <c r="D112" s="206" t="e">
        <f>openDomain_trans_FST1!U27*D19</f>
        <v>#VALUE!</v>
      </c>
      <c r="E112" s="206" t="e">
        <f>openDomain_trans_FST1!V27*E19</f>
        <v>#VALUE!</v>
      </c>
      <c r="F112" s="206" t="e">
        <f>openDomain_trans_FST1!W27*F19</f>
        <v>#VALUE!</v>
      </c>
      <c r="G112" s="207">
        <f>openDomain_trans_FST1!X27*G19</f>
        <v>-3.8803764720218702E-2</v>
      </c>
      <c r="H112" s="174"/>
      <c r="I112" s="197">
        <f>openDomain_trans_FST2!P27</f>
        <v>195</v>
      </c>
      <c r="J112" s="205">
        <f>openDomain_trans_FST2!S27*J19</f>
        <v>-0.28118756060645433</v>
      </c>
      <c r="K112" s="206">
        <f>openDomain_trans_FST2!T27*K19</f>
        <v>-0.10462402451256629</v>
      </c>
      <c r="L112" s="206" t="e">
        <f>openDomain_trans_FST2!U27*L19</f>
        <v>#VALUE!</v>
      </c>
      <c r="M112" s="206" t="e">
        <f>openDomain_trans_FST2!V27*M19</f>
        <v>#VALUE!</v>
      </c>
      <c r="N112" s="206" t="e">
        <f>openDomain_trans_FST2!W27*N19</f>
        <v>#VALUE!</v>
      </c>
      <c r="O112" s="207">
        <f>openDomain_trans_FST2!X27*O19</f>
        <v>-1.1442096973607858E-2</v>
      </c>
      <c r="Q112" s="197"/>
      <c r="R112" s="195"/>
      <c r="S112" s="174"/>
      <c r="T112" s="174"/>
      <c r="U112" s="174"/>
      <c r="V112" s="174"/>
      <c r="W112" s="196"/>
      <c r="Y112" s="197"/>
      <c r="Z112" s="195"/>
      <c r="AA112" s="174"/>
      <c r="AB112" s="174"/>
      <c r="AC112" s="174"/>
      <c r="AD112" s="174"/>
      <c r="AE112" s="196"/>
      <c r="AG112" s="197"/>
      <c r="AH112" s="195"/>
      <c r="AI112" s="174"/>
      <c r="AJ112" s="174"/>
      <c r="AK112" s="174"/>
      <c r="AL112" s="174"/>
      <c r="AM112" s="196"/>
    </row>
    <row r="113" spans="1:39" x14ac:dyDescent="0.2">
      <c r="A113" s="197">
        <f>openDomain_trans_FST1!P28-180</f>
        <v>30</v>
      </c>
      <c r="B113" s="205">
        <f>-openDomain_trans_FST1!S28*B20</f>
        <v>0.50023270214208415</v>
      </c>
      <c r="C113" s="206">
        <f>-openDomain_trans_FST1!T28*C20</f>
        <v>0.55424277842039205</v>
      </c>
      <c r="D113" s="206" t="e">
        <f>openDomain_trans_FST1!U28*D20</f>
        <v>#VALUE!</v>
      </c>
      <c r="E113" s="206" t="e">
        <f>openDomain_trans_FST1!V28*E20</f>
        <v>#VALUE!</v>
      </c>
      <c r="F113" s="206" t="e">
        <f>openDomain_trans_FST1!W28*F20</f>
        <v>#VALUE!</v>
      </c>
      <c r="G113" s="207">
        <f>openDomain_trans_FST1!X28*G20</f>
        <v>-9.4140341356023713E-2</v>
      </c>
      <c r="H113" s="174"/>
      <c r="I113" s="197">
        <f>openDomain_trans_FST2!P28</f>
        <v>210</v>
      </c>
      <c r="J113" s="205">
        <f>openDomain_trans_FST2!S28*J20</f>
        <v>-0.29844167442394764</v>
      </c>
      <c r="K113" s="206">
        <f>openDomain_trans_FST2!T28*K20</f>
        <v>-0.34879323743565871</v>
      </c>
      <c r="L113" s="206" t="e">
        <f>openDomain_trans_FST2!U28*L20</f>
        <v>#VALUE!</v>
      </c>
      <c r="M113" s="206" t="e">
        <f>openDomain_trans_FST2!V28*M20</f>
        <v>#VALUE!</v>
      </c>
      <c r="N113" s="206" t="e">
        <f>openDomain_trans_FST2!W28*N20</f>
        <v>#VALUE!</v>
      </c>
      <c r="O113" s="207">
        <f>openDomain_trans_FST2!X28*O20</f>
        <v>-3.3319406541123371E-2</v>
      </c>
      <c r="Q113" s="197"/>
      <c r="R113" s="195"/>
      <c r="S113" s="174"/>
      <c r="T113" s="174"/>
      <c r="U113" s="174"/>
      <c r="V113" s="174"/>
      <c r="W113" s="196"/>
      <c r="Y113" s="197"/>
      <c r="Z113" s="195"/>
      <c r="AA113" s="174"/>
      <c r="AB113" s="174"/>
      <c r="AC113" s="174"/>
      <c r="AD113" s="174"/>
      <c r="AE113" s="196"/>
      <c r="AG113" s="197"/>
      <c r="AH113" s="195"/>
      <c r="AI113" s="174"/>
      <c r="AJ113" s="174"/>
      <c r="AK113" s="174"/>
      <c r="AL113" s="174"/>
      <c r="AM113" s="196"/>
    </row>
    <row r="114" spans="1:39" x14ac:dyDescent="0.2">
      <c r="A114" s="197">
        <f>openDomain_trans_FST1!P29-180</f>
        <v>45</v>
      </c>
      <c r="B114" s="205">
        <f>-openDomain_trans_FST1!S29*B21</f>
        <v>0.27389065980751132</v>
      </c>
      <c r="C114" s="206">
        <f>-openDomain_trans_FST1!T29*C21</f>
        <v>0.92225977396387882</v>
      </c>
      <c r="D114" s="206" t="e">
        <f>openDomain_trans_FST1!U29*D21</f>
        <v>#VALUE!</v>
      </c>
      <c r="E114" s="206" t="e">
        <f>openDomain_trans_FST1!V29*E21</f>
        <v>#VALUE!</v>
      </c>
      <c r="F114" s="206" t="e">
        <f>openDomain_trans_FST1!W29*F21</f>
        <v>#VALUE!</v>
      </c>
      <c r="G114" s="207">
        <f>openDomain_trans_FST1!X29*G21</f>
        <v>-0.19283455786214185</v>
      </c>
      <c r="H114" s="174"/>
      <c r="I114" s="197">
        <f>openDomain_trans_FST2!P29</f>
        <v>225</v>
      </c>
      <c r="J114" s="205">
        <f>openDomain_trans_FST2!S29*J21</f>
        <v>-0.2420495334771853</v>
      </c>
      <c r="K114" s="206">
        <f>openDomain_trans_FST2!T29*K21</f>
        <v>-0.61254884039924962</v>
      </c>
      <c r="L114" s="206" t="e">
        <f>openDomain_trans_FST2!U29*L21</f>
        <v>#VALUE!</v>
      </c>
      <c r="M114" s="206" t="e">
        <f>openDomain_trans_FST2!V29*M21</f>
        <v>#VALUE!</v>
      </c>
      <c r="N114" s="206" t="e">
        <f>openDomain_trans_FST2!W29*N21</f>
        <v>#VALUE!</v>
      </c>
      <c r="O114" s="207">
        <f>openDomain_trans_FST2!X29*O21</f>
        <v>-3.8567565133158697E-2</v>
      </c>
      <c r="Q114" s="197"/>
      <c r="R114" s="195"/>
      <c r="S114" s="174"/>
      <c r="T114" s="174"/>
      <c r="U114" s="174"/>
      <c r="V114" s="174"/>
      <c r="W114" s="196"/>
      <c r="Y114" s="197"/>
      <c r="Z114" s="195"/>
      <c r="AA114" s="174"/>
      <c r="AB114" s="174"/>
      <c r="AC114" s="174"/>
      <c r="AD114" s="174"/>
      <c r="AE114" s="196"/>
      <c r="AG114" s="197"/>
      <c r="AH114" s="195"/>
      <c r="AI114" s="174"/>
      <c r="AJ114" s="174"/>
      <c r="AK114" s="174"/>
      <c r="AL114" s="174"/>
      <c r="AM114" s="196"/>
    </row>
    <row r="115" spans="1:39" x14ac:dyDescent="0.2">
      <c r="A115" s="197">
        <f>openDomain_trans_FST1!P30-180</f>
        <v>60</v>
      </c>
      <c r="B115" s="205">
        <f>-openDomain_trans_FST1!S30*B22</f>
        <v>5.2202002116892514E-2</v>
      </c>
      <c r="C115" s="206">
        <f>-openDomain_trans_FST1!T30*C22</f>
        <v>1.2528260179681863</v>
      </c>
      <c r="D115" s="206" t="e">
        <f>openDomain_trans_FST1!U30*D22</f>
        <v>#VALUE!</v>
      </c>
      <c r="E115" s="206" t="e">
        <f>openDomain_trans_FST1!V30*E22</f>
        <v>#VALUE!</v>
      </c>
      <c r="F115" s="206" t="e">
        <f>openDomain_trans_FST1!W30*F22</f>
        <v>#VALUE!</v>
      </c>
      <c r="G115" s="207">
        <f>openDomain_trans_FST1!X30*G22</f>
        <v>-0.16155473632305825</v>
      </c>
      <c r="H115" s="174"/>
      <c r="I115" s="197">
        <f>openDomain_trans_FST2!P30</f>
        <v>240</v>
      </c>
      <c r="J115" s="205">
        <f>openDomain_trans_FST2!S30*J22</f>
        <v>-2.8149619522508908E-2</v>
      </c>
      <c r="K115" s="206">
        <f>openDomain_trans_FST2!T30*K22</f>
        <v>-0.8493100641375525</v>
      </c>
      <c r="L115" s="206" t="e">
        <f>openDomain_trans_FST2!U30*L22</f>
        <v>#VALUE!</v>
      </c>
      <c r="M115" s="206" t="e">
        <f>openDomain_trans_FST2!V30*M22</f>
        <v>#VALUE!</v>
      </c>
      <c r="N115" s="206" t="e">
        <f>openDomain_trans_FST2!W30*N22</f>
        <v>#VALUE!</v>
      </c>
      <c r="O115" s="207">
        <f>openDomain_trans_FST2!X30*O22</f>
        <v>-4.4468708228614977E-2</v>
      </c>
      <c r="Q115" s="197"/>
      <c r="R115" s="195"/>
      <c r="S115" s="174"/>
      <c r="T115" s="174"/>
      <c r="U115" s="174"/>
      <c r="V115" s="174"/>
      <c r="W115" s="196"/>
      <c r="Y115" s="197"/>
      <c r="Z115" s="195"/>
      <c r="AA115" s="174"/>
      <c r="AB115" s="174"/>
      <c r="AC115" s="174"/>
      <c r="AD115" s="174"/>
      <c r="AE115" s="196"/>
      <c r="AG115" s="197"/>
      <c r="AH115" s="195"/>
      <c r="AI115" s="174"/>
      <c r="AJ115" s="174"/>
      <c r="AK115" s="174"/>
      <c r="AL115" s="174"/>
      <c r="AM115" s="196"/>
    </row>
    <row r="116" spans="1:39" x14ac:dyDescent="0.2">
      <c r="A116" s="197">
        <f>openDomain_trans_FST1!P31-180</f>
        <v>75</v>
      </c>
      <c r="B116" s="205">
        <f>-openDomain_trans_FST1!S31*B23</f>
        <v>-1.0500459255048453E-2</v>
      </c>
      <c r="C116" s="206">
        <f>-openDomain_trans_FST1!T31*C23</f>
        <v>1.251575033860205</v>
      </c>
      <c r="D116" s="206" t="e">
        <f>openDomain_trans_FST1!U31*D23</f>
        <v>#VALUE!</v>
      </c>
      <c r="E116" s="206" t="e">
        <f>openDomain_trans_FST1!V31*E23</f>
        <v>#VALUE!</v>
      </c>
      <c r="F116" s="206" t="e">
        <f>openDomain_trans_FST1!W31*F23</f>
        <v>#VALUE!</v>
      </c>
      <c r="G116" s="207">
        <f>openDomain_trans_FST1!X31*G23</f>
        <v>-4.8201256376626977E-2</v>
      </c>
      <c r="H116" s="174"/>
      <c r="I116" s="197">
        <f>openDomain_trans_FST2!P31</f>
        <v>255</v>
      </c>
      <c r="J116" s="205">
        <f>openDomain_trans_FST2!S31*J23</f>
        <v>-3.2761674242432419E-2</v>
      </c>
      <c r="K116" s="206">
        <f>openDomain_trans_FST2!T31*K23</f>
        <v>-0.96872676662008483</v>
      </c>
      <c r="L116" s="206" t="e">
        <f>openDomain_trans_FST2!U31*L23</f>
        <v>#VALUE!</v>
      </c>
      <c r="M116" s="206" t="e">
        <f>openDomain_trans_FST2!V31*M23</f>
        <v>#VALUE!</v>
      </c>
      <c r="N116" s="206" t="e">
        <f>openDomain_trans_FST2!W31*N23</f>
        <v>#VALUE!</v>
      </c>
      <c r="O116" s="207">
        <f>openDomain_trans_FST2!X31*O23</f>
        <v>-3.6676783726183139E-2</v>
      </c>
      <c r="Q116" s="197"/>
      <c r="R116" s="195"/>
      <c r="S116" s="174"/>
      <c r="T116" s="174"/>
      <c r="U116" s="174"/>
      <c r="V116" s="174"/>
      <c r="W116" s="196"/>
      <c r="Y116" s="197"/>
      <c r="Z116" s="195"/>
      <c r="AA116" s="174"/>
      <c r="AB116" s="174"/>
      <c r="AC116" s="174"/>
      <c r="AD116" s="174"/>
      <c r="AE116" s="196"/>
      <c r="AG116" s="197"/>
      <c r="AH116" s="195"/>
      <c r="AI116" s="174"/>
      <c r="AJ116" s="174"/>
      <c r="AK116" s="174"/>
      <c r="AL116" s="174"/>
      <c r="AM116" s="196"/>
    </row>
    <row r="117" spans="1:39" x14ac:dyDescent="0.2">
      <c r="A117" s="197">
        <f>openDomain_trans_FST1!P32-180</f>
        <v>90</v>
      </c>
      <c r="B117" s="205">
        <f>-openDomain_trans_FST1!S32*B24</f>
        <v>-0.17310642225815909</v>
      </c>
      <c r="C117" s="206">
        <f>-openDomain_trans_FST1!T32*C24</f>
        <v>1.0868919624793183</v>
      </c>
      <c r="D117" s="206" t="e">
        <f>openDomain_trans_FST1!U32*D24</f>
        <v>#VALUE!</v>
      </c>
      <c r="E117" s="206" t="e">
        <f>openDomain_trans_FST1!V32*E24</f>
        <v>#VALUE!</v>
      </c>
      <c r="F117" s="206" t="e">
        <f>openDomain_trans_FST1!W32*F24</f>
        <v>#VALUE!</v>
      </c>
      <c r="G117" s="207">
        <f>openDomain_trans_FST1!X32*G24</f>
        <v>-1.2226071265083056E-2</v>
      </c>
      <c r="H117" s="174"/>
      <c r="I117" s="197">
        <f>openDomain_trans_FST2!P32</f>
        <v>270</v>
      </c>
      <c r="J117" s="205">
        <f>openDomain_trans_FST2!S32*J24</f>
        <v>-2.6466021109773363E-2</v>
      </c>
      <c r="K117" s="206">
        <f>openDomain_trans_FST2!T32*K24</f>
        <v>-1.1362330045638613</v>
      </c>
      <c r="L117" s="206" t="e">
        <f>openDomain_trans_FST2!U32*L24</f>
        <v>#VALUE!</v>
      </c>
      <c r="M117" s="206" t="e">
        <f>openDomain_trans_FST2!V32*M24</f>
        <v>#VALUE!</v>
      </c>
      <c r="N117" s="206" t="e">
        <f>openDomain_trans_FST2!W32*N24</f>
        <v>#VALUE!</v>
      </c>
      <c r="O117" s="207">
        <f>openDomain_trans_FST2!X32*O24</f>
        <v>-2.9691367649746309E-2</v>
      </c>
      <c r="Q117" s="197"/>
      <c r="R117" s="195"/>
      <c r="S117" s="174"/>
      <c r="T117" s="174"/>
      <c r="U117" s="174"/>
      <c r="V117" s="174"/>
      <c r="W117" s="196"/>
      <c r="Y117" s="197"/>
      <c r="Z117" s="195"/>
      <c r="AA117" s="174"/>
      <c r="AB117" s="174"/>
      <c r="AC117" s="174"/>
      <c r="AD117" s="174"/>
      <c r="AE117" s="196"/>
      <c r="AG117" s="197"/>
      <c r="AH117" s="195"/>
      <c r="AI117" s="174"/>
      <c r="AJ117" s="174"/>
      <c r="AK117" s="174"/>
      <c r="AL117" s="174"/>
      <c r="AM117" s="196"/>
    </row>
    <row r="118" spans="1:39" x14ac:dyDescent="0.2">
      <c r="A118" s="197">
        <f>openDomain_trans_FST1!P33-180</f>
        <v>105</v>
      </c>
      <c r="B118" s="205">
        <f>-openDomain_trans_FST1!S33*B25</f>
        <v>-4.5476952914842529E-2</v>
      </c>
      <c r="C118" s="206">
        <f>-openDomain_trans_FST1!T33*C25</f>
        <v>0.94079421666212548</v>
      </c>
      <c r="D118" s="206" t="e">
        <f>openDomain_trans_FST1!U33*D25</f>
        <v>#VALUE!</v>
      </c>
      <c r="E118" s="206" t="e">
        <f>openDomain_trans_FST1!V33*E25</f>
        <v>#VALUE!</v>
      </c>
      <c r="F118" s="206" t="e">
        <f>openDomain_trans_FST1!W33*F25</f>
        <v>#VALUE!</v>
      </c>
      <c r="G118" s="207">
        <f>openDomain_trans_FST1!X33*G25</f>
        <v>4.0179459256616548E-2</v>
      </c>
      <c r="H118" s="174"/>
      <c r="I118" s="197">
        <f>openDomain_trans_FST2!P33</f>
        <v>285</v>
      </c>
      <c r="J118" s="205">
        <f>openDomain_trans_FST2!S33*J25</f>
        <v>-2.2447242207738895E-2</v>
      </c>
      <c r="K118" s="206">
        <f>openDomain_trans_FST2!T33*K25</f>
        <v>-1.2816598194882913</v>
      </c>
      <c r="L118" s="206" t="e">
        <f>openDomain_trans_FST2!U33*L25</f>
        <v>#VALUE!</v>
      </c>
      <c r="M118" s="206" t="e">
        <f>openDomain_trans_FST2!V33*M25</f>
        <v>#VALUE!</v>
      </c>
      <c r="N118" s="206" t="e">
        <f>openDomain_trans_FST2!W33*N25</f>
        <v>#VALUE!</v>
      </c>
      <c r="O118" s="207">
        <f>openDomain_trans_FST2!X33*O25</f>
        <v>4.4460174282424929E-2</v>
      </c>
      <c r="Q118" s="197"/>
      <c r="R118" s="195"/>
      <c r="S118" s="174"/>
      <c r="T118" s="174"/>
      <c r="U118" s="174"/>
      <c r="V118" s="174"/>
      <c r="W118" s="196"/>
      <c r="Y118" s="197"/>
      <c r="Z118" s="195"/>
      <c r="AA118" s="174"/>
      <c r="AB118" s="174"/>
      <c r="AC118" s="174"/>
      <c r="AD118" s="174"/>
      <c r="AE118" s="196"/>
      <c r="AG118" s="197"/>
      <c r="AH118" s="195"/>
      <c r="AI118" s="174"/>
      <c r="AJ118" s="174"/>
      <c r="AK118" s="174"/>
      <c r="AL118" s="174"/>
      <c r="AM118" s="196"/>
    </row>
    <row r="119" spans="1:39" x14ac:dyDescent="0.2">
      <c r="A119" s="197">
        <f>openDomain_trans_FST1!P34-180</f>
        <v>120</v>
      </c>
      <c r="B119" s="205">
        <f>-openDomain_trans_FST1!S34*B26</f>
        <v>-3.771950834287633E-2</v>
      </c>
      <c r="C119" s="206">
        <f>-openDomain_trans_FST1!T34*C26</f>
        <v>0.80144923170379678</v>
      </c>
      <c r="D119" s="206" t="e">
        <f>openDomain_trans_FST1!U34*D26</f>
        <v>#VALUE!</v>
      </c>
      <c r="E119" s="206" t="e">
        <f>openDomain_trans_FST1!V34*E26</f>
        <v>#VALUE!</v>
      </c>
      <c r="F119" s="206" t="e">
        <f>openDomain_trans_FST1!W34*F26</f>
        <v>#VALUE!</v>
      </c>
      <c r="G119" s="207">
        <f>openDomain_trans_FST1!X34*G26</f>
        <v>5.3081768514876303E-2</v>
      </c>
      <c r="H119" s="174"/>
      <c r="I119" s="197">
        <f>openDomain_trans_FST2!P34</f>
        <v>300</v>
      </c>
      <c r="J119" s="205">
        <f>openDomain_trans_FST2!S34*J26</f>
        <v>4.1073159238183894E-2</v>
      </c>
      <c r="K119" s="206">
        <f>openDomain_trans_FST2!T34*K26</f>
        <v>-1.3355556234729316</v>
      </c>
      <c r="L119" s="206" t="e">
        <f>openDomain_trans_FST2!U34*L26</f>
        <v>#VALUE!</v>
      </c>
      <c r="M119" s="206" t="e">
        <f>openDomain_trans_FST2!V34*M26</f>
        <v>#VALUE!</v>
      </c>
      <c r="N119" s="206" t="e">
        <f>openDomain_trans_FST2!W34*N26</f>
        <v>#VALUE!</v>
      </c>
      <c r="O119" s="207">
        <f>openDomain_trans_FST2!X34*O26</f>
        <v>0.13678561545314069</v>
      </c>
      <c r="Q119" s="197"/>
      <c r="R119" s="195"/>
      <c r="S119" s="174"/>
      <c r="T119" s="174"/>
      <c r="U119" s="174"/>
      <c r="V119" s="174"/>
      <c r="W119" s="196"/>
      <c r="Y119" s="197"/>
      <c r="Z119" s="195"/>
      <c r="AA119" s="174"/>
      <c r="AB119" s="174"/>
      <c r="AC119" s="174"/>
      <c r="AD119" s="174"/>
      <c r="AE119" s="196"/>
      <c r="AG119" s="197"/>
      <c r="AH119" s="195"/>
      <c r="AI119" s="174"/>
      <c r="AJ119" s="174"/>
      <c r="AK119" s="174"/>
      <c r="AL119" s="174"/>
      <c r="AM119" s="196"/>
    </row>
    <row r="120" spans="1:39" x14ac:dyDescent="0.2">
      <c r="A120" s="197">
        <f>openDomain_trans_FST1!P35-180</f>
        <v>135</v>
      </c>
      <c r="B120" s="205">
        <f>-openDomain_trans_FST1!S35*B27</f>
        <v>-0.1537803309033719</v>
      </c>
      <c r="C120" s="206">
        <f>-openDomain_trans_FST1!T35*C27</f>
        <v>0.56118987893530581</v>
      </c>
      <c r="D120" s="206" t="e">
        <f>openDomain_trans_FST1!U35*D27</f>
        <v>#VALUE!</v>
      </c>
      <c r="E120" s="206" t="e">
        <f>openDomain_trans_FST1!V35*E27</f>
        <v>#VALUE!</v>
      </c>
      <c r="F120" s="206" t="e">
        <f>openDomain_trans_FST1!W35*F27</f>
        <v>#VALUE!</v>
      </c>
      <c r="G120" s="207">
        <f>openDomain_trans_FST1!X35*G27</f>
        <v>5.4309641488841716E-2</v>
      </c>
      <c r="H120" s="174"/>
      <c r="I120" s="197">
        <f>openDomain_trans_FST2!P35</f>
        <v>315</v>
      </c>
      <c r="J120" s="205">
        <f>openDomain_trans_FST2!S35*J27</f>
        <v>0.43419721168130265</v>
      </c>
      <c r="K120" s="206">
        <f>openDomain_trans_FST2!T35*K27</f>
        <v>-1.0189649031600629</v>
      </c>
      <c r="L120" s="206" t="e">
        <f>openDomain_trans_FST2!U35*L27</f>
        <v>#VALUE!</v>
      </c>
      <c r="M120" s="206" t="e">
        <f>openDomain_trans_FST2!V35*M27</f>
        <v>#VALUE!</v>
      </c>
      <c r="N120" s="206" t="e">
        <f>openDomain_trans_FST2!W35*N27</f>
        <v>#VALUE!</v>
      </c>
      <c r="O120" s="207">
        <f>openDomain_trans_FST2!X35*O27</f>
        <v>0.13263596137152514</v>
      </c>
      <c r="Q120" s="197"/>
      <c r="R120" s="195"/>
      <c r="S120" s="174"/>
      <c r="T120" s="174"/>
      <c r="U120" s="174"/>
      <c r="V120" s="174"/>
      <c r="W120" s="196"/>
      <c r="Y120" s="197"/>
      <c r="Z120" s="195"/>
      <c r="AA120" s="174"/>
      <c r="AB120" s="174"/>
      <c r="AC120" s="174"/>
      <c r="AD120" s="174"/>
      <c r="AE120" s="196"/>
      <c r="AG120" s="197"/>
      <c r="AH120" s="195"/>
      <c r="AI120" s="174"/>
      <c r="AJ120" s="174"/>
      <c r="AK120" s="174"/>
      <c r="AL120" s="174"/>
      <c r="AM120" s="196"/>
    </row>
    <row r="121" spans="1:39" x14ac:dyDescent="0.2">
      <c r="A121" s="197">
        <f>openDomain_trans_FST1!P36-180</f>
        <v>150</v>
      </c>
      <c r="B121" s="205">
        <f>-openDomain_trans_FST1!S36*B28</f>
        <v>-0.22871788589617095</v>
      </c>
      <c r="C121" s="206">
        <f>-openDomain_trans_FST1!T36*C28</f>
        <v>0.31871300898045962</v>
      </c>
      <c r="D121" s="206" t="e">
        <f>openDomain_trans_FST1!U36*D28</f>
        <v>#VALUE!</v>
      </c>
      <c r="E121" s="206" t="e">
        <f>openDomain_trans_FST1!V36*E28</f>
        <v>#VALUE!</v>
      </c>
      <c r="F121" s="206" t="e">
        <f>openDomain_trans_FST1!W36*F28</f>
        <v>#VALUE!</v>
      </c>
      <c r="G121" s="207">
        <f>openDomain_trans_FST1!X36*G28</f>
        <v>3.5569294904548736E-2</v>
      </c>
      <c r="H121" s="174"/>
      <c r="I121" s="197">
        <f>openDomain_trans_FST2!P36</f>
        <v>330</v>
      </c>
      <c r="J121" s="205">
        <f>openDomain_trans_FST2!S36*J28</f>
        <v>0.64049517167506764</v>
      </c>
      <c r="K121" s="206">
        <f>openDomain_trans_FST2!T36*K28</f>
        <v>-0.60229940838494145</v>
      </c>
      <c r="L121" s="206" t="e">
        <f>openDomain_trans_FST2!U36*L28</f>
        <v>#VALUE!</v>
      </c>
      <c r="M121" s="206" t="e">
        <f>openDomain_trans_FST2!V36*M28</f>
        <v>#VALUE!</v>
      </c>
      <c r="N121" s="206" t="e">
        <f>openDomain_trans_FST2!W36*N28</f>
        <v>#VALUE!</v>
      </c>
      <c r="O121" s="207">
        <f>openDomain_trans_FST2!X36*O28</f>
        <v>9.482063518868683E-2</v>
      </c>
      <c r="Q121" s="197"/>
      <c r="R121" s="195"/>
      <c r="S121" s="174"/>
      <c r="T121" s="174"/>
      <c r="U121" s="174"/>
      <c r="V121" s="174"/>
      <c r="W121" s="196"/>
      <c r="Y121" s="197"/>
      <c r="Z121" s="195"/>
      <c r="AA121" s="174"/>
      <c r="AB121" s="174"/>
      <c r="AC121" s="174"/>
      <c r="AD121" s="174"/>
      <c r="AE121" s="196"/>
      <c r="AG121" s="197"/>
      <c r="AH121" s="195"/>
      <c r="AI121" s="174"/>
      <c r="AJ121" s="174"/>
      <c r="AK121" s="174"/>
      <c r="AL121" s="174"/>
      <c r="AM121" s="196"/>
    </row>
    <row r="122" spans="1:39" x14ac:dyDescent="0.2">
      <c r="A122" s="197">
        <f>openDomain_trans_FST1!P37-180</f>
        <v>165</v>
      </c>
      <c r="B122" s="205">
        <f>-openDomain_trans_FST1!S37*B29</f>
        <v>-0.29598151917350374</v>
      </c>
      <c r="C122" s="206">
        <f>-openDomain_trans_FST1!T37*C29</f>
        <v>9.9898163901526948E-2</v>
      </c>
      <c r="D122" s="206" t="e">
        <f>openDomain_trans_FST1!U37*D29</f>
        <v>#VALUE!</v>
      </c>
      <c r="E122" s="206" t="e">
        <f>openDomain_trans_FST1!V37*E29</f>
        <v>#VALUE!</v>
      </c>
      <c r="F122" s="206" t="e">
        <f>openDomain_trans_FST1!W37*F29</f>
        <v>#VALUE!</v>
      </c>
      <c r="G122" s="207">
        <f>openDomain_trans_FST1!X37*G29</f>
        <v>1.2928246705518912E-2</v>
      </c>
      <c r="H122" s="174"/>
      <c r="I122" s="197">
        <f>openDomain_trans_FST2!P37</f>
        <v>345</v>
      </c>
      <c r="J122" s="205">
        <f>openDomain_trans_FST2!S37*J29</f>
        <v>0.7450407196089176</v>
      </c>
      <c r="K122" s="206">
        <f>openDomain_trans_FST2!T37*K29</f>
        <v>-0.23293559907637373</v>
      </c>
      <c r="L122" s="206" t="e">
        <f>openDomain_trans_FST2!U37*L29</f>
        <v>#VALUE!</v>
      </c>
      <c r="M122" s="206" t="e">
        <f>openDomain_trans_FST2!V37*M29</f>
        <v>#VALUE!</v>
      </c>
      <c r="N122" s="206" t="e">
        <f>openDomain_trans_FST2!W37*N29</f>
        <v>#VALUE!</v>
      </c>
      <c r="O122" s="207">
        <f>openDomain_trans_FST2!X37*O29</f>
        <v>4.9780928195313302E-2</v>
      </c>
      <c r="Q122" s="197"/>
      <c r="R122" s="195"/>
      <c r="S122" s="174"/>
      <c r="T122" s="174"/>
      <c r="U122" s="174"/>
      <c r="V122" s="174"/>
      <c r="W122" s="196"/>
      <c r="Y122" s="197"/>
      <c r="Z122" s="195"/>
      <c r="AA122" s="174"/>
      <c r="AB122" s="174"/>
      <c r="AC122" s="174"/>
      <c r="AD122" s="174"/>
      <c r="AE122" s="196"/>
      <c r="AG122" s="197"/>
      <c r="AH122" s="195"/>
      <c r="AI122" s="174"/>
      <c r="AJ122" s="174"/>
      <c r="AK122" s="174"/>
      <c r="AL122" s="174"/>
      <c r="AM122" s="196"/>
    </row>
    <row r="123" spans="1:39" x14ac:dyDescent="0.2">
      <c r="A123" s="198">
        <f>openDomain_trans_FST1!P38-180</f>
        <v>180</v>
      </c>
      <c r="B123" s="208">
        <f>-openDomain_trans_FST1!S38*B30</f>
        <v>-0.17973342291245667</v>
      </c>
      <c r="C123" s="209">
        <f>-openDomain_trans_FST1!T38*C30</f>
        <v>1.069471695154617E-3</v>
      </c>
      <c r="D123" s="209" t="e">
        <f>openDomain_trans_FST1!U38*D30</f>
        <v>#VALUE!</v>
      </c>
      <c r="E123" s="209" t="e">
        <f>openDomain_trans_FST1!V38*E30</f>
        <v>#VALUE!</v>
      </c>
      <c r="F123" s="209" t="e">
        <f>openDomain_trans_FST1!W38*F30</f>
        <v>#VALUE!</v>
      </c>
      <c r="G123" s="210">
        <f>openDomain_trans_FST1!X38*G30</f>
        <v>3.630820805666847E-4</v>
      </c>
      <c r="H123" s="182"/>
      <c r="I123" s="198">
        <v>360</v>
      </c>
      <c r="J123" s="208">
        <f>openDomain_trans_FST2!S38*J30</f>
        <v>0.69236329614215808</v>
      </c>
      <c r="K123" s="209">
        <f>openDomain_trans_FST2!T38*K30</f>
        <v>-1.5221195426332487E-2</v>
      </c>
      <c r="L123" s="209" t="e">
        <f>openDomain_trans_FST2!U38*L30</f>
        <v>#VALUE!</v>
      </c>
      <c r="M123" s="209" t="e">
        <f>openDomain_trans_FST2!V38*M30</f>
        <v>#VALUE!</v>
      </c>
      <c r="N123" s="209" t="e">
        <f>openDomain_trans_FST2!W38*N30</f>
        <v>#VALUE!</v>
      </c>
      <c r="O123" s="210">
        <f>openDomain_trans_FST2!X38*O30</f>
        <v>3.4237135593225012E-3</v>
      </c>
      <c r="Q123" s="198"/>
      <c r="R123" s="199"/>
      <c r="S123" s="200"/>
      <c r="T123" s="200"/>
      <c r="U123" s="200"/>
      <c r="V123" s="200"/>
      <c r="W123" s="201"/>
      <c r="Y123" s="198"/>
      <c r="Z123" s="199"/>
      <c r="AA123" s="200"/>
      <c r="AB123" s="200"/>
      <c r="AC123" s="200"/>
      <c r="AD123" s="200"/>
      <c r="AE123" s="201"/>
      <c r="AG123" s="198"/>
      <c r="AH123" s="199"/>
      <c r="AI123" s="200"/>
      <c r="AJ123" s="200"/>
      <c r="AK123" s="200"/>
      <c r="AL123" s="200"/>
      <c r="AM123" s="201"/>
    </row>
    <row r="125" spans="1:39" ht="15.75" customHeight="1" x14ac:dyDescent="0.2">
      <c r="A125" s="228" t="s">
        <v>75</v>
      </c>
      <c r="B125" s="228"/>
      <c r="C125" s="228"/>
      <c r="D125" s="228"/>
      <c r="E125" s="228"/>
      <c r="F125" s="228"/>
      <c r="G125" s="228"/>
      <c r="H125" s="160"/>
      <c r="I125" s="228" t="s">
        <v>76</v>
      </c>
      <c r="J125" s="228"/>
      <c r="K125" s="228"/>
      <c r="L125" s="228"/>
      <c r="M125" s="228"/>
      <c r="N125" s="228"/>
      <c r="O125" s="228"/>
      <c r="Q125" s="228" t="s">
        <v>77</v>
      </c>
      <c r="R125" s="228"/>
      <c r="S125" s="228"/>
      <c r="T125" s="228"/>
      <c r="U125" s="228"/>
      <c r="V125" s="228"/>
      <c r="W125" s="228"/>
    </row>
    <row r="126" spans="1:39" x14ac:dyDescent="0.2">
      <c r="A126" s="184" t="s">
        <v>55</v>
      </c>
      <c r="B126" s="185">
        <f>openDomain_trans_LNGC_FST1!S5</f>
        <v>1678</v>
      </c>
      <c r="C126" s="185">
        <f>openDomain_trans_LNGC_FST1!T5</f>
        <v>7811</v>
      </c>
      <c r="D126" s="185">
        <f>openDomain_trans_LNGC_FST1!U5</f>
        <v>8949</v>
      </c>
      <c r="E126" s="185">
        <f>openDomain_trans_LNGC_FST1!V5</f>
        <v>298215</v>
      </c>
      <c r="F126" s="185">
        <f>openDomain_trans_LNGC_FST1!W5</f>
        <v>32704</v>
      </c>
      <c r="G126" s="185">
        <f>openDomain_trans_LNGC_FST1!X5</f>
        <v>1598052</v>
      </c>
      <c r="H126" s="164"/>
      <c r="I126" s="184" t="s">
        <v>55</v>
      </c>
      <c r="J126" s="185">
        <f t="shared" ref="J126:O126" si="34">B126</f>
        <v>1678</v>
      </c>
      <c r="K126" s="185">
        <f t="shared" si="34"/>
        <v>7811</v>
      </c>
      <c r="L126" s="185">
        <f t="shared" si="34"/>
        <v>8949</v>
      </c>
      <c r="M126" s="185">
        <f t="shared" si="34"/>
        <v>298215</v>
      </c>
      <c r="N126" s="185">
        <f t="shared" si="34"/>
        <v>32704</v>
      </c>
      <c r="O126" s="185">
        <f t="shared" si="34"/>
        <v>1598052</v>
      </c>
      <c r="Q126" s="184" t="s">
        <v>55</v>
      </c>
      <c r="R126" s="185">
        <f>openDomain_trans_LNGC_LNGC!S5</f>
        <v>1566</v>
      </c>
      <c r="S126" s="185">
        <f>openDomain_trans_LNGC_LNGC!T5</f>
        <v>7543</v>
      </c>
      <c r="T126" s="185">
        <f>openDomain_trans_LNGC_LNGC!U5</f>
        <v>13570</v>
      </c>
      <c r="U126" s="185">
        <f>openDomain_trans_LNGC_LNGC!V5</f>
        <v>192871</v>
      </c>
      <c r="V126" s="185">
        <f>openDomain_trans_LNGC_LNGC!W5</f>
        <v>26653</v>
      </c>
      <c r="W126" s="185">
        <f>openDomain_trans_LNGC_LNGC!X5</f>
        <v>2225185</v>
      </c>
    </row>
    <row r="127" spans="1:39" x14ac:dyDescent="0.2">
      <c r="A127" s="186"/>
      <c r="B127" s="187" t="s">
        <v>57</v>
      </c>
      <c r="C127" s="187" t="s">
        <v>57</v>
      </c>
      <c r="D127" s="187" t="s">
        <v>57</v>
      </c>
      <c r="E127" s="187" t="s">
        <v>58</v>
      </c>
      <c r="F127" s="187" t="s">
        <v>58</v>
      </c>
      <c r="G127" s="187" t="s">
        <v>58</v>
      </c>
      <c r="H127" s="167"/>
      <c r="I127" s="186"/>
      <c r="J127" s="187" t="s">
        <v>57</v>
      </c>
      <c r="K127" s="187" t="s">
        <v>57</v>
      </c>
      <c r="L127" s="187" t="s">
        <v>57</v>
      </c>
      <c r="M127" s="187" t="s">
        <v>58</v>
      </c>
      <c r="N127" s="187" t="s">
        <v>58</v>
      </c>
      <c r="O127" s="187" t="s">
        <v>58</v>
      </c>
      <c r="Q127" s="186"/>
      <c r="R127" s="187" t="s">
        <v>57</v>
      </c>
      <c r="S127" s="187" t="s">
        <v>57</v>
      </c>
      <c r="T127" s="187" t="s">
        <v>57</v>
      </c>
      <c r="U127" s="187" t="s">
        <v>58</v>
      </c>
      <c r="V127" s="187" t="s">
        <v>58</v>
      </c>
      <c r="W127" s="187" t="s">
        <v>58</v>
      </c>
    </row>
    <row r="128" spans="1:39" ht="13.5" x14ac:dyDescent="0.2">
      <c r="A128" s="188" t="s">
        <v>59</v>
      </c>
      <c r="B128" s="189" t="s">
        <v>258</v>
      </c>
      <c r="C128" s="189" t="s">
        <v>259</v>
      </c>
      <c r="D128" s="189" t="s">
        <v>260</v>
      </c>
      <c r="E128" s="189" t="s">
        <v>261</v>
      </c>
      <c r="F128" s="189" t="s">
        <v>262</v>
      </c>
      <c r="G128" s="189" t="s">
        <v>263</v>
      </c>
      <c r="H128" s="160"/>
      <c r="I128" s="188" t="s">
        <v>59</v>
      </c>
      <c r="J128" s="189" t="s">
        <v>258</v>
      </c>
      <c r="K128" s="189" t="s">
        <v>259</v>
      </c>
      <c r="L128" s="189" t="s">
        <v>260</v>
      </c>
      <c r="M128" s="189" t="s">
        <v>261</v>
      </c>
      <c r="N128" s="189" t="s">
        <v>262</v>
      </c>
      <c r="O128" s="189" t="s">
        <v>263</v>
      </c>
      <c r="Q128" s="188" t="s">
        <v>59</v>
      </c>
      <c r="R128" s="189" t="s">
        <v>258</v>
      </c>
      <c r="S128" s="189" t="s">
        <v>259</v>
      </c>
      <c r="T128" s="189" t="s">
        <v>260</v>
      </c>
      <c r="U128" s="189" t="s">
        <v>261</v>
      </c>
      <c r="V128" s="189" t="s">
        <v>262</v>
      </c>
      <c r="W128" s="189" t="s">
        <v>263</v>
      </c>
    </row>
    <row r="129" spans="1:23" ht="60" x14ac:dyDescent="0.2">
      <c r="A129" s="190"/>
      <c r="B129" s="189" t="str">
        <f t="shared" ref="B129:G129" si="35">CONCATENATE($A$125,"-",B128)</f>
        <v>openDomain-long-LNGC-FST1-Cx [-]</v>
      </c>
      <c r="C129" s="189" t="str">
        <f t="shared" si="35"/>
        <v>openDomain-long-LNGC-FST1-Cy [-]</v>
      </c>
      <c r="D129" s="189" t="str">
        <f t="shared" si="35"/>
        <v>openDomain-long-LNGC-FST1-Cz [-]</v>
      </c>
      <c r="E129" s="189" t="str">
        <f t="shared" si="35"/>
        <v>openDomain-long-LNGC-FST1-Cnx [-]</v>
      </c>
      <c r="F129" s="189" t="str">
        <f t="shared" si="35"/>
        <v>openDomain-long-LNGC-FST1-Cny [-]</v>
      </c>
      <c r="G129" s="189" t="str">
        <f t="shared" si="35"/>
        <v>openDomain-long-LNGC-FST1-Cnz [-]</v>
      </c>
      <c r="H129" s="160"/>
      <c r="I129" s="190"/>
      <c r="J129" s="189" t="str">
        <f t="shared" ref="J129:O129" si="36">CONCATENATE($I$125,"-",J128)</f>
        <v>openDomain-long-LNGC-FST2-Cx [-]</v>
      </c>
      <c r="K129" s="189" t="str">
        <f t="shared" si="36"/>
        <v>openDomain-long-LNGC-FST2-Cy [-]</v>
      </c>
      <c r="L129" s="189" t="str">
        <f t="shared" si="36"/>
        <v>openDomain-long-LNGC-FST2-Cz [-]</v>
      </c>
      <c r="M129" s="189" t="str">
        <f t="shared" si="36"/>
        <v>openDomain-long-LNGC-FST2-Cnx [-]</v>
      </c>
      <c r="N129" s="189" t="str">
        <f t="shared" si="36"/>
        <v>openDomain-long-LNGC-FST2-Cny [-]</v>
      </c>
      <c r="O129" s="189" t="str">
        <f t="shared" si="36"/>
        <v>openDomain-long-LNGC-FST2-Cnz [-]</v>
      </c>
      <c r="Q129" s="190"/>
      <c r="R129" s="189" t="str">
        <f t="shared" ref="R129:W129" si="37">CONCATENATE($Q$125,"-",R128)</f>
        <v>openDomain-long-LNGC-LNGC-Cx [-]</v>
      </c>
      <c r="S129" s="189" t="str">
        <f t="shared" si="37"/>
        <v>openDomain-long-LNGC-LNGC-Cy [-]</v>
      </c>
      <c r="T129" s="189" t="str">
        <f t="shared" si="37"/>
        <v>openDomain-long-LNGC-LNGC-Cz [-]</v>
      </c>
      <c r="U129" s="189" t="str">
        <f t="shared" si="37"/>
        <v>openDomain-long-LNGC-LNGC-Cnx [-]</v>
      </c>
      <c r="V129" s="189" t="str">
        <f t="shared" si="37"/>
        <v>openDomain-long-LNGC-LNGC-Cny [-]</v>
      </c>
      <c r="W129" s="189" t="str">
        <f t="shared" si="37"/>
        <v>openDomain-long-LNGC-LNGC-Cnz [-]</v>
      </c>
    </row>
    <row r="130" spans="1:23" x14ac:dyDescent="0.2">
      <c r="A130" s="191">
        <f>openDomain_trans_LNGC_FST1!P14+180</f>
        <v>180</v>
      </c>
      <c r="B130" s="202">
        <f>-openDomain_trans_LNGC_FST1!S14*B6</f>
        <v>-0.18136453656125834</v>
      </c>
      <c r="C130" s="203">
        <f>-openDomain_trans_LNGC_FST1!T14*C6</f>
        <v>8.6152820706655048E-3</v>
      </c>
      <c r="D130" s="203" t="e">
        <f>openDomain_trans_LNGC_FST1!U14*D6</f>
        <v>#VALUE!</v>
      </c>
      <c r="E130" s="203" t="e">
        <f>openDomain_trans_LNGC_FST1!V14*E6</f>
        <v>#VALUE!</v>
      </c>
      <c r="F130" s="203" t="e">
        <f>openDomain_trans_LNGC_FST1!W14*F6</f>
        <v>#VALUE!</v>
      </c>
      <c r="G130" s="204">
        <f>openDomain_trans_LNGC_FST1!X14*G6</f>
        <v>-2.702982192781729E-3</v>
      </c>
      <c r="H130" s="174"/>
      <c r="I130" s="191">
        <f>openDomain_trans_LNGC_FST2!P14</f>
        <v>0</v>
      </c>
      <c r="J130" s="202">
        <f>openDomain_trans_LNGC_FST2!S14*J6</f>
        <v>0.74523754107757878</v>
      </c>
      <c r="K130" s="203">
        <f>openDomain_trans_LNGC_FST2!T14*K6</f>
        <v>9.6874683217140038E-3</v>
      </c>
      <c r="L130" s="203" t="e">
        <f>openDomain_trans_LNGC_FST2!U14*L6</f>
        <v>#VALUE!</v>
      </c>
      <c r="M130" s="203" t="e">
        <f>openDomain_trans_LNGC_FST2!V14*M6</f>
        <v>#VALUE!</v>
      </c>
      <c r="N130" s="203" t="e">
        <f>openDomain_trans_LNGC_FST2!W14*N6</f>
        <v>#VALUE!</v>
      </c>
      <c r="O130" s="204">
        <f>openDomain_trans_LNGC_FST2!X14*O6</f>
        <v>-2.5518124841581304E-2</v>
      </c>
      <c r="Q130" s="191"/>
      <c r="R130" s="192"/>
      <c r="S130" s="193"/>
      <c r="T130" s="193"/>
      <c r="U130" s="193"/>
      <c r="V130" s="193"/>
      <c r="W130" s="194"/>
    </row>
    <row r="131" spans="1:23" x14ac:dyDescent="0.2">
      <c r="A131" s="191">
        <f>openDomain_trans_LNGC_FST1!P15+180</f>
        <v>195</v>
      </c>
      <c r="B131" s="205">
        <f>-openDomain_trans_LNGC_FST1!S15*B7</f>
        <v>-0.49443054026511635</v>
      </c>
      <c r="C131" s="206">
        <f>-openDomain_trans_LNGC_FST1!T15*C7</f>
        <v>-0.13035303079316454</v>
      </c>
      <c r="D131" s="206" t="e">
        <f>openDomain_trans_LNGC_FST1!U15*D7</f>
        <v>#VALUE!</v>
      </c>
      <c r="E131" s="206" t="e">
        <f>openDomain_trans_LNGC_FST1!V15*E7</f>
        <v>#VALUE!</v>
      </c>
      <c r="F131" s="206" t="e">
        <f>openDomain_trans_LNGC_FST1!W15*F7</f>
        <v>#VALUE!</v>
      </c>
      <c r="G131" s="207">
        <f>openDomain_trans_LNGC_FST1!X15*G7</f>
        <v>9.8934966964245551E-3</v>
      </c>
      <c r="H131" s="174"/>
      <c r="I131" s="191">
        <f>openDomain_trans_LNGC_FST2!P15</f>
        <v>15</v>
      </c>
      <c r="J131" s="205">
        <f>openDomain_trans_LNGC_FST2!S15*J7</f>
        <v>0.7444265183103127</v>
      </c>
      <c r="K131" s="206">
        <f>openDomain_trans_LNGC_FST2!T15*K7</f>
        <v>9.6404169295209952E-2</v>
      </c>
      <c r="L131" s="206" t="e">
        <f>openDomain_trans_LNGC_FST2!U15*L7</f>
        <v>#VALUE!</v>
      </c>
      <c r="M131" s="206" t="e">
        <f>openDomain_trans_LNGC_FST2!V15*M7</f>
        <v>#VALUE!</v>
      </c>
      <c r="N131" s="206" t="e">
        <f>openDomain_trans_LNGC_FST2!W15*N7</f>
        <v>#VALUE!</v>
      </c>
      <c r="O131" s="207">
        <f>openDomain_trans_LNGC_FST2!X15*O7</f>
        <v>-5.8069304611235847E-3</v>
      </c>
      <c r="Q131" s="191"/>
      <c r="R131" s="195"/>
      <c r="S131" s="174"/>
      <c r="T131" s="174"/>
      <c r="U131" s="174"/>
      <c r="V131" s="174"/>
      <c r="W131" s="196"/>
    </row>
    <row r="132" spans="1:23" x14ac:dyDescent="0.2">
      <c r="A132" s="191">
        <f>openDomain_trans_LNGC_FST1!P16+180</f>
        <v>210</v>
      </c>
      <c r="B132" s="205">
        <f>-openDomain_trans_LNGC_FST1!S16*B8</f>
        <v>-0.2230400475947695</v>
      </c>
      <c r="C132" s="206">
        <f>-openDomain_trans_LNGC_FST1!T16*C8</f>
        <v>-0.17547966543309407</v>
      </c>
      <c r="D132" s="206" t="e">
        <f>openDomain_trans_LNGC_FST1!U16*D8</f>
        <v>#VALUE!</v>
      </c>
      <c r="E132" s="206" t="e">
        <f>openDomain_trans_LNGC_FST1!V16*E8</f>
        <v>#VALUE!</v>
      </c>
      <c r="F132" s="206" t="e">
        <f>openDomain_trans_LNGC_FST1!W16*F8</f>
        <v>#VALUE!</v>
      </c>
      <c r="G132" s="207">
        <f>openDomain_trans_LNGC_FST1!X16*G8</f>
        <v>2.9488240441747231E-2</v>
      </c>
      <c r="H132" s="174"/>
      <c r="I132" s="191">
        <f>openDomain_trans_LNGC_FST2!P16</f>
        <v>30</v>
      </c>
      <c r="J132" s="205">
        <f>openDomain_trans_LNGC_FST2!S16*J8</f>
        <v>0.7127488130562889</v>
      </c>
      <c r="K132" s="206">
        <f>openDomain_trans_LNGC_FST2!T16*K8</f>
        <v>0.22862798022453668</v>
      </c>
      <c r="L132" s="206" t="e">
        <f>openDomain_trans_LNGC_FST2!U16*L8</f>
        <v>#VALUE!</v>
      </c>
      <c r="M132" s="206" t="e">
        <f>openDomain_trans_LNGC_FST2!V16*M8</f>
        <v>#VALUE!</v>
      </c>
      <c r="N132" s="206" t="e">
        <f>openDomain_trans_LNGC_FST2!W16*N8</f>
        <v>#VALUE!</v>
      </c>
      <c r="O132" s="207">
        <f>openDomain_trans_LNGC_FST2!X16*O8</f>
        <v>-2.7493435018298717E-2</v>
      </c>
      <c r="Q132" s="191"/>
      <c r="R132" s="195"/>
      <c r="S132" s="174"/>
      <c r="T132" s="174"/>
      <c r="U132" s="174"/>
      <c r="V132" s="174"/>
      <c r="W132" s="196"/>
    </row>
    <row r="133" spans="1:23" x14ac:dyDescent="0.2">
      <c r="A133" s="191">
        <f>openDomain_trans_LNGC_FST1!P17+180</f>
        <v>225</v>
      </c>
      <c r="B133" s="205">
        <f>-openDomain_trans_LNGC_FST1!S17*B9</f>
        <v>-0.19003521072884128</v>
      </c>
      <c r="C133" s="206">
        <f>-openDomain_trans_LNGC_FST1!T17*C9</f>
        <v>-0.37844882183208794</v>
      </c>
      <c r="D133" s="206" t="e">
        <f>openDomain_trans_LNGC_FST1!U17*D9</f>
        <v>#VALUE!</v>
      </c>
      <c r="E133" s="206" t="e">
        <f>openDomain_trans_LNGC_FST1!V17*E9</f>
        <v>#VALUE!</v>
      </c>
      <c r="F133" s="206" t="e">
        <f>openDomain_trans_LNGC_FST1!W17*F9</f>
        <v>#VALUE!</v>
      </c>
      <c r="G133" s="207">
        <f>openDomain_trans_LNGC_FST1!X17*G9</f>
        <v>4.5698075801451604E-2</v>
      </c>
      <c r="H133" s="174"/>
      <c r="I133" s="191">
        <f>openDomain_trans_LNGC_FST2!P17</f>
        <v>45</v>
      </c>
      <c r="J133" s="205">
        <f>openDomain_trans_LNGC_FST2!S17*J9</f>
        <v>0.49593116228760786</v>
      </c>
      <c r="K133" s="206">
        <f>openDomain_trans_LNGC_FST2!T17*K9</f>
        <v>0.2585179994245777</v>
      </c>
      <c r="L133" s="206" t="e">
        <f>openDomain_trans_LNGC_FST2!U17*L9</f>
        <v>#VALUE!</v>
      </c>
      <c r="M133" s="206" t="e">
        <f>openDomain_trans_LNGC_FST2!V17*M9</f>
        <v>#VALUE!</v>
      </c>
      <c r="N133" s="206" t="e">
        <f>openDomain_trans_LNGC_FST2!W17*N9</f>
        <v>#VALUE!</v>
      </c>
      <c r="O133" s="207">
        <f>openDomain_trans_LNGC_FST2!X17*O9</f>
        <v>-7.7176320401736095E-2</v>
      </c>
      <c r="Q133" s="191"/>
      <c r="R133" s="195"/>
      <c r="S133" s="174"/>
      <c r="T133" s="174"/>
      <c r="U133" s="174"/>
      <c r="V133" s="174"/>
      <c r="W133" s="196"/>
    </row>
    <row r="134" spans="1:23" x14ac:dyDescent="0.2">
      <c r="A134" s="191">
        <f>openDomain_trans_LNGC_FST1!P18+180</f>
        <v>240</v>
      </c>
      <c r="B134" s="205">
        <f>-openDomain_trans_LNGC_FST1!S18*B10</f>
        <v>-6.6537551573926407E-2</v>
      </c>
      <c r="C134" s="206">
        <f>-openDomain_trans_LNGC_FST1!T18*C10</f>
        <v>-0.43434726662649292</v>
      </c>
      <c r="D134" s="206" t="e">
        <f>openDomain_trans_LNGC_FST1!U18*D10</f>
        <v>#VALUE!</v>
      </c>
      <c r="E134" s="206" t="e">
        <f>openDomain_trans_LNGC_FST1!V18*E10</f>
        <v>#VALUE!</v>
      </c>
      <c r="F134" s="206" t="e">
        <f>openDomain_trans_LNGC_FST1!W18*F10</f>
        <v>#VALUE!</v>
      </c>
      <c r="G134" s="207">
        <f>openDomain_trans_LNGC_FST1!X18*G10</f>
        <v>9.7794187258205503E-2</v>
      </c>
      <c r="H134" s="174"/>
      <c r="I134" s="191">
        <f>openDomain_trans_LNGC_FST2!P18</f>
        <v>60</v>
      </c>
      <c r="J134" s="205">
        <f>openDomain_trans_LNGC_FST2!S18*J10</f>
        <v>8.3605492823558517E-2</v>
      </c>
      <c r="K134" s="206">
        <f>openDomain_trans_LNGC_FST2!T18*K10</f>
        <v>0.2778756697321636</v>
      </c>
      <c r="L134" s="206" t="e">
        <f>openDomain_trans_LNGC_FST2!U18*L10</f>
        <v>#VALUE!</v>
      </c>
      <c r="M134" s="206" t="e">
        <f>openDomain_trans_LNGC_FST2!V18*M10</f>
        <v>#VALUE!</v>
      </c>
      <c r="N134" s="206" t="e">
        <f>openDomain_trans_LNGC_FST2!W18*N10</f>
        <v>#VALUE!</v>
      </c>
      <c r="O134" s="207">
        <f>openDomain_trans_LNGC_FST2!X18*O10</f>
        <v>-6.412812738363817E-2</v>
      </c>
      <c r="Q134" s="191"/>
      <c r="R134" s="195"/>
      <c r="S134" s="174"/>
      <c r="T134" s="174"/>
      <c r="U134" s="174"/>
      <c r="V134" s="174"/>
      <c r="W134" s="196"/>
    </row>
    <row r="135" spans="1:23" x14ac:dyDescent="0.2">
      <c r="A135" s="191">
        <f>openDomain_trans_LNGC_FST1!P19+180</f>
        <v>255</v>
      </c>
      <c r="B135" s="205">
        <f>-openDomain_trans_LNGC_FST1!S19*B11</f>
        <v>-6.6746706087107116E-2</v>
      </c>
      <c r="C135" s="206">
        <f>-openDomain_trans_LNGC_FST1!T19*C11</f>
        <v>-0.55917625086173628</v>
      </c>
      <c r="D135" s="206" t="e">
        <f>openDomain_trans_LNGC_FST1!U19*D11</f>
        <v>#VALUE!</v>
      </c>
      <c r="E135" s="206" t="e">
        <f>openDomain_trans_LNGC_FST1!V19*E11</f>
        <v>#VALUE!</v>
      </c>
      <c r="F135" s="206" t="e">
        <f>openDomain_trans_LNGC_FST1!W19*F11</f>
        <v>#VALUE!</v>
      </c>
      <c r="G135" s="207">
        <f>openDomain_trans_LNGC_FST1!X19*G11</f>
        <v>0.11199183561362323</v>
      </c>
      <c r="H135" s="174"/>
      <c r="I135" s="191">
        <f>openDomain_trans_LNGC_FST2!P19</f>
        <v>75</v>
      </c>
      <c r="J135" s="205">
        <f>openDomain_trans_LNGC_FST2!S19*J11</f>
        <v>0.18205260240456278</v>
      </c>
      <c r="K135" s="206">
        <f>openDomain_trans_LNGC_FST2!T19*K11</f>
        <v>0.16409331638386865</v>
      </c>
      <c r="L135" s="206" t="e">
        <f>openDomain_trans_LNGC_FST2!U19*L11</f>
        <v>#VALUE!</v>
      </c>
      <c r="M135" s="206" t="e">
        <f>openDomain_trans_LNGC_FST2!V19*M11</f>
        <v>#VALUE!</v>
      </c>
      <c r="N135" s="206" t="e">
        <f>openDomain_trans_LNGC_FST2!W19*N11</f>
        <v>#VALUE!</v>
      </c>
      <c r="O135" s="207">
        <f>openDomain_trans_LNGC_FST2!X19*O11</f>
        <v>-6.5049386307442295E-2</v>
      </c>
      <c r="Q135" s="191"/>
      <c r="R135" s="195"/>
      <c r="S135" s="174"/>
      <c r="T135" s="174"/>
      <c r="U135" s="174"/>
      <c r="V135" s="174"/>
      <c r="W135" s="196"/>
    </row>
    <row r="136" spans="1:23" x14ac:dyDescent="0.2">
      <c r="A136" s="191">
        <f>openDomain_trans_LNGC_FST1!P20+180</f>
        <v>270</v>
      </c>
      <c r="B136" s="205">
        <f>-openDomain_trans_LNGC_FST1!S20*B12</f>
        <v>0.15668340453668009</v>
      </c>
      <c r="C136" s="206">
        <f>-openDomain_trans_LNGC_FST1!T20*C12</f>
        <v>-0.68059907542870879</v>
      </c>
      <c r="D136" s="206" t="e">
        <f>openDomain_trans_LNGC_FST1!U20*D12</f>
        <v>#VALUE!</v>
      </c>
      <c r="E136" s="206" t="e">
        <f>openDomain_trans_LNGC_FST1!V20*E12</f>
        <v>#VALUE!</v>
      </c>
      <c r="F136" s="206" t="e">
        <f>openDomain_trans_LNGC_FST1!W20*F12</f>
        <v>#VALUE!</v>
      </c>
      <c r="G136" s="207">
        <f>openDomain_trans_LNGC_FST1!X20*G12</f>
        <v>0.12627076167231299</v>
      </c>
      <c r="H136" s="174"/>
      <c r="I136" s="191">
        <f>openDomain_trans_LNGC_FST2!P20</f>
        <v>90</v>
      </c>
      <c r="J136" s="205">
        <f>openDomain_trans_LNGC_FST2!S20*J12</f>
        <v>-0.19993613412297287</v>
      </c>
      <c r="K136" s="206">
        <f>openDomain_trans_LNGC_FST2!T20*K12</f>
        <v>-0.14978942307065796</v>
      </c>
      <c r="L136" s="206" t="e">
        <f>openDomain_trans_LNGC_FST2!U20*L12</f>
        <v>#VALUE!</v>
      </c>
      <c r="M136" s="206" t="e">
        <f>openDomain_trans_LNGC_FST2!V20*M12</f>
        <v>#VALUE!</v>
      </c>
      <c r="N136" s="206" t="e">
        <f>openDomain_trans_LNGC_FST2!W20*N12</f>
        <v>#VALUE!</v>
      </c>
      <c r="O136" s="207">
        <f>openDomain_trans_LNGC_FST2!X20*O12</f>
        <v>7.6675930736968094E-3</v>
      </c>
      <c r="Q136" s="191"/>
      <c r="R136" s="195"/>
      <c r="S136" s="174"/>
      <c r="T136" s="174"/>
      <c r="U136" s="174"/>
      <c r="V136" s="174"/>
      <c r="W136" s="196"/>
    </row>
    <row r="137" spans="1:23" x14ac:dyDescent="0.2">
      <c r="A137" s="191">
        <f>openDomain_trans_LNGC_FST1!P21+180</f>
        <v>285</v>
      </c>
      <c r="B137" s="205">
        <f>-openDomain_trans_LNGC_FST1!S21*B13</f>
        <v>0.21585838109610098</v>
      </c>
      <c r="C137" s="206">
        <f>-openDomain_trans_LNGC_FST1!T21*C13</f>
        <v>-0.79758294508685079</v>
      </c>
      <c r="D137" s="206" t="e">
        <f>openDomain_trans_LNGC_FST1!U21*D13</f>
        <v>#VALUE!</v>
      </c>
      <c r="E137" s="206" t="e">
        <f>openDomain_trans_LNGC_FST1!V21*E13</f>
        <v>#VALUE!</v>
      </c>
      <c r="F137" s="206" t="e">
        <f>openDomain_trans_LNGC_FST1!W21*F13</f>
        <v>#VALUE!</v>
      </c>
      <c r="G137" s="207">
        <f>openDomain_trans_LNGC_FST1!X21*G13</f>
        <v>0.13096957769987769</v>
      </c>
      <c r="H137" s="174"/>
      <c r="I137" s="191">
        <f>openDomain_trans_LNGC_FST2!P21</f>
        <v>105</v>
      </c>
      <c r="J137" s="205">
        <f>openDomain_trans_LNGC_FST2!S21*J13</f>
        <v>-0.17823890479944013</v>
      </c>
      <c r="K137" s="206">
        <f>openDomain_trans_LNGC_FST2!T21*K13</f>
        <v>-5.6996132813126023E-2</v>
      </c>
      <c r="L137" s="206" t="e">
        <f>openDomain_trans_LNGC_FST2!U21*L13</f>
        <v>#VALUE!</v>
      </c>
      <c r="M137" s="206" t="e">
        <f>openDomain_trans_LNGC_FST2!V21*M13</f>
        <v>#VALUE!</v>
      </c>
      <c r="N137" s="206" t="e">
        <f>openDomain_trans_LNGC_FST2!W21*N13</f>
        <v>#VALUE!</v>
      </c>
      <c r="O137" s="207">
        <f>openDomain_trans_LNGC_FST2!X21*O13</f>
        <v>2.5387246753204216E-2</v>
      </c>
      <c r="Q137" s="191"/>
      <c r="R137" s="195"/>
      <c r="S137" s="174"/>
      <c r="T137" s="174"/>
      <c r="U137" s="174"/>
      <c r="V137" s="174"/>
      <c r="W137" s="196"/>
    </row>
    <row r="138" spans="1:23" x14ac:dyDescent="0.2">
      <c r="A138" s="191">
        <f>openDomain_trans_LNGC_FST1!P22+180</f>
        <v>300</v>
      </c>
      <c r="B138" s="205">
        <f>-openDomain_trans_LNGC_FST1!S22*B14</f>
        <v>0.13634291843768695</v>
      </c>
      <c r="C138" s="206">
        <f>-openDomain_trans_LNGC_FST1!T22*C14</f>
        <v>-0.8436213849160844</v>
      </c>
      <c r="D138" s="206" t="e">
        <f>openDomain_trans_LNGC_FST1!U22*D14</f>
        <v>#VALUE!</v>
      </c>
      <c r="E138" s="206" t="e">
        <f>openDomain_trans_LNGC_FST1!V22*E14</f>
        <v>#VALUE!</v>
      </c>
      <c r="F138" s="206" t="e">
        <f>openDomain_trans_LNGC_FST1!W22*F14</f>
        <v>#VALUE!</v>
      </c>
      <c r="G138" s="207">
        <f>openDomain_trans_LNGC_FST1!X22*G14</f>
        <v>0.14708732001215077</v>
      </c>
      <c r="H138" s="174"/>
      <c r="I138" s="191">
        <f>openDomain_trans_LNGC_FST2!P22</f>
        <v>120</v>
      </c>
      <c r="J138" s="205">
        <f>openDomain_trans_LNGC_FST2!S22*J14</f>
        <v>-6.0562446736328955E-2</v>
      </c>
      <c r="K138" s="206">
        <f>openDomain_trans_LNGC_FST2!T22*K14</f>
        <v>0.20820593582145863</v>
      </c>
      <c r="L138" s="206" t="e">
        <f>openDomain_trans_LNGC_FST2!U22*L14</f>
        <v>#VALUE!</v>
      </c>
      <c r="M138" s="206" t="e">
        <f>openDomain_trans_LNGC_FST2!V22*M14</f>
        <v>#VALUE!</v>
      </c>
      <c r="N138" s="206" t="e">
        <f>openDomain_trans_LNGC_FST2!W22*N14</f>
        <v>#VALUE!</v>
      </c>
      <c r="O138" s="207">
        <f>openDomain_trans_LNGC_FST2!X22*O14</f>
        <v>4.3021385245726719E-2</v>
      </c>
      <c r="Q138" s="191"/>
      <c r="R138" s="195"/>
      <c r="S138" s="174"/>
      <c r="T138" s="174"/>
      <c r="U138" s="174"/>
      <c r="V138" s="174"/>
      <c r="W138" s="196"/>
    </row>
    <row r="139" spans="1:23" x14ac:dyDescent="0.2">
      <c r="A139" s="191">
        <f>openDomain_trans_LNGC_FST1!P23+180</f>
        <v>315</v>
      </c>
      <c r="B139" s="205">
        <f>-openDomain_trans_LNGC_FST1!S23*B15</f>
        <v>0.42539593211934051</v>
      </c>
      <c r="C139" s="206">
        <f>-openDomain_trans_LNGC_FST1!T23*C15</f>
        <v>-0.66767570648565144</v>
      </c>
      <c r="D139" s="206" t="e">
        <f>openDomain_trans_LNGC_FST1!U23*D15</f>
        <v>#VALUE!</v>
      </c>
      <c r="E139" s="206" t="e">
        <f>openDomain_trans_LNGC_FST1!V23*E15</f>
        <v>#VALUE!</v>
      </c>
      <c r="F139" s="206" t="e">
        <f>openDomain_trans_LNGC_FST1!W23*F15</f>
        <v>#VALUE!</v>
      </c>
      <c r="G139" s="207">
        <f>openDomain_trans_LNGC_FST1!X23*G15</f>
        <v>0.17068985599201345</v>
      </c>
      <c r="H139" s="174"/>
      <c r="I139" s="191">
        <f>openDomain_trans_LNGC_FST2!P23</f>
        <v>135</v>
      </c>
      <c r="J139" s="205">
        <f>openDomain_trans_LNGC_FST2!S23*J15</f>
        <v>-0.45236286954170574</v>
      </c>
      <c r="K139" s="206">
        <f>openDomain_trans_LNGC_FST2!T23*K15</f>
        <v>0.27522905014392851</v>
      </c>
      <c r="L139" s="206" t="e">
        <f>openDomain_trans_LNGC_FST2!U23*L15</f>
        <v>#VALUE!</v>
      </c>
      <c r="M139" s="206" t="e">
        <f>openDomain_trans_LNGC_FST2!V23*M15</f>
        <v>#VALUE!</v>
      </c>
      <c r="N139" s="206" t="e">
        <f>openDomain_trans_LNGC_FST2!W23*N15</f>
        <v>#VALUE!</v>
      </c>
      <c r="O139" s="207">
        <f>openDomain_trans_LNGC_FST2!X23*O15</f>
        <v>7.0492979696582247E-2</v>
      </c>
      <c r="Q139" s="191"/>
      <c r="R139" s="195"/>
      <c r="S139" s="174"/>
      <c r="T139" s="174"/>
      <c r="U139" s="174"/>
      <c r="V139" s="174"/>
      <c r="W139" s="196"/>
    </row>
    <row r="140" spans="1:23" x14ac:dyDescent="0.2">
      <c r="A140" s="191">
        <f>openDomain_trans_LNGC_FST1!P24+180</f>
        <v>330</v>
      </c>
      <c r="B140" s="205">
        <f>-openDomain_trans_LNGC_FST1!S24*B16</f>
        <v>0.69052468794955235</v>
      </c>
      <c r="C140" s="206">
        <f>-openDomain_trans_LNGC_FST1!T24*C16</f>
        <v>-0.42449411085101391</v>
      </c>
      <c r="D140" s="206" t="e">
        <f>openDomain_trans_LNGC_FST1!U24*D16</f>
        <v>#VALUE!</v>
      </c>
      <c r="E140" s="206" t="e">
        <f>openDomain_trans_LNGC_FST1!V24*E16</f>
        <v>#VALUE!</v>
      </c>
      <c r="F140" s="206" t="e">
        <f>openDomain_trans_LNGC_FST1!W24*F16</f>
        <v>#VALUE!</v>
      </c>
      <c r="G140" s="207">
        <f>openDomain_trans_LNGC_FST1!X24*G16</f>
        <v>9.5979006885149681E-2</v>
      </c>
      <c r="H140" s="174"/>
      <c r="I140" s="191">
        <f>openDomain_trans_LNGC_FST2!P24</f>
        <v>150</v>
      </c>
      <c r="J140" s="205">
        <f>openDomain_trans_LNGC_FST2!S24*J16</f>
        <v>-0.54691425292673257</v>
      </c>
      <c r="K140" s="206">
        <f>openDomain_trans_LNGC_FST2!T24*K16</f>
        <v>0.22189221951176519</v>
      </c>
      <c r="L140" s="206" t="e">
        <f>openDomain_trans_LNGC_FST2!U24*L16</f>
        <v>#VALUE!</v>
      </c>
      <c r="M140" s="206" t="e">
        <f>openDomain_trans_LNGC_FST2!V24*M16</f>
        <v>#VALUE!</v>
      </c>
      <c r="N140" s="206" t="e">
        <f>openDomain_trans_LNGC_FST2!W24*N16</f>
        <v>#VALUE!</v>
      </c>
      <c r="O140" s="207">
        <f>openDomain_trans_LNGC_FST2!X24*O16</f>
        <v>4.4865985375486278E-2</v>
      </c>
      <c r="Q140" s="191"/>
      <c r="R140" s="195"/>
      <c r="S140" s="174"/>
      <c r="T140" s="174"/>
      <c r="U140" s="174"/>
      <c r="V140" s="174"/>
      <c r="W140" s="196"/>
    </row>
    <row r="141" spans="1:23" x14ac:dyDescent="0.2">
      <c r="A141" s="191">
        <f>openDomain_trans_LNGC_FST1!P25+180</f>
        <v>345</v>
      </c>
      <c r="B141" s="205">
        <f>-openDomain_trans_LNGC_FST1!S25*B17</f>
        <v>1.0500471082219376</v>
      </c>
      <c r="C141" s="206">
        <f>-openDomain_trans_LNGC_FST1!T25*C17</f>
        <v>-0.18502223024011757</v>
      </c>
      <c r="D141" s="206" t="e">
        <f>openDomain_trans_LNGC_FST1!U25*D17</f>
        <v>#VALUE!</v>
      </c>
      <c r="E141" s="206" t="e">
        <f>openDomain_trans_LNGC_FST1!V25*E17</f>
        <v>#VALUE!</v>
      </c>
      <c r="F141" s="206" t="e">
        <f>openDomain_trans_LNGC_FST1!W25*F17</f>
        <v>#VALUE!</v>
      </c>
      <c r="G141" s="207">
        <f>openDomain_trans_LNGC_FST1!X25*G17</f>
        <v>4.2261221483028841E-2</v>
      </c>
      <c r="H141" s="174"/>
      <c r="I141" s="191">
        <f>openDomain_trans_LNGC_FST2!P25</f>
        <v>165</v>
      </c>
      <c r="J141" s="205">
        <f>openDomain_trans_LNGC_FST2!S25*J17</f>
        <v>-0.48262391813708094</v>
      </c>
      <c r="K141" s="206">
        <f>openDomain_trans_LNGC_FST2!T25*K17</f>
        <v>0.11412996379946054</v>
      </c>
      <c r="L141" s="206" t="e">
        <f>openDomain_trans_LNGC_FST2!U25*L17</f>
        <v>#VALUE!</v>
      </c>
      <c r="M141" s="206" t="e">
        <f>openDomain_trans_LNGC_FST2!V25*M17</f>
        <v>#VALUE!</v>
      </c>
      <c r="N141" s="206" t="e">
        <f>openDomain_trans_LNGC_FST2!W25*N17</f>
        <v>#VALUE!</v>
      </c>
      <c r="O141" s="207">
        <f>openDomain_trans_LNGC_FST2!X25*O17</f>
        <v>1.3635063691431075E-2</v>
      </c>
      <c r="Q141" s="191"/>
      <c r="R141" s="195"/>
      <c r="S141" s="174"/>
      <c r="T141" s="174"/>
      <c r="U141" s="174"/>
      <c r="V141" s="174"/>
      <c r="W141" s="196"/>
    </row>
    <row r="142" spans="1:23" x14ac:dyDescent="0.2">
      <c r="A142" s="197">
        <f>openDomain_trans_LNGC_FST1!P26-180</f>
        <v>0</v>
      </c>
      <c r="B142" s="205">
        <f>-openDomain_trans_LNGC_FST1!S26*B18</f>
        <v>0.8920955444155203</v>
      </c>
      <c r="C142" s="206">
        <f>-openDomain_trans_LNGC_FST1!T26*C18</f>
        <v>4.3417601295727857E-3</v>
      </c>
      <c r="D142" s="206" t="e">
        <f>openDomain_trans_LNGC_FST1!U26*D18</f>
        <v>#VALUE!</v>
      </c>
      <c r="E142" s="206" t="e">
        <f>openDomain_trans_LNGC_FST1!V26*E18</f>
        <v>#VALUE!</v>
      </c>
      <c r="F142" s="206" t="e">
        <f>openDomain_trans_LNGC_FST1!W26*F18</f>
        <v>#VALUE!</v>
      </c>
      <c r="G142" s="207">
        <f>openDomain_trans_LNGC_FST1!X26*G18</f>
        <v>1.0277496579856243E-2</v>
      </c>
      <c r="H142" s="174"/>
      <c r="I142" s="191">
        <f>openDomain_trans_LNGC_FST2!P26</f>
        <v>180</v>
      </c>
      <c r="J142" s="205">
        <f>openDomain_trans_LNGC_FST2!S26*J18</f>
        <v>-0.23283094049548267</v>
      </c>
      <c r="K142" s="206">
        <f>openDomain_trans_LNGC_FST2!T26*K18</f>
        <v>1.5060106571838686E-2</v>
      </c>
      <c r="L142" s="206" t="e">
        <f>openDomain_trans_LNGC_FST2!U26*L18</f>
        <v>#VALUE!</v>
      </c>
      <c r="M142" s="206" t="e">
        <f>openDomain_trans_LNGC_FST2!V26*M18</f>
        <v>#VALUE!</v>
      </c>
      <c r="N142" s="206" t="e">
        <f>openDomain_trans_LNGC_FST2!W26*N18</f>
        <v>#VALUE!</v>
      </c>
      <c r="O142" s="207">
        <f>openDomain_trans_LNGC_FST2!X26*O18</f>
        <v>8.2107705145526531E-3</v>
      </c>
      <c r="Q142" s="191"/>
      <c r="R142" s="195"/>
      <c r="S142" s="174"/>
      <c r="T142" s="174"/>
      <c r="U142" s="174"/>
      <c r="V142" s="174"/>
      <c r="W142" s="196"/>
    </row>
    <row r="143" spans="1:23" x14ac:dyDescent="0.2">
      <c r="A143" s="197">
        <f>openDomain_trans_LNGC_FST1!P27-180</f>
        <v>15</v>
      </c>
      <c r="B143" s="205">
        <f>-openDomain_trans_LNGC_FST1!S27*B19</f>
        <v>0.77974430361761271</v>
      </c>
      <c r="C143" s="206">
        <f>-openDomain_trans_LNGC_FST1!T27*C19</f>
        <v>0.19179351188720481</v>
      </c>
      <c r="D143" s="206" t="e">
        <f>openDomain_trans_LNGC_FST1!U27*D19</f>
        <v>#VALUE!</v>
      </c>
      <c r="E143" s="206" t="e">
        <f>openDomain_trans_LNGC_FST1!V27*E19</f>
        <v>#VALUE!</v>
      </c>
      <c r="F143" s="206" t="e">
        <f>openDomain_trans_LNGC_FST1!W27*F19</f>
        <v>#VALUE!</v>
      </c>
      <c r="G143" s="207">
        <f>openDomain_trans_LNGC_FST1!X27*G19</f>
        <v>-4.6622187530698966E-2</v>
      </c>
      <c r="H143" s="174"/>
      <c r="I143" s="197">
        <f>openDomain_trans_LNGC_FST2!P27</f>
        <v>195</v>
      </c>
      <c r="J143" s="205">
        <f>openDomain_trans_LNGC_FST2!S27*J19</f>
        <v>-0.28298732890916328</v>
      </c>
      <c r="K143" s="206">
        <f>openDomain_trans_LNGC_FST2!T27*K19</f>
        <v>-9.5236272365585795E-2</v>
      </c>
      <c r="L143" s="206" t="e">
        <f>openDomain_trans_LNGC_FST2!U27*L19</f>
        <v>#VALUE!</v>
      </c>
      <c r="M143" s="206" t="e">
        <f>openDomain_trans_LNGC_FST2!V27*M19</f>
        <v>#VALUE!</v>
      </c>
      <c r="N143" s="206" t="e">
        <f>openDomain_trans_LNGC_FST2!W27*N19</f>
        <v>#VALUE!</v>
      </c>
      <c r="O143" s="207">
        <f>openDomain_trans_LNGC_FST2!X27*O19</f>
        <v>-9.4125755546560688E-3</v>
      </c>
      <c r="Q143" s="197"/>
      <c r="R143" s="195"/>
      <c r="S143" s="174"/>
      <c r="T143" s="174"/>
      <c r="U143" s="174"/>
      <c r="V143" s="174"/>
      <c r="W143" s="196"/>
    </row>
    <row r="144" spans="1:23" x14ac:dyDescent="0.2">
      <c r="A144" s="197">
        <f>openDomain_trans_LNGC_FST1!P28-180</f>
        <v>30</v>
      </c>
      <c r="B144" s="205">
        <f>-openDomain_trans_LNGC_FST1!S28*B20</f>
        <v>0.50097034928061357</v>
      </c>
      <c r="C144" s="206">
        <f>-openDomain_trans_LNGC_FST1!T28*C20</f>
        <v>0.52236576592096462</v>
      </c>
      <c r="D144" s="206" t="e">
        <f>openDomain_trans_LNGC_FST1!U28*D20</f>
        <v>#VALUE!</v>
      </c>
      <c r="E144" s="206" t="e">
        <f>openDomain_trans_LNGC_FST1!V28*E20</f>
        <v>#VALUE!</v>
      </c>
      <c r="F144" s="206" t="e">
        <f>openDomain_trans_LNGC_FST1!W28*F20</f>
        <v>#VALUE!</v>
      </c>
      <c r="G144" s="207">
        <f>openDomain_trans_LNGC_FST1!X28*G20</f>
        <v>-8.6781061239142115E-2</v>
      </c>
      <c r="H144" s="174"/>
      <c r="I144" s="197">
        <f>openDomain_trans_LNGC_FST2!P28</f>
        <v>210</v>
      </c>
      <c r="J144" s="205">
        <f>openDomain_trans_LNGC_FST2!S28*J20</f>
        <v>-0.29259178557522403</v>
      </c>
      <c r="K144" s="206">
        <f>openDomain_trans_LNGC_FST2!T28*K20</f>
        <v>-0.34077902586507985</v>
      </c>
      <c r="L144" s="206" t="e">
        <f>openDomain_trans_LNGC_FST2!U28*L20</f>
        <v>#VALUE!</v>
      </c>
      <c r="M144" s="206" t="e">
        <f>openDomain_trans_LNGC_FST2!V28*M20</f>
        <v>#VALUE!</v>
      </c>
      <c r="N144" s="206" t="e">
        <f>openDomain_trans_LNGC_FST2!W28*N20</f>
        <v>#VALUE!</v>
      </c>
      <c r="O144" s="207">
        <f>openDomain_trans_LNGC_FST2!X28*O20</f>
        <v>-2.65942326719012E-2</v>
      </c>
      <c r="Q144" s="197"/>
      <c r="R144" s="195"/>
      <c r="S144" s="174"/>
      <c r="T144" s="174"/>
      <c r="U144" s="174"/>
      <c r="V144" s="174"/>
      <c r="W144" s="196"/>
    </row>
    <row r="145" spans="1:23" x14ac:dyDescent="0.2">
      <c r="A145" s="197">
        <f>openDomain_trans_LNGC_FST1!P29-180</f>
        <v>45</v>
      </c>
      <c r="B145" s="205">
        <f>-openDomain_trans_LNGC_FST1!S29*B21</f>
        <v>0.29673848386764889</v>
      </c>
      <c r="C145" s="206">
        <f>-openDomain_trans_LNGC_FST1!T29*C21</f>
        <v>0.87867340811195771</v>
      </c>
      <c r="D145" s="206" t="e">
        <f>openDomain_trans_LNGC_FST1!U29*D21</f>
        <v>#VALUE!</v>
      </c>
      <c r="E145" s="206" t="e">
        <f>openDomain_trans_LNGC_FST1!V29*E21</f>
        <v>#VALUE!</v>
      </c>
      <c r="F145" s="206" t="e">
        <f>openDomain_trans_LNGC_FST1!W29*F21</f>
        <v>#VALUE!</v>
      </c>
      <c r="G145" s="207">
        <f>openDomain_trans_LNGC_FST1!X29*G21</f>
        <v>-0.15530895152611335</v>
      </c>
      <c r="H145" s="174"/>
      <c r="I145" s="197">
        <f>openDomain_trans_LNGC_FST2!P29</f>
        <v>225</v>
      </c>
      <c r="J145" s="205">
        <f>openDomain_trans_LNGC_FST2!S29*J21</f>
        <v>-0.22559164944345392</v>
      </c>
      <c r="K145" s="206">
        <f>openDomain_trans_LNGC_FST2!T29*K21</f>
        <v>-0.62188462642368014</v>
      </c>
      <c r="L145" s="206" t="e">
        <f>openDomain_trans_LNGC_FST2!U29*L21</f>
        <v>#VALUE!</v>
      </c>
      <c r="M145" s="206" t="e">
        <f>openDomain_trans_LNGC_FST2!V29*M21</f>
        <v>#VALUE!</v>
      </c>
      <c r="N145" s="206" t="e">
        <f>openDomain_trans_LNGC_FST2!W29*N21</f>
        <v>#VALUE!</v>
      </c>
      <c r="O145" s="207">
        <f>openDomain_trans_LNGC_FST2!X29*O21</f>
        <v>-2.4247607736278268E-2</v>
      </c>
      <c r="Q145" s="197"/>
      <c r="R145" s="195"/>
      <c r="S145" s="174"/>
      <c r="T145" s="174"/>
      <c r="U145" s="174"/>
      <c r="V145" s="174"/>
      <c r="W145" s="196"/>
    </row>
    <row r="146" spans="1:23" x14ac:dyDescent="0.2">
      <c r="A146" s="197">
        <f>openDomain_trans_LNGC_FST1!P30-180</f>
        <v>60</v>
      </c>
      <c r="B146" s="205">
        <f>-openDomain_trans_LNGC_FST1!S30*B22</f>
        <v>7.9415749044620232E-2</v>
      </c>
      <c r="C146" s="206">
        <f>-openDomain_trans_LNGC_FST1!T30*C22</f>
        <v>1.2172198731611918</v>
      </c>
      <c r="D146" s="206" t="e">
        <f>openDomain_trans_LNGC_FST1!U30*D22</f>
        <v>#VALUE!</v>
      </c>
      <c r="E146" s="206" t="e">
        <f>openDomain_trans_LNGC_FST1!V30*E22</f>
        <v>#VALUE!</v>
      </c>
      <c r="F146" s="206" t="e">
        <f>openDomain_trans_LNGC_FST1!W30*F22</f>
        <v>#VALUE!</v>
      </c>
      <c r="G146" s="207">
        <f>openDomain_trans_LNGC_FST1!X30*G22</f>
        <v>-0.10102183895954814</v>
      </c>
      <c r="H146" s="174"/>
      <c r="I146" s="197">
        <f>openDomain_trans_LNGC_FST2!P30</f>
        <v>240</v>
      </c>
      <c r="J146" s="205">
        <f>openDomain_trans_LNGC_FST2!S30*J22</f>
        <v>-2.4595358526772373E-2</v>
      </c>
      <c r="K146" s="206">
        <f>openDomain_trans_LNGC_FST2!T30*K22</f>
        <v>-0.87325186277180256</v>
      </c>
      <c r="L146" s="206" t="e">
        <f>openDomain_trans_LNGC_FST2!U30*L22</f>
        <v>#VALUE!</v>
      </c>
      <c r="M146" s="206" t="e">
        <f>openDomain_trans_LNGC_FST2!V30*M22</f>
        <v>#VALUE!</v>
      </c>
      <c r="N146" s="206" t="e">
        <f>openDomain_trans_LNGC_FST2!W30*N22</f>
        <v>#VALUE!</v>
      </c>
      <c r="O146" s="207">
        <f>openDomain_trans_LNGC_FST2!X30*O22</f>
        <v>-1.2574604548419003E-2</v>
      </c>
      <c r="Q146" s="197"/>
      <c r="R146" s="195"/>
      <c r="S146" s="174"/>
      <c r="T146" s="174"/>
      <c r="U146" s="174"/>
      <c r="V146" s="174"/>
      <c r="W146" s="196"/>
    </row>
    <row r="147" spans="1:23" x14ac:dyDescent="0.2">
      <c r="A147" s="197">
        <f>openDomain_trans_LNGC_FST1!P31-180</f>
        <v>75</v>
      </c>
      <c r="B147" s="205">
        <f>-openDomain_trans_LNGC_FST1!S31*B23</f>
        <v>9.391522953083406E-2</v>
      </c>
      <c r="C147" s="206">
        <f>-openDomain_trans_LNGC_FST1!T31*C23</f>
        <v>1.2738060754016105</v>
      </c>
      <c r="D147" s="206" t="e">
        <f>openDomain_trans_LNGC_FST1!U31*D23</f>
        <v>#VALUE!</v>
      </c>
      <c r="E147" s="206" t="e">
        <f>openDomain_trans_LNGC_FST1!V31*E23</f>
        <v>#VALUE!</v>
      </c>
      <c r="F147" s="206" t="e">
        <f>openDomain_trans_LNGC_FST1!W31*F23</f>
        <v>#VALUE!</v>
      </c>
      <c r="G147" s="207">
        <f>openDomain_trans_LNGC_FST1!X31*G23</f>
        <v>-1.4319242356195545E-2</v>
      </c>
      <c r="H147" s="174"/>
      <c r="I147" s="197">
        <f>openDomain_trans_LNGC_FST2!P31</f>
        <v>255</v>
      </c>
      <c r="J147" s="205">
        <f>openDomain_trans_LNGC_FST2!S31*J23</f>
        <v>-8.0088669854806477E-2</v>
      </c>
      <c r="K147" s="206">
        <f>openDomain_trans_LNGC_FST2!T31*K23</f>
        <v>-0.97367162963430831</v>
      </c>
      <c r="L147" s="206" t="e">
        <f>openDomain_trans_LNGC_FST2!U31*L23</f>
        <v>#VALUE!</v>
      </c>
      <c r="M147" s="206" t="e">
        <f>openDomain_trans_LNGC_FST2!V31*M23</f>
        <v>#VALUE!</v>
      </c>
      <c r="N147" s="206" t="e">
        <f>openDomain_trans_LNGC_FST2!W31*N23</f>
        <v>#VALUE!</v>
      </c>
      <c r="O147" s="207">
        <f>openDomain_trans_LNGC_FST2!X31*O23</f>
        <v>-1.7978925231948467E-2</v>
      </c>
      <c r="Q147" s="197"/>
      <c r="R147" s="195"/>
      <c r="S147" s="174"/>
      <c r="T147" s="174"/>
      <c r="U147" s="174"/>
      <c r="V147" s="174"/>
      <c r="W147" s="196"/>
    </row>
    <row r="148" spans="1:23" x14ac:dyDescent="0.2">
      <c r="A148" s="197">
        <f>openDomain_trans_LNGC_FST1!P32-180</f>
        <v>90</v>
      </c>
      <c r="B148" s="205">
        <f>-openDomain_trans_LNGC_FST1!S32*B24</f>
        <v>-3.0661444946451386E-2</v>
      </c>
      <c r="C148" s="206">
        <f>-openDomain_trans_LNGC_FST1!T32*C24</f>
        <v>1.1010673146503713</v>
      </c>
      <c r="D148" s="206" t="e">
        <f>openDomain_trans_LNGC_FST1!U32*D24</f>
        <v>#VALUE!</v>
      </c>
      <c r="E148" s="206" t="e">
        <f>openDomain_trans_LNGC_FST1!V32*E24</f>
        <v>#VALUE!</v>
      </c>
      <c r="F148" s="206" t="e">
        <f>openDomain_trans_LNGC_FST1!W32*F24</f>
        <v>#VALUE!</v>
      </c>
      <c r="G148" s="207">
        <f>openDomain_trans_LNGC_FST1!X32*G24</f>
        <v>2.00611058650088E-2</v>
      </c>
      <c r="H148" s="174"/>
      <c r="I148" s="197">
        <f>openDomain_trans_LNGC_FST2!P32</f>
        <v>270</v>
      </c>
      <c r="J148" s="205">
        <f>openDomain_trans_LNGC_FST2!S32*J24</f>
        <v>-4.8486807748704092E-2</v>
      </c>
      <c r="K148" s="206">
        <f>openDomain_trans_LNGC_FST2!T32*K24</f>
        <v>-1.1130393649259578</v>
      </c>
      <c r="L148" s="206" t="e">
        <f>openDomain_trans_LNGC_FST2!U32*L24</f>
        <v>#VALUE!</v>
      </c>
      <c r="M148" s="206" t="e">
        <f>openDomain_trans_LNGC_FST2!V32*M24</f>
        <v>#VALUE!</v>
      </c>
      <c r="N148" s="206" t="e">
        <f>openDomain_trans_LNGC_FST2!W32*N24</f>
        <v>#VALUE!</v>
      </c>
      <c r="O148" s="207">
        <f>openDomain_trans_LNGC_FST2!X32*O24</f>
        <v>-1.7630714454490135E-2</v>
      </c>
      <c r="Q148" s="197"/>
      <c r="R148" s="195"/>
      <c r="S148" s="174"/>
      <c r="T148" s="174"/>
      <c r="U148" s="174"/>
      <c r="V148" s="174"/>
      <c r="W148" s="196"/>
    </row>
    <row r="149" spans="1:23" x14ac:dyDescent="0.2">
      <c r="A149" s="197">
        <f>openDomain_trans_LNGC_FST1!P33-180</f>
        <v>105</v>
      </c>
      <c r="B149" s="205">
        <f>-openDomain_trans_LNGC_FST1!S33*B25</f>
        <v>-3.7886402517717702E-2</v>
      </c>
      <c r="C149" s="206">
        <f>-openDomain_trans_LNGC_FST1!T33*C25</f>
        <v>0.92561666716406121</v>
      </c>
      <c r="D149" s="206" t="e">
        <f>openDomain_trans_LNGC_FST1!U33*D25</f>
        <v>#VALUE!</v>
      </c>
      <c r="E149" s="206" t="e">
        <f>openDomain_trans_LNGC_FST1!V33*E25</f>
        <v>#VALUE!</v>
      </c>
      <c r="F149" s="206" t="e">
        <f>openDomain_trans_LNGC_FST1!W33*F25</f>
        <v>#VALUE!</v>
      </c>
      <c r="G149" s="207">
        <f>openDomain_trans_LNGC_FST1!X33*G25</f>
        <v>4.0464947385740892E-2</v>
      </c>
      <c r="H149" s="174"/>
      <c r="I149" s="197">
        <f>openDomain_trans_LNGC_FST2!P33</f>
        <v>285</v>
      </c>
      <c r="J149" s="205">
        <f>openDomain_trans_LNGC_FST2!S33*J25</f>
        <v>3.5065356998295549E-2</v>
      </c>
      <c r="K149" s="206">
        <f>openDomain_trans_LNGC_FST2!T33*K25</f>
        <v>-1.215327831253102</v>
      </c>
      <c r="L149" s="206" t="e">
        <f>openDomain_trans_LNGC_FST2!U33*L25</f>
        <v>#VALUE!</v>
      </c>
      <c r="M149" s="206" t="e">
        <f>openDomain_trans_LNGC_FST2!V33*M25</f>
        <v>#VALUE!</v>
      </c>
      <c r="N149" s="206" t="e">
        <f>openDomain_trans_LNGC_FST2!W33*N25</f>
        <v>#VALUE!</v>
      </c>
      <c r="O149" s="207">
        <f>openDomain_trans_LNGC_FST2!X33*O25</f>
        <v>2.4745887980116461E-2</v>
      </c>
      <c r="Q149" s="197"/>
      <c r="R149" s="195"/>
      <c r="S149" s="174"/>
      <c r="T149" s="174"/>
      <c r="U149" s="174"/>
      <c r="V149" s="174"/>
      <c r="W149" s="196"/>
    </row>
    <row r="150" spans="1:23" x14ac:dyDescent="0.2">
      <c r="A150" s="197">
        <f>openDomain_trans_LNGC_FST1!P34-180</f>
        <v>120</v>
      </c>
      <c r="B150" s="205">
        <f>-openDomain_trans_LNGC_FST1!S34*B26</f>
        <v>-4.7603522876586202E-2</v>
      </c>
      <c r="C150" s="206">
        <f>-openDomain_trans_LNGC_FST1!T34*C26</f>
        <v>0.79471031839459216</v>
      </c>
      <c r="D150" s="206" t="e">
        <f>openDomain_trans_LNGC_FST1!U34*D26</f>
        <v>#VALUE!</v>
      </c>
      <c r="E150" s="206" t="e">
        <f>openDomain_trans_LNGC_FST1!V34*E26</f>
        <v>#VALUE!</v>
      </c>
      <c r="F150" s="206" t="e">
        <f>openDomain_trans_LNGC_FST1!W34*F26</f>
        <v>#VALUE!</v>
      </c>
      <c r="G150" s="207">
        <f>openDomain_trans_LNGC_FST1!X34*G26</f>
        <v>4.8960952321409006E-2</v>
      </c>
      <c r="H150" s="174"/>
      <c r="I150" s="197">
        <f>openDomain_trans_LNGC_FST2!P34</f>
        <v>300</v>
      </c>
      <c r="J150" s="205">
        <f>openDomain_trans_LNGC_FST2!S34*J26</f>
        <v>6.2811441129175277E-2</v>
      </c>
      <c r="K150" s="206">
        <f>openDomain_trans_LNGC_FST2!T34*K26</f>
        <v>-1.1466672095863408</v>
      </c>
      <c r="L150" s="206" t="e">
        <f>openDomain_trans_LNGC_FST2!U34*L26</f>
        <v>#VALUE!</v>
      </c>
      <c r="M150" s="206" t="e">
        <f>openDomain_trans_LNGC_FST2!V34*M26</f>
        <v>#VALUE!</v>
      </c>
      <c r="N150" s="206" t="e">
        <f>openDomain_trans_LNGC_FST2!W34*N26</f>
        <v>#VALUE!</v>
      </c>
      <c r="O150" s="207">
        <f>openDomain_trans_LNGC_FST2!X34*O26</f>
        <v>9.9603493512147923E-2</v>
      </c>
      <c r="Q150" s="197"/>
      <c r="R150" s="195"/>
      <c r="S150" s="174"/>
      <c r="T150" s="174"/>
      <c r="U150" s="174"/>
      <c r="V150" s="174"/>
      <c r="W150" s="196"/>
    </row>
    <row r="151" spans="1:23" x14ac:dyDescent="0.2">
      <c r="A151" s="197">
        <f>openDomain_trans_LNGC_FST1!P35-180</f>
        <v>135</v>
      </c>
      <c r="B151" s="205">
        <f>-openDomain_trans_LNGC_FST1!S35*B27</f>
        <v>-0.16543602623348283</v>
      </c>
      <c r="C151" s="206">
        <f>-openDomain_trans_LNGC_FST1!T35*C27</f>
        <v>0.57265269931638318</v>
      </c>
      <c r="D151" s="206" t="e">
        <f>openDomain_trans_LNGC_FST1!U35*D27</f>
        <v>#VALUE!</v>
      </c>
      <c r="E151" s="206" t="e">
        <f>openDomain_trans_LNGC_FST1!V35*E27</f>
        <v>#VALUE!</v>
      </c>
      <c r="F151" s="206" t="e">
        <f>openDomain_trans_LNGC_FST1!W35*F27</f>
        <v>#VALUE!</v>
      </c>
      <c r="G151" s="207">
        <f>openDomain_trans_LNGC_FST1!X35*G27</f>
        <v>6.1054183780424501E-2</v>
      </c>
      <c r="H151" s="174"/>
      <c r="I151" s="197">
        <f>openDomain_trans_LNGC_FST2!P35</f>
        <v>315</v>
      </c>
      <c r="J151" s="205">
        <f>openDomain_trans_LNGC_FST2!S35*J27</f>
        <v>0.51957489153842373</v>
      </c>
      <c r="K151" s="206">
        <f>openDomain_trans_LNGC_FST2!T35*K27</f>
        <v>-0.83658486032283685</v>
      </c>
      <c r="L151" s="206" t="e">
        <f>openDomain_trans_LNGC_FST2!U35*L27</f>
        <v>#VALUE!</v>
      </c>
      <c r="M151" s="206" t="e">
        <f>openDomain_trans_LNGC_FST2!V35*M27</f>
        <v>#VALUE!</v>
      </c>
      <c r="N151" s="206" t="e">
        <f>openDomain_trans_LNGC_FST2!W35*N27</f>
        <v>#VALUE!</v>
      </c>
      <c r="O151" s="207">
        <f>openDomain_trans_LNGC_FST2!X35*O27</f>
        <v>9.7261938745945326E-2</v>
      </c>
      <c r="Q151" s="197"/>
      <c r="R151" s="195"/>
      <c r="S151" s="174"/>
      <c r="T151" s="174"/>
      <c r="U151" s="174"/>
      <c r="V151" s="174"/>
      <c r="W151" s="196"/>
    </row>
    <row r="152" spans="1:23" x14ac:dyDescent="0.2">
      <c r="A152" s="197">
        <f>openDomain_trans_LNGC_FST1!P36-180</f>
        <v>150</v>
      </c>
      <c r="B152" s="205">
        <f>-openDomain_trans_LNGC_FST1!S36*B28</f>
        <v>-0.23739702131244031</v>
      </c>
      <c r="C152" s="206">
        <f>-openDomain_trans_LNGC_FST1!T36*C28</f>
        <v>0.31747294290300521</v>
      </c>
      <c r="D152" s="206" t="e">
        <f>openDomain_trans_LNGC_FST1!U36*D28</f>
        <v>#VALUE!</v>
      </c>
      <c r="E152" s="206" t="e">
        <f>openDomain_trans_LNGC_FST1!V36*E28</f>
        <v>#VALUE!</v>
      </c>
      <c r="F152" s="206" t="e">
        <f>openDomain_trans_LNGC_FST1!W36*F28</f>
        <v>#VALUE!</v>
      </c>
      <c r="G152" s="207">
        <f>openDomain_trans_LNGC_FST1!X36*G28</f>
        <v>3.0750966061762371E-2</v>
      </c>
      <c r="H152" s="174"/>
      <c r="I152" s="197">
        <f>openDomain_trans_LNGC_FST2!P36</f>
        <v>330</v>
      </c>
      <c r="J152" s="205">
        <f>openDomain_trans_LNGC_FST2!S36*J28</f>
        <v>0.67825458776148073</v>
      </c>
      <c r="K152" s="206">
        <f>openDomain_trans_LNGC_FST2!T36*K28</f>
        <v>-0.51141300739667939</v>
      </c>
      <c r="L152" s="206" t="e">
        <f>openDomain_trans_LNGC_FST2!U36*L28</f>
        <v>#VALUE!</v>
      </c>
      <c r="M152" s="206" t="e">
        <f>openDomain_trans_LNGC_FST2!V36*M28</f>
        <v>#VALUE!</v>
      </c>
      <c r="N152" s="206" t="e">
        <f>openDomain_trans_LNGC_FST2!W36*N28</f>
        <v>#VALUE!</v>
      </c>
      <c r="O152" s="207">
        <f>openDomain_trans_LNGC_FST2!X36*O28</f>
        <v>7.594344203160279E-2</v>
      </c>
      <c r="Q152" s="197"/>
      <c r="R152" s="195"/>
      <c r="S152" s="174"/>
      <c r="T152" s="174"/>
      <c r="U152" s="174"/>
      <c r="V152" s="174"/>
      <c r="W152" s="196"/>
    </row>
    <row r="153" spans="1:23" x14ac:dyDescent="0.2">
      <c r="A153" s="197">
        <f>openDomain_trans_LNGC_FST1!P37-180</f>
        <v>165</v>
      </c>
      <c r="B153" s="205">
        <f>-openDomain_trans_LNGC_FST1!S37*B29</f>
        <v>-0.30441397580531182</v>
      </c>
      <c r="C153" s="206">
        <f>-openDomain_trans_LNGC_FST1!T37*C29</f>
        <v>9.8037080796873427E-2</v>
      </c>
      <c r="D153" s="206" t="e">
        <f>openDomain_trans_LNGC_FST1!U37*D29</f>
        <v>#VALUE!</v>
      </c>
      <c r="E153" s="206" t="e">
        <f>openDomain_trans_LNGC_FST1!V37*E29</f>
        <v>#VALUE!</v>
      </c>
      <c r="F153" s="206" t="e">
        <f>openDomain_trans_LNGC_FST1!W37*F29</f>
        <v>#VALUE!</v>
      </c>
      <c r="G153" s="207">
        <f>openDomain_trans_LNGC_FST1!X37*G29</f>
        <v>8.7460972076043361E-3</v>
      </c>
      <c r="H153" s="174"/>
      <c r="I153" s="197">
        <f>openDomain_trans_LNGC_FST2!P37</f>
        <v>345</v>
      </c>
      <c r="J153" s="205">
        <f>openDomain_trans_LNGC_FST2!S37*J29</f>
        <v>0.79822490036749738</v>
      </c>
      <c r="K153" s="206">
        <f>openDomain_trans_LNGC_FST2!T37*K29</f>
        <v>-0.18832650344808199</v>
      </c>
      <c r="L153" s="206" t="e">
        <f>openDomain_trans_LNGC_FST2!U37*L29</f>
        <v>#VALUE!</v>
      </c>
      <c r="M153" s="206" t="e">
        <f>openDomain_trans_LNGC_FST2!V37*M29</f>
        <v>#VALUE!</v>
      </c>
      <c r="N153" s="206" t="e">
        <f>openDomain_trans_LNGC_FST2!W37*N29</f>
        <v>#VALUE!</v>
      </c>
      <c r="O153" s="207">
        <f>openDomain_trans_LNGC_FST2!X37*O29</f>
        <v>2.2830764483111051E-2</v>
      </c>
      <c r="Q153" s="197"/>
      <c r="R153" s="195"/>
      <c r="S153" s="174"/>
      <c r="T153" s="174"/>
      <c r="U153" s="174"/>
      <c r="V153" s="174"/>
      <c r="W153" s="196"/>
    </row>
    <row r="154" spans="1:23" x14ac:dyDescent="0.2">
      <c r="A154" s="198">
        <f>openDomain_trans_LNGC_FST1!P38-180</f>
        <v>180</v>
      </c>
      <c r="B154" s="208">
        <f>-openDomain_trans_LNGC_FST1!S38*B30</f>
        <v>-0.18136453656125834</v>
      </c>
      <c r="C154" s="209">
        <f>-openDomain_trans_LNGC_FST1!T38*C30</f>
        <v>8.6152820706655048E-3</v>
      </c>
      <c r="D154" s="209" t="e">
        <f>openDomain_trans_LNGC_FST1!U38*D30</f>
        <v>#VALUE!</v>
      </c>
      <c r="E154" s="209" t="e">
        <f>openDomain_trans_LNGC_FST1!V38*E30</f>
        <v>#VALUE!</v>
      </c>
      <c r="F154" s="209" t="e">
        <f>openDomain_trans_LNGC_FST1!W38*F30</f>
        <v>#VALUE!</v>
      </c>
      <c r="G154" s="210">
        <f>openDomain_trans_LNGC_FST1!X38*G30</f>
        <v>-2.702982192781729E-3</v>
      </c>
      <c r="H154" s="182"/>
      <c r="I154" s="198">
        <v>360</v>
      </c>
      <c r="J154" s="208">
        <f>openDomain_trans_LNGC_FST2!S38*J30</f>
        <v>0.74523754107757878</v>
      </c>
      <c r="K154" s="209">
        <f>openDomain_trans_LNGC_FST2!T38*K30</f>
        <v>9.6874683217140038E-3</v>
      </c>
      <c r="L154" s="209" t="e">
        <f>openDomain_trans_LNGC_FST2!U38*L30</f>
        <v>#VALUE!</v>
      </c>
      <c r="M154" s="209" t="e">
        <f>openDomain_trans_LNGC_FST2!V38*M30</f>
        <v>#VALUE!</v>
      </c>
      <c r="N154" s="209" t="e">
        <f>openDomain_trans_LNGC_FST2!W38*N30</f>
        <v>#VALUE!</v>
      </c>
      <c r="O154" s="210">
        <f>openDomain_trans_LNGC_FST2!X38*O30</f>
        <v>-2.5518124841581304E-2</v>
      </c>
      <c r="Q154" s="198"/>
      <c r="R154" s="199"/>
      <c r="S154" s="200"/>
      <c r="T154" s="200"/>
      <c r="U154" s="200"/>
      <c r="V154" s="200"/>
      <c r="W154" s="201"/>
    </row>
    <row r="156" spans="1:23" ht="15.75" customHeight="1" x14ac:dyDescent="0.2">
      <c r="A156" s="228" t="s">
        <v>78</v>
      </c>
      <c r="B156" s="228"/>
      <c r="C156" s="228"/>
      <c r="D156" s="228"/>
      <c r="E156" s="228"/>
      <c r="F156" s="228"/>
      <c r="G156" s="228"/>
      <c r="H156" s="160"/>
      <c r="I156" s="228" t="s">
        <v>79</v>
      </c>
      <c r="J156" s="228"/>
      <c r="K156" s="228"/>
      <c r="L156" s="228"/>
      <c r="M156" s="228"/>
      <c r="N156" s="228"/>
      <c r="O156" s="228"/>
    </row>
    <row r="157" spans="1:23" x14ac:dyDescent="0.2">
      <c r="A157" s="184" t="s">
        <v>55</v>
      </c>
      <c r="B157" s="185">
        <f>openDomain_trans_full_FST1!S5</f>
        <v>1360</v>
      </c>
      <c r="C157" s="185">
        <f>openDomain_trans_full_FST1!T5</f>
        <v>6322</v>
      </c>
      <c r="D157" s="185">
        <f>openDomain_trans_full_FST1!U5</f>
        <v>8949</v>
      </c>
      <c r="E157" s="185">
        <f>openDomain_trans_full_FST1!V5</f>
        <v>195355</v>
      </c>
      <c r="F157" s="185">
        <f>openDomain_trans_full_FST1!W5</f>
        <v>21665</v>
      </c>
      <c r="G157" s="185">
        <f>openDomain_trans_full_FST1!X5</f>
        <v>1293418</v>
      </c>
      <c r="H157" s="164"/>
      <c r="I157" s="184" t="s">
        <v>55</v>
      </c>
      <c r="J157" s="185">
        <f t="shared" ref="J157:O157" si="38">B157</f>
        <v>1360</v>
      </c>
      <c r="K157" s="185">
        <f t="shared" si="38"/>
        <v>6322</v>
      </c>
      <c r="L157" s="185">
        <f t="shared" si="38"/>
        <v>8949</v>
      </c>
      <c r="M157" s="185">
        <f t="shared" si="38"/>
        <v>195355</v>
      </c>
      <c r="N157" s="185">
        <f t="shared" si="38"/>
        <v>21665</v>
      </c>
      <c r="O157" s="185">
        <f t="shared" si="38"/>
        <v>1293418</v>
      </c>
    </row>
    <row r="158" spans="1:23" x14ac:dyDescent="0.2">
      <c r="A158" s="186"/>
      <c r="B158" s="187" t="s">
        <v>57</v>
      </c>
      <c r="C158" s="187" t="s">
        <v>57</v>
      </c>
      <c r="D158" s="187" t="s">
        <v>57</v>
      </c>
      <c r="E158" s="187" t="s">
        <v>58</v>
      </c>
      <c r="F158" s="187" t="s">
        <v>58</v>
      </c>
      <c r="G158" s="187" t="s">
        <v>58</v>
      </c>
      <c r="H158" s="167"/>
      <c r="I158" s="186"/>
      <c r="J158" s="187" t="s">
        <v>57</v>
      </c>
      <c r="K158" s="187" t="s">
        <v>57</v>
      </c>
      <c r="L158" s="187" t="s">
        <v>57</v>
      </c>
      <c r="M158" s="187" t="s">
        <v>58</v>
      </c>
      <c r="N158" s="187" t="s">
        <v>58</v>
      </c>
      <c r="O158" s="187" t="s">
        <v>58</v>
      </c>
    </row>
    <row r="159" spans="1:23" ht="13.5" x14ac:dyDescent="0.2">
      <c r="A159" s="188" t="s">
        <v>59</v>
      </c>
      <c r="B159" s="189" t="s">
        <v>258</v>
      </c>
      <c r="C159" s="189" t="s">
        <v>259</v>
      </c>
      <c r="D159" s="189" t="s">
        <v>260</v>
      </c>
      <c r="E159" s="189" t="s">
        <v>261</v>
      </c>
      <c r="F159" s="189" t="s">
        <v>262</v>
      </c>
      <c r="G159" s="189" t="s">
        <v>263</v>
      </c>
      <c r="H159" s="160"/>
      <c r="I159" s="188" t="s">
        <v>59</v>
      </c>
      <c r="J159" s="189" t="s">
        <v>258</v>
      </c>
      <c r="K159" s="189" t="s">
        <v>259</v>
      </c>
      <c r="L159" s="189" t="s">
        <v>260</v>
      </c>
      <c r="M159" s="189" t="s">
        <v>261</v>
      </c>
      <c r="N159" s="189" t="s">
        <v>262</v>
      </c>
      <c r="O159" s="189" t="s">
        <v>263</v>
      </c>
    </row>
    <row r="160" spans="1:23" ht="36" x14ac:dyDescent="0.2">
      <c r="A160" s="190"/>
      <c r="B160" s="189" t="str">
        <f t="shared" ref="B160:G160" si="39">CONCATENATE($A$156,"-",B159)</f>
        <v>openDomain-long-full-FST1-Cx [-]</v>
      </c>
      <c r="C160" s="189" t="str">
        <f t="shared" si="39"/>
        <v>openDomain-long-full-FST1-Cy [-]</v>
      </c>
      <c r="D160" s="189" t="str">
        <f t="shared" si="39"/>
        <v>openDomain-long-full-FST1-Cz [-]</v>
      </c>
      <c r="E160" s="189" t="str">
        <f t="shared" si="39"/>
        <v>openDomain-long-full-FST1-Cnx [-]</v>
      </c>
      <c r="F160" s="189" t="str">
        <f t="shared" si="39"/>
        <v>openDomain-long-full-FST1-Cny [-]</v>
      </c>
      <c r="G160" s="189" t="str">
        <f t="shared" si="39"/>
        <v>openDomain-long-full-FST1-Cnz [-]</v>
      </c>
      <c r="H160" s="160"/>
      <c r="I160" s="190"/>
      <c r="J160" s="189" t="str">
        <f t="shared" ref="J160:O160" si="40">CONCATENATE($I$156,"-",J159)</f>
        <v>openDomain-long-full-FST2-Cx [-]</v>
      </c>
      <c r="K160" s="189" t="str">
        <f t="shared" si="40"/>
        <v>openDomain-long-full-FST2-Cy [-]</v>
      </c>
      <c r="L160" s="189" t="str">
        <f t="shared" si="40"/>
        <v>openDomain-long-full-FST2-Cz [-]</v>
      </c>
      <c r="M160" s="189" t="str">
        <f t="shared" si="40"/>
        <v>openDomain-long-full-FST2-Cnx [-]</v>
      </c>
      <c r="N160" s="189" t="str">
        <f t="shared" si="40"/>
        <v>openDomain-long-full-FST2-Cny [-]</v>
      </c>
      <c r="O160" s="189" t="str">
        <f t="shared" si="40"/>
        <v>openDomain-long-full-FST2-Cnz [-]</v>
      </c>
    </row>
    <row r="161" spans="1:15" x14ac:dyDescent="0.2">
      <c r="A161" s="191">
        <f>openDomain_trans_full_FST1!P14+180</f>
        <v>180</v>
      </c>
      <c r="B161" s="192">
        <f>-openDomain_trans_full_FST1!S14*B6</f>
        <v>-0.18881644237788692</v>
      </c>
      <c r="C161" s="193">
        <f>-openDomain_trans_full_FST1!T14*C6</f>
        <v>-3.296052655395813E-3</v>
      </c>
      <c r="D161" s="193" t="e">
        <f>openDomain_trans_full_FST1!U14*D6</f>
        <v>#VALUE!</v>
      </c>
      <c r="E161" s="193" t="e">
        <f>openDomain_trans_full_FST1!V14*E6</f>
        <v>#VALUE!</v>
      </c>
      <c r="F161" s="193" t="e">
        <f>openDomain_trans_full_FST1!W14*F6</f>
        <v>#VALUE!</v>
      </c>
      <c r="G161" s="194">
        <f>openDomain_trans_full_FST1!X14*G6</f>
        <v>-6.7510627726506071E-4</v>
      </c>
      <c r="H161" s="174"/>
      <c r="I161" s="191">
        <f>openDomain_trans_full_FST2!P14</f>
        <v>0</v>
      </c>
      <c r="J161" s="202">
        <f>openDomain_trans_full_FST2!S14*J6</f>
        <v>0.68524292103502238</v>
      </c>
      <c r="K161" s="203">
        <f>openDomain_trans_full_FST2!T14*K6</f>
        <v>-1.7210341662862578E-2</v>
      </c>
      <c r="L161" s="203" t="e">
        <f>openDomain_trans_full_FST2!U14*L6</f>
        <v>#VALUE!</v>
      </c>
      <c r="M161" s="203" t="e">
        <f>openDomain_trans_full_FST2!V14*M6</f>
        <v>#VALUE!</v>
      </c>
      <c r="N161" s="203" t="e">
        <f>openDomain_trans_full_FST2!W14*N6</f>
        <v>#VALUE!</v>
      </c>
      <c r="O161" s="204">
        <f>openDomain_trans_full_FST2!X14*O6</f>
        <v>2.2834735724865918E-3</v>
      </c>
    </row>
    <row r="162" spans="1:15" x14ac:dyDescent="0.2">
      <c r="A162" s="191">
        <f>openDomain_trans_full_FST1!P15+180</f>
        <v>195</v>
      </c>
      <c r="B162" s="195">
        <f>-openDomain_trans_full_FST1!S15*B7</f>
        <v>-0.76154768051654953</v>
      </c>
      <c r="C162" s="174">
        <f>-openDomain_trans_full_FST1!T15*C7</f>
        <v>-0.15340589389093442</v>
      </c>
      <c r="D162" s="174" t="e">
        <f>openDomain_trans_full_FST1!U15*D7</f>
        <v>#VALUE!</v>
      </c>
      <c r="E162" s="174" t="e">
        <f>openDomain_trans_full_FST1!V15*E7</f>
        <v>#VALUE!</v>
      </c>
      <c r="F162" s="174" t="e">
        <f>openDomain_trans_full_FST1!W15*F7</f>
        <v>#VALUE!</v>
      </c>
      <c r="G162" s="196">
        <f>openDomain_trans_full_FST1!X15*G7</f>
        <v>1.1215320928678893E-2</v>
      </c>
      <c r="H162" s="174"/>
      <c r="I162" s="191">
        <f>openDomain_trans_full_FST2!P15</f>
        <v>15</v>
      </c>
      <c r="J162" s="205">
        <f>openDomain_trans_full_FST2!S15*J7</f>
        <v>0.9765561207996899</v>
      </c>
      <c r="K162" s="206">
        <f>openDomain_trans_full_FST2!T15*K7</f>
        <v>0.14801532201130435</v>
      </c>
      <c r="L162" s="206" t="e">
        <f>openDomain_trans_full_FST2!U15*L7</f>
        <v>#VALUE!</v>
      </c>
      <c r="M162" s="206" t="e">
        <f>openDomain_trans_full_FST2!V15*M7</f>
        <v>#VALUE!</v>
      </c>
      <c r="N162" s="206" t="e">
        <f>openDomain_trans_full_FST2!W15*N7</f>
        <v>#VALUE!</v>
      </c>
      <c r="O162" s="207">
        <f>openDomain_trans_full_FST2!X15*O7</f>
        <v>-5.2342638958659182E-3</v>
      </c>
    </row>
    <row r="163" spans="1:15" x14ac:dyDescent="0.2">
      <c r="A163" s="191">
        <f>openDomain_trans_full_FST1!P16+180</f>
        <v>210</v>
      </c>
      <c r="B163" s="195">
        <f>-openDomain_trans_full_FST1!S16*B8</f>
        <v>-0.61483796917636735</v>
      </c>
      <c r="C163" s="174">
        <f>-openDomain_trans_full_FST1!T16*C8</f>
        <v>-0.35080522156861682</v>
      </c>
      <c r="D163" s="174" t="e">
        <f>openDomain_trans_full_FST1!U16*D8</f>
        <v>#VALUE!</v>
      </c>
      <c r="E163" s="174" t="e">
        <f>openDomain_trans_full_FST1!V16*E8</f>
        <v>#VALUE!</v>
      </c>
      <c r="F163" s="174" t="e">
        <f>openDomain_trans_full_FST1!W16*F8</f>
        <v>#VALUE!</v>
      </c>
      <c r="G163" s="196">
        <f>openDomain_trans_full_FST1!X16*G8</f>
        <v>-1.2794075861597832E-2</v>
      </c>
      <c r="H163" s="174"/>
      <c r="I163" s="191">
        <f>openDomain_trans_full_FST2!P16</f>
        <v>30</v>
      </c>
      <c r="J163" s="205">
        <f>openDomain_trans_full_FST2!S16*J8</f>
        <v>0.99136146417060222</v>
      </c>
      <c r="K163" s="206">
        <f>openDomain_trans_full_FST2!T16*K8</f>
        <v>0.4243342702683629</v>
      </c>
      <c r="L163" s="206" t="e">
        <f>openDomain_trans_full_FST2!U16*L8</f>
        <v>#VALUE!</v>
      </c>
      <c r="M163" s="206" t="e">
        <f>openDomain_trans_full_FST2!V16*M8</f>
        <v>#VALUE!</v>
      </c>
      <c r="N163" s="206" t="e">
        <f>openDomain_trans_full_FST2!W16*N8</f>
        <v>#VALUE!</v>
      </c>
      <c r="O163" s="207">
        <f>openDomain_trans_full_FST2!X16*O8</f>
        <v>-3.6055175126295705E-2</v>
      </c>
    </row>
    <row r="164" spans="1:15" x14ac:dyDescent="0.2">
      <c r="A164" s="191">
        <f>openDomain_trans_full_FST1!P17+180</f>
        <v>225</v>
      </c>
      <c r="B164" s="195">
        <f>-openDomain_trans_full_FST1!S17*B9</f>
        <v>-0.40661311440140668</v>
      </c>
      <c r="C164" s="174">
        <f>-openDomain_trans_full_FST1!T17*C9</f>
        <v>-0.56238159528771081</v>
      </c>
      <c r="D164" s="174" t="e">
        <f>openDomain_trans_full_FST1!U17*D9</f>
        <v>#VALUE!</v>
      </c>
      <c r="E164" s="174" t="e">
        <f>openDomain_trans_full_FST1!V17*E9</f>
        <v>#VALUE!</v>
      </c>
      <c r="F164" s="174" t="e">
        <f>openDomain_trans_full_FST1!W17*F9</f>
        <v>#VALUE!</v>
      </c>
      <c r="G164" s="196">
        <f>openDomain_trans_full_FST1!X17*G9</f>
        <v>-2.5251317635824382E-2</v>
      </c>
      <c r="H164" s="174"/>
      <c r="I164" s="191">
        <f>openDomain_trans_full_FST2!P17</f>
        <v>45</v>
      </c>
      <c r="J164" s="205">
        <f>openDomain_trans_full_FST2!S17*J9</f>
        <v>0.75964286287204252</v>
      </c>
      <c r="K164" s="206">
        <f>openDomain_trans_full_FST2!T17*K9</f>
        <v>0.75669328451209739</v>
      </c>
      <c r="L164" s="206" t="e">
        <f>openDomain_trans_full_FST2!U17*L9</f>
        <v>#VALUE!</v>
      </c>
      <c r="M164" s="206" t="e">
        <f>openDomain_trans_full_FST2!V17*M9</f>
        <v>#VALUE!</v>
      </c>
      <c r="N164" s="206" t="e">
        <f>openDomain_trans_full_FST2!W17*N9</f>
        <v>#VALUE!</v>
      </c>
      <c r="O164" s="207">
        <f>openDomain_trans_full_FST2!X17*O9</f>
        <v>-5.7180109481710928E-2</v>
      </c>
    </row>
    <row r="165" spans="1:15" x14ac:dyDescent="0.2">
      <c r="A165" s="191">
        <f>openDomain_trans_full_FST1!P18+180</f>
        <v>240</v>
      </c>
      <c r="B165" s="195">
        <f>-openDomain_trans_full_FST1!S18*B10</f>
        <v>-0.17291564020420469</v>
      </c>
      <c r="C165" s="174">
        <f>-openDomain_trans_full_FST1!T18*C10</f>
        <v>-0.73211974270856306</v>
      </c>
      <c r="D165" s="174" t="e">
        <f>openDomain_trans_full_FST1!U18*D10</f>
        <v>#VALUE!</v>
      </c>
      <c r="E165" s="174" t="e">
        <f>openDomain_trans_full_FST1!V18*E10</f>
        <v>#VALUE!</v>
      </c>
      <c r="F165" s="174" t="e">
        <f>openDomain_trans_full_FST1!W18*F10</f>
        <v>#VALUE!</v>
      </c>
      <c r="G165" s="196">
        <f>openDomain_trans_full_FST1!X18*G10</f>
        <v>-3.375575117040551E-2</v>
      </c>
      <c r="H165" s="174"/>
      <c r="I165" s="191">
        <f>openDomain_trans_full_FST2!P18</f>
        <v>60</v>
      </c>
      <c r="J165" s="205">
        <f>openDomain_trans_full_FST2!S18*J10</f>
        <v>0.10017229202624714</v>
      </c>
      <c r="K165" s="206">
        <f>openDomain_trans_full_FST2!T18*K10</f>
        <v>0.98744268483071918</v>
      </c>
      <c r="L165" s="206" t="e">
        <f>openDomain_trans_full_FST2!U18*L10</f>
        <v>#VALUE!</v>
      </c>
      <c r="M165" s="206" t="e">
        <f>openDomain_trans_full_FST2!V18*M10</f>
        <v>#VALUE!</v>
      </c>
      <c r="N165" s="206" t="e">
        <f>openDomain_trans_full_FST2!W18*N10</f>
        <v>#VALUE!</v>
      </c>
      <c r="O165" s="207">
        <f>openDomain_trans_full_FST2!X18*O10</f>
        <v>-4.9807625025628299E-2</v>
      </c>
    </row>
    <row r="166" spans="1:15" x14ac:dyDescent="0.2">
      <c r="A166" s="191">
        <f>openDomain_trans_full_FST1!P19+180</f>
        <v>255</v>
      </c>
      <c r="B166" s="195">
        <f>-openDomain_trans_full_FST1!S19*B11</f>
        <v>-0.37089747529997841</v>
      </c>
      <c r="C166" s="174">
        <f>-openDomain_trans_full_FST1!T19*C11</f>
        <v>-0.82740313696716861</v>
      </c>
      <c r="D166" s="174" t="e">
        <f>openDomain_trans_full_FST1!U19*D11</f>
        <v>#VALUE!</v>
      </c>
      <c r="E166" s="174" t="e">
        <f>openDomain_trans_full_FST1!V19*E11</f>
        <v>#VALUE!</v>
      </c>
      <c r="F166" s="174" t="e">
        <f>openDomain_trans_full_FST1!W19*F11</f>
        <v>#VALUE!</v>
      </c>
      <c r="G166" s="196">
        <f>openDomain_trans_full_FST1!X19*G11</f>
        <v>-2.5026530027716026E-2</v>
      </c>
      <c r="H166" s="174"/>
      <c r="I166" s="191">
        <f>openDomain_trans_full_FST2!P19</f>
        <v>75</v>
      </c>
      <c r="J166" s="205">
        <f>openDomain_trans_full_FST2!S19*J11</f>
        <v>8.4950666591754306E-2</v>
      </c>
      <c r="K166" s="206">
        <f>openDomain_trans_full_FST2!T19*K11</f>
        <v>1.0671493307811943</v>
      </c>
      <c r="L166" s="206" t="e">
        <f>openDomain_trans_full_FST2!U19*L11</f>
        <v>#VALUE!</v>
      </c>
      <c r="M166" s="206" t="e">
        <f>openDomain_trans_full_FST2!V19*M11</f>
        <v>#VALUE!</v>
      </c>
      <c r="N166" s="206" t="e">
        <f>openDomain_trans_full_FST2!W19*N11</f>
        <v>#VALUE!</v>
      </c>
      <c r="O166" s="207">
        <f>openDomain_trans_full_FST2!X19*O11</f>
        <v>-2.8171753061456091E-2</v>
      </c>
    </row>
    <row r="167" spans="1:15" x14ac:dyDescent="0.2">
      <c r="A167" s="191">
        <f>openDomain_trans_full_FST1!P20+180</f>
        <v>270</v>
      </c>
      <c r="B167" s="195">
        <f>-openDomain_trans_full_FST1!S20*B12</f>
        <v>-0.39015575345663434</v>
      </c>
      <c r="C167" s="174">
        <f>-openDomain_trans_full_FST1!T20*C12</f>
        <v>-0.92821658540953145</v>
      </c>
      <c r="D167" s="174" t="e">
        <f>openDomain_trans_full_FST1!U20*D12</f>
        <v>#VALUE!</v>
      </c>
      <c r="E167" s="174" t="e">
        <f>openDomain_trans_full_FST1!V20*E12</f>
        <v>#VALUE!</v>
      </c>
      <c r="F167" s="174" t="e">
        <f>openDomain_trans_full_FST1!W20*F12</f>
        <v>#VALUE!</v>
      </c>
      <c r="G167" s="196">
        <f>openDomain_trans_full_FST1!X20*G12</f>
        <v>1.8165510002355213E-2</v>
      </c>
      <c r="H167" s="174"/>
      <c r="I167" s="191">
        <f>openDomain_trans_full_FST2!P20</f>
        <v>90</v>
      </c>
      <c r="J167" s="205">
        <f>openDomain_trans_full_FST2!S20*J12</f>
        <v>-0.37631445669657176</v>
      </c>
      <c r="K167" s="206">
        <f>openDomain_trans_full_FST2!T20*K12</f>
        <v>0.96153276858171943</v>
      </c>
      <c r="L167" s="206" t="e">
        <f>openDomain_trans_full_FST2!U20*L12</f>
        <v>#VALUE!</v>
      </c>
      <c r="M167" s="206" t="e">
        <f>openDomain_trans_full_FST2!V20*M12</f>
        <v>#VALUE!</v>
      </c>
      <c r="N167" s="206" t="e">
        <f>openDomain_trans_full_FST2!W20*N12</f>
        <v>#VALUE!</v>
      </c>
      <c r="O167" s="207">
        <f>openDomain_trans_full_FST2!X20*O12</f>
        <v>2.5931686025490361E-3</v>
      </c>
    </row>
    <row r="168" spans="1:15" x14ac:dyDescent="0.2">
      <c r="A168" s="191">
        <f>openDomain_trans_full_FST1!P21+180</f>
        <v>285</v>
      </c>
      <c r="B168" s="195">
        <f>-openDomain_trans_full_FST1!S21*B13</f>
        <v>8.4506282848956088E-2</v>
      </c>
      <c r="C168" s="174">
        <f>-openDomain_trans_full_FST1!T21*C13</f>
        <v>-1.0495930352227634</v>
      </c>
      <c r="D168" s="174" t="e">
        <f>openDomain_trans_full_FST1!U21*D13</f>
        <v>#VALUE!</v>
      </c>
      <c r="E168" s="174" t="e">
        <f>openDomain_trans_full_FST1!V21*E13</f>
        <v>#VALUE!</v>
      </c>
      <c r="F168" s="174" t="e">
        <f>openDomain_trans_full_FST1!W21*F13</f>
        <v>#VALUE!</v>
      </c>
      <c r="G168" s="196">
        <f>openDomain_trans_full_FST1!X21*G13</f>
        <v>3.4589687358572749E-2</v>
      </c>
      <c r="H168" s="174"/>
      <c r="I168" s="191">
        <f>openDomain_trans_full_FST2!P21</f>
        <v>105</v>
      </c>
      <c r="J168" s="205">
        <f>openDomain_trans_full_FST2!S21*J13</f>
        <v>-0.32327744036055994</v>
      </c>
      <c r="K168" s="206">
        <f>openDomain_trans_full_FST2!T21*K13</f>
        <v>0.84476016644166008</v>
      </c>
      <c r="L168" s="206" t="e">
        <f>openDomain_trans_full_FST2!U21*L13</f>
        <v>#VALUE!</v>
      </c>
      <c r="M168" s="206" t="e">
        <f>openDomain_trans_full_FST2!V21*M13</f>
        <v>#VALUE!</v>
      </c>
      <c r="N168" s="206" t="e">
        <f>openDomain_trans_full_FST2!W21*N13</f>
        <v>#VALUE!</v>
      </c>
      <c r="O168" s="207">
        <f>openDomain_trans_full_FST2!X21*O13</f>
        <v>2.589132040345235E-2</v>
      </c>
    </row>
    <row r="169" spans="1:15" x14ac:dyDescent="0.2">
      <c r="A169" s="191">
        <f>openDomain_trans_full_FST1!P22+180</f>
        <v>300</v>
      </c>
      <c r="B169" s="195">
        <f>-openDomain_trans_full_FST1!S22*B14</f>
        <v>0.15738729380251143</v>
      </c>
      <c r="C169" s="174">
        <f>-openDomain_trans_full_FST1!T22*C14</f>
        <v>-0.92476236617757579</v>
      </c>
      <c r="D169" s="174" t="e">
        <f>openDomain_trans_full_FST1!U22*D14</f>
        <v>#VALUE!</v>
      </c>
      <c r="E169" s="174" t="e">
        <f>openDomain_trans_full_FST1!V22*E14</f>
        <v>#VALUE!</v>
      </c>
      <c r="F169" s="174" t="e">
        <f>openDomain_trans_full_FST1!W22*F14</f>
        <v>#VALUE!</v>
      </c>
      <c r="G169" s="196">
        <f>openDomain_trans_full_FST1!X22*G14</f>
        <v>5.945281883964719E-2</v>
      </c>
      <c r="H169" s="174"/>
      <c r="I169" s="191">
        <f>openDomain_trans_full_FST2!P22</f>
        <v>120</v>
      </c>
      <c r="J169" s="205">
        <f>openDomain_trans_full_FST2!S22*J14</f>
        <v>-0.11230277052360291</v>
      </c>
      <c r="K169" s="206">
        <f>openDomain_trans_full_FST2!T22*K14</f>
        <v>0.78442119314073344</v>
      </c>
      <c r="L169" s="206" t="e">
        <f>openDomain_trans_full_FST2!U22*L14</f>
        <v>#VALUE!</v>
      </c>
      <c r="M169" s="206" t="e">
        <f>openDomain_trans_full_FST2!V22*M14</f>
        <v>#VALUE!</v>
      </c>
      <c r="N169" s="206" t="e">
        <f>openDomain_trans_full_FST2!W22*N14</f>
        <v>#VALUE!</v>
      </c>
      <c r="O169" s="207">
        <f>openDomain_trans_full_FST2!X22*O14</f>
        <v>3.0582506863248662E-2</v>
      </c>
    </row>
    <row r="170" spans="1:15" x14ac:dyDescent="0.2">
      <c r="A170" s="191">
        <f>openDomain_trans_full_FST1!P23+180</f>
        <v>315</v>
      </c>
      <c r="B170" s="195">
        <f>-openDomain_trans_full_FST1!S23*B15</f>
        <v>0.47326416960196471</v>
      </c>
      <c r="C170" s="174">
        <f>-openDomain_trans_full_FST1!T23*C15</f>
        <v>-0.69445823189288181</v>
      </c>
      <c r="D170" s="174" t="e">
        <f>openDomain_trans_full_FST1!U23*D15</f>
        <v>#VALUE!</v>
      </c>
      <c r="E170" s="174" t="e">
        <f>openDomain_trans_full_FST1!V23*E15</f>
        <v>#VALUE!</v>
      </c>
      <c r="F170" s="174" t="e">
        <f>openDomain_trans_full_FST1!W23*F15</f>
        <v>#VALUE!</v>
      </c>
      <c r="G170" s="196">
        <f>openDomain_trans_full_FST1!X23*G15</f>
        <v>7.7603618953740447E-2</v>
      </c>
      <c r="H170" s="174"/>
      <c r="I170" s="191">
        <f>openDomain_trans_full_FST2!P23</f>
        <v>135</v>
      </c>
      <c r="J170" s="205">
        <f>openDomain_trans_full_FST2!S23*J15</f>
        <v>-0.65045899892214665</v>
      </c>
      <c r="K170" s="206">
        <f>openDomain_trans_full_FST2!T23*K15</f>
        <v>0.59439701242006981</v>
      </c>
      <c r="L170" s="206" t="e">
        <f>openDomain_trans_full_FST2!U23*L15</f>
        <v>#VALUE!</v>
      </c>
      <c r="M170" s="206" t="e">
        <f>openDomain_trans_full_FST2!V23*M15</f>
        <v>#VALUE!</v>
      </c>
      <c r="N170" s="206" t="e">
        <f>openDomain_trans_full_FST2!W23*N15</f>
        <v>#VALUE!</v>
      </c>
      <c r="O170" s="207">
        <f>openDomain_trans_full_FST2!X23*O15</f>
        <v>1.3850892717722161E-2</v>
      </c>
    </row>
    <row r="171" spans="1:15" x14ac:dyDescent="0.2">
      <c r="A171" s="191">
        <f>openDomain_trans_full_FST1!P24+180</f>
        <v>330</v>
      </c>
      <c r="B171" s="195">
        <f>-openDomain_trans_full_FST1!S24*B16</f>
        <v>0.75353688596794099</v>
      </c>
      <c r="C171" s="174">
        <f>-openDomain_trans_full_FST1!T24*C16</f>
        <v>-0.38989753105925845</v>
      </c>
      <c r="D171" s="174" t="e">
        <f>openDomain_trans_full_FST1!U24*D16</f>
        <v>#VALUE!</v>
      </c>
      <c r="E171" s="174" t="e">
        <f>openDomain_trans_full_FST1!V24*E16</f>
        <v>#VALUE!</v>
      </c>
      <c r="F171" s="174" t="e">
        <f>openDomain_trans_full_FST1!W24*F16</f>
        <v>#VALUE!</v>
      </c>
      <c r="G171" s="196">
        <f>openDomain_trans_full_FST1!X24*G16</f>
        <v>3.2710987966004815E-2</v>
      </c>
      <c r="H171" s="174"/>
      <c r="I171" s="191">
        <f>openDomain_trans_full_FST2!P24</f>
        <v>150</v>
      </c>
      <c r="J171" s="205">
        <f>openDomain_trans_full_FST2!S24*J16</f>
        <v>-0.79370209221009902</v>
      </c>
      <c r="K171" s="206">
        <f>openDomain_trans_full_FST2!T24*K16</f>
        <v>0.36707258007721799</v>
      </c>
      <c r="L171" s="206" t="e">
        <f>openDomain_trans_full_FST2!U24*L16</f>
        <v>#VALUE!</v>
      </c>
      <c r="M171" s="206" t="e">
        <f>openDomain_trans_full_FST2!V24*M16</f>
        <v>#VALUE!</v>
      </c>
      <c r="N171" s="206" t="e">
        <f>openDomain_trans_full_FST2!W24*N16</f>
        <v>#VALUE!</v>
      </c>
      <c r="O171" s="207">
        <f>openDomain_trans_full_FST2!X24*O16</f>
        <v>9.9212807416202177E-3</v>
      </c>
    </row>
    <row r="172" spans="1:15" x14ac:dyDescent="0.2">
      <c r="A172" s="191">
        <f>openDomain_trans_full_FST1!P25+180</f>
        <v>345</v>
      </c>
      <c r="B172" s="195">
        <f>-openDomain_trans_full_FST1!S25*B17</f>
        <v>1.0418074528717729</v>
      </c>
      <c r="C172" s="174">
        <f>-openDomain_trans_full_FST1!T25*C17</f>
        <v>-0.13406849151133524</v>
      </c>
      <c r="D172" s="174" t="e">
        <f>openDomain_trans_full_FST1!U25*D17</f>
        <v>#VALUE!</v>
      </c>
      <c r="E172" s="174" t="e">
        <f>openDomain_trans_full_FST1!V25*E17</f>
        <v>#VALUE!</v>
      </c>
      <c r="F172" s="174" t="e">
        <f>openDomain_trans_full_FST1!W25*F17</f>
        <v>#VALUE!</v>
      </c>
      <c r="G172" s="196">
        <f>openDomain_trans_full_FST1!X25*G17</f>
        <v>6.1571542328620714E-3</v>
      </c>
      <c r="H172" s="174"/>
      <c r="I172" s="191">
        <f>openDomain_trans_full_FST2!P25</f>
        <v>165</v>
      </c>
      <c r="J172" s="205">
        <f>openDomain_trans_full_FST2!S25*J17</f>
        <v>-0.69880015923620165</v>
      </c>
      <c r="K172" s="206">
        <f>openDomain_trans_full_FST2!T25*K17</f>
        <v>0.16462118032883041</v>
      </c>
      <c r="L172" s="206" t="e">
        <f>openDomain_trans_full_FST2!U25*L17</f>
        <v>#VALUE!</v>
      </c>
      <c r="M172" s="206" t="e">
        <f>openDomain_trans_full_FST2!V25*M17</f>
        <v>#VALUE!</v>
      </c>
      <c r="N172" s="206" t="e">
        <f>openDomain_trans_full_FST2!W25*N17</f>
        <v>#VALUE!</v>
      </c>
      <c r="O172" s="207">
        <f>openDomain_trans_full_FST2!X25*O17</f>
        <v>-7.3680894010646287E-4</v>
      </c>
    </row>
    <row r="173" spans="1:15" x14ac:dyDescent="0.2">
      <c r="A173" s="191">
        <f>openDomain_trans_full_FST1!P26-180</f>
        <v>0</v>
      </c>
      <c r="B173" s="195">
        <f>-openDomain_trans_full_FST1!S26*B18</f>
        <v>0.85256212204150716</v>
      </c>
      <c r="C173" s="174">
        <f>-openDomain_trans_full_FST1!T26*C18</f>
        <v>2.589228798891623E-2</v>
      </c>
      <c r="D173" s="174" t="e">
        <f>openDomain_trans_full_FST1!U26*D18</f>
        <v>#VALUE!</v>
      </c>
      <c r="E173" s="174" t="e">
        <f>openDomain_trans_full_FST1!V26*E18</f>
        <v>#VALUE!</v>
      </c>
      <c r="F173" s="174" t="e">
        <f>openDomain_trans_full_FST1!W26*F18</f>
        <v>#VALUE!</v>
      </c>
      <c r="G173" s="196">
        <f>openDomain_trans_full_FST1!X26*G18</f>
        <v>5.0322719776563817E-3</v>
      </c>
      <c r="H173" s="174"/>
      <c r="I173" s="191">
        <f>openDomain_trans_full_FST2!P26</f>
        <v>180</v>
      </c>
      <c r="J173" s="205">
        <f>openDomain_trans_full_FST2!S26*J18</f>
        <v>-0.19773536460960695</v>
      </c>
      <c r="K173" s="206">
        <f>openDomain_trans_full_FST2!T26*K18</f>
        <v>1.3063311172093353E-2</v>
      </c>
      <c r="L173" s="206" t="e">
        <f>openDomain_trans_full_FST2!U26*L18</f>
        <v>#VALUE!</v>
      </c>
      <c r="M173" s="206" t="e">
        <f>openDomain_trans_full_FST2!V26*M18</f>
        <v>#VALUE!</v>
      </c>
      <c r="N173" s="206" t="e">
        <f>openDomain_trans_full_FST2!W26*N18</f>
        <v>#VALUE!</v>
      </c>
      <c r="O173" s="207">
        <f>openDomain_trans_full_FST2!X26*O18</f>
        <v>3.6361122448578319E-3</v>
      </c>
    </row>
    <row r="174" spans="1:15" x14ac:dyDescent="0.2">
      <c r="A174" s="197">
        <f>openDomain_trans_full_FST1!P27-180</f>
        <v>15</v>
      </c>
      <c r="B174" s="195">
        <f>-openDomain_trans_full_FST1!S27*B19</f>
        <v>0.84100218399000648</v>
      </c>
      <c r="C174" s="174">
        <f>-openDomain_trans_full_FST1!T27*C19</f>
        <v>0.19951348812831943</v>
      </c>
      <c r="D174" s="174" t="e">
        <f>openDomain_trans_full_FST1!U27*D19</f>
        <v>#VALUE!</v>
      </c>
      <c r="E174" s="174" t="e">
        <f>openDomain_trans_full_FST1!V27*E19</f>
        <v>#VALUE!</v>
      </c>
      <c r="F174" s="174" t="e">
        <f>openDomain_trans_full_FST1!W27*F19</f>
        <v>#VALUE!</v>
      </c>
      <c r="G174" s="196">
        <f>openDomain_trans_full_FST1!X27*G19</f>
        <v>-4.0572215165164356E-2</v>
      </c>
      <c r="H174" s="174"/>
      <c r="I174" s="197">
        <f>openDomain_trans_full_FST2!P27</f>
        <v>195</v>
      </c>
      <c r="J174" s="205">
        <f>openDomain_trans_full_FST2!S27*J19</f>
        <v>-0.2741158585834319</v>
      </c>
      <c r="K174" s="206">
        <f>openDomain_trans_full_FST2!T27*K19</f>
        <v>-8.7936628761219271E-2</v>
      </c>
      <c r="L174" s="206" t="e">
        <f>openDomain_trans_full_FST2!U27*L19</f>
        <v>#VALUE!</v>
      </c>
      <c r="M174" s="206" t="e">
        <f>openDomain_trans_full_FST2!V27*M19</f>
        <v>#VALUE!</v>
      </c>
      <c r="N174" s="206" t="e">
        <f>openDomain_trans_full_FST2!W27*N19</f>
        <v>#VALUE!</v>
      </c>
      <c r="O174" s="207">
        <f>openDomain_trans_full_FST2!X27*O19</f>
        <v>-8.521723627835867E-4</v>
      </c>
    </row>
    <row r="175" spans="1:15" x14ac:dyDescent="0.2">
      <c r="A175" s="197">
        <f>openDomain_trans_full_FST1!P28-180</f>
        <v>30</v>
      </c>
      <c r="B175" s="195">
        <f>-openDomain_trans_full_FST1!S28*B20</f>
        <v>0.52726675976623238</v>
      </c>
      <c r="C175" s="174">
        <f>-openDomain_trans_full_FST1!T28*C20</f>
        <v>0.49055633150603062</v>
      </c>
      <c r="D175" s="174" t="e">
        <f>openDomain_trans_full_FST1!U28*D20</f>
        <v>#VALUE!</v>
      </c>
      <c r="E175" s="174" t="e">
        <f>openDomain_trans_full_FST1!V28*E20</f>
        <v>#VALUE!</v>
      </c>
      <c r="F175" s="174" t="e">
        <f>openDomain_trans_full_FST1!W28*F20</f>
        <v>#VALUE!</v>
      </c>
      <c r="G175" s="196">
        <f>openDomain_trans_full_FST1!X28*G20</f>
        <v>-7.1063201113708938E-2</v>
      </c>
      <c r="H175" s="174"/>
      <c r="I175" s="197">
        <f>openDomain_trans_full_FST2!P28</f>
        <v>210</v>
      </c>
      <c r="J175" s="205">
        <f>openDomain_trans_full_FST2!S28*J20</f>
        <v>-0.34174134123229655</v>
      </c>
      <c r="K175" s="206">
        <f>openDomain_trans_full_FST2!T28*K20</f>
        <v>-0.3120261791492554</v>
      </c>
      <c r="L175" s="206" t="e">
        <f>openDomain_trans_full_FST2!U28*L20</f>
        <v>#VALUE!</v>
      </c>
      <c r="M175" s="206" t="e">
        <f>openDomain_trans_full_FST2!V28*M20</f>
        <v>#VALUE!</v>
      </c>
      <c r="N175" s="206" t="e">
        <f>openDomain_trans_full_FST2!W28*N20</f>
        <v>#VALUE!</v>
      </c>
      <c r="O175" s="207">
        <f>openDomain_trans_full_FST2!X28*O20</f>
        <v>-1.7871911137202712E-2</v>
      </c>
    </row>
    <row r="176" spans="1:15" x14ac:dyDescent="0.2">
      <c r="A176" s="197">
        <f>openDomain_trans_full_FST1!P29-180</f>
        <v>45</v>
      </c>
      <c r="B176" s="195">
        <f>-openDomain_trans_full_FST1!S29*B21</f>
        <v>0.30670955660230176</v>
      </c>
      <c r="C176" s="174">
        <f>-openDomain_trans_full_FST1!T29*C21</f>
        <v>0.77551060314674058</v>
      </c>
      <c r="D176" s="174" t="e">
        <f>openDomain_trans_full_FST1!U29*D21</f>
        <v>#VALUE!</v>
      </c>
      <c r="E176" s="174" t="e">
        <f>openDomain_trans_full_FST1!V29*E21</f>
        <v>#VALUE!</v>
      </c>
      <c r="F176" s="174" t="e">
        <f>openDomain_trans_full_FST1!W29*F21</f>
        <v>#VALUE!</v>
      </c>
      <c r="G176" s="196">
        <f>openDomain_trans_full_FST1!X29*G21</f>
        <v>-0.13668257532519471</v>
      </c>
      <c r="H176" s="174"/>
      <c r="I176" s="197">
        <f>openDomain_trans_full_FST2!P29</f>
        <v>225</v>
      </c>
      <c r="J176" s="205">
        <f>openDomain_trans_full_FST2!S29*J21</f>
        <v>-0.34724429308434024</v>
      </c>
      <c r="K176" s="206">
        <f>openDomain_trans_full_FST2!T29*K21</f>
        <v>-0.58326782635157282</v>
      </c>
      <c r="L176" s="206" t="e">
        <f>openDomain_trans_full_FST2!U29*L21</f>
        <v>#VALUE!</v>
      </c>
      <c r="M176" s="206" t="e">
        <f>openDomain_trans_full_FST2!V29*M21</f>
        <v>#VALUE!</v>
      </c>
      <c r="N176" s="206" t="e">
        <f>openDomain_trans_full_FST2!W29*N21</f>
        <v>#VALUE!</v>
      </c>
      <c r="O176" s="207">
        <f>openDomain_trans_full_FST2!X29*O21</f>
        <v>-2.5334732759481844E-2</v>
      </c>
    </row>
    <row r="177" spans="1:23" x14ac:dyDescent="0.2">
      <c r="A177" s="197">
        <f>openDomain_trans_full_FST1!P30-180</f>
        <v>60</v>
      </c>
      <c r="B177" s="195">
        <f>-openDomain_trans_full_FST1!S30*B22</f>
        <v>6.745804657120634E-2</v>
      </c>
      <c r="C177" s="174">
        <f>-openDomain_trans_full_FST1!T30*C22</f>
        <v>1.0497206419402738</v>
      </c>
      <c r="D177" s="174" t="e">
        <f>openDomain_trans_full_FST1!U30*D22</f>
        <v>#VALUE!</v>
      </c>
      <c r="E177" s="174" t="e">
        <f>openDomain_trans_full_FST1!V30*E22</f>
        <v>#VALUE!</v>
      </c>
      <c r="F177" s="174" t="e">
        <f>openDomain_trans_full_FST1!W30*F22</f>
        <v>#VALUE!</v>
      </c>
      <c r="G177" s="196">
        <f>openDomain_trans_full_FST1!X30*G22</f>
        <v>-0.13896791488502067</v>
      </c>
      <c r="H177" s="174"/>
      <c r="I177" s="197">
        <f>openDomain_trans_full_FST2!P30</f>
        <v>240</v>
      </c>
      <c r="J177" s="205">
        <f>openDomain_trans_full_FST2!S30*J22</f>
        <v>-4.5967539204752543E-2</v>
      </c>
      <c r="K177" s="206">
        <f>openDomain_trans_full_FST2!T30*K22</f>
        <v>-0.78679778294903768</v>
      </c>
      <c r="L177" s="206" t="e">
        <f>openDomain_trans_full_FST2!U30*L22</f>
        <v>#VALUE!</v>
      </c>
      <c r="M177" s="206" t="e">
        <f>openDomain_trans_full_FST2!V30*M22</f>
        <v>#VALUE!</v>
      </c>
      <c r="N177" s="206" t="e">
        <f>openDomain_trans_full_FST2!W30*N22</f>
        <v>#VALUE!</v>
      </c>
      <c r="O177" s="207">
        <f>openDomain_trans_full_FST2!X30*O22</f>
        <v>-3.8657350774332057E-2</v>
      </c>
    </row>
    <row r="178" spans="1:23" x14ac:dyDescent="0.2">
      <c r="A178" s="197">
        <f>openDomain_trans_full_FST1!P31-180</f>
        <v>75</v>
      </c>
      <c r="B178" s="195">
        <f>-openDomain_trans_full_FST1!S31*B23</f>
        <v>0.10426243460531529</v>
      </c>
      <c r="C178" s="174">
        <f>-openDomain_trans_full_FST1!T31*C23</f>
        <v>1.0775590275632998</v>
      </c>
      <c r="D178" s="174" t="e">
        <f>openDomain_trans_full_FST1!U31*D23</f>
        <v>#VALUE!</v>
      </c>
      <c r="E178" s="174" t="e">
        <f>openDomain_trans_full_FST1!V31*E23</f>
        <v>#VALUE!</v>
      </c>
      <c r="F178" s="174" t="e">
        <f>openDomain_trans_full_FST1!W31*F23</f>
        <v>#VALUE!</v>
      </c>
      <c r="G178" s="196">
        <f>openDomain_trans_full_FST1!X31*G23</f>
        <v>-3.8012020917284069E-2</v>
      </c>
      <c r="H178" s="174"/>
      <c r="I178" s="197">
        <f>openDomain_trans_full_FST2!P31</f>
        <v>255</v>
      </c>
      <c r="J178" s="205">
        <f>openDomain_trans_full_FST2!S31*J23</f>
        <v>-5.5224644023705867E-2</v>
      </c>
      <c r="K178" s="206">
        <f>openDomain_trans_full_FST2!T31*K23</f>
        <v>-0.87044786464440849</v>
      </c>
      <c r="L178" s="206" t="e">
        <f>openDomain_trans_full_FST2!U31*L23</f>
        <v>#VALUE!</v>
      </c>
      <c r="M178" s="206" t="e">
        <f>openDomain_trans_full_FST2!V31*M23</f>
        <v>#VALUE!</v>
      </c>
      <c r="N178" s="206" t="e">
        <f>openDomain_trans_full_FST2!W31*N23</f>
        <v>#VALUE!</v>
      </c>
      <c r="O178" s="207">
        <f>openDomain_trans_full_FST2!X31*O23</f>
        <v>-3.140474506477145E-2</v>
      </c>
    </row>
    <row r="179" spans="1:23" x14ac:dyDescent="0.2">
      <c r="A179" s="197">
        <f>openDomain_trans_full_FST1!P32-180</f>
        <v>90</v>
      </c>
      <c r="B179" s="195">
        <f>-openDomain_trans_full_FST1!S32*B24</f>
        <v>-0.25396219991139113</v>
      </c>
      <c r="C179" s="174">
        <f>-openDomain_trans_full_FST1!T32*C24</f>
        <v>0.96858507075307898</v>
      </c>
      <c r="D179" s="174" t="e">
        <f>openDomain_trans_full_FST1!U32*D24</f>
        <v>#VALUE!</v>
      </c>
      <c r="E179" s="174" t="e">
        <f>openDomain_trans_full_FST1!V32*E24</f>
        <v>#VALUE!</v>
      </c>
      <c r="F179" s="174" t="e">
        <f>openDomain_trans_full_FST1!W32*F24</f>
        <v>#VALUE!</v>
      </c>
      <c r="G179" s="196">
        <f>openDomain_trans_full_FST1!X32*G24</f>
        <v>-1.6793237952578449E-2</v>
      </c>
      <c r="H179" s="174"/>
      <c r="I179" s="197">
        <f>openDomain_trans_full_FST2!P32</f>
        <v>270</v>
      </c>
      <c r="J179" s="205">
        <f>openDomain_trans_full_FST2!S32*J24</f>
        <v>-1.9389070598275229E-2</v>
      </c>
      <c r="K179" s="206">
        <f>openDomain_trans_full_FST2!T32*K24</f>
        <v>-0.97861801206150445</v>
      </c>
      <c r="L179" s="206" t="e">
        <f>openDomain_trans_full_FST2!U32*L24</f>
        <v>#VALUE!</v>
      </c>
      <c r="M179" s="206" t="e">
        <f>openDomain_trans_full_FST2!V32*M24</f>
        <v>#VALUE!</v>
      </c>
      <c r="N179" s="206" t="e">
        <f>openDomain_trans_full_FST2!W32*N24</f>
        <v>#VALUE!</v>
      </c>
      <c r="O179" s="207">
        <f>openDomain_trans_full_FST2!X32*O24</f>
        <v>-2.4485426464963326E-2</v>
      </c>
    </row>
    <row r="180" spans="1:23" x14ac:dyDescent="0.2">
      <c r="A180" s="197">
        <f>openDomain_trans_full_FST1!P33-180</f>
        <v>105</v>
      </c>
      <c r="B180" s="195">
        <f>-openDomain_trans_full_FST1!S33*B25</f>
        <v>-9.9906911376018814E-2</v>
      </c>
      <c r="C180" s="174">
        <f>-openDomain_trans_full_FST1!T33*C25</f>
        <v>0.84116460055678943</v>
      </c>
      <c r="D180" s="174" t="e">
        <f>openDomain_trans_full_FST1!U33*D25</f>
        <v>#VALUE!</v>
      </c>
      <c r="E180" s="174" t="e">
        <f>openDomain_trans_full_FST1!V33*E25</f>
        <v>#VALUE!</v>
      </c>
      <c r="F180" s="174" t="e">
        <f>openDomain_trans_full_FST1!W33*F25</f>
        <v>#VALUE!</v>
      </c>
      <c r="G180" s="196">
        <f>openDomain_trans_full_FST1!X33*G25</f>
        <v>3.1540659404316579E-2</v>
      </c>
      <c r="H180" s="174"/>
      <c r="I180" s="197">
        <f>openDomain_trans_full_FST2!P33</f>
        <v>285</v>
      </c>
      <c r="J180" s="205">
        <f>openDomain_trans_full_FST2!S33*J25</f>
        <v>9.6443713369470094E-2</v>
      </c>
      <c r="K180" s="206">
        <f>openDomain_trans_full_FST2!T33*K25</f>
        <v>-1.0961972742566706</v>
      </c>
      <c r="L180" s="206" t="e">
        <f>openDomain_trans_full_FST2!U33*L25</f>
        <v>#VALUE!</v>
      </c>
      <c r="M180" s="206" t="e">
        <f>openDomain_trans_full_FST2!V33*M25</f>
        <v>#VALUE!</v>
      </c>
      <c r="N180" s="206" t="e">
        <f>openDomain_trans_full_FST2!W33*N25</f>
        <v>#VALUE!</v>
      </c>
      <c r="O180" s="207">
        <f>openDomain_trans_full_FST2!X33*O25</f>
        <v>3.4987407707122026E-2</v>
      </c>
    </row>
    <row r="181" spans="1:23" x14ac:dyDescent="0.2">
      <c r="A181" s="197">
        <f>openDomain_trans_full_FST1!P34-180</f>
        <v>120</v>
      </c>
      <c r="B181" s="195">
        <f>-openDomain_trans_full_FST1!S34*B26</f>
        <v>-6.3027348882921164E-2</v>
      </c>
      <c r="C181" s="174">
        <f>-openDomain_trans_full_FST1!T34*C26</f>
        <v>0.7531741431213147</v>
      </c>
      <c r="D181" s="174" t="e">
        <f>openDomain_trans_full_FST1!U34*D26</f>
        <v>#VALUE!</v>
      </c>
      <c r="E181" s="174" t="e">
        <f>openDomain_trans_full_FST1!V34*E26</f>
        <v>#VALUE!</v>
      </c>
      <c r="F181" s="174" t="e">
        <f>openDomain_trans_full_FST1!W34*F26</f>
        <v>#VALUE!</v>
      </c>
      <c r="G181" s="196">
        <f>openDomain_trans_full_FST1!X34*G26</f>
        <v>4.7497785945811534E-2</v>
      </c>
      <c r="H181" s="174"/>
      <c r="I181" s="197">
        <f>openDomain_trans_full_FST2!P34</f>
        <v>300</v>
      </c>
      <c r="J181" s="205">
        <f>openDomain_trans_full_FST2!S34*J26</f>
        <v>4.7318186868872625E-2</v>
      </c>
      <c r="K181" s="206">
        <f>openDomain_trans_full_FST2!T34*K26</f>
        <v>-1.1248268196956526</v>
      </c>
      <c r="L181" s="206" t="e">
        <f>openDomain_trans_full_FST2!U34*L26</f>
        <v>#VALUE!</v>
      </c>
      <c r="M181" s="206" t="e">
        <f>openDomain_trans_full_FST2!V34*M26</f>
        <v>#VALUE!</v>
      </c>
      <c r="N181" s="206" t="e">
        <f>openDomain_trans_full_FST2!W34*N26</f>
        <v>#VALUE!</v>
      </c>
      <c r="O181" s="207">
        <f>openDomain_trans_full_FST2!X34*O26</f>
        <v>0.12412378054589927</v>
      </c>
    </row>
    <row r="182" spans="1:23" x14ac:dyDescent="0.2">
      <c r="A182" s="197">
        <f>openDomain_trans_full_FST1!P35-180</f>
        <v>135</v>
      </c>
      <c r="B182" s="195">
        <f>-openDomain_trans_full_FST1!S35*B27</f>
        <v>-0.20980507322716149</v>
      </c>
      <c r="C182" s="174">
        <f>-openDomain_trans_full_FST1!T35*C27</f>
        <v>0.52444167007207754</v>
      </c>
      <c r="D182" s="174" t="e">
        <f>openDomain_trans_full_FST1!U35*D27</f>
        <v>#VALUE!</v>
      </c>
      <c r="E182" s="174" t="e">
        <f>openDomain_trans_full_FST1!V35*E27</f>
        <v>#VALUE!</v>
      </c>
      <c r="F182" s="174" t="e">
        <f>openDomain_trans_full_FST1!W35*F27</f>
        <v>#VALUE!</v>
      </c>
      <c r="G182" s="196">
        <f>openDomain_trans_full_FST1!X35*G27</f>
        <v>3.4363494783123491E-2</v>
      </c>
      <c r="H182" s="174"/>
      <c r="I182" s="197">
        <f>openDomain_trans_full_FST2!P35</f>
        <v>315</v>
      </c>
      <c r="J182" s="205">
        <f>openDomain_trans_full_FST2!S35*J27</f>
        <v>0.48687733424391338</v>
      </c>
      <c r="K182" s="206">
        <f>openDomain_trans_full_FST2!T35*K27</f>
        <v>-0.84980343367033462</v>
      </c>
      <c r="L182" s="206" t="e">
        <f>openDomain_trans_full_FST2!U35*L27</f>
        <v>#VALUE!</v>
      </c>
      <c r="M182" s="206" t="e">
        <f>openDomain_trans_full_FST2!V35*M27</f>
        <v>#VALUE!</v>
      </c>
      <c r="N182" s="206" t="e">
        <f>openDomain_trans_full_FST2!W35*N27</f>
        <v>#VALUE!</v>
      </c>
      <c r="O182" s="207">
        <f>openDomain_trans_full_FST2!X35*O27</f>
        <v>9.6451095351176963E-2</v>
      </c>
    </row>
    <row r="183" spans="1:23" x14ac:dyDescent="0.2">
      <c r="A183" s="197">
        <f>openDomain_trans_full_FST1!P36-180</f>
        <v>150</v>
      </c>
      <c r="B183" s="195">
        <f>-openDomain_trans_full_FST1!S36*B28</f>
        <v>-0.27164571033464746</v>
      </c>
      <c r="C183" s="174">
        <f>-openDomain_trans_full_FST1!T36*C28</f>
        <v>0.27946779808301703</v>
      </c>
      <c r="D183" s="174" t="e">
        <f>openDomain_trans_full_FST1!U36*D28</f>
        <v>#VALUE!</v>
      </c>
      <c r="E183" s="174" t="e">
        <f>openDomain_trans_full_FST1!V36*E28</f>
        <v>#VALUE!</v>
      </c>
      <c r="F183" s="174" t="e">
        <f>openDomain_trans_full_FST1!W36*F28</f>
        <v>#VALUE!</v>
      </c>
      <c r="G183" s="196">
        <f>openDomain_trans_full_FST1!X36*G28</f>
        <v>1.4755386556479677E-2</v>
      </c>
      <c r="H183" s="174"/>
      <c r="I183" s="197">
        <f>openDomain_trans_full_FST2!P36</f>
        <v>330</v>
      </c>
      <c r="J183" s="205">
        <f>openDomain_trans_full_FST2!S36*J28</f>
        <v>0.67214957269196174</v>
      </c>
      <c r="K183" s="206">
        <f>openDomain_trans_full_FST2!T36*K28</f>
        <v>-0.53015785546252914</v>
      </c>
      <c r="L183" s="206" t="e">
        <f>openDomain_trans_full_FST2!U36*L28</f>
        <v>#VALUE!</v>
      </c>
      <c r="M183" s="206" t="e">
        <f>openDomain_trans_full_FST2!V36*M28</f>
        <v>#VALUE!</v>
      </c>
      <c r="N183" s="206" t="e">
        <f>openDomain_trans_full_FST2!W36*N28</f>
        <v>#VALUE!</v>
      </c>
      <c r="O183" s="207">
        <f>openDomain_trans_full_FST2!X36*O28</f>
        <v>7.1182427555021285E-2</v>
      </c>
    </row>
    <row r="184" spans="1:23" x14ac:dyDescent="0.2">
      <c r="A184" s="197">
        <f>openDomain_trans_full_FST1!P37-180</f>
        <v>165</v>
      </c>
      <c r="B184" s="195">
        <f>-openDomain_trans_full_FST1!S37*B29</f>
        <v>-0.28786979569125437</v>
      </c>
      <c r="C184" s="174">
        <f>-openDomain_trans_full_FST1!T37*C29</f>
        <v>8.2951654361115582E-2</v>
      </c>
      <c r="D184" s="174" t="e">
        <f>openDomain_trans_full_FST1!U37*D29</f>
        <v>#VALUE!</v>
      </c>
      <c r="E184" s="174" t="e">
        <f>openDomain_trans_full_FST1!V37*E29</f>
        <v>#VALUE!</v>
      </c>
      <c r="F184" s="174" t="e">
        <f>openDomain_trans_full_FST1!W37*F29</f>
        <v>#VALUE!</v>
      </c>
      <c r="G184" s="196">
        <f>openDomain_trans_full_FST1!X37*G29</f>
        <v>1.7310369765636392E-3</v>
      </c>
      <c r="H184" s="174"/>
      <c r="I184" s="197">
        <f>openDomain_trans_full_FST2!P37</f>
        <v>345</v>
      </c>
      <c r="J184" s="205">
        <f>openDomain_trans_full_FST2!S37*J29</f>
        <v>0.77994435509170779</v>
      </c>
      <c r="K184" s="206">
        <f>openDomain_trans_full_FST2!T37*K29</f>
        <v>-0.21009043111849066</v>
      </c>
      <c r="L184" s="206" t="e">
        <f>openDomain_trans_full_FST2!U37*L29</f>
        <v>#VALUE!</v>
      </c>
      <c r="M184" s="206" t="e">
        <f>openDomain_trans_full_FST2!V37*M29</f>
        <v>#VALUE!</v>
      </c>
      <c r="N184" s="206" t="e">
        <f>openDomain_trans_full_FST2!W37*N29</f>
        <v>#VALUE!</v>
      </c>
      <c r="O184" s="207">
        <f>openDomain_trans_full_FST2!X37*O29</f>
        <v>3.9130680948697837E-2</v>
      </c>
    </row>
    <row r="185" spans="1:23" x14ac:dyDescent="0.2">
      <c r="A185" s="198">
        <f>openDomain_trans_full_FST1!P38-180</f>
        <v>180</v>
      </c>
      <c r="B185" s="199">
        <f>-openDomain_trans_full_FST1!S38*B30</f>
        <v>-0.18881644237788692</v>
      </c>
      <c r="C185" s="200">
        <f>-openDomain_trans_full_FST1!T38*C30</f>
        <v>-3.296052655395813E-3</v>
      </c>
      <c r="D185" s="200" t="e">
        <f>openDomain_trans_full_FST1!U38*D30</f>
        <v>#VALUE!</v>
      </c>
      <c r="E185" s="200" t="e">
        <f>openDomain_trans_full_FST1!V38*E30</f>
        <v>#VALUE!</v>
      </c>
      <c r="F185" s="200" t="e">
        <f>openDomain_trans_full_FST1!W38*F30</f>
        <v>#VALUE!</v>
      </c>
      <c r="G185" s="201">
        <f>openDomain_trans_full_FST1!X38*G30</f>
        <v>-6.7510627726506071E-4</v>
      </c>
      <c r="H185" s="182"/>
      <c r="I185" s="198">
        <f>openDomain_trans_full_FST2!P38</f>
        <v>360</v>
      </c>
      <c r="J185" s="208">
        <f>openDomain_trans_full_FST2!S38*J30</f>
        <v>0.68524292103502238</v>
      </c>
      <c r="K185" s="209">
        <f>openDomain_trans_full_FST2!T38*K30</f>
        <v>-1.7210341662862578E-2</v>
      </c>
      <c r="L185" s="209" t="e">
        <f>openDomain_trans_full_FST2!U38*L30</f>
        <v>#VALUE!</v>
      </c>
      <c r="M185" s="209" t="e">
        <f>openDomain_trans_full_FST2!V38*M30</f>
        <v>#VALUE!</v>
      </c>
      <c r="N185" s="209" t="e">
        <f>openDomain_trans_full_FST2!W38*N30</f>
        <v>#VALUE!</v>
      </c>
      <c r="O185" s="210">
        <f>openDomain_trans_full_FST2!X38*O30</f>
        <v>2.2834735724865918E-3</v>
      </c>
    </row>
    <row r="187" spans="1:23" ht="15.75" customHeight="1" x14ac:dyDescent="0.2">
      <c r="A187" s="228" t="s">
        <v>80</v>
      </c>
      <c r="B187" s="228"/>
      <c r="C187" s="228"/>
      <c r="D187" s="228"/>
      <c r="E187" s="228"/>
      <c r="F187" s="228"/>
      <c r="G187" s="228"/>
      <c r="H187" s="160"/>
      <c r="I187" s="228" t="s">
        <v>81</v>
      </c>
      <c r="J187" s="228"/>
      <c r="K187" s="228"/>
      <c r="L187" s="228"/>
      <c r="M187" s="228"/>
      <c r="N187" s="228"/>
      <c r="O187" s="228"/>
      <c r="Q187" s="228"/>
      <c r="R187" s="228"/>
      <c r="S187" s="228"/>
      <c r="T187" s="228"/>
      <c r="U187" s="228"/>
      <c r="V187" s="228"/>
      <c r="W187" s="228"/>
    </row>
    <row r="188" spans="1:23" x14ac:dyDescent="0.2">
      <c r="A188" s="184" t="s">
        <v>55</v>
      </c>
      <c r="B188" s="185">
        <f>openDomain_trans_full_LNGC_FST1!S5</f>
        <v>1360</v>
      </c>
      <c r="C188" s="185">
        <f>openDomain_trans_full_LNGC_FST1!T5</f>
        <v>6322</v>
      </c>
      <c r="D188" s="185">
        <f>openDomain_trans_full_LNGC_FST1!U5</f>
        <v>8949</v>
      </c>
      <c r="E188" s="185">
        <f>openDomain_trans_full_LNGC_FST1!V5</f>
        <v>195355</v>
      </c>
      <c r="F188" s="185">
        <f>openDomain_trans_full_LNGC_FST1!W5</f>
        <v>21665</v>
      </c>
      <c r="G188" s="185">
        <f>openDomain_trans_full_LNGC_FST1!X5</f>
        <v>1293418</v>
      </c>
      <c r="H188" s="164"/>
      <c r="I188" s="184" t="s">
        <v>55</v>
      </c>
      <c r="J188" s="185">
        <f t="shared" ref="J188:O188" si="41">B188</f>
        <v>1360</v>
      </c>
      <c r="K188" s="185">
        <f t="shared" si="41"/>
        <v>6322</v>
      </c>
      <c r="L188" s="185">
        <f t="shared" si="41"/>
        <v>8949</v>
      </c>
      <c r="M188" s="185">
        <f t="shared" si="41"/>
        <v>195355</v>
      </c>
      <c r="N188" s="185">
        <f t="shared" si="41"/>
        <v>21665</v>
      </c>
      <c r="O188" s="185">
        <f t="shared" si="41"/>
        <v>1293418</v>
      </c>
      <c r="Q188" s="184"/>
      <c r="R188" s="185"/>
      <c r="S188" s="185"/>
      <c r="T188" s="185"/>
      <c r="U188" s="185"/>
      <c r="V188" s="185"/>
      <c r="W188" s="185"/>
    </row>
    <row r="189" spans="1:23" x14ac:dyDescent="0.2">
      <c r="A189" s="186"/>
      <c r="B189" s="187" t="s">
        <v>57</v>
      </c>
      <c r="C189" s="187" t="s">
        <v>57</v>
      </c>
      <c r="D189" s="187" t="s">
        <v>57</v>
      </c>
      <c r="E189" s="187" t="s">
        <v>58</v>
      </c>
      <c r="F189" s="187" t="s">
        <v>58</v>
      </c>
      <c r="G189" s="187" t="s">
        <v>58</v>
      </c>
      <c r="H189" s="167"/>
      <c r="I189" s="186"/>
      <c r="J189" s="187" t="s">
        <v>57</v>
      </c>
      <c r="K189" s="187" t="s">
        <v>57</v>
      </c>
      <c r="L189" s="187" t="s">
        <v>57</v>
      </c>
      <c r="M189" s="187" t="s">
        <v>58</v>
      </c>
      <c r="N189" s="187" t="s">
        <v>58</v>
      </c>
      <c r="O189" s="187" t="s">
        <v>58</v>
      </c>
      <c r="Q189" s="186"/>
      <c r="R189" s="187"/>
      <c r="S189" s="187"/>
      <c r="T189" s="187"/>
      <c r="U189" s="187"/>
      <c r="V189" s="187"/>
      <c r="W189" s="187"/>
    </row>
    <row r="190" spans="1:23" ht="13.5" x14ac:dyDescent="0.2">
      <c r="A190" s="188" t="s">
        <v>59</v>
      </c>
      <c r="B190" s="189" t="s">
        <v>258</v>
      </c>
      <c r="C190" s="189" t="s">
        <v>259</v>
      </c>
      <c r="D190" s="189" t="s">
        <v>260</v>
      </c>
      <c r="E190" s="189" t="s">
        <v>261</v>
      </c>
      <c r="F190" s="189" t="s">
        <v>262</v>
      </c>
      <c r="G190" s="189" t="s">
        <v>263</v>
      </c>
      <c r="H190" s="160"/>
      <c r="I190" s="188" t="s">
        <v>59</v>
      </c>
      <c r="J190" s="189" t="s">
        <v>258</v>
      </c>
      <c r="K190" s="189" t="s">
        <v>259</v>
      </c>
      <c r="L190" s="189" t="s">
        <v>260</v>
      </c>
      <c r="M190" s="189" t="s">
        <v>261</v>
      </c>
      <c r="N190" s="189" t="s">
        <v>262</v>
      </c>
      <c r="O190" s="189" t="s">
        <v>263</v>
      </c>
      <c r="Q190" s="188"/>
      <c r="R190" s="189"/>
      <c r="S190" s="189"/>
      <c r="T190" s="189"/>
      <c r="U190" s="189"/>
      <c r="V190" s="189"/>
      <c r="W190" s="189"/>
    </row>
    <row r="191" spans="1:23" ht="36" x14ac:dyDescent="0.2">
      <c r="A191" s="190"/>
      <c r="B191" s="189" t="str">
        <f t="shared" ref="B191:G191" si="42">CONCATENATE($A$187,"-",B190)</f>
        <v>openDomain-long-full-LNGC-FST1-Cx [-]</v>
      </c>
      <c r="C191" s="189" t="str">
        <f t="shared" si="42"/>
        <v>openDomain-long-full-LNGC-FST1-Cy [-]</v>
      </c>
      <c r="D191" s="189" t="str">
        <f t="shared" si="42"/>
        <v>openDomain-long-full-LNGC-FST1-Cz [-]</v>
      </c>
      <c r="E191" s="189" t="str">
        <f t="shared" si="42"/>
        <v>openDomain-long-full-LNGC-FST1-Cnx [-]</v>
      </c>
      <c r="F191" s="189" t="str">
        <f t="shared" si="42"/>
        <v>openDomain-long-full-LNGC-FST1-Cny [-]</v>
      </c>
      <c r="G191" s="189" t="str">
        <f t="shared" si="42"/>
        <v>openDomain-long-full-LNGC-FST1-Cnz [-]</v>
      </c>
      <c r="H191" s="160"/>
      <c r="I191" s="190"/>
      <c r="J191" s="189" t="str">
        <f t="shared" ref="J191:O191" si="43">CONCATENATE($I$187,"-",J190)</f>
        <v>openDomain-long-LNGC-full-FST2-Cx [-]</v>
      </c>
      <c r="K191" s="189" t="str">
        <f t="shared" si="43"/>
        <v>openDomain-long-LNGC-full-FST2-Cy [-]</v>
      </c>
      <c r="L191" s="189" t="str">
        <f t="shared" si="43"/>
        <v>openDomain-long-LNGC-full-FST2-Cz [-]</v>
      </c>
      <c r="M191" s="189" t="str">
        <f t="shared" si="43"/>
        <v>openDomain-long-LNGC-full-FST2-Cnx [-]</v>
      </c>
      <c r="N191" s="189" t="str">
        <f t="shared" si="43"/>
        <v>openDomain-long-LNGC-full-FST2-Cny [-]</v>
      </c>
      <c r="O191" s="189" t="str">
        <f t="shared" si="43"/>
        <v>openDomain-long-LNGC-full-FST2-Cnz [-]</v>
      </c>
      <c r="Q191" s="190"/>
      <c r="R191" s="189"/>
      <c r="S191" s="189"/>
      <c r="T191" s="189"/>
      <c r="U191" s="189"/>
      <c r="V191" s="189"/>
      <c r="W191" s="189"/>
    </row>
    <row r="192" spans="1:23" x14ac:dyDescent="0.2">
      <c r="A192" s="191">
        <f>openDomain_trans_LNGC_FST1!P14+180</f>
        <v>180</v>
      </c>
      <c r="B192" s="202">
        <f>-openDomain_trans_full_LNGC_FST1!S14*B6</f>
        <v>-0.17568708473902206</v>
      </c>
      <c r="C192" s="203">
        <f>-openDomain_trans_full_LNGC_FST1!T14*C6</f>
        <v>8.5419744535567468E-3</v>
      </c>
      <c r="D192" s="203" t="e">
        <f>openDomain_trans_full_LNGC_FST1!U14*D6</f>
        <v>#VALUE!</v>
      </c>
      <c r="E192" s="203" t="e">
        <f>openDomain_trans_full_LNGC_FST1!V14*E6</f>
        <v>#VALUE!</v>
      </c>
      <c r="F192" s="203" t="e">
        <f>openDomain_trans_full_LNGC_FST1!W14*F6</f>
        <v>#VALUE!</v>
      </c>
      <c r="G192" s="204">
        <f>openDomain_trans_full_LNGC_FST1!X14*G6</f>
        <v>-5.1662959538290899E-4</v>
      </c>
      <c r="H192" s="174"/>
      <c r="I192" s="191">
        <f>openDomain_trans_LNGC_FST2!P14</f>
        <v>0</v>
      </c>
      <c r="J192" s="192">
        <f>openDomain_trans_full_LNGC_FST2!S14*J6</f>
        <v>0.76392878875106263</v>
      </c>
      <c r="K192" s="193">
        <f>openDomain_trans_full_LNGC_FST2!T14*K6</f>
        <v>1.3004696052818888E-2</v>
      </c>
      <c r="L192" s="193" t="e">
        <f>openDomain_trans_full_LNGC_FST2!U14*L6</f>
        <v>#VALUE!</v>
      </c>
      <c r="M192" s="193" t="e">
        <f>openDomain_trans_full_LNGC_FST2!V14*M6</f>
        <v>#VALUE!</v>
      </c>
      <c r="N192" s="193" t="e">
        <f>openDomain_trans_full_LNGC_FST2!W14*N6</f>
        <v>#VALUE!</v>
      </c>
      <c r="O192" s="194">
        <f>openDomain_trans_full_LNGC_FST2!X14*O6</f>
        <v>-2.4769705174683552E-2</v>
      </c>
      <c r="Q192" s="191"/>
      <c r="R192" s="192"/>
      <c r="S192" s="193"/>
      <c r="T192" s="193"/>
      <c r="U192" s="193"/>
      <c r="V192" s="193"/>
      <c r="W192" s="194"/>
    </row>
    <row r="193" spans="1:23" x14ac:dyDescent="0.2">
      <c r="A193" s="191">
        <f>openDomain_trans_LNGC_FST1!P15+180</f>
        <v>195</v>
      </c>
      <c r="B193" s="205">
        <f>-openDomain_trans_full_LNGC_FST1!S15*B7</f>
        <v>-0.47098985635084273</v>
      </c>
      <c r="C193" s="206">
        <f>-openDomain_trans_full_LNGC_FST1!T15*C7</f>
        <v>-9.6072544943017299E-2</v>
      </c>
      <c r="D193" s="206" t="e">
        <f>openDomain_trans_full_LNGC_FST1!U15*D7</f>
        <v>#VALUE!</v>
      </c>
      <c r="E193" s="206" t="e">
        <f>openDomain_trans_full_LNGC_FST1!V15*E7</f>
        <v>#VALUE!</v>
      </c>
      <c r="F193" s="206" t="e">
        <f>openDomain_trans_full_LNGC_FST1!W15*F7</f>
        <v>#VALUE!</v>
      </c>
      <c r="G193" s="207">
        <f>openDomain_trans_full_LNGC_FST1!X15*G7</f>
        <v>1.2314711065874654E-2</v>
      </c>
      <c r="H193" s="174"/>
      <c r="I193" s="191">
        <f>openDomain_trans_LNGC_FST2!P15</f>
        <v>15</v>
      </c>
      <c r="J193" s="195">
        <f>openDomain_trans_full_LNGC_FST2!S15*J7</f>
        <v>0.72915187919297064</v>
      </c>
      <c r="K193" s="174">
        <f>openDomain_trans_full_LNGC_FST2!T15*K7</f>
        <v>8.4333435106295138E-2</v>
      </c>
      <c r="L193" s="174" t="e">
        <f>openDomain_trans_full_LNGC_FST2!U15*L7</f>
        <v>#VALUE!</v>
      </c>
      <c r="M193" s="174" t="e">
        <f>openDomain_trans_full_LNGC_FST2!V15*M7</f>
        <v>#VALUE!</v>
      </c>
      <c r="N193" s="174" t="e">
        <f>openDomain_trans_full_LNGC_FST2!W15*N7</f>
        <v>#VALUE!</v>
      </c>
      <c r="O193" s="196">
        <f>openDomain_trans_full_LNGC_FST2!X15*O7</f>
        <v>-2.3793821821235888E-2</v>
      </c>
      <c r="Q193" s="191"/>
      <c r="R193" s="195"/>
      <c r="S193" s="174"/>
      <c r="T193" s="174"/>
      <c r="U193" s="174"/>
      <c r="V193" s="174"/>
      <c r="W193" s="196"/>
    </row>
    <row r="194" spans="1:23" x14ac:dyDescent="0.2">
      <c r="A194" s="191">
        <f>openDomain_trans_LNGC_FST1!P16+180</f>
        <v>210</v>
      </c>
      <c r="B194" s="205">
        <f>-openDomain_trans_full_LNGC_FST1!S16*B8</f>
        <v>-0.15144137094487492</v>
      </c>
      <c r="C194" s="206">
        <f>-openDomain_trans_full_LNGC_FST1!T16*C8</f>
        <v>-7.0662200773818601E-2</v>
      </c>
      <c r="D194" s="206" t="e">
        <f>openDomain_trans_full_LNGC_FST1!U16*D8</f>
        <v>#VALUE!</v>
      </c>
      <c r="E194" s="206" t="e">
        <f>openDomain_trans_full_LNGC_FST1!V16*E8</f>
        <v>#VALUE!</v>
      </c>
      <c r="F194" s="206" t="e">
        <f>openDomain_trans_full_LNGC_FST1!W16*F8</f>
        <v>#VALUE!</v>
      </c>
      <c r="G194" s="207">
        <f>openDomain_trans_full_LNGC_FST1!X16*G8</f>
        <v>2.5181753920444874E-2</v>
      </c>
      <c r="H194" s="174"/>
      <c r="I194" s="191">
        <f>openDomain_trans_LNGC_FST2!P16</f>
        <v>30</v>
      </c>
      <c r="J194" s="195">
        <f>openDomain_trans_full_LNGC_FST2!S16*J8</f>
        <v>0.70323090510909636</v>
      </c>
      <c r="K194" s="174">
        <f>openDomain_trans_full_LNGC_FST2!T16*K8</f>
        <v>0.17563173011827862</v>
      </c>
      <c r="L194" s="174" t="e">
        <f>openDomain_trans_full_LNGC_FST2!U16*L8</f>
        <v>#VALUE!</v>
      </c>
      <c r="M194" s="174" t="e">
        <f>openDomain_trans_full_LNGC_FST2!V16*M8</f>
        <v>#VALUE!</v>
      </c>
      <c r="N194" s="174" t="e">
        <f>openDomain_trans_full_LNGC_FST2!W16*N8</f>
        <v>#VALUE!</v>
      </c>
      <c r="O194" s="196">
        <f>openDomain_trans_full_LNGC_FST2!X16*O8</f>
        <v>-4.3810245965361115E-2</v>
      </c>
      <c r="Q194" s="191"/>
      <c r="R194" s="195"/>
      <c r="S194" s="174"/>
      <c r="T194" s="174"/>
      <c r="U194" s="174"/>
      <c r="V194" s="174"/>
      <c r="W194" s="196"/>
    </row>
    <row r="195" spans="1:23" x14ac:dyDescent="0.2">
      <c r="A195" s="191">
        <f>openDomain_trans_LNGC_FST1!P17+180</f>
        <v>225</v>
      </c>
      <c r="B195" s="205">
        <f>-openDomain_trans_full_LNGC_FST1!S17*B9</f>
        <v>-0.11005243598730736</v>
      </c>
      <c r="C195" s="206">
        <f>-openDomain_trans_full_LNGC_FST1!T17*C9</f>
        <v>-0.17425560992913447</v>
      </c>
      <c r="D195" s="206" t="e">
        <f>openDomain_trans_full_LNGC_FST1!U17*D9</f>
        <v>#VALUE!</v>
      </c>
      <c r="E195" s="206" t="e">
        <f>openDomain_trans_full_LNGC_FST1!V17*E9</f>
        <v>#VALUE!</v>
      </c>
      <c r="F195" s="206" t="e">
        <f>openDomain_trans_full_LNGC_FST1!W17*F9</f>
        <v>#VALUE!</v>
      </c>
      <c r="G195" s="207">
        <f>openDomain_trans_full_LNGC_FST1!X17*G9</f>
        <v>8.3081062336370387E-2</v>
      </c>
      <c r="H195" s="174"/>
      <c r="I195" s="191">
        <f>openDomain_trans_LNGC_FST2!P17</f>
        <v>45</v>
      </c>
      <c r="J195" s="195">
        <f>openDomain_trans_full_LNGC_FST2!S17*J9</f>
        <v>0.4836912606129834</v>
      </c>
      <c r="K195" s="174">
        <f>openDomain_trans_full_LNGC_FST2!T17*K9</f>
        <v>0.13802608440277966</v>
      </c>
      <c r="L195" s="174" t="e">
        <f>openDomain_trans_full_LNGC_FST2!U17*L9</f>
        <v>#VALUE!</v>
      </c>
      <c r="M195" s="174" t="e">
        <f>openDomain_trans_full_LNGC_FST2!V17*M9</f>
        <v>#VALUE!</v>
      </c>
      <c r="N195" s="174" t="e">
        <f>openDomain_trans_full_LNGC_FST2!W17*N9</f>
        <v>#VALUE!</v>
      </c>
      <c r="O195" s="196">
        <f>openDomain_trans_full_LNGC_FST2!X17*O9</f>
        <v>-7.1374800547647693E-2</v>
      </c>
      <c r="Q195" s="191"/>
      <c r="R195" s="195"/>
      <c r="S195" s="174"/>
      <c r="T195" s="174"/>
      <c r="U195" s="174"/>
      <c r="V195" s="174"/>
      <c r="W195" s="196"/>
    </row>
    <row r="196" spans="1:23" x14ac:dyDescent="0.2">
      <c r="A196" s="191">
        <f>openDomain_trans_LNGC_FST1!P18+180</f>
        <v>240</v>
      </c>
      <c r="B196" s="205">
        <f>-openDomain_trans_full_LNGC_FST1!S18*B10</f>
        <v>-5.7231754565363925E-2</v>
      </c>
      <c r="C196" s="206">
        <f>-openDomain_trans_full_LNGC_FST1!T18*C10</f>
        <v>-0.25394670955345994</v>
      </c>
      <c r="D196" s="206" t="e">
        <f>openDomain_trans_full_LNGC_FST1!U18*D10</f>
        <v>#VALUE!</v>
      </c>
      <c r="E196" s="206" t="e">
        <f>openDomain_trans_full_LNGC_FST1!V18*E10</f>
        <v>#VALUE!</v>
      </c>
      <c r="F196" s="206" t="e">
        <f>openDomain_trans_full_LNGC_FST1!W18*F10</f>
        <v>#VALUE!</v>
      </c>
      <c r="G196" s="207">
        <f>openDomain_trans_full_LNGC_FST1!X18*G10</f>
        <v>7.8101351491990448E-2</v>
      </c>
      <c r="H196" s="174"/>
      <c r="I196" s="191">
        <f>openDomain_trans_LNGC_FST2!P18</f>
        <v>60</v>
      </c>
      <c r="J196" s="195">
        <f>openDomain_trans_full_LNGC_FST2!S18*J10</f>
        <v>7.3312895500244377E-2</v>
      </c>
      <c r="K196" s="174">
        <f>openDomain_trans_full_LNGC_FST2!T18*K10</f>
        <v>0.1374649777429896</v>
      </c>
      <c r="L196" s="174" t="e">
        <f>openDomain_trans_full_LNGC_FST2!U18*L10</f>
        <v>#VALUE!</v>
      </c>
      <c r="M196" s="174" t="e">
        <f>openDomain_trans_full_LNGC_FST2!V18*M10</f>
        <v>#VALUE!</v>
      </c>
      <c r="N196" s="174" t="e">
        <f>openDomain_trans_full_LNGC_FST2!W18*N10</f>
        <v>#VALUE!</v>
      </c>
      <c r="O196" s="196">
        <f>openDomain_trans_full_LNGC_FST2!X18*O10</f>
        <v>-5.611046244187385E-2</v>
      </c>
      <c r="Q196" s="191"/>
      <c r="R196" s="195"/>
      <c r="S196" s="174"/>
      <c r="T196" s="174"/>
      <c r="U196" s="174"/>
      <c r="V196" s="174"/>
      <c r="W196" s="196"/>
    </row>
    <row r="197" spans="1:23" x14ac:dyDescent="0.2">
      <c r="A197" s="191">
        <f>openDomain_trans_LNGC_FST1!P19+180</f>
        <v>255</v>
      </c>
      <c r="B197" s="205">
        <f>-openDomain_trans_full_LNGC_FST1!S19*B11</f>
        <v>-0.11745215319608615</v>
      </c>
      <c r="C197" s="206">
        <f>-openDomain_trans_full_LNGC_FST1!T19*C11</f>
        <v>-0.33949895103404065</v>
      </c>
      <c r="D197" s="206" t="e">
        <f>openDomain_trans_full_LNGC_FST1!U19*D11</f>
        <v>#VALUE!</v>
      </c>
      <c r="E197" s="206" t="e">
        <f>openDomain_trans_full_LNGC_FST1!V19*E11</f>
        <v>#VALUE!</v>
      </c>
      <c r="F197" s="206" t="e">
        <f>openDomain_trans_full_LNGC_FST1!W19*F11</f>
        <v>#VALUE!</v>
      </c>
      <c r="G197" s="207">
        <f>openDomain_trans_full_LNGC_FST1!X19*G11</f>
        <v>0.14054526504444118</v>
      </c>
      <c r="H197" s="174"/>
      <c r="I197" s="191">
        <f>openDomain_trans_LNGC_FST2!P19</f>
        <v>75</v>
      </c>
      <c r="J197" s="195">
        <f>openDomain_trans_full_LNGC_FST2!S19*J11</f>
        <v>0.14961164699362781</v>
      </c>
      <c r="K197" s="174">
        <f>openDomain_trans_full_LNGC_FST2!T19*K11</f>
        <v>0.11291665007329398</v>
      </c>
      <c r="L197" s="174" t="e">
        <f>openDomain_trans_full_LNGC_FST2!U19*L11</f>
        <v>#VALUE!</v>
      </c>
      <c r="M197" s="174" t="e">
        <f>openDomain_trans_full_LNGC_FST2!V19*M11</f>
        <v>#VALUE!</v>
      </c>
      <c r="N197" s="174" t="e">
        <f>openDomain_trans_full_LNGC_FST2!W19*N11</f>
        <v>#VALUE!</v>
      </c>
      <c r="O197" s="196">
        <f>openDomain_trans_full_LNGC_FST2!X19*O11</f>
        <v>-3.7222839151924869E-2</v>
      </c>
      <c r="Q197" s="191"/>
      <c r="R197" s="195"/>
      <c r="S197" s="174"/>
      <c r="T197" s="174"/>
      <c r="U197" s="174"/>
      <c r="V197" s="174"/>
      <c r="W197" s="196"/>
    </row>
    <row r="198" spans="1:23" x14ac:dyDescent="0.2">
      <c r="A198" s="191">
        <f>openDomain_trans_LNGC_FST1!P20+180</f>
        <v>270</v>
      </c>
      <c r="B198" s="205">
        <f>-openDomain_trans_full_LNGC_FST1!S20*B12</f>
        <v>-4.9773139194543771E-2</v>
      </c>
      <c r="C198" s="206">
        <f>-openDomain_trans_full_LNGC_FST1!T20*C12</f>
        <v>-0.48442610082469462</v>
      </c>
      <c r="D198" s="206" t="e">
        <f>openDomain_trans_full_LNGC_FST1!U20*D12</f>
        <v>#VALUE!</v>
      </c>
      <c r="E198" s="206" t="e">
        <f>openDomain_trans_full_LNGC_FST1!V20*E12</f>
        <v>#VALUE!</v>
      </c>
      <c r="F198" s="206" t="e">
        <f>openDomain_trans_full_LNGC_FST1!W20*F12</f>
        <v>#VALUE!</v>
      </c>
      <c r="G198" s="207">
        <f>openDomain_trans_full_LNGC_FST1!X20*G12</f>
        <v>0.15611227741073283</v>
      </c>
      <c r="H198" s="174"/>
      <c r="I198" s="191">
        <f>openDomain_trans_LNGC_FST2!P20</f>
        <v>90</v>
      </c>
      <c r="J198" s="195">
        <f>openDomain_trans_full_LNGC_FST2!S20*J12</f>
        <v>-0.21922017881524056</v>
      </c>
      <c r="K198" s="174">
        <f>openDomain_trans_full_LNGC_FST2!T20*K12</f>
        <v>-0.12174237067142167</v>
      </c>
      <c r="L198" s="174" t="e">
        <f>openDomain_trans_full_LNGC_FST2!U20*L12</f>
        <v>#VALUE!</v>
      </c>
      <c r="M198" s="174" t="e">
        <f>openDomain_trans_full_LNGC_FST2!V20*M12</f>
        <v>#VALUE!</v>
      </c>
      <c r="N198" s="174" t="e">
        <f>openDomain_trans_full_LNGC_FST2!W20*N12</f>
        <v>#VALUE!</v>
      </c>
      <c r="O198" s="196">
        <f>openDomain_trans_full_LNGC_FST2!X20*O12</f>
        <v>-1.5783610186505832E-3</v>
      </c>
      <c r="Q198" s="191"/>
      <c r="R198" s="195"/>
      <c r="S198" s="174"/>
      <c r="T198" s="174"/>
      <c r="U198" s="174"/>
      <c r="V198" s="174"/>
      <c r="W198" s="196"/>
    </row>
    <row r="199" spans="1:23" x14ac:dyDescent="0.2">
      <c r="A199" s="191">
        <f>openDomain_trans_LNGC_FST1!P21+180</f>
        <v>285</v>
      </c>
      <c r="B199" s="205">
        <f>-openDomain_trans_full_LNGC_FST1!S21*B13</f>
        <v>0.27382936477624009</v>
      </c>
      <c r="C199" s="206">
        <f>-openDomain_trans_full_LNGC_FST1!T21*C13</f>
        <v>-0.6442898672756282</v>
      </c>
      <c r="D199" s="206" t="e">
        <f>openDomain_trans_full_LNGC_FST1!U21*D13</f>
        <v>#VALUE!</v>
      </c>
      <c r="E199" s="206" t="e">
        <f>openDomain_trans_full_LNGC_FST1!V21*E13</f>
        <v>#VALUE!</v>
      </c>
      <c r="F199" s="206" t="e">
        <f>openDomain_trans_full_LNGC_FST1!W21*F13</f>
        <v>#VALUE!</v>
      </c>
      <c r="G199" s="207">
        <f>openDomain_trans_full_LNGC_FST1!X21*G13</f>
        <v>0.14910479916108629</v>
      </c>
      <c r="H199" s="174"/>
      <c r="I199" s="191">
        <f>openDomain_trans_LNGC_FST2!P21</f>
        <v>105</v>
      </c>
      <c r="J199" s="195">
        <f>openDomain_trans_full_LNGC_FST2!S21*J13</f>
        <v>-8.1673108704362701E-2</v>
      </c>
      <c r="K199" s="174">
        <f>openDomain_trans_full_LNGC_FST2!T21*K13</f>
        <v>-8.5322782312607814E-2</v>
      </c>
      <c r="L199" s="174" t="e">
        <f>openDomain_trans_full_LNGC_FST2!U21*L13</f>
        <v>#VALUE!</v>
      </c>
      <c r="M199" s="174" t="e">
        <f>openDomain_trans_full_LNGC_FST2!V21*M13</f>
        <v>#VALUE!</v>
      </c>
      <c r="N199" s="174" t="e">
        <f>openDomain_trans_full_LNGC_FST2!W21*N13</f>
        <v>#VALUE!</v>
      </c>
      <c r="O199" s="196">
        <f>openDomain_trans_full_LNGC_FST2!X21*O13</f>
        <v>3.6870203348025343E-3</v>
      </c>
      <c r="Q199" s="191"/>
      <c r="R199" s="195"/>
      <c r="S199" s="174"/>
      <c r="T199" s="174"/>
      <c r="U199" s="174"/>
      <c r="V199" s="174"/>
      <c r="W199" s="196"/>
    </row>
    <row r="200" spans="1:23" x14ac:dyDescent="0.2">
      <c r="A200" s="191">
        <f>openDomain_trans_LNGC_FST1!P22+180</f>
        <v>300</v>
      </c>
      <c r="B200" s="205">
        <f>-openDomain_trans_full_LNGC_FST1!S22*B14</f>
        <v>0.13988793181949058</v>
      </c>
      <c r="C200" s="206">
        <f>-openDomain_trans_full_LNGC_FST1!T22*C14</f>
        <v>-0.72430872564190152</v>
      </c>
      <c r="D200" s="206" t="e">
        <f>openDomain_trans_full_LNGC_FST1!U22*D14</f>
        <v>#VALUE!</v>
      </c>
      <c r="E200" s="206" t="e">
        <f>openDomain_trans_full_LNGC_FST1!V22*E14</f>
        <v>#VALUE!</v>
      </c>
      <c r="F200" s="206" t="e">
        <f>openDomain_trans_full_LNGC_FST1!W22*F14</f>
        <v>#VALUE!</v>
      </c>
      <c r="G200" s="207">
        <f>openDomain_trans_full_LNGC_FST1!X22*G14</f>
        <v>0.19689927120522102</v>
      </c>
      <c r="H200" s="174"/>
      <c r="I200" s="191">
        <f>openDomain_trans_LNGC_FST2!P22</f>
        <v>120</v>
      </c>
      <c r="J200" s="195">
        <f>openDomain_trans_full_LNGC_FST2!S22*J14</f>
        <v>-3.8807797315235648E-2</v>
      </c>
      <c r="K200" s="174">
        <f>openDomain_trans_full_LNGC_FST2!T22*K14</f>
        <v>-2.6571241512031766E-3</v>
      </c>
      <c r="L200" s="174" t="e">
        <f>openDomain_trans_full_LNGC_FST2!U22*L14</f>
        <v>#VALUE!</v>
      </c>
      <c r="M200" s="174" t="e">
        <f>openDomain_trans_full_LNGC_FST2!V22*M14</f>
        <v>#VALUE!</v>
      </c>
      <c r="N200" s="174" t="e">
        <f>openDomain_trans_full_LNGC_FST2!W22*N14</f>
        <v>#VALUE!</v>
      </c>
      <c r="O200" s="196">
        <f>openDomain_trans_full_LNGC_FST2!X22*O14</f>
        <v>1.8707554762955332E-2</v>
      </c>
      <c r="Q200" s="191"/>
      <c r="R200" s="195"/>
      <c r="S200" s="174"/>
      <c r="T200" s="174"/>
      <c r="U200" s="174"/>
      <c r="V200" s="174"/>
      <c r="W200" s="196"/>
    </row>
    <row r="201" spans="1:23" x14ac:dyDescent="0.2">
      <c r="A201" s="191">
        <f>openDomain_trans_LNGC_FST1!P23+180</f>
        <v>315</v>
      </c>
      <c r="B201" s="205">
        <f>-openDomain_trans_full_LNGC_FST1!S23*B15</f>
        <v>0.45313688267808255</v>
      </c>
      <c r="C201" s="206">
        <f>-openDomain_trans_full_LNGC_FST1!T23*C15</f>
        <v>-0.55678728263182464</v>
      </c>
      <c r="D201" s="206" t="e">
        <f>openDomain_trans_full_LNGC_FST1!U23*D15</f>
        <v>#VALUE!</v>
      </c>
      <c r="E201" s="206" t="e">
        <f>openDomain_trans_full_LNGC_FST1!V23*E15</f>
        <v>#VALUE!</v>
      </c>
      <c r="F201" s="206" t="e">
        <f>openDomain_trans_full_LNGC_FST1!W23*F15</f>
        <v>#VALUE!</v>
      </c>
      <c r="G201" s="207">
        <f>openDomain_trans_full_LNGC_FST1!X23*G15</f>
        <v>0.17644456300572398</v>
      </c>
      <c r="H201" s="174"/>
      <c r="I201" s="191">
        <f>openDomain_trans_LNGC_FST2!P23</f>
        <v>135</v>
      </c>
      <c r="J201" s="195">
        <f>openDomain_trans_full_LNGC_FST2!S23*J15</f>
        <v>-0.44268380266646035</v>
      </c>
      <c r="K201" s="174">
        <f>openDomain_trans_full_LNGC_FST2!T23*K15</f>
        <v>0.18949062004875664</v>
      </c>
      <c r="L201" s="174" t="e">
        <f>openDomain_trans_full_LNGC_FST2!U23*L15</f>
        <v>#VALUE!</v>
      </c>
      <c r="M201" s="174" t="e">
        <f>openDomain_trans_full_LNGC_FST2!V23*M15</f>
        <v>#VALUE!</v>
      </c>
      <c r="N201" s="174" t="e">
        <f>openDomain_trans_full_LNGC_FST2!W23*N15</f>
        <v>#VALUE!</v>
      </c>
      <c r="O201" s="196">
        <f>openDomain_trans_full_LNGC_FST2!X23*O15</f>
        <v>5.3136870431442863E-2</v>
      </c>
      <c r="Q201" s="191"/>
      <c r="R201" s="195"/>
      <c r="S201" s="174"/>
      <c r="T201" s="174"/>
      <c r="U201" s="174"/>
      <c r="V201" s="174"/>
      <c r="W201" s="196"/>
    </row>
    <row r="202" spans="1:23" x14ac:dyDescent="0.2">
      <c r="A202" s="191">
        <f>openDomain_trans_LNGC_FST1!P24+180</f>
        <v>330</v>
      </c>
      <c r="B202" s="205">
        <f>-openDomain_trans_full_LNGC_FST1!S24*B16</f>
        <v>0.74834761882340284</v>
      </c>
      <c r="C202" s="206">
        <f>-openDomain_trans_full_LNGC_FST1!T24*C16</f>
        <v>-0.38005141676759335</v>
      </c>
      <c r="D202" s="206" t="e">
        <f>openDomain_trans_full_LNGC_FST1!U24*D16</f>
        <v>#VALUE!</v>
      </c>
      <c r="E202" s="206" t="e">
        <f>openDomain_trans_full_LNGC_FST1!V24*E16</f>
        <v>#VALUE!</v>
      </c>
      <c r="F202" s="206" t="e">
        <f>openDomain_trans_full_LNGC_FST1!W24*F16</f>
        <v>#VALUE!</v>
      </c>
      <c r="G202" s="207">
        <f>openDomain_trans_full_LNGC_FST1!X24*G16</f>
        <v>8.5263316098226141E-2</v>
      </c>
      <c r="H202" s="174"/>
      <c r="I202" s="191">
        <f>openDomain_trans_LNGC_FST2!P24</f>
        <v>150</v>
      </c>
      <c r="J202" s="195">
        <f>openDomain_trans_full_LNGC_FST2!S24*J16</f>
        <v>-0.50584699859258575</v>
      </c>
      <c r="K202" s="174">
        <f>openDomain_trans_full_LNGC_FST2!T24*K16</f>
        <v>0.16461354253530552</v>
      </c>
      <c r="L202" s="174" t="e">
        <f>openDomain_trans_full_LNGC_FST2!U24*L16</f>
        <v>#VALUE!</v>
      </c>
      <c r="M202" s="174" t="e">
        <f>openDomain_trans_full_LNGC_FST2!V24*M16</f>
        <v>#VALUE!</v>
      </c>
      <c r="N202" s="174" t="e">
        <f>openDomain_trans_full_LNGC_FST2!W24*N16</f>
        <v>#VALUE!</v>
      </c>
      <c r="O202" s="196">
        <f>openDomain_trans_full_LNGC_FST2!X24*O16</f>
        <v>1.7398197352894443E-2</v>
      </c>
      <c r="Q202" s="191"/>
      <c r="R202" s="195"/>
      <c r="S202" s="174"/>
      <c r="T202" s="174"/>
      <c r="U202" s="174"/>
      <c r="V202" s="174"/>
      <c r="W202" s="196"/>
    </row>
    <row r="203" spans="1:23" x14ac:dyDescent="0.2">
      <c r="A203" s="191">
        <f>openDomain_trans_LNGC_FST1!P25+180</f>
        <v>345</v>
      </c>
      <c r="B203" s="205">
        <f>-openDomain_trans_full_LNGC_FST1!S25*B17</f>
        <v>1.1742869704440577</v>
      </c>
      <c r="C203" s="206">
        <f>-openDomain_trans_full_LNGC_FST1!T25*C17</f>
        <v>-0.17758987583279359</v>
      </c>
      <c r="D203" s="206" t="e">
        <f>openDomain_trans_full_LNGC_FST1!U25*D17</f>
        <v>#VALUE!</v>
      </c>
      <c r="E203" s="206" t="e">
        <f>openDomain_trans_full_LNGC_FST1!V25*E17</f>
        <v>#VALUE!</v>
      </c>
      <c r="F203" s="206" t="e">
        <f>openDomain_trans_full_LNGC_FST1!W25*F17</f>
        <v>#VALUE!</v>
      </c>
      <c r="G203" s="207">
        <f>openDomain_trans_full_LNGC_FST1!X25*G17</f>
        <v>2.4856577402069157E-2</v>
      </c>
      <c r="H203" s="174"/>
      <c r="I203" s="191">
        <f>openDomain_trans_LNGC_FST2!P25</f>
        <v>165</v>
      </c>
      <c r="J203" s="195">
        <f>openDomain_trans_full_LNGC_FST2!S25*J17</f>
        <v>-0.46292972791783066</v>
      </c>
      <c r="K203" s="174">
        <f>openDomain_trans_full_LNGC_FST2!T25*K17</f>
        <v>8.2215628737120031E-2</v>
      </c>
      <c r="L203" s="174" t="e">
        <f>openDomain_trans_full_LNGC_FST2!U25*L17</f>
        <v>#VALUE!</v>
      </c>
      <c r="M203" s="174" t="e">
        <f>openDomain_trans_full_LNGC_FST2!V25*M17</f>
        <v>#VALUE!</v>
      </c>
      <c r="N203" s="174" t="e">
        <f>openDomain_trans_full_LNGC_FST2!W25*N17</f>
        <v>#VALUE!</v>
      </c>
      <c r="O203" s="196">
        <f>openDomain_trans_full_LNGC_FST2!X25*O17</f>
        <v>-1.7502713395726264E-3</v>
      </c>
      <c r="Q203" s="191"/>
      <c r="R203" s="195"/>
      <c r="S203" s="174"/>
      <c r="T203" s="174"/>
      <c r="U203" s="174"/>
      <c r="V203" s="174"/>
      <c r="W203" s="196"/>
    </row>
    <row r="204" spans="1:23" x14ac:dyDescent="0.2">
      <c r="A204" s="191">
        <f>openDomain_trans_LNGC_FST1!P26-180</f>
        <v>0</v>
      </c>
      <c r="B204" s="205">
        <f>-openDomain_trans_full_LNGC_FST1!S26*B18</f>
        <v>1.0326107359246517</v>
      </c>
      <c r="C204" s="206">
        <f>-openDomain_trans_full_LNGC_FST1!T26*C18</f>
        <v>-1.1289059667185519E-2</v>
      </c>
      <c r="D204" s="206" t="e">
        <f>openDomain_trans_full_LNGC_FST1!U26*D18</f>
        <v>#VALUE!</v>
      </c>
      <c r="E204" s="206" t="e">
        <f>openDomain_trans_full_LNGC_FST1!V26*E18</f>
        <v>#VALUE!</v>
      </c>
      <c r="F204" s="206" t="e">
        <f>openDomain_trans_full_LNGC_FST1!W26*F18</f>
        <v>#VALUE!</v>
      </c>
      <c r="G204" s="207">
        <f>openDomain_trans_full_LNGC_FST1!X26*G18</f>
        <v>-2.1914542431814145E-3</v>
      </c>
      <c r="H204" s="174"/>
      <c r="I204" s="191">
        <f>openDomain_trans_LNGC_FST2!P26</f>
        <v>180</v>
      </c>
      <c r="J204" s="195">
        <f>openDomain_trans_full_LNGC_FST2!S26*J18</f>
        <v>-0.19602598534509319</v>
      </c>
      <c r="K204" s="174">
        <f>openDomain_trans_full_LNGC_FST2!T26*K18</f>
        <v>-5.7300182444565667E-4</v>
      </c>
      <c r="L204" s="174" t="e">
        <f>openDomain_trans_full_LNGC_FST2!U26*L18</f>
        <v>#VALUE!</v>
      </c>
      <c r="M204" s="174" t="e">
        <f>openDomain_trans_full_LNGC_FST2!V26*M18</f>
        <v>#VALUE!</v>
      </c>
      <c r="N204" s="174" t="e">
        <f>openDomain_trans_full_LNGC_FST2!W26*N18</f>
        <v>#VALUE!</v>
      </c>
      <c r="O204" s="196">
        <f>openDomain_trans_full_LNGC_FST2!X26*O18</f>
        <v>-1.135762927773755E-3</v>
      </c>
      <c r="Q204" s="191"/>
      <c r="R204" s="195"/>
      <c r="S204" s="174"/>
      <c r="T204" s="174"/>
      <c r="U204" s="174"/>
      <c r="V204" s="174"/>
      <c r="W204" s="196"/>
    </row>
    <row r="205" spans="1:23" x14ac:dyDescent="0.2">
      <c r="A205" s="197">
        <f>openDomain_trans_LNGC_FST1!P27-180</f>
        <v>15</v>
      </c>
      <c r="B205" s="205">
        <f>-openDomain_trans_full_LNGC_FST1!S27*B19</f>
        <v>0.8506334705561529</v>
      </c>
      <c r="C205" s="206">
        <f>-openDomain_trans_full_LNGC_FST1!T27*C19</f>
        <v>0.17050009518068573</v>
      </c>
      <c r="D205" s="206" t="e">
        <f>openDomain_trans_full_LNGC_FST1!U27*D19</f>
        <v>#VALUE!</v>
      </c>
      <c r="E205" s="206" t="e">
        <f>openDomain_trans_full_LNGC_FST1!V27*E19</f>
        <v>#VALUE!</v>
      </c>
      <c r="F205" s="206" t="e">
        <f>openDomain_trans_full_LNGC_FST1!W27*F19</f>
        <v>#VALUE!</v>
      </c>
      <c r="G205" s="207">
        <f>openDomain_trans_full_LNGC_FST1!X27*G19</f>
        <v>-3.3787141766557331E-2</v>
      </c>
      <c r="H205" s="174"/>
      <c r="I205" s="197">
        <f>openDomain_trans_LNGC_FST2!P27</f>
        <v>195</v>
      </c>
      <c r="J205" s="195">
        <f>openDomain_trans_full_LNGC_FST2!S27*J19</f>
        <v>-0.26632524355049342</v>
      </c>
      <c r="K205" s="174">
        <f>openDomain_trans_full_LNGC_FST2!T27*K19</f>
        <v>-7.3012433106630276E-2</v>
      </c>
      <c r="L205" s="174" t="e">
        <f>openDomain_trans_full_LNGC_FST2!U27*L19</f>
        <v>#VALUE!</v>
      </c>
      <c r="M205" s="174" t="e">
        <f>openDomain_trans_full_LNGC_FST2!V27*M19</f>
        <v>#VALUE!</v>
      </c>
      <c r="N205" s="174" t="e">
        <f>openDomain_trans_full_LNGC_FST2!W27*N19</f>
        <v>#VALUE!</v>
      </c>
      <c r="O205" s="196">
        <f>openDomain_trans_full_LNGC_FST2!X27*O19</f>
        <v>1.0276780823772276E-3</v>
      </c>
      <c r="Q205" s="197"/>
      <c r="R205" s="195"/>
      <c r="S205" s="174"/>
      <c r="T205" s="174"/>
      <c r="U205" s="174"/>
      <c r="V205" s="174"/>
      <c r="W205" s="196"/>
    </row>
    <row r="206" spans="1:23" x14ac:dyDescent="0.2">
      <c r="A206" s="197">
        <f>openDomain_trans_LNGC_FST1!P28-180</f>
        <v>30</v>
      </c>
      <c r="B206" s="205">
        <f>-openDomain_trans_full_LNGC_FST1!S28*B20</f>
        <v>0.52485040240031688</v>
      </c>
      <c r="C206" s="206">
        <f>-openDomain_trans_full_LNGC_FST1!T28*C20</f>
        <v>0.45075170512303836</v>
      </c>
      <c r="D206" s="206" t="e">
        <f>openDomain_trans_full_LNGC_FST1!U28*D20</f>
        <v>#VALUE!</v>
      </c>
      <c r="E206" s="206" t="e">
        <f>openDomain_trans_full_LNGC_FST1!V28*E20</f>
        <v>#VALUE!</v>
      </c>
      <c r="F206" s="206" t="e">
        <f>openDomain_trans_full_LNGC_FST1!W28*F20</f>
        <v>#VALUE!</v>
      </c>
      <c r="G206" s="207">
        <f>openDomain_trans_full_LNGC_FST1!X28*G20</f>
        <v>-7.3776030583076399E-2</v>
      </c>
      <c r="H206" s="174"/>
      <c r="I206" s="197">
        <f>openDomain_trans_LNGC_FST2!P28</f>
        <v>210</v>
      </c>
      <c r="J206" s="195">
        <f>openDomain_trans_full_LNGC_FST2!S28*J20</f>
        <v>-0.31873579764626164</v>
      </c>
      <c r="K206" s="174">
        <f>openDomain_trans_full_LNGC_FST2!T28*K20</f>
        <v>-0.27245632597570973</v>
      </c>
      <c r="L206" s="174" t="e">
        <f>openDomain_trans_full_LNGC_FST2!U28*L20</f>
        <v>#VALUE!</v>
      </c>
      <c r="M206" s="174" t="e">
        <f>openDomain_trans_full_LNGC_FST2!V28*M20</f>
        <v>#VALUE!</v>
      </c>
      <c r="N206" s="174" t="e">
        <f>openDomain_trans_full_LNGC_FST2!W28*N20</f>
        <v>#VALUE!</v>
      </c>
      <c r="O206" s="196">
        <f>openDomain_trans_full_LNGC_FST2!X28*O20</f>
        <v>-9.2929210270160465E-3</v>
      </c>
      <c r="Q206" s="197"/>
      <c r="R206" s="195"/>
      <c r="S206" s="174"/>
      <c r="T206" s="174"/>
      <c r="U206" s="174"/>
      <c r="V206" s="174"/>
      <c r="W206" s="196"/>
    </row>
    <row r="207" spans="1:23" x14ac:dyDescent="0.2">
      <c r="A207" s="197">
        <f>openDomain_trans_LNGC_FST1!P29-180</f>
        <v>45</v>
      </c>
      <c r="B207" s="205">
        <f>-openDomain_trans_full_LNGC_FST1!S29*B21</f>
        <v>0.31701990741250269</v>
      </c>
      <c r="C207" s="206">
        <f>-openDomain_trans_full_LNGC_FST1!T29*C21</f>
        <v>0.73199381591732204</v>
      </c>
      <c r="D207" s="206" t="e">
        <f>openDomain_trans_full_LNGC_FST1!U29*D21</f>
        <v>#VALUE!</v>
      </c>
      <c r="E207" s="206" t="e">
        <f>openDomain_trans_full_LNGC_FST1!V29*E21</f>
        <v>#VALUE!</v>
      </c>
      <c r="F207" s="206" t="e">
        <f>openDomain_trans_full_LNGC_FST1!W29*F21</f>
        <v>#VALUE!</v>
      </c>
      <c r="G207" s="207">
        <f>openDomain_trans_full_LNGC_FST1!X29*G21</f>
        <v>-0.14180173890474021</v>
      </c>
      <c r="H207" s="174"/>
      <c r="I207" s="197">
        <f>openDomain_trans_LNGC_FST2!P29</f>
        <v>225</v>
      </c>
      <c r="J207" s="195">
        <f>openDomain_trans_full_LNGC_FST2!S29*J21</f>
        <v>-0.29505843946513194</v>
      </c>
      <c r="K207" s="174">
        <f>openDomain_trans_full_LNGC_FST2!T29*K21</f>
        <v>-0.49865279368126059</v>
      </c>
      <c r="L207" s="174" t="e">
        <f>openDomain_trans_full_LNGC_FST2!U29*L21</f>
        <v>#VALUE!</v>
      </c>
      <c r="M207" s="174" t="e">
        <f>openDomain_trans_full_LNGC_FST2!V29*M21</f>
        <v>#VALUE!</v>
      </c>
      <c r="N207" s="174" t="e">
        <f>openDomain_trans_full_LNGC_FST2!W29*N21</f>
        <v>#VALUE!</v>
      </c>
      <c r="O207" s="196">
        <f>openDomain_trans_full_LNGC_FST2!X29*O21</f>
        <v>-1.6033837743517569E-2</v>
      </c>
      <c r="Q207" s="197"/>
      <c r="R207" s="195"/>
      <c r="S207" s="174"/>
      <c r="T207" s="174"/>
      <c r="U207" s="174"/>
      <c r="V207" s="174"/>
      <c r="W207" s="196"/>
    </row>
    <row r="208" spans="1:23" x14ac:dyDescent="0.2">
      <c r="A208" s="197">
        <f>openDomain_trans_LNGC_FST1!P30-180</f>
        <v>60</v>
      </c>
      <c r="B208" s="205">
        <f>-openDomain_trans_full_LNGC_FST1!S30*B22</f>
        <v>9.9835423851485042E-2</v>
      </c>
      <c r="C208" s="206">
        <f>-openDomain_trans_full_LNGC_FST1!T30*C22</f>
        <v>1.0346274715000183</v>
      </c>
      <c r="D208" s="206" t="e">
        <f>openDomain_trans_full_LNGC_FST1!U30*D22</f>
        <v>#VALUE!</v>
      </c>
      <c r="E208" s="206" t="e">
        <f>openDomain_trans_full_LNGC_FST1!V30*E22</f>
        <v>#VALUE!</v>
      </c>
      <c r="F208" s="206" t="e">
        <f>openDomain_trans_full_LNGC_FST1!W30*F22</f>
        <v>#VALUE!</v>
      </c>
      <c r="G208" s="207">
        <f>openDomain_trans_full_LNGC_FST1!X30*G22</f>
        <v>-0.10527239667434292</v>
      </c>
      <c r="H208" s="174"/>
      <c r="I208" s="197">
        <f>openDomain_trans_LNGC_FST2!P30</f>
        <v>240</v>
      </c>
      <c r="J208" s="195">
        <f>openDomain_trans_full_LNGC_FST2!S30*J22</f>
        <v>-3.3451826581146218E-2</v>
      </c>
      <c r="K208" s="174">
        <f>openDomain_trans_full_LNGC_FST2!T30*K22</f>
        <v>-0.68944084212802015</v>
      </c>
      <c r="L208" s="174" t="e">
        <f>openDomain_trans_full_LNGC_FST2!U30*L22</f>
        <v>#VALUE!</v>
      </c>
      <c r="M208" s="174" t="e">
        <f>openDomain_trans_full_LNGC_FST2!V30*M22</f>
        <v>#VALUE!</v>
      </c>
      <c r="N208" s="174" t="e">
        <f>openDomain_trans_full_LNGC_FST2!W30*N22</f>
        <v>#VALUE!</v>
      </c>
      <c r="O208" s="196">
        <f>openDomain_trans_full_LNGC_FST2!X30*O22</f>
        <v>-1.3246900837502917E-2</v>
      </c>
      <c r="Q208" s="197"/>
      <c r="R208" s="195"/>
      <c r="S208" s="174"/>
      <c r="T208" s="174"/>
      <c r="U208" s="174"/>
      <c r="V208" s="174"/>
      <c r="W208" s="196"/>
    </row>
    <row r="209" spans="1:23" x14ac:dyDescent="0.2">
      <c r="A209" s="197">
        <f>openDomain_trans_LNGC_FST1!P31-180</f>
        <v>75</v>
      </c>
      <c r="B209" s="205">
        <f>-openDomain_trans_full_LNGC_FST1!S31*B23</f>
        <v>0.15079172924458056</v>
      </c>
      <c r="C209" s="206">
        <f>-openDomain_trans_full_LNGC_FST1!T31*C23</f>
        <v>1.0266600000327442</v>
      </c>
      <c r="D209" s="206" t="e">
        <f>openDomain_trans_full_LNGC_FST1!U31*D23</f>
        <v>#VALUE!</v>
      </c>
      <c r="E209" s="206" t="e">
        <f>openDomain_trans_full_LNGC_FST1!V31*E23</f>
        <v>#VALUE!</v>
      </c>
      <c r="F209" s="206" t="e">
        <f>openDomain_trans_full_LNGC_FST1!W31*F23</f>
        <v>#VALUE!</v>
      </c>
      <c r="G209" s="207">
        <f>openDomain_trans_full_LNGC_FST1!X31*G23</f>
        <v>-4.8567981449852013E-2</v>
      </c>
      <c r="H209" s="174"/>
      <c r="I209" s="197">
        <f>openDomain_trans_LNGC_FST2!P31</f>
        <v>255</v>
      </c>
      <c r="J209" s="195">
        <f>openDomain_trans_full_LNGC_FST2!S31*J23</f>
        <v>-9.416631867004488E-2</v>
      </c>
      <c r="K209" s="174">
        <f>openDomain_trans_full_LNGC_FST2!T31*K23</f>
        <v>-0.86898373472454693</v>
      </c>
      <c r="L209" s="174" t="e">
        <f>openDomain_trans_full_LNGC_FST2!U31*L23</f>
        <v>#VALUE!</v>
      </c>
      <c r="M209" s="174" t="e">
        <f>openDomain_trans_full_LNGC_FST2!V31*M23</f>
        <v>#VALUE!</v>
      </c>
      <c r="N209" s="174" t="e">
        <f>openDomain_trans_full_LNGC_FST2!W31*N23</f>
        <v>#VALUE!</v>
      </c>
      <c r="O209" s="196">
        <f>openDomain_trans_full_LNGC_FST2!X31*O23</f>
        <v>-2.3109690485044757E-2</v>
      </c>
      <c r="Q209" s="197"/>
      <c r="R209" s="195"/>
      <c r="S209" s="174"/>
      <c r="T209" s="174"/>
      <c r="U209" s="174"/>
      <c r="V209" s="174"/>
      <c r="W209" s="196"/>
    </row>
    <row r="210" spans="1:23" x14ac:dyDescent="0.2">
      <c r="A210" s="197">
        <f>openDomain_trans_LNGC_FST1!P32-180</f>
        <v>90</v>
      </c>
      <c r="B210" s="205">
        <f>-openDomain_trans_full_LNGC_FST1!S32*B24</f>
        <v>-3.0428437494667844E-2</v>
      </c>
      <c r="C210" s="206">
        <f>-openDomain_trans_full_LNGC_FST1!T32*C24</f>
        <v>0.91924520150500766</v>
      </c>
      <c r="D210" s="206" t="e">
        <f>openDomain_trans_full_LNGC_FST1!U32*D24</f>
        <v>#VALUE!</v>
      </c>
      <c r="E210" s="206" t="e">
        <f>openDomain_trans_full_LNGC_FST1!V32*E24</f>
        <v>#VALUE!</v>
      </c>
      <c r="F210" s="206" t="e">
        <f>openDomain_trans_full_LNGC_FST1!W32*F24</f>
        <v>#VALUE!</v>
      </c>
      <c r="G210" s="207">
        <f>openDomain_trans_full_LNGC_FST1!X32*G24</f>
        <v>3.6151708242358395E-2</v>
      </c>
      <c r="H210" s="174"/>
      <c r="I210" s="197">
        <f>openDomain_trans_LNGC_FST2!P32</f>
        <v>270</v>
      </c>
      <c r="J210" s="195">
        <f>openDomain_trans_full_LNGC_FST2!S32*J24</f>
        <v>-9.378771071098236E-3</v>
      </c>
      <c r="K210" s="174">
        <f>openDomain_trans_full_LNGC_FST2!T32*K24</f>
        <v>-0.83658119352048865</v>
      </c>
      <c r="L210" s="174" t="e">
        <f>openDomain_trans_full_LNGC_FST2!U32*L24</f>
        <v>#VALUE!</v>
      </c>
      <c r="M210" s="174" t="e">
        <f>openDomain_trans_full_LNGC_FST2!V32*M24</f>
        <v>#VALUE!</v>
      </c>
      <c r="N210" s="174" t="e">
        <f>openDomain_trans_full_LNGC_FST2!W32*N24</f>
        <v>#VALUE!</v>
      </c>
      <c r="O210" s="196">
        <f>openDomain_trans_full_LNGC_FST2!X32*O24</f>
        <v>-2.491007002876405E-2</v>
      </c>
      <c r="Q210" s="197"/>
      <c r="R210" s="195"/>
      <c r="S210" s="174"/>
      <c r="T210" s="174"/>
      <c r="U210" s="174"/>
      <c r="V210" s="174"/>
      <c r="W210" s="196"/>
    </row>
    <row r="211" spans="1:23" x14ac:dyDescent="0.2">
      <c r="A211" s="197">
        <f>openDomain_trans_LNGC_FST1!P33-180</f>
        <v>105</v>
      </c>
      <c r="B211" s="205">
        <f>-openDomain_trans_full_LNGC_FST1!S33*B25</f>
        <v>-0.1367265906684324</v>
      </c>
      <c r="C211" s="206">
        <f>-openDomain_trans_full_LNGC_FST1!T33*C25</f>
        <v>0.81171398614934498</v>
      </c>
      <c r="D211" s="206" t="e">
        <f>openDomain_trans_full_LNGC_FST1!U33*D25</f>
        <v>#VALUE!</v>
      </c>
      <c r="E211" s="206" t="e">
        <f>openDomain_trans_full_LNGC_FST1!V33*E25</f>
        <v>#VALUE!</v>
      </c>
      <c r="F211" s="206" t="e">
        <f>openDomain_trans_full_LNGC_FST1!W33*F25</f>
        <v>#VALUE!</v>
      </c>
      <c r="G211" s="207">
        <f>openDomain_trans_full_LNGC_FST1!X33*G25</f>
        <v>2.8429620401801605E-2</v>
      </c>
      <c r="H211" s="174"/>
      <c r="I211" s="197">
        <f>openDomain_trans_LNGC_FST2!P33</f>
        <v>285</v>
      </c>
      <c r="J211" s="195">
        <f>openDomain_trans_full_LNGC_FST2!S33*J25</f>
        <v>0.11418597805485389</v>
      </c>
      <c r="K211" s="174">
        <f>openDomain_trans_full_LNGC_FST2!T33*K25</f>
        <v>-0.89752269471891744</v>
      </c>
      <c r="L211" s="174" t="e">
        <f>openDomain_trans_full_LNGC_FST2!U33*L25</f>
        <v>#VALUE!</v>
      </c>
      <c r="M211" s="174" t="e">
        <f>openDomain_trans_full_LNGC_FST2!V33*M25</f>
        <v>#VALUE!</v>
      </c>
      <c r="N211" s="174" t="e">
        <f>openDomain_trans_full_LNGC_FST2!W33*N25</f>
        <v>#VALUE!</v>
      </c>
      <c r="O211" s="196">
        <f>openDomain_trans_full_LNGC_FST2!X33*O25</f>
        <v>4.4306388094853551E-2</v>
      </c>
      <c r="Q211" s="197"/>
      <c r="R211" s="195"/>
      <c r="S211" s="174"/>
      <c r="T211" s="174"/>
      <c r="U211" s="174"/>
      <c r="V211" s="174"/>
      <c r="W211" s="196"/>
    </row>
    <row r="212" spans="1:23" x14ac:dyDescent="0.2">
      <c r="A212" s="197">
        <f>openDomain_trans_LNGC_FST1!P34-180</f>
        <v>120</v>
      </c>
      <c r="B212" s="205">
        <f>-openDomain_trans_full_LNGC_FST1!S34*B26</f>
        <v>-7.9000194582958677E-2</v>
      </c>
      <c r="C212" s="206">
        <f>-openDomain_trans_full_LNGC_FST1!T34*C26</f>
        <v>0.66216913045800996</v>
      </c>
      <c r="D212" s="206" t="e">
        <f>openDomain_trans_full_LNGC_FST1!U34*D26</f>
        <v>#VALUE!</v>
      </c>
      <c r="E212" s="206" t="e">
        <f>openDomain_trans_full_LNGC_FST1!V34*E26</f>
        <v>#VALUE!</v>
      </c>
      <c r="F212" s="206" t="e">
        <f>openDomain_trans_full_LNGC_FST1!W34*F26</f>
        <v>#VALUE!</v>
      </c>
      <c r="G212" s="207">
        <f>openDomain_trans_full_LNGC_FST1!X34*G26</f>
        <v>1.8990350135164581E-2</v>
      </c>
      <c r="H212" s="174"/>
      <c r="I212" s="197">
        <f>openDomain_trans_LNGC_FST2!P34</f>
        <v>300</v>
      </c>
      <c r="J212" s="195">
        <f>openDomain_trans_full_LNGC_FST2!S34*J26</f>
        <v>8.6048229447250574E-2</v>
      </c>
      <c r="K212" s="174">
        <f>openDomain_trans_full_LNGC_FST2!T34*K26</f>
        <v>-0.8662010397762534</v>
      </c>
      <c r="L212" s="174" t="e">
        <f>openDomain_trans_full_LNGC_FST2!U34*L26</f>
        <v>#VALUE!</v>
      </c>
      <c r="M212" s="174" t="e">
        <f>openDomain_trans_full_LNGC_FST2!V34*M26</f>
        <v>#VALUE!</v>
      </c>
      <c r="N212" s="174" t="e">
        <f>openDomain_trans_full_LNGC_FST2!W34*N26</f>
        <v>#VALUE!</v>
      </c>
      <c r="O212" s="196">
        <f>openDomain_trans_full_LNGC_FST2!X34*O26</f>
        <v>6.1917547762153413E-2</v>
      </c>
      <c r="Q212" s="197"/>
      <c r="R212" s="195"/>
      <c r="S212" s="174"/>
      <c r="T212" s="174"/>
      <c r="U212" s="174"/>
      <c r="V212" s="174"/>
      <c r="W212" s="196"/>
    </row>
    <row r="213" spans="1:23" x14ac:dyDescent="0.2">
      <c r="A213" s="197">
        <f>openDomain_trans_LNGC_FST1!P35-180</f>
        <v>135</v>
      </c>
      <c r="B213" s="205">
        <f>-openDomain_trans_full_LNGC_FST1!S35*B27</f>
        <v>-0.2207744242965933</v>
      </c>
      <c r="C213" s="206">
        <f>-openDomain_trans_full_LNGC_FST1!T35*C27</f>
        <v>0.48676563954298957</v>
      </c>
      <c r="D213" s="206" t="e">
        <f>openDomain_trans_full_LNGC_FST1!U35*D27</f>
        <v>#VALUE!</v>
      </c>
      <c r="E213" s="206" t="e">
        <f>openDomain_trans_full_LNGC_FST1!V35*E27</f>
        <v>#VALUE!</v>
      </c>
      <c r="F213" s="206" t="e">
        <f>openDomain_trans_full_LNGC_FST1!W35*F27</f>
        <v>#VALUE!</v>
      </c>
      <c r="G213" s="207">
        <f>openDomain_trans_full_LNGC_FST1!X35*G27</f>
        <v>3.030262742259995E-2</v>
      </c>
      <c r="H213" s="174"/>
      <c r="I213" s="197">
        <f>openDomain_trans_LNGC_FST2!P35</f>
        <v>315</v>
      </c>
      <c r="J213" s="195">
        <f>openDomain_trans_full_LNGC_FST2!S35*J27</f>
        <v>0.56090862488394666</v>
      </c>
      <c r="K213" s="174">
        <f>openDomain_trans_full_LNGC_FST2!T35*K27</f>
        <v>-0.58065742670107967</v>
      </c>
      <c r="L213" s="174" t="e">
        <f>openDomain_trans_full_LNGC_FST2!U35*L27</f>
        <v>#VALUE!</v>
      </c>
      <c r="M213" s="174" t="e">
        <f>openDomain_trans_full_LNGC_FST2!V35*M27</f>
        <v>#VALUE!</v>
      </c>
      <c r="N213" s="174" t="e">
        <f>openDomain_trans_full_LNGC_FST2!W35*N27</f>
        <v>#VALUE!</v>
      </c>
      <c r="O213" s="196">
        <f>openDomain_trans_full_LNGC_FST2!X35*O27</f>
        <v>4.7056306954310852E-2</v>
      </c>
      <c r="Q213" s="197"/>
      <c r="R213" s="195"/>
      <c r="S213" s="174"/>
      <c r="T213" s="174"/>
      <c r="U213" s="174"/>
      <c r="V213" s="174"/>
      <c r="W213" s="196"/>
    </row>
    <row r="214" spans="1:23" x14ac:dyDescent="0.2">
      <c r="A214" s="197">
        <f>openDomain_trans_LNGC_FST1!P36-180</f>
        <v>150</v>
      </c>
      <c r="B214" s="205">
        <f>-openDomain_trans_full_LNGC_FST1!S36*B28</f>
        <v>-0.25717369100531973</v>
      </c>
      <c r="C214" s="206">
        <f>-openDomain_trans_full_LNGC_FST1!T36*C28</f>
        <v>0.26569025395375129</v>
      </c>
      <c r="D214" s="206" t="e">
        <f>openDomain_trans_full_LNGC_FST1!U36*D28</f>
        <v>#VALUE!</v>
      </c>
      <c r="E214" s="206" t="e">
        <f>openDomain_trans_full_LNGC_FST1!V36*E28</f>
        <v>#VALUE!</v>
      </c>
      <c r="F214" s="206" t="e">
        <f>openDomain_trans_full_LNGC_FST1!W36*F28</f>
        <v>#VALUE!</v>
      </c>
      <c r="G214" s="207">
        <f>openDomain_trans_full_LNGC_FST1!X36*G28</f>
        <v>1.1119436201842171E-2</v>
      </c>
      <c r="H214" s="174"/>
      <c r="I214" s="197">
        <f>openDomain_trans_LNGC_FST2!P36</f>
        <v>330</v>
      </c>
      <c r="J214" s="195">
        <f>openDomain_trans_full_LNGC_FST2!S36*J28</f>
        <v>0.724527265143736</v>
      </c>
      <c r="K214" s="174">
        <f>openDomain_trans_full_LNGC_FST2!T36*K28</f>
        <v>-0.40254812693116232</v>
      </c>
      <c r="L214" s="174" t="e">
        <f>openDomain_trans_full_LNGC_FST2!U36*L28</f>
        <v>#VALUE!</v>
      </c>
      <c r="M214" s="174" t="e">
        <f>openDomain_trans_full_LNGC_FST2!V36*M28</f>
        <v>#VALUE!</v>
      </c>
      <c r="N214" s="174" t="e">
        <f>openDomain_trans_full_LNGC_FST2!W36*N28</f>
        <v>#VALUE!</v>
      </c>
      <c r="O214" s="196">
        <f>openDomain_trans_full_LNGC_FST2!X36*O28</f>
        <v>3.683041104278402E-2</v>
      </c>
      <c r="Q214" s="197"/>
      <c r="R214" s="195"/>
      <c r="S214" s="174"/>
      <c r="T214" s="174"/>
      <c r="U214" s="174"/>
      <c r="V214" s="174"/>
      <c r="W214" s="196"/>
    </row>
    <row r="215" spans="1:23" x14ac:dyDescent="0.2">
      <c r="A215" s="197">
        <f>openDomain_trans_LNGC_FST1!P37-180</f>
        <v>165</v>
      </c>
      <c r="B215" s="205">
        <f>-openDomain_trans_full_LNGC_FST1!S37*B29</f>
        <v>-0.27533933085705375</v>
      </c>
      <c r="C215" s="206">
        <f>-openDomain_trans_full_LNGC_FST1!T37*C29</f>
        <v>8.0324998185502289E-2</v>
      </c>
      <c r="D215" s="206" t="e">
        <f>openDomain_trans_full_LNGC_FST1!U37*D29</f>
        <v>#VALUE!</v>
      </c>
      <c r="E215" s="206" t="e">
        <f>openDomain_trans_full_LNGC_FST1!V37*E29</f>
        <v>#VALUE!</v>
      </c>
      <c r="F215" s="206" t="e">
        <f>openDomain_trans_full_LNGC_FST1!W37*F29</f>
        <v>#VALUE!</v>
      </c>
      <c r="G215" s="207">
        <f>openDomain_trans_full_LNGC_FST1!X37*G29</f>
        <v>-4.6662161531216761E-4</v>
      </c>
      <c r="H215" s="174"/>
      <c r="I215" s="197">
        <f>openDomain_trans_LNGC_FST2!P37</f>
        <v>345</v>
      </c>
      <c r="J215" s="195">
        <f>openDomain_trans_full_LNGC_FST2!S37*J29</f>
        <v>0.86613383167452207</v>
      </c>
      <c r="K215" s="174">
        <f>openDomain_trans_full_LNGC_FST2!T37*K29</f>
        <v>-0.14237870934372371</v>
      </c>
      <c r="L215" s="174" t="e">
        <f>openDomain_trans_full_LNGC_FST2!U37*L29</f>
        <v>#VALUE!</v>
      </c>
      <c r="M215" s="174" t="e">
        <f>openDomain_trans_full_LNGC_FST2!V37*M29</f>
        <v>#VALUE!</v>
      </c>
      <c r="N215" s="174" t="e">
        <f>openDomain_trans_full_LNGC_FST2!W37*N29</f>
        <v>#VALUE!</v>
      </c>
      <c r="O215" s="196">
        <f>openDomain_trans_full_LNGC_FST2!X37*O29</f>
        <v>2.7071800165795997E-3</v>
      </c>
      <c r="Q215" s="197"/>
      <c r="R215" s="195"/>
      <c r="S215" s="174"/>
      <c r="T215" s="174"/>
      <c r="U215" s="174"/>
      <c r="V215" s="174"/>
      <c r="W215" s="196"/>
    </row>
    <row r="216" spans="1:23" x14ac:dyDescent="0.2">
      <c r="A216" s="198">
        <f>openDomain_trans_LNGC_FST1!P38-180</f>
        <v>180</v>
      </c>
      <c r="B216" s="208">
        <f>-openDomain_trans_full_LNGC_FST1!S38*B30</f>
        <v>-0.17568708473902206</v>
      </c>
      <c r="C216" s="209">
        <f>-openDomain_trans_full_LNGC_FST1!T38*C30</f>
        <v>8.5419744535567468E-3</v>
      </c>
      <c r="D216" s="209" t="e">
        <f>openDomain_trans_full_LNGC_FST1!U38*D30</f>
        <v>#VALUE!</v>
      </c>
      <c r="E216" s="209" t="e">
        <f>openDomain_trans_full_LNGC_FST1!V38*E30</f>
        <v>#VALUE!</v>
      </c>
      <c r="F216" s="209" t="e">
        <f>openDomain_trans_full_LNGC_FST1!W38*F30</f>
        <v>#VALUE!</v>
      </c>
      <c r="G216" s="210">
        <f>openDomain_trans_full_LNGC_FST1!X38*G30</f>
        <v>-5.1662959538290899E-4</v>
      </c>
      <c r="H216" s="182"/>
      <c r="I216" s="198">
        <f>openDomain_trans_LNGC_FST2!P38</f>
        <v>360</v>
      </c>
      <c r="J216" s="199">
        <f>openDomain_trans_full_LNGC_FST2!S38*J30</f>
        <v>0.76392878875106263</v>
      </c>
      <c r="K216" s="200">
        <f>openDomain_trans_full_LNGC_FST2!T38*K30</f>
        <v>1.3004696052818888E-2</v>
      </c>
      <c r="L216" s="200" t="e">
        <f>openDomain_trans_full_LNGC_FST2!U38*L30</f>
        <v>#VALUE!</v>
      </c>
      <c r="M216" s="200" t="e">
        <f>openDomain_trans_full_LNGC_FST2!V38*M30</f>
        <v>#VALUE!</v>
      </c>
      <c r="N216" s="200" t="e">
        <f>openDomain_trans_full_LNGC_FST2!W38*N30</f>
        <v>#VALUE!</v>
      </c>
      <c r="O216" s="201">
        <f>openDomain_trans_full_LNGC_FST2!X38*O30</f>
        <v>-2.4769705174683552E-2</v>
      </c>
      <c r="Q216" s="198"/>
      <c r="R216" s="199"/>
      <c r="S216" s="200"/>
      <c r="T216" s="200"/>
      <c r="U216" s="200"/>
      <c r="V216" s="200"/>
      <c r="W216" s="201"/>
    </row>
  </sheetData>
  <mergeCells count="20">
    <mergeCell ref="A156:G156"/>
    <mergeCell ref="I156:O156"/>
    <mergeCell ref="A187:G187"/>
    <mergeCell ref="I187:O187"/>
    <mergeCell ref="Q187:W187"/>
    <mergeCell ref="Y94:AE94"/>
    <mergeCell ref="AG94:AM94"/>
    <mergeCell ref="A125:G125"/>
    <mergeCell ref="I125:O125"/>
    <mergeCell ref="Q125:W125"/>
    <mergeCell ref="A63:G63"/>
    <mergeCell ref="I63:O63"/>
    <mergeCell ref="A94:G94"/>
    <mergeCell ref="I94:O94"/>
    <mergeCell ref="Q94:W94"/>
    <mergeCell ref="A1:G1"/>
    <mergeCell ref="I1:O1"/>
    <mergeCell ref="R1:X1"/>
    <mergeCell ref="A32:G32"/>
    <mergeCell ref="I32:O32"/>
  </mergeCells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C020-BCF6-450F-8C45-EAC0266FEAFC}">
  <dimension ref="A1:AM216"/>
  <sheetViews>
    <sheetView topLeftCell="A93" zoomScale="70" zoomScaleNormal="70" workbookViewId="0">
      <selection activeCell="A106" sqref="A106"/>
    </sheetView>
  </sheetViews>
  <sheetFormatPr defaultColWidth="8.5703125" defaultRowHeight="12" x14ac:dyDescent="0.2"/>
  <cols>
    <col min="1" max="17" width="12.7109375" style="162" customWidth="1"/>
    <col min="18" max="18" width="8.7109375" style="162" bestFit="1" customWidth="1"/>
    <col min="19" max="19" width="10.7109375" style="162" customWidth="1"/>
    <col min="20" max="21" width="14.5703125" style="162" customWidth="1"/>
    <col min="22" max="22" width="14.42578125" style="162" customWidth="1"/>
    <col min="23" max="23" width="12" style="162" customWidth="1"/>
    <col min="24" max="24" width="14.5703125" style="162" customWidth="1"/>
    <col min="25" max="25" width="8.85546875" style="162" customWidth="1"/>
    <col min="26" max="26" width="11.7109375" style="162" customWidth="1"/>
    <col min="27" max="27" width="12.140625" style="162" customWidth="1"/>
    <col min="28" max="30" width="8.7109375" style="162" bestFit="1" customWidth="1"/>
    <col min="31" max="31" width="9.7109375" style="162" bestFit="1" customWidth="1"/>
    <col min="32" max="33" width="8.5703125" style="162"/>
    <col min="34" max="38" width="8.7109375" style="162" bestFit="1" customWidth="1"/>
    <col min="39" max="39" width="9.7109375" style="162" bestFit="1" customWidth="1"/>
    <col min="40" max="16384" width="8.5703125" style="162"/>
  </cols>
  <sheetData>
    <row r="1" spans="1:24" ht="15.75" customHeight="1" x14ac:dyDescent="0.2">
      <c r="A1" s="225" t="s">
        <v>53</v>
      </c>
      <c r="B1" s="225"/>
      <c r="C1" s="225"/>
      <c r="D1" s="225"/>
      <c r="E1" s="225"/>
      <c r="F1" s="225"/>
      <c r="G1" s="225"/>
      <c r="H1" s="160"/>
      <c r="I1" s="226" t="s">
        <v>54</v>
      </c>
      <c r="J1" s="226"/>
      <c r="K1" s="226"/>
      <c r="L1" s="226"/>
      <c r="M1" s="226"/>
      <c r="N1" s="226"/>
      <c r="O1" s="226"/>
      <c r="R1" s="227"/>
      <c r="S1" s="227"/>
      <c r="T1" s="227"/>
      <c r="U1" s="227"/>
      <c r="V1" s="227"/>
      <c r="W1" s="227"/>
      <c r="X1" s="227"/>
    </row>
    <row r="2" spans="1:24" x14ac:dyDescent="0.2">
      <c r="A2" s="159" t="s">
        <v>55</v>
      </c>
      <c r="B2" s="163">
        <f>openDomain_long_FST1!S5</f>
        <v>1678</v>
      </c>
      <c r="C2" s="163">
        <f>openDomain_long_FST1!T5</f>
        <v>7811</v>
      </c>
      <c r="D2" s="163">
        <f>openDomain_long_FST1!U5</f>
        <v>8949</v>
      </c>
      <c r="E2" s="163">
        <f>openDomain_long_FST1!V5</f>
        <v>298215</v>
      </c>
      <c r="F2" s="163">
        <f>openDomain_long_FST1!W5</f>
        <v>32704</v>
      </c>
      <c r="G2" s="163">
        <f>openDomain_long_FST1!X5</f>
        <v>1598052</v>
      </c>
      <c r="H2" s="164"/>
      <c r="I2" s="161" t="s">
        <v>55</v>
      </c>
      <c r="J2" s="165">
        <f t="shared" ref="J2:O2" si="0">B2</f>
        <v>1678</v>
      </c>
      <c r="K2" s="165">
        <f t="shared" si="0"/>
        <v>7811</v>
      </c>
      <c r="L2" s="165">
        <f t="shared" si="0"/>
        <v>8949</v>
      </c>
      <c r="M2" s="165">
        <f t="shared" si="0"/>
        <v>298215</v>
      </c>
      <c r="N2" s="165">
        <f t="shared" si="0"/>
        <v>32704</v>
      </c>
      <c r="O2" s="165">
        <f t="shared" si="0"/>
        <v>1598052</v>
      </c>
      <c r="Q2" s="162" t="s">
        <v>56</v>
      </c>
    </row>
    <row r="3" spans="1:24" x14ac:dyDescent="0.2">
      <c r="A3" s="159"/>
      <c r="B3" s="166" t="s">
        <v>57</v>
      </c>
      <c r="C3" s="166" t="s">
        <v>57</v>
      </c>
      <c r="D3" s="166" t="s">
        <v>57</v>
      </c>
      <c r="E3" s="166" t="s">
        <v>58</v>
      </c>
      <c r="F3" s="166" t="s">
        <v>58</v>
      </c>
      <c r="G3" s="166" t="s">
        <v>58</v>
      </c>
      <c r="H3" s="167"/>
      <c r="I3" s="161"/>
      <c r="J3" s="168" t="s">
        <v>57</v>
      </c>
      <c r="K3" s="168" t="s">
        <v>57</v>
      </c>
      <c r="L3" s="168" t="s">
        <v>57</v>
      </c>
      <c r="M3" s="168" t="s">
        <v>58</v>
      </c>
      <c r="N3" s="168" t="s">
        <v>58</v>
      </c>
      <c r="O3" s="168" t="s">
        <v>58</v>
      </c>
    </row>
    <row r="4" spans="1:24" ht="13.5" x14ac:dyDescent="0.2">
      <c r="A4" s="169" t="s">
        <v>59</v>
      </c>
      <c r="B4" s="159" t="s">
        <v>252</v>
      </c>
      <c r="C4" s="159" t="s">
        <v>253</v>
      </c>
      <c r="D4" s="159" t="s">
        <v>254</v>
      </c>
      <c r="E4" s="159" t="s">
        <v>255</v>
      </c>
      <c r="F4" s="159" t="s">
        <v>256</v>
      </c>
      <c r="G4" s="159" t="s">
        <v>257</v>
      </c>
      <c r="H4" s="160"/>
      <c r="I4" s="170" t="s">
        <v>59</v>
      </c>
      <c r="J4" s="161" t="s">
        <v>258</v>
      </c>
      <c r="K4" s="161" t="s">
        <v>259</v>
      </c>
      <c r="L4" s="161" t="s">
        <v>260</v>
      </c>
      <c r="M4" s="161" t="s">
        <v>261</v>
      </c>
      <c r="N4" s="161" t="s">
        <v>262</v>
      </c>
      <c r="O4" s="161" t="s">
        <v>263</v>
      </c>
    </row>
    <row r="5" spans="1:24" ht="60" x14ac:dyDescent="0.2">
      <c r="A5" s="169"/>
      <c r="B5" s="159" t="str">
        <f t="shared" ref="B5:G5" si="1">CONCATENATE($A$1,"-",B4)</f>
        <v>Open Domain FST1 (Long/trans) factors-Cx [-]</v>
      </c>
      <c r="C5" s="159" t="str">
        <f t="shared" si="1"/>
        <v>Open Domain FST1 (Long/trans) factors-Cy [-]</v>
      </c>
      <c r="D5" s="159" t="str">
        <f t="shared" si="1"/>
        <v>Open Domain FST1 (Long/trans) factors-Cz [-]</v>
      </c>
      <c r="E5" s="159" t="str">
        <f t="shared" si="1"/>
        <v>Open Domain FST1 (Long/trans) factors-Cnx [-]</v>
      </c>
      <c r="F5" s="159" t="str">
        <f t="shared" si="1"/>
        <v>Open Domain FST1 (Long/trans) factors-Cny [-]</v>
      </c>
      <c r="G5" s="159" t="str">
        <f t="shared" si="1"/>
        <v>Open Domain FST1 (Long/trans) factors-Cnz [-]</v>
      </c>
      <c r="H5" s="160"/>
      <c r="I5" s="170"/>
      <c r="J5" s="161" t="str">
        <f t="shared" ref="J5:O5" si="2">CONCATENATE($I$1,"-",J4)</f>
        <v>Open Domain FST2 (Long/trans) factors-Cx [-]</v>
      </c>
      <c r="K5" s="161" t="str">
        <f t="shared" si="2"/>
        <v>Open Domain FST2 (Long/trans) factors-Cy [-]</v>
      </c>
      <c r="L5" s="161" t="str">
        <f t="shared" si="2"/>
        <v>Open Domain FST2 (Long/trans) factors-Cz [-]</v>
      </c>
      <c r="M5" s="161" t="str">
        <f t="shared" si="2"/>
        <v>Open Domain FST2 (Long/trans) factors-Cnx [-]</v>
      </c>
      <c r="N5" s="161" t="str">
        <f t="shared" si="2"/>
        <v>Open Domain FST2 (Long/trans) factors-Cny [-]</v>
      </c>
      <c r="O5" s="161" t="str">
        <f t="shared" si="2"/>
        <v>Open Domain FST2 (Long/trans) factors-Cnz [-]</v>
      </c>
    </row>
    <row r="6" spans="1:24" x14ac:dyDescent="0.2">
      <c r="A6" s="171">
        <v>0</v>
      </c>
      <c r="B6" s="172">
        <f>IF(ABS(Report_table_graphs!B99)&gt;0.1, Report_table_graphs!B6/Report_table_graphs!B99, 1)</f>
        <v>0.76561541767876973</v>
      </c>
      <c r="C6" s="172">
        <f>IF(ABS(Report_table_graphs!C99)&gt;0.1, Report_table_graphs!C6/Report_table_graphs!C99, 1)</f>
        <v>1</v>
      </c>
      <c r="D6" s="173" t="s">
        <v>11</v>
      </c>
      <c r="E6" s="173" t="s">
        <v>11</v>
      </c>
      <c r="F6" s="173" t="s">
        <v>11</v>
      </c>
      <c r="G6" s="172">
        <f>G8</f>
        <v>1.681036193937316</v>
      </c>
      <c r="H6" s="174"/>
      <c r="I6" s="175"/>
      <c r="J6" s="176">
        <f>IF(ABS(Report_table_graphs!J99)&gt;0.1, Report_table_graphs!J6/Report_table_graphs!J99, 1)</f>
        <v>0.60290487583331998</v>
      </c>
      <c r="K6" s="176">
        <f>IF(ABS(Report_table_graphs!K99)&gt;0.1, Report_table_graphs!K6/Report_table_graphs!K99, 1)</f>
        <v>1</v>
      </c>
      <c r="L6" s="173" t="s">
        <v>11</v>
      </c>
      <c r="M6" s="173" t="s">
        <v>11</v>
      </c>
      <c r="N6" s="173" t="s">
        <v>11</v>
      </c>
      <c r="O6" s="172">
        <f>O8</f>
        <v>1.6855992404799247</v>
      </c>
    </row>
    <row r="7" spans="1:24" x14ac:dyDescent="0.2">
      <c r="A7" s="171">
        <v>15</v>
      </c>
      <c r="B7" s="177">
        <f t="shared" ref="B7:G7" si="3">AVERAGE(B6,B8)</f>
        <v>0.53585801560910462</v>
      </c>
      <c r="C7" s="177">
        <f t="shared" si="3"/>
        <v>1.0445993129126903</v>
      </c>
      <c r="D7" s="173" t="s">
        <v>11</v>
      </c>
      <c r="E7" s="173" t="s">
        <v>11</v>
      </c>
      <c r="F7" s="173" t="s">
        <v>11</v>
      </c>
      <c r="G7" s="177">
        <f t="shared" si="3"/>
        <v>1.681036193937316</v>
      </c>
      <c r="H7" s="174"/>
      <c r="I7" s="175"/>
      <c r="J7" s="178">
        <f t="shared" ref="J7:O7" si="4">AVERAGE(J6,J8)</f>
        <v>0.49531400400070569</v>
      </c>
      <c r="K7" s="178">
        <f t="shared" si="4"/>
        <v>1.0982757425751253</v>
      </c>
      <c r="L7" s="173" t="s">
        <v>11</v>
      </c>
      <c r="M7" s="173" t="s">
        <v>11</v>
      </c>
      <c r="N7" s="173" t="s">
        <v>11</v>
      </c>
      <c r="O7" s="177">
        <f t="shared" si="4"/>
        <v>1.6855992404799247</v>
      </c>
    </row>
    <row r="8" spans="1:24" x14ac:dyDescent="0.2">
      <c r="A8" s="171">
        <v>30</v>
      </c>
      <c r="B8" s="172">
        <f>IF(ABS(Report_table_graphs!B101)&gt;0.1, Report_table_graphs!B8/Report_table_graphs!B101, 1)</f>
        <v>0.3061006135394394</v>
      </c>
      <c r="C8" s="172">
        <f>IF(ABS(Report_table_graphs!C101)&gt;0.1, Report_table_graphs!C8/Report_table_graphs!C101, 1)</f>
        <v>1.0891986258253807</v>
      </c>
      <c r="D8" s="173" t="s">
        <v>11</v>
      </c>
      <c r="E8" s="173" t="s">
        <v>11</v>
      </c>
      <c r="F8" s="173" t="s">
        <v>11</v>
      </c>
      <c r="G8" s="172">
        <f>IF(ABS(Report_table_graphs!G8)&gt;inputs!$B$2, Report_table_graphs!G8/Report_table_graphs!G101, 1)</f>
        <v>1.681036193937316</v>
      </c>
      <c r="H8" s="174"/>
      <c r="I8" s="175"/>
      <c r="J8" s="176">
        <f>IF(ABS(Report_table_graphs!J101)&gt;0.1, Report_table_graphs!J8/Report_table_graphs!J101, 1)</f>
        <v>0.38772313216809146</v>
      </c>
      <c r="K8" s="176">
        <f>IF(ABS(Report_table_graphs!K101)&gt;0.1, Report_table_graphs!K8/Report_table_graphs!K101, 1)</f>
        <v>1.1965514851502506</v>
      </c>
      <c r="L8" s="173" t="s">
        <v>11</v>
      </c>
      <c r="M8" s="173" t="s">
        <v>11</v>
      </c>
      <c r="N8" s="173" t="s">
        <v>11</v>
      </c>
      <c r="O8" s="172">
        <f>IF(ABS(Report_table_graphs!O8)&gt;inputs!$B$2, Report_table_graphs!O8/Report_table_graphs!O101, 1)</f>
        <v>1.6855992404799247</v>
      </c>
    </row>
    <row r="9" spans="1:24" x14ac:dyDescent="0.2">
      <c r="A9" s="171">
        <v>45</v>
      </c>
      <c r="B9" s="172">
        <f>IF(ABS(Report_table_graphs!B102)&gt;0.1, Report_table_graphs!B9/Report_table_graphs!B102, 1)</f>
        <v>0.22329886075602687</v>
      </c>
      <c r="C9" s="172">
        <f>IF(ABS(Report_table_graphs!C102)&gt;0.1, Report_table_graphs!C9/Report_table_graphs!C102, 1)</f>
        <v>1.1527613087700792</v>
      </c>
      <c r="D9" s="173" t="s">
        <v>11</v>
      </c>
      <c r="E9" s="173" t="s">
        <v>11</v>
      </c>
      <c r="F9" s="173" t="s">
        <v>11</v>
      </c>
      <c r="G9" s="172">
        <f>IF(ABS(Report_table_graphs!G9)&gt;inputs!$B$2, Report_table_graphs!G9/Report_table_graphs!G102, 1)</f>
        <v>2.2341680549195182</v>
      </c>
      <c r="H9" s="174"/>
      <c r="I9" s="175"/>
      <c r="J9" s="176">
        <f>IF(ABS(Report_table_graphs!J102)&gt;0.1, Report_table_graphs!J9/Report_table_graphs!J102, 1)</f>
        <v>0.35279736793436656</v>
      </c>
      <c r="K9" s="176">
        <f>IF(ABS(Report_table_graphs!K102)&gt;0.1, Report_table_graphs!K9/Report_table_graphs!K102, 1)</f>
        <v>1.2648308148868026</v>
      </c>
      <c r="L9" s="173" t="s">
        <v>11</v>
      </c>
      <c r="M9" s="173" t="s">
        <v>11</v>
      </c>
      <c r="N9" s="173" t="s">
        <v>11</v>
      </c>
      <c r="O9" s="172">
        <f>IF(ABS(Report_table_graphs!O9)&gt;inputs!$B$2, Report_table_graphs!O9/Report_table_graphs!O102, 1)</f>
        <v>1.5641282379046808</v>
      </c>
    </row>
    <row r="10" spans="1:24" x14ac:dyDescent="0.2">
      <c r="A10" s="171">
        <v>60</v>
      </c>
      <c r="B10" s="172">
        <f>IF(ABS(Report_table_graphs!B103)&gt;0.1, Report_table_graphs!B10/Report_table_graphs!B103, 1)</f>
        <v>0.11993828163179525</v>
      </c>
      <c r="C10" s="172">
        <f>IF(ABS(Report_table_graphs!C103)&gt;0.1, Report_table_graphs!C10/Report_table_graphs!C103, 1)</f>
        <v>1.2620882382490113</v>
      </c>
      <c r="D10" s="173" t="s">
        <v>11</v>
      </c>
      <c r="E10" s="173" t="s">
        <v>11</v>
      </c>
      <c r="F10" s="173" t="s">
        <v>11</v>
      </c>
      <c r="G10" s="172">
        <f>IF(ABS(Report_table_graphs!G10)&gt;inputs!$B$2, Report_table_graphs!G10/Report_table_graphs!G103, 1)</f>
        <v>1.9956788069968132</v>
      </c>
      <c r="H10" s="174"/>
      <c r="I10" s="175"/>
      <c r="J10" s="176">
        <f>IF(ABS(Report_table_graphs!J103)&gt;0.1, Report_table_graphs!J10/Report_table_graphs!J103, 1)</f>
        <v>8.4459723482979587E-2</v>
      </c>
      <c r="K10" s="176">
        <f>IF(ABS(Report_table_graphs!K103)&gt;0.1, Report_table_graphs!K10/Report_table_graphs!K103, 1)</f>
        <v>1.3458853922989618</v>
      </c>
      <c r="L10" s="173" t="s">
        <v>11</v>
      </c>
      <c r="M10" s="173" t="s">
        <v>11</v>
      </c>
      <c r="N10" s="173" t="s">
        <v>11</v>
      </c>
      <c r="O10" s="172">
        <f>IF(ABS(Report_table_graphs!O10)&gt;inputs!$B$2, Report_table_graphs!O10/Report_table_graphs!O103, 1)</f>
        <v>1.7539783303069845</v>
      </c>
    </row>
    <row r="11" spans="1:24" x14ac:dyDescent="0.2">
      <c r="A11" s="171">
        <v>75</v>
      </c>
      <c r="B11" s="177">
        <f t="shared" ref="B11:G11" si="5">AVERAGE(B10,B12)</f>
        <v>0.51902410765977969</v>
      </c>
      <c r="C11" s="177">
        <f t="shared" si="5"/>
        <v>1.2742130250981027</v>
      </c>
      <c r="D11" s="173" t="s">
        <v>11</v>
      </c>
      <c r="E11" s="173" t="s">
        <v>11</v>
      </c>
      <c r="F11" s="173" t="s">
        <v>11</v>
      </c>
      <c r="G11" s="177">
        <f t="shared" si="5"/>
        <v>1.9956788069968132</v>
      </c>
      <c r="H11" s="174"/>
      <c r="I11" s="175"/>
      <c r="J11" s="178">
        <f t="shared" ref="J11:O11" si="6">AVERAGE(J10,J12)</f>
        <v>0.50295936072043101</v>
      </c>
      <c r="K11" s="178">
        <f t="shared" si="6"/>
        <v>1.3029003647720678</v>
      </c>
      <c r="L11" s="173" t="s">
        <v>11</v>
      </c>
      <c r="M11" s="173" t="s">
        <v>11</v>
      </c>
      <c r="N11" s="173" t="s">
        <v>11</v>
      </c>
      <c r="O11" s="177">
        <f t="shared" si="6"/>
        <v>1.7539783303069845</v>
      </c>
    </row>
    <row r="12" spans="1:24" x14ac:dyDescent="0.2">
      <c r="A12" s="171">
        <v>90</v>
      </c>
      <c r="B12" s="172">
        <f>IF(ABS(Report_table_graphs!B105)&gt;0.1, Report_table_graphs!B12/Report_table_graphs!B105, 1)</f>
        <v>0.91810993368776406</v>
      </c>
      <c r="C12" s="172">
        <f>IF(ABS(Report_table_graphs!C105)&gt;0.1, Report_table_graphs!C12/Report_table_graphs!C105, 1)</f>
        <v>1.286337811947194</v>
      </c>
      <c r="D12" s="173" t="s">
        <v>11</v>
      </c>
      <c r="E12" s="173" t="s">
        <v>11</v>
      </c>
      <c r="F12" s="173" t="s">
        <v>11</v>
      </c>
      <c r="G12" s="179">
        <f>G10</f>
        <v>1.9956788069968132</v>
      </c>
      <c r="H12" s="174"/>
      <c r="I12" s="175"/>
      <c r="J12" s="176">
        <f>IF(ABS(Report_table_graphs!J105)&gt;0.1, Report_table_graphs!J12/Report_table_graphs!J105, 1)</f>
        <v>0.92145899795788233</v>
      </c>
      <c r="K12" s="176">
        <f>IF(ABS(Report_table_graphs!K105)&gt;0.1, Report_table_graphs!K12/Report_table_graphs!K105, 1)</f>
        <v>1.2599153372451737</v>
      </c>
      <c r="L12" s="173" t="s">
        <v>11</v>
      </c>
      <c r="M12" s="173" t="s">
        <v>11</v>
      </c>
      <c r="N12" s="173" t="s">
        <v>11</v>
      </c>
      <c r="O12" s="179">
        <f>O10</f>
        <v>1.7539783303069845</v>
      </c>
    </row>
    <row r="13" spans="1:24" x14ac:dyDescent="0.2">
      <c r="A13" s="171">
        <v>105</v>
      </c>
      <c r="B13" s="172">
        <f t="shared" ref="B13:G13" si="7">B11</f>
        <v>0.51902410765977969</v>
      </c>
      <c r="C13" s="172">
        <f t="shared" si="7"/>
        <v>1.2742130250981027</v>
      </c>
      <c r="D13" s="173" t="s">
        <v>11</v>
      </c>
      <c r="E13" s="173" t="s">
        <v>11</v>
      </c>
      <c r="F13" s="173" t="s">
        <v>11</v>
      </c>
      <c r="G13" s="172">
        <f t="shared" si="7"/>
        <v>1.9956788069968132</v>
      </c>
      <c r="H13" s="174"/>
      <c r="I13" s="175"/>
      <c r="J13" s="176">
        <f t="shared" ref="J13:O13" si="8">J11</f>
        <v>0.50295936072043101</v>
      </c>
      <c r="K13" s="176">
        <f t="shared" si="8"/>
        <v>1.3029003647720678</v>
      </c>
      <c r="L13" s="173" t="s">
        <v>11</v>
      </c>
      <c r="M13" s="173" t="s">
        <v>11</v>
      </c>
      <c r="N13" s="173" t="s">
        <v>11</v>
      </c>
      <c r="O13" s="176">
        <f t="shared" si="8"/>
        <v>1.7539783303069845</v>
      </c>
    </row>
    <row r="14" spans="1:24" x14ac:dyDescent="0.2">
      <c r="A14" s="171">
        <v>120</v>
      </c>
      <c r="B14" s="172">
        <f t="shared" ref="B14:G14" si="9">B10</f>
        <v>0.11993828163179525</v>
      </c>
      <c r="C14" s="172">
        <f t="shared" si="9"/>
        <v>1.2620882382490113</v>
      </c>
      <c r="D14" s="173" t="s">
        <v>11</v>
      </c>
      <c r="E14" s="173" t="s">
        <v>11</v>
      </c>
      <c r="F14" s="173" t="s">
        <v>11</v>
      </c>
      <c r="G14" s="172">
        <f t="shared" si="9"/>
        <v>1.9956788069968132</v>
      </c>
      <c r="H14" s="174"/>
      <c r="I14" s="175"/>
      <c r="J14" s="176">
        <f t="shared" ref="J14:O14" si="10">J10</f>
        <v>8.4459723482979587E-2</v>
      </c>
      <c r="K14" s="176">
        <f t="shared" si="10"/>
        <v>1.3458853922989618</v>
      </c>
      <c r="L14" s="173" t="s">
        <v>11</v>
      </c>
      <c r="M14" s="173" t="s">
        <v>11</v>
      </c>
      <c r="N14" s="173" t="s">
        <v>11</v>
      </c>
      <c r="O14" s="176">
        <f t="shared" si="10"/>
        <v>1.7539783303069845</v>
      </c>
    </row>
    <row r="15" spans="1:24" x14ac:dyDescent="0.2">
      <c r="A15" s="171">
        <v>135</v>
      </c>
      <c r="B15" s="172">
        <f t="shared" ref="B15:G15" si="11">B9</f>
        <v>0.22329886075602687</v>
      </c>
      <c r="C15" s="172">
        <f t="shared" si="11"/>
        <v>1.1527613087700792</v>
      </c>
      <c r="D15" s="173" t="s">
        <v>11</v>
      </c>
      <c r="E15" s="173" t="s">
        <v>11</v>
      </c>
      <c r="F15" s="173" t="s">
        <v>11</v>
      </c>
      <c r="G15" s="172">
        <f t="shared" si="11"/>
        <v>2.2341680549195182</v>
      </c>
      <c r="H15" s="174"/>
      <c r="I15" s="175"/>
      <c r="J15" s="176">
        <f t="shared" ref="J15:O15" si="12">J9</f>
        <v>0.35279736793436656</v>
      </c>
      <c r="K15" s="176">
        <f t="shared" si="12"/>
        <v>1.2648308148868026</v>
      </c>
      <c r="L15" s="173" t="s">
        <v>11</v>
      </c>
      <c r="M15" s="173" t="s">
        <v>11</v>
      </c>
      <c r="N15" s="173" t="s">
        <v>11</v>
      </c>
      <c r="O15" s="176">
        <f t="shared" si="12"/>
        <v>1.5641282379046808</v>
      </c>
    </row>
    <row r="16" spans="1:24" x14ac:dyDescent="0.2">
      <c r="A16" s="171">
        <v>150</v>
      </c>
      <c r="B16" s="172">
        <f t="shared" ref="B16:G16" si="13">B8</f>
        <v>0.3061006135394394</v>
      </c>
      <c r="C16" s="172">
        <f t="shared" si="13"/>
        <v>1.0891986258253807</v>
      </c>
      <c r="D16" s="173" t="s">
        <v>11</v>
      </c>
      <c r="E16" s="173" t="s">
        <v>11</v>
      </c>
      <c r="F16" s="173" t="s">
        <v>11</v>
      </c>
      <c r="G16" s="172">
        <f t="shared" si="13"/>
        <v>1.681036193937316</v>
      </c>
      <c r="H16" s="174"/>
      <c r="I16" s="175"/>
      <c r="J16" s="176">
        <f t="shared" ref="J16:O16" si="14">J8</f>
        <v>0.38772313216809146</v>
      </c>
      <c r="K16" s="176">
        <f t="shared" si="14"/>
        <v>1.1965514851502506</v>
      </c>
      <c r="L16" s="173" t="s">
        <v>11</v>
      </c>
      <c r="M16" s="173" t="s">
        <v>11</v>
      </c>
      <c r="N16" s="173" t="s">
        <v>11</v>
      </c>
      <c r="O16" s="176">
        <f t="shared" si="14"/>
        <v>1.6855992404799247</v>
      </c>
    </row>
    <row r="17" spans="1:15" x14ac:dyDescent="0.2">
      <c r="A17" s="171">
        <v>165</v>
      </c>
      <c r="B17" s="172">
        <f t="shared" ref="B17:G17" si="15">B7</f>
        <v>0.53585801560910462</v>
      </c>
      <c r="C17" s="172">
        <f t="shared" si="15"/>
        <v>1.0445993129126903</v>
      </c>
      <c r="D17" s="173" t="s">
        <v>11</v>
      </c>
      <c r="E17" s="173" t="s">
        <v>11</v>
      </c>
      <c r="F17" s="173" t="s">
        <v>11</v>
      </c>
      <c r="G17" s="172">
        <f t="shared" si="15"/>
        <v>1.681036193937316</v>
      </c>
      <c r="H17" s="174"/>
      <c r="I17" s="175"/>
      <c r="J17" s="176">
        <f t="shared" ref="J17:O17" si="16">J7</f>
        <v>0.49531400400070569</v>
      </c>
      <c r="K17" s="176">
        <f t="shared" si="16"/>
        <v>1.0982757425751253</v>
      </c>
      <c r="L17" s="173" t="s">
        <v>11</v>
      </c>
      <c r="M17" s="173" t="s">
        <v>11</v>
      </c>
      <c r="N17" s="173" t="s">
        <v>11</v>
      </c>
      <c r="O17" s="176">
        <f t="shared" si="16"/>
        <v>1.6855992404799247</v>
      </c>
    </row>
    <row r="18" spans="1:15" x14ac:dyDescent="0.2">
      <c r="A18" s="171">
        <v>180</v>
      </c>
      <c r="B18" s="172">
        <f t="shared" ref="B18:G30" si="17">B6</f>
        <v>0.76561541767876973</v>
      </c>
      <c r="C18" s="172">
        <f t="shared" si="17"/>
        <v>1</v>
      </c>
      <c r="D18" s="173" t="s">
        <v>11</v>
      </c>
      <c r="E18" s="173" t="s">
        <v>11</v>
      </c>
      <c r="F18" s="173" t="s">
        <v>11</v>
      </c>
      <c r="G18" s="172">
        <f t="shared" si="17"/>
        <v>1.681036193937316</v>
      </c>
      <c r="H18" s="174"/>
      <c r="I18" s="175"/>
      <c r="J18" s="176">
        <f t="shared" ref="J18:O30" si="18">J6</f>
        <v>0.60290487583331998</v>
      </c>
      <c r="K18" s="176">
        <f t="shared" si="18"/>
        <v>1</v>
      </c>
      <c r="L18" s="173" t="s">
        <v>11</v>
      </c>
      <c r="M18" s="173" t="s">
        <v>11</v>
      </c>
      <c r="N18" s="173" t="s">
        <v>11</v>
      </c>
      <c r="O18" s="176">
        <f t="shared" si="18"/>
        <v>1.6855992404799247</v>
      </c>
    </row>
    <row r="19" spans="1:15" x14ac:dyDescent="0.2">
      <c r="A19" s="180">
        <v>195</v>
      </c>
      <c r="B19" s="172">
        <f t="shared" si="17"/>
        <v>0.53585801560910462</v>
      </c>
      <c r="C19" s="172">
        <f t="shared" si="17"/>
        <v>1.0445993129126903</v>
      </c>
      <c r="D19" s="173" t="s">
        <v>11</v>
      </c>
      <c r="E19" s="173" t="s">
        <v>11</v>
      </c>
      <c r="F19" s="173" t="s">
        <v>11</v>
      </c>
      <c r="G19" s="172">
        <f t="shared" si="17"/>
        <v>1.681036193937316</v>
      </c>
      <c r="H19" s="174"/>
      <c r="I19" s="181"/>
      <c r="J19" s="176">
        <f t="shared" si="18"/>
        <v>0.49531400400070569</v>
      </c>
      <c r="K19" s="176">
        <f t="shared" si="18"/>
        <v>1.0982757425751253</v>
      </c>
      <c r="L19" s="173" t="s">
        <v>11</v>
      </c>
      <c r="M19" s="173" t="s">
        <v>11</v>
      </c>
      <c r="N19" s="173" t="s">
        <v>11</v>
      </c>
      <c r="O19" s="176">
        <f t="shared" si="18"/>
        <v>1.6855992404799247</v>
      </c>
    </row>
    <row r="20" spans="1:15" x14ac:dyDescent="0.2">
      <c r="A20" s="180">
        <v>210</v>
      </c>
      <c r="B20" s="172">
        <f t="shared" si="17"/>
        <v>0.3061006135394394</v>
      </c>
      <c r="C20" s="172">
        <f t="shared" si="17"/>
        <v>1.0891986258253807</v>
      </c>
      <c r="D20" s="173" t="s">
        <v>11</v>
      </c>
      <c r="E20" s="173" t="s">
        <v>11</v>
      </c>
      <c r="F20" s="173" t="s">
        <v>11</v>
      </c>
      <c r="G20" s="172">
        <f t="shared" si="17"/>
        <v>1.681036193937316</v>
      </c>
      <c r="H20" s="174"/>
      <c r="I20" s="181"/>
      <c r="J20" s="176">
        <f t="shared" si="18"/>
        <v>0.38772313216809146</v>
      </c>
      <c r="K20" s="176">
        <f t="shared" si="18"/>
        <v>1.1965514851502506</v>
      </c>
      <c r="L20" s="173" t="s">
        <v>11</v>
      </c>
      <c r="M20" s="173" t="s">
        <v>11</v>
      </c>
      <c r="N20" s="173" t="s">
        <v>11</v>
      </c>
      <c r="O20" s="176">
        <f t="shared" si="18"/>
        <v>1.6855992404799247</v>
      </c>
    </row>
    <row r="21" spans="1:15" x14ac:dyDescent="0.2">
      <c r="A21" s="180">
        <v>225</v>
      </c>
      <c r="B21" s="172">
        <f t="shared" si="17"/>
        <v>0.22329886075602687</v>
      </c>
      <c r="C21" s="172">
        <f t="shared" si="17"/>
        <v>1.1527613087700792</v>
      </c>
      <c r="D21" s="173" t="s">
        <v>11</v>
      </c>
      <c r="E21" s="173" t="s">
        <v>11</v>
      </c>
      <c r="F21" s="173" t="s">
        <v>11</v>
      </c>
      <c r="G21" s="172">
        <f t="shared" si="17"/>
        <v>2.2341680549195182</v>
      </c>
      <c r="H21" s="174"/>
      <c r="I21" s="181"/>
      <c r="J21" s="176">
        <f t="shared" si="18"/>
        <v>0.35279736793436656</v>
      </c>
      <c r="K21" s="176">
        <f t="shared" si="18"/>
        <v>1.2648308148868026</v>
      </c>
      <c r="L21" s="173" t="s">
        <v>11</v>
      </c>
      <c r="M21" s="173" t="s">
        <v>11</v>
      </c>
      <c r="N21" s="173" t="s">
        <v>11</v>
      </c>
      <c r="O21" s="176">
        <f t="shared" si="18"/>
        <v>1.5641282379046808</v>
      </c>
    </row>
    <row r="22" spans="1:15" x14ac:dyDescent="0.2">
      <c r="A22" s="180">
        <v>240</v>
      </c>
      <c r="B22" s="172">
        <f t="shared" si="17"/>
        <v>0.11993828163179525</v>
      </c>
      <c r="C22" s="172">
        <f t="shared" si="17"/>
        <v>1.2620882382490113</v>
      </c>
      <c r="D22" s="173" t="s">
        <v>11</v>
      </c>
      <c r="E22" s="173" t="s">
        <v>11</v>
      </c>
      <c r="F22" s="173" t="s">
        <v>11</v>
      </c>
      <c r="G22" s="172">
        <f t="shared" si="17"/>
        <v>1.9956788069968132</v>
      </c>
      <c r="H22" s="174"/>
      <c r="I22" s="181"/>
      <c r="J22" s="176">
        <f t="shared" si="18"/>
        <v>8.4459723482979587E-2</v>
      </c>
      <c r="K22" s="176">
        <f t="shared" si="18"/>
        <v>1.3458853922989618</v>
      </c>
      <c r="L22" s="173" t="s">
        <v>11</v>
      </c>
      <c r="M22" s="173" t="s">
        <v>11</v>
      </c>
      <c r="N22" s="173" t="s">
        <v>11</v>
      </c>
      <c r="O22" s="176">
        <f t="shared" si="18"/>
        <v>1.7539783303069845</v>
      </c>
    </row>
    <row r="23" spans="1:15" ht="14.25" customHeight="1" x14ac:dyDescent="0.2">
      <c r="A23" s="180">
        <v>255</v>
      </c>
      <c r="B23" s="172">
        <f t="shared" si="17"/>
        <v>0.51902410765977969</v>
      </c>
      <c r="C23" s="172">
        <f t="shared" si="17"/>
        <v>1.2742130250981027</v>
      </c>
      <c r="D23" s="173" t="s">
        <v>11</v>
      </c>
      <c r="E23" s="173" t="s">
        <v>11</v>
      </c>
      <c r="F23" s="173" t="s">
        <v>11</v>
      </c>
      <c r="G23" s="172">
        <f t="shared" si="17"/>
        <v>1.9956788069968132</v>
      </c>
      <c r="H23" s="174"/>
      <c r="I23" s="181"/>
      <c r="J23" s="176">
        <f t="shared" si="18"/>
        <v>0.50295936072043101</v>
      </c>
      <c r="K23" s="176">
        <f t="shared" si="18"/>
        <v>1.3029003647720678</v>
      </c>
      <c r="L23" s="173" t="s">
        <v>11</v>
      </c>
      <c r="M23" s="173" t="s">
        <v>11</v>
      </c>
      <c r="N23" s="173" t="s">
        <v>11</v>
      </c>
      <c r="O23" s="176">
        <f t="shared" si="18"/>
        <v>1.7539783303069845</v>
      </c>
    </row>
    <row r="24" spans="1:15" x14ac:dyDescent="0.2">
      <c r="A24" s="180">
        <v>270</v>
      </c>
      <c r="B24" s="172">
        <f t="shared" si="17"/>
        <v>0.91810993368776406</v>
      </c>
      <c r="C24" s="172">
        <f t="shared" si="17"/>
        <v>1.286337811947194</v>
      </c>
      <c r="D24" s="173" t="s">
        <v>11</v>
      </c>
      <c r="E24" s="173" t="s">
        <v>11</v>
      </c>
      <c r="F24" s="173" t="s">
        <v>11</v>
      </c>
      <c r="G24" s="172">
        <f t="shared" si="17"/>
        <v>1.9956788069968132</v>
      </c>
      <c r="H24" s="174"/>
      <c r="I24" s="181"/>
      <c r="J24" s="176">
        <f t="shared" si="18"/>
        <v>0.92145899795788233</v>
      </c>
      <c r="K24" s="176">
        <f t="shared" si="18"/>
        <v>1.2599153372451737</v>
      </c>
      <c r="L24" s="173" t="s">
        <v>11</v>
      </c>
      <c r="M24" s="173" t="s">
        <v>11</v>
      </c>
      <c r="N24" s="173" t="s">
        <v>11</v>
      </c>
      <c r="O24" s="176">
        <f t="shared" si="18"/>
        <v>1.7539783303069845</v>
      </c>
    </row>
    <row r="25" spans="1:15" x14ac:dyDescent="0.2">
      <c r="A25" s="180">
        <v>285</v>
      </c>
      <c r="B25" s="172">
        <f t="shared" si="17"/>
        <v>0.51902410765977969</v>
      </c>
      <c r="C25" s="172">
        <f t="shared" si="17"/>
        <v>1.2742130250981027</v>
      </c>
      <c r="D25" s="173" t="s">
        <v>11</v>
      </c>
      <c r="E25" s="173" t="s">
        <v>11</v>
      </c>
      <c r="F25" s="173" t="s">
        <v>11</v>
      </c>
      <c r="G25" s="172">
        <f t="shared" si="17"/>
        <v>1.9956788069968132</v>
      </c>
      <c r="H25" s="174"/>
      <c r="I25" s="181"/>
      <c r="J25" s="176">
        <f t="shared" si="18"/>
        <v>0.50295936072043101</v>
      </c>
      <c r="K25" s="176">
        <f t="shared" si="18"/>
        <v>1.3029003647720678</v>
      </c>
      <c r="L25" s="173" t="s">
        <v>11</v>
      </c>
      <c r="M25" s="173" t="s">
        <v>11</v>
      </c>
      <c r="N25" s="173" t="s">
        <v>11</v>
      </c>
      <c r="O25" s="176">
        <f t="shared" si="18"/>
        <v>1.7539783303069845</v>
      </c>
    </row>
    <row r="26" spans="1:15" x14ac:dyDescent="0.2">
      <c r="A26" s="180">
        <v>300</v>
      </c>
      <c r="B26" s="172">
        <f t="shared" si="17"/>
        <v>0.11993828163179525</v>
      </c>
      <c r="C26" s="172">
        <f t="shared" si="17"/>
        <v>1.2620882382490113</v>
      </c>
      <c r="D26" s="173" t="s">
        <v>11</v>
      </c>
      <c r="E26" s="173" t="s">
        <v>11</v>
      </c>
      <c r="F26" s="173" t="s">
        <v>11</v>
      </c>
      <c r="G26" s="172">
        <f t="shared" si="17"/>
        <v>1.9956788069968132</v>
      </c>
      <c r="H26" s="174"/>
      <c r="I26" s="181"/>
      <c r="J26" s="176">
        <f t="shared" si="18"/>
        <v>8.4459723482979587E-2</v>
      </c>
      <c r="K26" s="176">
        <f t="shared" si="18"/>
        <v>1.3458853922989618</v>
      </c>
      <c r="L26" s="173" t="s">
        <v>11</v>
      </c>
      <c r="M26" s="173" t="s">
        <v>11</v>
      </c>
      <c r="N26" s="173" t="s">
        <v>11</v>
      </c>
      <c r="O26" s="176">
        <f t="shared" si="18"/>
        <v>1.7539783303069845</v>
      </c>
    </row>
    <row r="27" spans="1:15" x14ac:dyDescent="0.2">
      <c r="A27" s="180">
        <v>315</v>
      </c>
      <c r="B27" s="172">
        <f t="shared" si="17"/>
        <v>0.22329886075602687</v>
      </c>
      <c r="C27" s="172">
        <f t="shared" si="17"/>
        <v>1.1527613087700792</v>
      </c>
      <c r="D27" s="173" t="s">
        <v>11</v>
      </c>
      <c r="E27" s="173" t="s">
        <v>11</v>
      </c>
      <c r="F27" s="173" t="s">
        <v>11</v>
      </c>
      <c r="G27" s="172">
        <f t="shared" si="17"/>
        <v>2.2341680549195182</v>
      </c>
      <c r="H27" s="174"/>
      <c r="I27" s="181"/>
      <c r="J27" s="176">
        <f t="shared" si="18"/>
        <v>0.35279736793436656</v>
      </c>
      <c r="K27" s="176">
        <f t="shared" si="18"/>
        <v>1.2648308148868026</v>
      </c>
      <c r="L27" s="173" t="s">
        <v>11</v>
      </c>
      <c r="M27" s="173" t="s">
        <v>11</v>
      </c>
      <c r="N27" s="173" t="s">
        <v>11</v>
      </c>
      <c r="O27" s="176">
        <f t="shared" si="18"/>
        <v>1.5641282379046808</v>
      </c>
    </row>
    <row r="28" spans="1:15" x14ac:dyDescent="0.2">
      <c r="A28" s="180">
        <v>330</v>
      </c>
      <c r="B28" s="172">
        <f t="shared" si="17"/>
        <v>0.3061006135394394</v>
      </c>
      <c r="C28" s="172">
        <f t="shared" si="17"/>
        <v>1.0891986258253807</v>
      </c>
      <c r="D28" s="173" t="s">
        <v>11</v>
      </c>
      <c r="E28" s="173" t="s">
        <v>11</v>
      </c>
      <c r="F28" s="173" t="s">
        <v>11</v>
      </c>
      <c r="G28" s="172">
        <f t="shared" si="17"/>
        <v>1.681036193937316</v>
      </c>
      <c r="H28" s="174"/>
      <c r="I28" s="181"/>
      <c r="J28" s="176">
        <f t="shared" si="18"/>
        <v>0.38772313216809146</v>
      </c>
      <c r="K28" s="176">
        <f t="shared" si="18"/>
        <v>1.1965514851502506</v>
      </c>
      <c r="L28" s="173" t="s">
        <v>11</v>
      </c>
      <c r="M28" s="173" t="s">
        <v>11</v>
      </c>
      <c r="N28" s="173" t="s">
        <v>11</v>
      </c>
      <c r="O28" s="176">
        <f t="shared" si="18"/>
        <v>1.6855992404799247</v>
      </c>
    </row>
    <row r="29" spans="1:15" x14ac:dyDescent="0.2">
      <c r="A29" s="180">
        <v>345</v>
      </c>
      <c r="B29" s="172">
        <f t="shared" si="17"/>
        <v>0.53585801560910462</v>
      </c>
      <c r="C29" s="172">
        <f t="shared" si="17"/>
        <v>1.0445993129126903</v>
      </c>
      <c r="D29" s="173" t="s">
        <v>11</v>
      </c>
      <c r="E29" s="173" t="s">
        <v>11</v>
      </c>
      <c r="F29" s="173" t="s">
        <v>11</v>
      </c>
      <c r="G29" s="172">
        <f t="shared" si="17"/>
        <v>1.681036193937316</v>
      </c>
      <c r="H29" s="174"/>
      <c r="I29" s="181"/>
      <c r="J29" s="176">
        <f t="shared" si="18"/>
        <v>0.49531400400070569</v>
      </c>
      <c r="K29" s="176">
        <f t="shared" si="18"/>
        <v>1.0982757425751253</v>
      </c>
      <c r="L29" s="173" t="s">
        <v>11</v>
      </c>
      <c r="M29" s="173" t="s">
        <v>11</v>
      </c>
      <c r="N29" s="173" t="s">
        <v>11</v>
      </c>
      <c r="O29" s="176">
        <f t="shared" si="18"/>
        <v>1.6855992404799247</v>
      </c>
    </row>
    <row r="30" spans="1:15" x14ac:dyDescent="0.2">
      <c r="A30" s="180">
        <v>360</v>
      </c>
      <c r="B30" s="172">
        <f t="shared" si="17"/>
        <v>0.76561541767876973</v>
      </c>
      <c r="C30" s="172">
        <f t="shared" si="17"/>
        <v>1</v>
      </c>
      <c r="D30" s="173" t="s">
        <v>11</v>
      </c>
      <c r="E30" s="173" t="s">
        <v>11</v>
      </c>
      <c r="F30" s="173" t="s">
        <v>11</v>
      </c>
      <c r="G30" s="172">
        <f t="shared" si="17"/>
        <v>1.681036193937316</v>
      </c>
      <c r="H30" s="182"/>
      <c r="I30" s="181"/>
      <c r="J30" s="176">
        <f t="shared" si="18"/>
        <v>0.60290487583331998</v>
      </c>
      <c r="K30" s="176">
        <f t="shared" si="18"/>
        <v>1</v>
      </c>
      <c r="L30" s="173" t="s">
        <v>11</v>
      </c>
      <c r="M30" s="173" t="s">
        <v>11</v>
      </c>
      <c r="N30" s="173" t="s">
        <v>11</v>
      </c>
      <c r="O30" s="176">
        <f t="shared" si="18"/>
        <v>1.6855992404799247</v>
      </c>
    </row>
    <row r="31" spans="1:15" ht="12.75" thickBot="1" x14ac:dyDescent="0.25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</row>
    <row r="32" spans="1:15" ht="15.75" customHeight="1" thickBot="1" x14ac:dyDescent="0.25">
      <c r="A32" s="228" t="s">
        <v>66</v>
      </c>
      <c r="B32" s="228"/>
      <c r="C32" s="228"/>
      <c r="D32" s="228"/>
      <c r="E32" s="228"/>
      <c r="F32" s="228"/>
      <c r="G32" s="228"/>
      <c r="H32" s="160"/>
      <c r="I32" s="228" t="s">
        <v>67</v>
      </c>
      <c r="J32" s="228"/>
      <c r="K32" s="228"/>
      <c r="L32" s="228"/>
      <c r="M32" s="228"/>
      <c r="N32" s="228"/>
      <c r="O32" s="228"/>
    </row>
    <row r="33" spans="1:15" x14ac:dyDescent="0.2">
      <c r="A33" s="184" t="s">
        <v>55</v>
      </c>
      <c r="B33" s="185">
        <f>topoDomain_long_FST1!S5</f>
        <v>1678</v>
      </c>
      <c r="C33" s="185">
        <f>topoDomain_long_FST1!T5</f>
        <v>7811</v>
      </c>
      <c r="D33" s="185">
        <f>topoDomain_long_FST1!U5</f>
        <v>8949</v>
      </c>
      <c r="E33" s="185">
        <f>topoDomain_long_FST1!V5</f>
        <v>298215</v>
      </c>
      <c r="F33" s="185">
        <f>topoDomain_long_FST1!W5</f>
        <v>32704</v>
      </c>
      <c r="G33" s="185">
        <f>topoDomain_long_FST1!X5</f>
        <v>1598052</v>
      </c>
      <c r="H33" s="164"/>
      <c r="I33" s="184" t="s">
        <v>55</v>
      </c>
      <c r="J33" s="185">
        <f t="shared" ref="J33:O33" si="19">B33</f>
        <v>1678</v>
      </c>
      <c r="K33" s="185">
        <f t="shared" si="19"/>
        <v>7811</v>
      </c>
      <c r="L33" s="185">
        <f t="shared" si="19"/>
        <v>8949</v>
      </c>
      <c r="M33" s="185">
        <f t="shared" si="19"/>
        <v>298215</v>
      </c>
      <c r="N33" s="185">
        <f t="shared" si="19"/>
        <v>32704</v>
      </c>
      <c r="O33" s="185">
        <f t="shared" si="19"/>
        <v>1598052</v>
      </c>
    </row>
    <row r="34" spans="1:15" ht="12.75" thickBot="1" x14ac:dyDescent="0.25">
      <c r="A34" s="186"/>
      <c r="B34" s="187" t="s">
        <v>57</v>
      </c>
      <c r="C34" s="187" t="s">
        <v>57</v>
      </c>
      <c r="D34" s="187" t="s">
        <v>57</v>
      </c>
      <c r="E34" s="187" t="s">
        <v>58</v>
      </c>
      <c r="F34" s="187" t="s">
        <v>58</v>
      </c>
      <c r="G34" s="187" t="s">
        <v>58</v>
      </c>
      <c r="H34" s="167"/>
      <c r="I34" s="186"/>
      <c r="J34" s="187" t="s">
        <v>57</v>
      </c>
      <c r="K34" s="187" t="s">
        <v>57</v>
      </c>
      <c r="L34" s="187" t="s">
        <v>57</v>
      </c>
      <c r="M34" s="187" t="s">
        <v>58</v>
      </c>
      <c r="N34" s="187" t="s">
        <v>58</v>
      </c>
      <c r="O34" s="187" t="s">
        <v>58</v>
      </c>
    </row>
    <row r="35" spans="1:15" ht="14.25" thickBot="1" x14ac:dyDescent="0.25">
      <c r="A35" s="188" t="s">
        <v>59</v>
      </c>
      <c r="B35" s="189" t="s">
        <v>258</v>
      </c>
      <c r="C35" s="189" t="s">
        <v>259</v>
      </c>
      <c r="D35" s="189" t="s">
        <v>260</v>
      </c>
      <c r="E35" s="189" t="s">
        <v>261</v>
      </c>
      <c r="F35" s="189" t="s">
        <v>262</v>
      </c>
      <c r="G35" s="189" t="s">
        <v>263</v>
      </c>
      <c r="H35" s="160"/>
      <c r="I35" s="188" t="s">
        <v>59</v>
      </c>
      <c r="J35" s="189" t="s">
        <v>258</v>
      </c>
      <c r="K35" s="189" t="s">
        <v>259</v>
      </c>
      <c r="L35" s="189" t="s">
        <v>260</v>
      </c>
      <c r="M35" s="189" t="s">
        <v>261</v>
      </c>
      <c r="N35" s="189" t="s">
        <v>262</v>
      </c>
      <c r="O35" s="189" t="s">
        <v>263</v>
      </c>
    </row>
    <row r="36" spans="1:15" ht="36.75" thickBot="1" x14ac:dyDescent="0.25">
      <c r="A36" s="190"/>
      <c r="B36" s="189" t="str">
        <f t="shared" ref="B36:G36" si="20">CONCATENATE($A$32,"-",B35)</f>
        <v>topoDomain-long-FST1-Cx [-]</v>
      </c>
      <c r="C36" s="189" t="str">
        <f t="shared" si="20"/>
        <v>topoDomain-long-FST1-Cy [-]</v>
      </c>
      <c r="D36" s="189" t="str">
        <f t="shared" si="20"/>
        <v>topoDomain-long-FST1-Cz [-]</v>
      </c>
      <c r="E36" s="189" t="str">
        <f t="shared" si="20"/>
        <v>topoDomain-long-FST1-Cnx [-]</v>
      </c>
      <c r="F36" s="189" t="str">
        <f t="shared" si="20"/>
        <v>topoDomain-long-FST1-Cny [-]</v>
      </c>
      <c r="G36" s="189" t="str">
        <f t="shared" si="20"/>
        <v>topoDomain-long-FST1-Cnz [-]</v>
      </c>
      <c r="H36" s="160"/>
      <c r="I36" s="190"/>
      <c r="J36" s="189" t="str">
        <f t="shared" ref="J36:O36" si="21">CONCATENATE($I$32,"-",J35)</f>
        <v>topoDomain-long-FST2-Cx [-]</v>
      </c>
      <c r="K36" s="189" t="str">
        <f t="shared" si="21"/>
        <v>topoDomain-long-FST2-Cy [-]</v>
      </c>
      <c r="L36" s="189" t="str">
        <f t="shared" si="21"/>
        <v>topoDomain-long-FST2-Cz [-]</v>
      </c>
      <c r="M36" s="189" t="str">
        <f t="shared" si="21"/>
        <v>topoDomain-long-FST2-Cnx [-]</v>
      </c>
      <c r="N36" s="189" t="str">
        <f t="shared" si="21"/>
        <v>topoDomain-long-FST2-Cny [-]</v>
      </c>
      <c r="O36" s="189" t="str">
        <f t="shared" si="21"/>
        <v>topoDomain-long-FST2-Cnz [-]</v>
      </c>
    </row>
    <row r="37" spans="1:15" x14ac:dyDescent="0.2">
      <c r="A37" s="191"/>
      <c r="B37" s="192"/>
      <c r="C37" s="193"/>
      <c r="D37" s="193"/>
      <c r="E37" s="193"/>
      <c r="F37" s="193"/>
      <c r="G37" s="194"/>
      <c r="H37" s="174"/>
      <c r="I37" s="191"/>
      <c r="J37" s="192"/>
      <c r="K37" s="193"/>
      <c r="L37" s="193"/>
      <c r="M37" s="193"/>
      <c r="N37" s="193"/>
      <c r="O37" s="194"/>
    </row>
    <row r="38" spans="1:15" x14ac:dyDescent="0.2">
      <c r="A38" s="191"/>
      <c r="B38" s="195"/>
      <c r="C38" s="174"/>
      <c r="D38" s="174"/>
      <c r="E38" s="174"/>
      <c r="F38" s="174"/>
      <c r="G38" s="196"/>
      <c r="H38" s="174"/>
      <c r="I38" s="191"/>
      <c r="J38" s="195"/>
      <c r="K38" s="174"/>
      <c r="L38" s="174"/>
      <c r="M38" s="174"/>
      <c r="N38" s="174"/>
      <c r="O38" s="196"/>
    </row>
    <row r="39" spans="1:15" x14ac:dyDescent="0.2">
      <c r="A39" s="191"/>
      <c r="B39" s="195"/>
      <c r="C39" s="174"/>
      <c r="D39" s="174"/>
      <c r="E39" s="174"/>
      <c r="F39" s="174"/>
      <c r="G39" s="196"/>
      <c r="H39" s="174"/>
      <c r="I39" s="191"/>
      <c r="J39" s="195"/>
      <c r="K39" s="174"/>
      <c r="L39" s="174"/>
      <c r="M39" s="174"/>
      <c r="N39" s="174"/>
      <c r="O39" s="196"/>
    </row>
    <row r="40" spans="1:15" x14ac:dyDescent="0.2">
      <c r="A40" s="191"/>
      <c r="B40" s="195"/>
      <c r="C40" s="174"/>
      <c r="D40" s="174"/>
      <c r="E40" s="174"/>
      <c r="F40" s="174"/>
      <c r="G40" s="196"/>
      <c r="H40" s="174"/>
      <c r="I40" s="191"/>
      <c r="J40" s="195"/>
      <c r="K40" s="174"/>
      <c r="L40" s="174"/>
      <c r="M40" s="174"/>
      <c r="N40" s="174"/>
      <c r="O40" s="196"/>
    </row>
    <row r="41" spans="1:15" ht="14.25" customHeight="1" x14ac:dyDescent="0.2">
      <c r="A41" s="191"/>
      <c r="B41" s="195"/>
      <c r="C41" s="174"/>
      <c r="D41" s="174"/>
      <c r="E41" s="174"/>
      <c r="F41" s="174"/>
      <c r="G41" s="196"/>
      <c r="H41" s="174"/>
      <c r="I41" s="191"/>
      <c r="J41" s="195"/>
      <c r="K41" s="174"/>
      <c r="L41" s="174"/>
      <c r="M41" s="174"/>
      <c r="N41" s="174"/>
      <c r="O41" s="196"/>
    </row>
    <row r="42" spans="1:15" x14ac:dyDescent="0.2">
      <c r="A42" s="191"/>
      <c r="B42" s="195"/>
      <c r="C42" s="174"/>
      <c r="D42" s="174"/>
      <c r="E42" s="174"/>
      <c r="F42" s="174"/>
      <c r="G42" s="196"/>
      <c r="H42" s="174"/>
      <c r="I42" s="191"/>
      <c r="J42" s="195"/>
      <c r="K42" s="174"/>
      <c r="L42" s="174"/>
      <c r="M42" s="174"/>
      <c r="N42" s="174"/>
      <c r="O42" s="196"/>
    </row>
    <row r="43" spans="1:15" x14ac:dyDescent="0.2">
      <c r="A43" s="191"/>
      <c r="B43" s="195"/>
      <c r="C43" s="174"/>
      <c r="D43" s="174"/>
      <c r="E43" s="174"/>
      <c r="F43" s="174"/>
      <c r="G43" s="196"/>
      <c r="H43" s="174"/>
      <c r="I43" s="191"/>
      <c r="J43" s="195"/>
      <c r="K43" s="174"/>
      <c r="L43" s="174"/>
      <c r="M43" s="174"/>
      <c r="N43" s="174"/>
      <c r="O43" s="196"/>
    </row>
    <row r="44" spans="1:15" x14ac:dyDescent="0.2">
      <c r="A44" s="191"/>
      <c r="B44" s="195"/>
      <c r="C44" s="174"/>
      <c r="D44" s="174"/>
      <c r="E44" s="174"/>
      <c r="F44" s="174"/>
      <c r="G44" s="196"/>
      <c r="H44" s="174"/>
      <c r="I44" s="191"/>
      <c r="J44" s="195"/>
      <c r="K44" s="174"/>
      <c r="L44" s="174"/>
      <c r="M44" s="174"/>
      <c r="N44" s="174"/>
      <c r="O44" s="196"/>
    </row>
    <row r="45" spans="1:15" x14ac:dyDescent="0.2">
      <c r="A45" s="191"/>
      <c r="B45" s="195"/>
      <c r="C45" s="174"/>
      <c r="D45" s="174"/>
      <c r="E45" s="174"/>
      <c r="F45" s="174"/>
      <c r="G45" s="196"/>
      <c r="H45" s="174"/>
      <c r="I45" s="191"/>
      <c r="J45" s="195"/>
      <c r="K45" s="174"/>
      <c r="L45" s="174"/>
      <c r="M45" s="174"/>
      <c r="N45" s="174"/>
      <c r="O45" s="196"/>
    </row>
    <row r="46" spans="1:15" x14ac:dyDescent="0.2">
      <c r="A46" s="191"/>
      <c r="B46" s="195"/>
      <c r="C46" s="174"/>
      <c r="D46" s="174"/>
      <c r="E46" s="174"/>
      <c r="F46" s="174"/>
      <c r="G46" s="196"/>
      <c r="H46" s="174"/>
      <c r="I46" s="191"/>
      <c r="J46" s="195"/>
      <c r="K46" s="174"/>
      <c r="L46" s="174"/>
      <c r="M46" s="174"/>
      <c r="N46" s="174"/>
      <c r="O46" s="196"/>
    </row>
    <row r="47" spans="1:15" x14ac:dyDescent="0.2">
      <c r="A47" s="191"/>
      <c r="B47" s="195"/>
      <c r="C47" s="174"/>
      <c r="D47" s="174"/>
      <c r="E47" s="174"/>
      <c r="F47" s="174"/>
      <c r="G47" s="196"/>
      <c r="H47" s="174"/>
      <c r="I47" s="191"/>
      <c r="J47" s="195"/>
      <c r="K47" s="174"/>
      <c r="L47" s="174"/>
      <c r="M47" s="174"/>
      <c r="N47" s="174"/>
      <c r="O47" s="196"/>
    </row>
    <row r="48" spans="1:15" x14ac:dyDescent="0.2">
      <c r="A48" s="191"/>
      <c r="B48" s="195"/>
      <c r="C48" s="174"/>
      <c r="D48" s="174"/>
      <c r="E48" s="174"/>
      <c r="F48" s="174"/>
      <c r="G48" s="196"/>
      <c r="H48" s="174"/>
      <c r="I48" s="191"/>
      <c r="J48" s="195"/>
      <c r="K48" s="174"/>
      <c r="L48" s="174"/>
      <c r="M48" s="174"/>
      <c r="N48" s="174"/>
      <c r="O48" s="196"/>
    </row>
    <row r="49" spans="1:15" x14ac:dyDescent="0.2">
      <c r="A49" s="191"/>
      <c r="B49" s="195"/>
      <c r="C49" s="174"/>
      <c r="D49" s="174"/>
      <c r="E49" s="174"/>
      <c r="F49" s="174"/>
      <c r="G49" s="196"/>
      <c r="H49" s="174"/>
      <c r="I49" s="191"/>
      <c r="J49" s="195"/>
      <c r="K49" s="174"/>
      <c r="L49" s="174"/>
      <c r="M49" s="174"/>
      <c r="N49" s="174"/>
      <c r="O49" s="196"/>
    </row>
    <row r="50" spans="1:15" x14ac:dyDescent="0.2">
      <c r="A50" s="197"/>
      <c r="B50" s="195"/>
      <c r="C50" s="174"/>
      <c r="D50" s="174"/>
      <c r="E50" s="174"/>
      <c r="F50" s="174"/>
      <c r="G50" s="196"/>
      <c r="H50" s="174"/>
      <c r="I50" s="197"/>
      <c r="J50" s="195"/>
      <c r="K50" s="174"/>
      <c r="L50" s="174"/>
      <c r="M50" s="174"/>
      <c r="N50" s="174"/>
      <c r="O50" s="196"/>
    </row>
    <row r="51" spans="1:15" x14ac:dyDescent="0.2">
      <c r="A51" s="197"/>
      <c r="B51" s="195"/>
      <c r="C51" s="174"/>
      <c r="D51" s="174"/>
      <c r="E51" s="174"/>
      <c r="F51" s="174"/>
      <c r="G51" s="196"/>
      <c r="H51" s="174"/>
      <c r="I51" s="197"/>
      <c r="J51" s="195"/>
      <c r="K51" s="174"/>
      <c r="L51" s="174"/>
      <c r="M51" s="174"/>
      <c r="N51" s="174"/>
      <c r="O51" s="196"/>
    </row>
    <row r="52" spans="1:15" x14ac:dyDescent="0.2">
      <c r="A52" s="197"/>
      <c r="B52" s="195"/>
      <c r="C52" s="174"/>
      <c r="D52" s="174"/>
      <c r="E52" s="174"/>
      <c r="F52" s="174"/>
      <c r="G52" s="196"/>
      <c r="H52" s="174"/>
      <c r="I52" s="197"/>
      <c r="J52" s="195"/>
      <c r="K52" s="174"/>
      <c r="L52" s="174"/>
      <c r="M52" s="174"/>
      <c r="N52" s="174"/>
      <c r="O52" s="196"/>
    </row>
    <row r="53" spans="1:15" x14ac:dyDescent="0.2">
      <c r="A53" s="197"/>
      <c r="B53" s="195"/>
      <c r="C53" s="174"/>
      <c r="D53" s="174"/>
      <c r="E53" s="174"/>
      <c r="F53" s="174"/>
      <c r="G53" s="196"/>
      <c r="H53" s="174"/>
      <c r="I53" s="197"/>
      <c r="J53" s="195"/>
      <c r="K53" s="174"/>
      <c r="L53" s="174"/>
      <c r="M53" s="174"/>
      <c r="N53" s="174"/>
      <c r="O53" s="196"/>
    </row>
    <row r="54" spans="1:15" x14ac:dyDescent="0.2">
      <c r="A54" s="197"/>
      <c r="B54" s="195"/>
      <c r="C54" s="174"/>
      <c r="D54" s="174"/>
      <c r="E54" s="174"/>
      <c r="F54" s="174"/>
      <c r="G54" s="196"/>
      <c r="H54" s="174"/>
      <c r="I54" s="197"/>
      <c r="J54" s="195"/>
      <c r="K54" s="174"/>
      <c r="L54" s="174"/>
      <c r="M54" s="174"/>
      <c r="N54" s="174"/>
      <c r="O54" s="196"/>
    </row>
    <row r="55" spans="1:15" x14ac:dyDescent="0.2">
      <c r="A55" s="197"/>
      <c r="B55" s="195"/>
      <c r="C55" s="174"/>
      <c r="D55" s="174"/>
      <c r="E55" s="174"/>
      <c r="F55" s="174"/>
      <c r="G55" s="196"/>
      <c r="H55" s="174"/>
      <c r="I55" s="197"/>
      <c r="J55" s="195"/>
      <c r="K55" s="174"/>
      <c r="L55" s="174"/>
      <c r="M55" s="174"/>
      <c r="N55" s="174"/>
      <c r="O55" s="196"/>
    </row>
    <row r="56" spans="1:15" x14ac:dyDescent="0.2">
      <c r="A56" s="197"/>
      <c r="B56" s="195"/>
      <c r="C56" s="174"/>
      <c r="D56" s="174"/>
      <c r="E56" s="174"/>
      <c r="F56" s="174"/>
      <c r="G56" s="196"/>
      <c r="H56" s="174"/>
      <c r="I56" s="197"/>
      <c r="J56" s="195"/>
      <c r="K56" s="174"/>
      <c r="L56" s="174"/>
      <c r="M56" s="174"/>
      <c r="N56" s="174"/>
      <c r="O56" s="196"/>
    </row>
    <row r="57" spans="1:15" x14ac:dyDescent="0.2">
      <c r="A57" s="197"/>
      <c r="B57" s="195"/>
      <c r="C57" s="174"/>
      <c r="D57" s="174"/>
      <c r="E57" s="174"/>
      <c r="F57" s="174"/>
      <c r="G57" s="196"/>
      <c r="H57" s="174"/>
      <c r="I57" s="197"/>
      <c r="J57" s="195"/>
      <c r="K57" s="174"/>
      <c r="L57" s="174"/>
      <c r="M57" s="174"/>
      <c r="N57" s="174"/>
      <c r="O57" s="196"/>
    </row>
    <row r="58" spans="1:15" x14ac:dyDescent="0.2">
      <c r="A58" s="197"/>
      <c r="B58" s="195"/>
      <c r="C58" s="174"/>
      <c r="D58" s="174"/>
      <c r="E58" s="174"/>
      <c r="F58" s="174"/>
      <c r="G58" s="196"/>
      <c r="H58" s="174"/>
      <c r="I58" s="197"/>
      <c r="J58" s="195"/>
      <c r="K58" s="174"/>
      <c r="L58" s="174"/>
      <c r="M58" s="174"/>
      <c r="N58" s="174"/>
      <c r="O58" s="196"/>
    </row>
    <row r="59" spans="1:15" x14ac:dyDescent="0.2">
      <c r="A59" s="197"/>
      <c r="B59" s="195"/>
      <c r="C59" s="174"/>
      <c r="D59" s="174"/>
      <c r="E59" s="174"/>
      <c r="F59" s="174"/>
      <c r="G59" s="196"/>
      <c r="H59" s="174"/>
      <c r="I59" s="197"/>
      <c r="J59" s="195"/>
      <c r="K59" s="174"/>
      <c r="L59" s="174"/>
      <c r="M59" s="174"/>
      <c r="N59" s="174"/>
      <c r="O59" s="196"/>
    </row>
    <row r="60" spans="1:15" x14ac:dyDescent="0.2">
      <c r="A60" s="197"/>
      <c r="B60" s="195"/>
      <c r="C60" s="174"/>
      <c r="D60" s="174"/>
      <c r="E60" s="174"/>
      <c r="F60" s="174"/>
      <c r="G60" s="196"/>
      <c r="H60" s="174"/>
      <c r="I60" s="197"/>
      <c r="J60" s="195"/>
      <c r="K60" s="174"/>
      <c r="L60" s="174"/>
      <c r="M60" s="174"/>
      <c r="N60" s="174"/>
      <c r="O60" s="196"/>
    </row>
    <row r="61" spans="1:15" ht="12.75" thickBot="1" x14ac:dyDescent="0.25">
      <c r="A61" s="198"/>
      <c r="B61" s="199"/>
      <c r="C61" s="200"/>
      <c r="D61" s="200"/>
      <c r="E61" s="200"/>
      <c r="F61" s="200"/>
      <c r="G61" s="201"/>
      <c r="H61" s="182"/>
      <c r="I61" s="198"/>
      <c r="J61" s="199"/>
      <c r="K61" s="200"/>
      <c r="L61" s="200"/>
      <c r="M61" s="200"/>
      <c r="N61" s="200"/>
      <c r="O61" s="201"/>
    </row>
    <row r="62" spans="1:15" ht="12.75" thickBot="1" x14ac:dyDescent="0.25">
      <c r="A62" s="183"/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</row>
    <row r="63" spans="1:15" ht="15.75" customHeight="1" thickBot="1" x14ac:dyDescent="0.25">
      <c r="A63" s="228" t="s">
        <v>68</v>
      </c>
      <c r="B63" s="228"/>
      <c r="C63" s="228"/>
      <c r="D63" s="228"/>
      <c r="E63" s="228"/>
      <c r="F63" s="228"/>
      <c r="G63" s="228"/>
      <c r="H63" s="160"/>
      <c r="I63" s="228" t="s">
        <v>69</v>
      </c>
      <c r="J63" s="228"/>
      <c r="K63" s="228"/>
      <c r="L63" s="228"/>
      <c r="M63" s="228"/>
      <c r="N63" s="228"/>
      <c r="O63" s="228"/>
    </row>
    <row r="64" spans="1:15" x14ac:dyDescent="0.2">
      <c r="A64" s="184" t="s">
        <v>55</v>
      </c>
      <c r="B64" s="185">
        <f>topoDomain_trans_FST1!S5</f>
        <v>1678</v>
      </c>
      <c r="C64" s="185">
        <f>topoDomain_trans_FST1!T5</f>
        <v>7811</v>
      </c>
      <c r="D64" s="185">
        <f>topoDomain_trans_FST1!U5</f>
        <v>8949</v>
      </c>
      <c r="E64" s="185">
        <f>topoDomain_trans_FST1!V5</f>
        <v>298215</v>
      </c>
      <c r="F64" s="185">
        <f>topoDomain_trans_FST1!W5</f>
        <v>32704</v>
      </c>
      <c r="G64" s="185">
        <f>topoDomain_trans_FST1!X5</f>
        <v>1598052</v>
      </c>
      <c r="H64" s="164"/>
      <c r="I64" s="184" t="s">
        <v>55</v>
      </c>
      <c r="J64" s="185">
        <f t="shared" ref="J64:O64" si="22">B64</f>
        <v>1678</v>
      </c>
      <c r="K64" s="185">
        <f t="shared" si="22"/>
        <v>7811</v>
      </c>
      <c r="L64" s="185">
        <f t="shared" si="22"/>
        <v>8949</v>
      </c>
      <c r="M64" s="185">
        <f t="shared" si="22"/>
        <v>298215</v>
      </c>
      <c r="N64" s="185">
        <f t="shared" si="22"/>
        <v>32704</v>
      </c>
      <c r="O64" s="185">
        <f t="shared" si="22"/>
        <v>1598052</v>
      </c>
    </row>
    <row r="65" spans="1:15" ht="12.75" thickBot="1" x14ac:dyDescent="0.25">
      <c r="A65" s="186"/>
      <c r="B65" s="187" t="s">
        <v>57</v>
      </c>
      <c r="C65" s="187" t="s">
        <v>57</v>
      </c>
      <c r="D65" s="187" t="s">
        <v>57</v>
      </c>
      <c r="E65" s="187" t="s">
        <v>58</v>
      </c>
      <c r="F65" s="187" t="s">
        <v>58</v>
      </c>
      <c r="G65" s="187" t="s">
        <v>58</v>
      </c>
      <c r="H65" s="167"/>
      <c r="I65" s="186"/>
      <c r="J65" s="187" t="s">
        <v>57</v>
      </c>
      <c r="K65" s="187" t="s">
        <v>57</v>
      </c>
      <c r="L65" s="187" t="s">
        <v>57</v>
      </c>
      <c r="M65" s="187" t="s">
        <v>58</v>
      </c>
      <c r="N65" s="187" t="s">
        <v>58</v>
      </c>
      <c r="O65" s="187" t="s">
        <v>58</v>
      </c>
    </row>
    <row r="66" spans="1:15" ht="14.25" thickBot="1" x14ac:dyDescent="0.25">
      <c r="A66" s="188" t="s">
        <v>59</v>
      </c>
      <c r="B66" s="189" t="s">
        <v>258</v>
      </c>
      <c r="C66" s="189" t="s">
        <v>259</v>
      </c>
      <c r="D66" s="189" t="s">
        <v>260</v>
      </c>
      <c r="E66" s="189" t="s">
        <v>261</v>
      </c>
      <c r="F66" s="189" t="s">
        <v>262</v>
      </c>
      <c r="G66" s="189" t="s">
        <v>263</v>
      </c>
      <c r="H66" s="160"/>
      <c r="I66" s="188" t="s">
        <v>59</v>
      </c>
      <c r="J66" s="189" t="s">
        <v>258</v>
      </c>
      <c r="K66" s="189" t="s">
        <v>259</v>
      </c>
      <c r="L66" s="189" t="s">
        <v>260</v>
      </c>
      <c r="M66" s="189" t="s">
        <v>261</v>
      </c>
      <c r="N66" s="189" t="s">
        <v>262</v>
      </c>
      <c r="O66" s="189" t="s">
        <v>263</v>
      </c>
    </row>
    <row r="67" spans="1:15" ht="36.75" thickBot="1" x14ac:dyDescent="0.25">
      <c r="A67" s="190"/>
      <c r="B67" s="189" t="str">
        <f t="shared" ref="B67:G67" si="23">CONCATENATE($A$63,"-",B66)</f>
        <v>topoDomain-trans-FST1-Cx [-]</v>
      </c>
      <c r="C67" s="189" t="str">
        <f t="shared" si="23"/>
        <v>topoDomain-trans-FST1-Cy [-]</v>
      </c>
      <c r="D67" s="189" t="str">
        <f t="shared" si="23"/>
        <v>topoDomain-trans-FST1-Cz [-]</v>
      </c>
      <c r="E67" s="189" t="str">
        <f t="shared" si="23"/>
        <v>topoDomain-trans-FST1-Cnx [-]</v>
      </c>
      <c r="F67" s="189" t="str">
        <f t="shared" si="23"/>
        <v>topoDomain-trans-FST1-Cny [-]</v>
      </c>
      <c r="G67" s="189" t="str">
        <f t="shared" si="23"/>
        <v>topoDomain-trans-FST1-Cnz [-]</v>
      </c>
      <c r="H67" s="160"/>
      <c r="I67" s="190"/>
      <c r="J67" s="189" t="str">
        <f t="shared" ref="J67:O67" si="24">CONCATENATE($I$63,"-",J66)</f>
        <v>topoDomain-trans-FST2-Cx [-]</v>
      </c>
      <c r="K67" s="189" t="str">
        <f t="shared" si="24"/>
        <v>topoDomain-trans-FST2-Cy [-]</v>
      </c>
      <c r="L67" s="189" t="str">
        <f t="shared" si="24"/>
        <v>topoDomain-trans-FST2-Cz [-]</v>
      </c>
      <c r="M67" s="189" t="str">
        <f t="shared" si="24"/>
        <v>topoDomain-trans-FST2-Cnx [-]</v>
      </c>
      <c r="N67" s="189" t="str">
        <f t="shared" si="24"/>
        <v>topoDomain-trans-FST2-Cny [-]</v>
      </c>
      <c r="O67" s="189" t="str">
        <f t="shared" si="24"/>
        <v>topoDomain-trans-FST2-Cnz [-]</v>
      </c>
    </row>
    <row r="68" spans="1:15" x14ac:dyDescent="0.2">
      <c r="A68" s="191"/>
      <c r="B68" s="192"/>
      <c r="C68" s="193"/>
      <c r="D68" s="193"/>
      <c r="E68" s="193"/>
      <c r="F68" s="193"/>
      <c r="G68" s="194"/>
      <c r="H68" s="174"/>
      <c r="I68" s="191"/>
      <c r="J68" s="192"/>
      <c r="K68" s="193"/>
      <c r="L68" s="193"/>
      <c r="M68" s="193"/>
      <c r="N68" s="193"/>
      <c r="O68" s="194"/>
    </row>
    <row r="69" spans="1:15" x14ac:dyDescent="0.2">
      <c r="A69" s="191"/>
      <c r="B69" s="195"/>
      <c r="C69" s="174"/>
      <c r="D69" s="174"/>
      <c r="E69" s="174"/>
      <c r="F69" s="174"/>
      <c r="G69" s="196"/>
      <c r="H69" s="174"/>
      <c r="I69" s="191"/>
      <c r="J69" s="195"/>
      <c r="K69" s="174"/>
      <c r="L69" s="174"/>
      <c r="M69" s="174"/>
      <c r="N69" s="174"/>
      <c r="O69" s="196"/>
    </row>
    <row r="70" spans="1:15" x14ac:dyDescent="0.2">
      <c r="A70" s="191"/>
      <c r="B70" s="195"/>
      <c r="C70" s="174"/>
      <c r="D70" s="174"/>
      <c r="E70" s="174"/>
      <c r="F70" s="174"/>
      <c r="G70" s="196"/>
      <c r="H70" s="174"/>
      <c r="I70" s="191"/>
      <c r="J70" s="195"/>
      <c r="K70" s="174"/>
      <c r="L70" s="174"/>
      <c r="M70" s="174"/>
      <c r="N70" s="174"/>
      <c r="O70" s="196"/>
    </row>
    <row r="71" spans="1:15" x14ac:dyDescent="0.2">
      <c r="A71" s="191"/>
      <c r="B71" s="195"/>
      <c r="C71" s="174"/>
      <c r="D71" s="174"/>
      <c r="E71" s="174"/>
      <c r="F71" s="174"/>
      <c r="G71" s="196"/>
      <c r="H71" s="174"/>
      <c r="I71" s="191"/>
      <c r="J71" s="195"/>
      <c r="K71" s="174"/>
      <c r="L71" s="174"/>
      <c r="M71" s="174"/>
      <c r="N71" s="174"/>
      <c r="O71" s="196"/>
    </row>
    <row r="72" spans="1:15" x14ac:dyDescent="0.2">
      <c r="A72" s="191"/>
      <c r="B72" s="195"/>
      <c r="C72" s="174"/>
      <c r="D72" s="174"/>
      <c r="E72" s="174"/>
      <c r="F72" s="174"/>
      <c r="G72" s="196"/>
      <c r="H72" s="174"/>
      <c r="I72" s="191"/>
      <c r="J72" s="195"/>
      <c r="K72" s="174"/>
      <c r="L72" s="174"/>
      <c r="M72" s="174"/>
      <c r="N72" s="174"/>
      <c r="O72" s="196"/>
    </row>
    <row r="73" spans="1:15" x14ac:dyDescent="0.2">
      <c r="A73" s="191"/>
      <c r="B73" s="195"/>
      <c r="C73" s="174"/>
      <c r="D73" s="174"/>
      <c r="E73" s="174"/>
      <c r="F73" s="174"/>
      <c r="G73" s="196"/>
      <c r="H73" s="174"/>
      <c r="I73" s="191"/>
      <c r="J73" s="195"/>
      <c r="K73" s="174"/>
      <c r="L73" s="174"/>
      <c r="M73" s="174"/>
      <c r="N73" s="174"/>
      <c r="O73" s="196"/>
    </row>
    <row r="74" spans="1:15" x14ac:dyDescent="0.2">
      <c r="A74" s="191"/>
      <c r="B74" s="195"/>
      <c r="C74" s="174"/>
      <c r="D74" s="174"/>
      <c r="E74" s="174"/>
      <c r="F74" s="174"/>
      <c r="G74" s="196"/>
      <c r="H74" s="174"/>
      <c r="I74" s="191"/>
      <c r="J74" s="195"/>
      <c r="K74" s="174"/>
      <c r="L74" s="174"/>
      <c r="M74" s="174"/>
      <c r="N74" s="174"/>
      <c r="O74" s="196"/>
    </row>
    <row r="75" spans="1:15" x14ac:dyDescent="0.2">
      <c r="A75" s="191"/>
      <c r="B75" s="195"/>
      <c r="C75" s="174"/>
      <c r="D75" s="174"/>
      <c r="E75" s="174"/>
      <c r="F75" s="174"/>
      <c r="G75" s="196"/>
      <c r="H75" s="174"/>
      <c r="I75" s="191"/>
      <c r="J75" s="195"/>
      <c r="K75" s="174"/>
      <c r="L75" s="174"/>
      <c r="M75" s="174"/>
      <c r="N75" s="174"/>
      <c r="O75" s="196"/>
    </row>
    <row r="76" spans="1:15" x14ac:dyDescent="0.2">
      <c r="A76" s="191"/>
      <c r="B76" s="195"/>
      <c r="C76" s="174"/>
      <c r="D76" s="174"/>
      <c r="E76" s="174"/>
      <c r="F76" s="174"/>
      <c r="G76" s="196"/>
      <c r="H76" s="174"/>
      <c r="I76" s="191"/>
      <c r="J76" s="195"/>
      <c r="K76" s="174"/>
      <c r="L76" s="174"/>
      <c r="M76" s="174"/>
      <c r="N76" s="174"/>
      <c r="O76" s="196"/>
    </row>
    <row r="77" spans="1:15" x14ac:dyDescent="0.2">
      <c r="A77" s="191"/>
      <c r="B77" s="195"/>
      <c r="C77" s="174"/>
      <c r="D77" s="174"/>
      <c r="E77" s="174"/>
      <c r="F77" s="174"/>
      <c r="G77" s="196"/>
      <c r="H77" s="174"/>
      <c r="I77" s="191"/>
      <c r="J77" s="195"/>
      <c r="K77" s="174"/>
      <c r="L77" s="174"/>
      <c r="M77" s="174"/>
      <c r="N77" s="174"/>
      <c r="O77" s="196"/>
    </row>
    <row r="78" spans="1:15" x14ac:dyDescent="0.2">
      <c r="A78" s="191"/>
      <c r="B78" s="195"/>
      <c r="C78" s="174"/>
      <c r="D78" s="174"/>
      <c r="E78" s="174"/>
      <c r="F78" s="174"/>
      <c r="G78" s="196"/>
      <c r="H78" s="174"/>
      <c r="I78" s="191"/>
      <c r="J78" s="195"/>
      <c r="K78" s="174"/>
      <c r="L78" s="174"/>
      <c r="M78" s="174"/>
      <c r="N78" s="174"/>
      <c r="O78" s="196"/>
    </row>
    <row r="79" spans="1:15" x14ac:dyDescent="0.2">
      <c r="A79" s="191"/>
      <c r="B79" s="195"/>
      <c r="C79" s="174"/>
      <c r="D79" s="174"/>
      <c r="E79" s="174"/>
      <c r="F79" s="174"/>
      <c r="G79" s="196"/>
      <c r="H79" s="174"/>
      <c r="I79" s="191"/>
      <c r="J79" s="195"/>
      <c r="K79" s="174"/>
      <c r="L79" s="174"/>
      <c r="M79" s="174"/>
      <c r="N79" s="174"/>
      <c r="O79" s="196"/>
    </row>
    <row r="80" spans="1:15" x14ac:dyDescent="0.2">
      <c r="A80" s="191"/>
      <c r="B80" s="195"/>
      <c r="C80" s="174"/>
      <c r="D80" s="174"/>
      <c r="E80" s="174"/>
      <c r="F80" s="174"/>
      <c r="G80" s="196"/>
      <c r="H80" s="174"/>
      <c r="I80" s="191"/>
      <c r="J80" s="195"/>
      <c r="K80" s="174"/>
      <c r="L80" s="174"/>
      <c r="M80" s="174"/>
      <c r="N80" s="174"/>
      <c r="O80" s="196"/>
    </row>
    <row r="81" spans="1:39" x14ac:dyDescent="0.2">
      <c r="A81" s="191"/>
      <c r="B81" s="195"/>
      <c r="C81" s="174"/>
      <c r="D81" s="174"/>
      <c r="E81" s="174"/>
      <c r="F81" s="174"/>
      <c r="G81" s="196"/>
      <c r="H81" s="174"/>
      <c r="I81" s="197"/>
      <c r="J81" s="195"/>
      <c r="K81" s="174"/>
      <c r="L81" s="174"/>
      <c r="M81" s="174"/>
      <c r="N81" s="174"/>
      <c r="O81" s="196"/>
    </row>
    <row r="82" spans="1:39" x14ac:dyDescent="0.2">
      <c r="A82" s="191"/>
      <c r="B82" s="195"/>
      <c r="C82" s="174"/>
      <c r="D82" s="174"/>
      <c r="E82" s="174"/>
      <c r="F82" s="174"/>
      <c r="G82" s="196"/>
      <c r="H82" s="174"/>
      <c r="I82" s="197"/>
      <c r="J82" s="195"/>
      <c r="K82" s="174"/>
      <c r="L82" s="174"/>
      <c r="M82" s="174"/>
      <c r="N82" s="174"/>
      <c r="O82" s="196"/>
    </row>
    <row r="83" spans="1:39" x14ac:dyDescent="0.2">
      <c r="A83" s="191"/>
      <c r="B83" s="195"/>
      <c r="C83" s="174"/>
      <c r="D83" s="174"/>
      <c r="E83" s="174"/>
      <c r="F83" s="174"/>
      <c r="G83" s="196"/>
      <c r="H83" s="174"/>
      <c r="I83" s="197"/>
      <c r="J83" s="195"/>
      <c r="K83" s="174"/>
      <c r="L83" s="174"/>
      <c r="M83" s="174"/>
      <c r="N83" s="174"/>
      <c r="O83" s="196"/>
    </row>
    <row r="84" spans="1:39" x14ac:dyDescent="0.2">
      <c r="A84" s="191"/>
      <c r="B84" s="195"/>
      <c r="C84" s="174"/>
      <c r="D84" s="174"/>
      <c r="E84" s="174"/>
      <c r="F84" s="174"/>
      <c r="G84" s="196"/>
      <c r="H84" s="174"/>
      <c r="I84" s="197"/>
      <c r="J84" s="195"/>
      <c r="K84" s="174"/>
      <c r="L84" s="174"/>
      <c r="M84" s="174"/>
      <c r="N84" s="174"/>
      <c r="O84" s="196"/>
    </row>
    <row r="85" spans="1:39" x14ac:dyDescent="0.2">
      <c r="A85" s="191"/>
      <c r="B85" s="195"/>
      <c r="C85" s="174"/>
      <c r="D85" s="174"/>
      <c r="E85" s="174"/>
      <c r="F85" s="174"/>
      <c r="G85" s="196"/>
      <c r="H85" s="174"/>
      <c r="I85" s="197"/>
      <c r="J85" s="195"/>
      <c r="K85" s="174"/>
      <c r="L85" s="174"/>
      <c r="M85" s="174"/>
      <c r="N85" s="174"/>
      <c r="O85" s="196"/>
    </row>
    <row r="86" spans="1:39" x14ac:dyDescent="0.2">
      <c r="A86" s="191"/>
      <c r="B86" s="195"/>
      <c r="C86" s="174"/>
      <c r="D86" s="174"/>
      <c r="E86" s="174"/>
      <c r="F86" s="174"/>
      <c r="G86" s="196"/>
      <c r="H86" s="174"/>
      <c r="I86" s="197"/>
      <c r="J86" s="195"/>
      <c r="K86" s="174"/>
      <c r="L86" s="174"/>
      <c r="M86" s="174"/>
      <c r="N86" s="174"/>
      <c r="O86" s="196"/>
    </row>
    <row r="87" spans="1:39" x14ac:dyDescent="0.2">
      <c r="A87" s="191"/>
      <c r="B87" s="195"/>
      <c r="C87" s="174"/>
      <c r="D87" s="174"/>
      <c r="E87" s="174"/>
      <c r="F87" s="174"/>
      <c r="G87" s="196"/>
      <c r="H87" s="174"/>
      <c r="I87" s="197"/>
      <c r="J87" s="195"/>
      <c r="K87" s="174"/>
      <c r="L87" s="174"/>
      <c r="M87" s="174"/>
      <c r="N87" s="174"/>
      <c r="O87" s="196"/>
    </row>
    <row r="88" spans="1:39" x14ac:dyDescent="0.2">
      <c r="A88" s="191"/>
      <c r="B88" s="195"/>
      <c r="C88" s="174"/>
      <c r="D88" s="174"/>
      <c r="E88" s="174"/>
      <c r="F88" s="174"/>
      <c r="G88" s="196"/>
      <c r="H88" s="174"/>
      <c r="I88" s="197"/>
      <c r="J88" s="195"/>
      <c r="K88" s="174"/>
      <c r="L88" s="174"/>
      <c r="M88" s="174"/>
      <c r="N88" s="174"/>
      <c r="O88" s="196"/>
    </row>
    <row r="89" spans="1:39" x14ac:dyDescent="0.2">
      <c r="A89" s="191"/>
      <c r="B89" s="195"/>
      <c r="C89" s="174"/>
      <c r="D89" s="174"/>
      <c r="E89" s="174"/>
      <c r="F89" s="174"/>
      <c r="G89" s="196"/>
      <c r="H89" s="174"/>
      <c r="I89" s="197"/>
      <c r="J89" s="195"/>
      <c r="K89" s="174"/>
      <c r="L89" s="174"/>
      <c r="M89" s="174"/>
      <c r="N89" s="174"/>
      <c r="O89" s="196"/>
    </row>
    <row r="90" spans="1:39" x14ac:dyDescent="0.2">
      <c r="A90" s="191"/>
      <c r="B90" s="195"/>
      <c r="C90" s="174"/>
      <c r="D90" s="174"/>
      <c r="E90" s="174"/>
      <c r="F90" s="174"/>
      <c r="G90" s="196"/>
      <c r="H90" s="174"/>
      <c r="I90" s="197"/>
      <c r="J90" s="195"/>
      <c r="K90" s="174"/>
      <c r="L90" s="174"/>
      <c r="M90" s="174"/>
      <c r="N90" s="174"/>
      <c r="O90" s="196"/>
    </row>
    <row r="91" spans="1:39" x14ac:dyDescent="0.2">
      <c r="A91" s="191"/>
      <c r="B91" s="195"/>
      <c r="C91" s="174"/>
      <c r="D91" s="174"/>
      <c r="E91" s="174"/>
      <c r="F91" s="174"/>
      <c r="G91" s="196"/>
      <c r="H91" s="174"/>
      <c r="I91" s="197"/>
      <c r="J91" s="195"/>
      <c r="K91" s="174"/>
      <c r="L91" s="174"/>
      <c r="M91" s="174"/>
      <c r="N91" s="174"/>
      <c r="O91" s="196"/>
    </row>
    <row r="92" spans="1:39" ht="12.75" thickBot="1" x14ac:dyDescent="0.25">
      <c r="A92" s="191"/>
      <c r="B92" s="199"/>
      <c r="C92" s="200"/>
      <c r="D92" s="200"/>
      <c r="E92" s="200"/>
      <c r="F92" s="200"/>
      <c r="G92" s="201"/>
      <c r="H92" s="182"/>
      <c r="I92" s="198"/>
      <c r="J92" s="199"/>
      <c r="K92" s="200"/>
      <c r="L92" s="200"/>
      <c r="M92" s="200"/>
      <c r="N92" s="200"/>
      <c r="O92" s="201"/>
    </row>
    <row r="94" spans="1:39" ht="15.75" customHeight="1" thickBot="1" x14ac:dyDescent="0.25">
      <c r="A94" s="228" t="s">
        <v>70</v>
      </c>
      <c r="B94" s="228"/>
      <c r="C94" s="228"/>
      <c r="D94" s="228"/>
      <c r="E94" s="228"/>
      <c r="F94" s="228"/>
      <c r="G94" s="228"/>
      <c r="H94" s="160"/>
      <c r="I94" s="228" t="s">
        <v>71</v>
      </c>
      <c r="J94" s="228"/>
      <c r="K94" s="228"/>
      <c r="L94" s="228"/>
      <c r="M94" s="228"/>
      <c r="N94" s="228"/>
      <c r="O94" s="228"/>
      <c r="Q94" s="228" t="s">
        <v>72</v>
      </c>
      <c r="R94" s="228"/>
      <c r="S94" s="228"/>
      <c r="T94" s="228"/>
      <c r="U94" s="228"/>
      <c r="V94" s="228"/>
      <c r="W94" s="228"/>
      <c r="Y94" s="228" t="s">
        <v>73</v>
      </c>
      <c r="Z94" s="228"/>
      <c r="AA94" s="228"/>
      <c r="AB94" s="228"/>
      <c r="AC94" s="228"/>
      <c r="AD94" s="228"/>
      <c r="AE94" s="228"/>
      <c r="AG94" s="228" t="s">
        <v>74</v>
      </c>
      <c r="AH94" s="228"/>
      <c r="AI94" s="228"/>
      <c r="AJ94" s="228"/>
      <c r="AK94" s="228"/>
      <c r="AL94" s="228"/>
      <c r="AM94" s="228"/>
    </row>
    <row r="95" spans="1:39" x14ac:dyDescent="0.2">
      <c r="A95" s="184" t="s">
        <v>55</v>
      </c>
      <c r="B95" s="185">
        <f>openDomain_trans_FST1!S5</f>
        <v>1678</v>
      </c>
      <c r="C95" s="185">
        <f>openDomain_trans_FST1!T5</f>
        <v>7811</v>
      </c>
      <c r="D95" s="185">
        <f>openDomain_trans_FST1!U5</f>
        <v>8949</v>
      </c>
      <c r="E95" s="185">
        <f>openDomain_trans_FST1!V5</f>
        <v>298215</v>
      </c>
      <c r="F95" s="185">
        <f>openDomain_trans_FST1!W5</f>
        <v>32704</v>
      </c>
      <c r="G95" s="185">
        <f>openDomain_trans_FST1!X5</f>
        <v>1598052</v>
      </c>
      <c r="H95" s="164"/>
      <c r="I95" s="184" t="s">
        <v>55</v>
      </c>
      <c r="J95" s="185">
        <f t="shared" ref="J95:O95" si="25">B95</f>
        <v>1678</v>
      </c>
      <c r="K95" s="185">
        <f t="shared" si="25"/>
        <v>7811</v>
      </c>
      <c r="L95" s="185">
        <f t="shared" si="25"/>
        <v>8949</v>
      </c>
      <c r="M95" s="185">
        <f t="shared" si="25"/>
        <v>298215</v>
      </c>
      <c r="N95" s="185">
        <f t="shared" si="25"/>
        <v>32704</v>
      </c>
      <c r="O95" s="185">
        <f t="shared" si="25"/>
        <v>1598052</v>
      </c>
      <c r="Q95" s="184" t="s">
        <v>55</v>
      </c>
      <c r="R95" s="185">
        <f t="shared" ref="R95:W95" si="26">J95</f>
        <v>1678</v>
      </c>
      <c r="S95" s="185">
        <f t="shared" si="26"/>
        <v>7811</v>
      </c>
      <c r="T95" s="185">
        <f t="shared" si="26"/>
        <v>8949</v>
      </c>
      <c r="U95" s="185">
        <f t="shared" si="26"/>
        <v>298215</v>
      </c>
      <c r="V95" s="185">
        <f t="shared" si="26"/>
        <v>32704</v>
      </c>
      <c r="W95" s="185">
        <f t="shared" si="26"/>
        <v>1598052</v>
      </c>
      <c r="Y95" s="184" t="s">
        <v>55</v>
      </c>
      <c r="Z95" s="185">
        <f t="shared" ref="Z95:AE95" si="27">R95</f>
        <v>1678</v>
      </c>
      <c r="AA95" s="185">
        <f t="shared" si="27"/>
        <v>7811</v>
      </c>
      <c r="AB95" s="185">
        <f t="shared" si="27"/>
        <v>8949</v>
      </c>
      <c r="AC95" s="185">
        <f t="shared" si="27"/>
        <v>298215</v>
      </c>
      <c r="AD95" s="185">
        <f t="shared" si="27"/>
        <v>32704</v>
      </c>
      <c r="AE95" s="185">
        <f t="shared" si="27"/>
        <v>1598052</v>
      </c>
      <c r="AG95" s="184" t="s">
        <v>55</v>
      </c>
      <c r="AH95" s="185">
        <f t="shared" ref="AH95:AM95" si="28">Z95</f>
        <v>1678</v>
      </c>
      <c r="AI95" s="185">
        <f t="shared" si="28"/>
        <v>7811</v>
      </c>
      <c r="AJ95" s="185">
        <f t="shared" si="28"/>
        <v>8949</v>
      </c>
      <c r="AK95" s="185">
        <f t="shared" si="28"/>
        <v>298215</v>
      </c>
      <c r="AL95" s="185">
        <f t="shared" si="28"/>
        <v>32704</v>
      </c>
      <c r="AM95" s="185">
        <f t="shared" si="28"/>
        <v>1598052</v>
      </c>
    </row>
    <row r="96" spans="1:39" ht="12.75" thickBot="1" x14ac:dyDescent="0.25">
      <c r="A96" s="186"/>
      <c r="B96" s="187" t="s">
        <v>57</v>
      </c>
      <c r="C96" s="187" t="s">
        <v>57</v>
      </c>
      <c r="D96" s="187" t="s">
        <v>57</v>
      </c>
      <c r="E96" s="187" t="s">
        <v>58</v>
      </c>
      <c r="F96" s="187" t="s">
        <v>58</v>
      </c>
      <c r="G96" s="187" t="s">
        <v>58</v>
      </c>
      <c r="H96" s="167"/>
      <c r="I96" s="186"/>
      <c r="J96" s="187" t="s">
        <v>57</v>
      </c>
      <c r="K96" s="187" t="s">
        <v>57</v>
      </c>
      <c r="L96" s="187" t="s">
        <v>57</v>
      </c>
      <c r="M96" s="187" t="s">
        <v>58</v>
      </c>
      <c r="N96" s="187" t="s">
        <v>58</v>
      </c>
      <c r="O96" s="187" t="s">
        <v>58</v>
      </c>
      <c r="Q96" s="186"/>
      <c r="R96" s="187" t="s">
        <v>57</v>
      </c>
      <c r="S96" s="187" t="s">
        <v>57</v>
      </c>
      <c r="T96" s="187" t="s">
        <v>57</v>
      </c>
      <c r="U96" s="187" t="s">
        <v>58</v>
      </c>
      <c r="V96" s="187" t="s">
        <v>58</v>
      </c>
      <c r="W96" s="187" t="s">
        <v>58</v>
      </c>
      <c r="Y96" s="186"/>
      <c r="Z96" s="187" t="s">
        <v>57</v>
      </c>
      <c r="AA96" s="187" t="s">
        <v>57</v>
      </c>
      <c r="AB96" s="187" t="s">
        <v>57</v>
      </c>
      <c r="AC96" s="187" t="s">
        <v>58</v>
      </c>
      <c r="AD96" s="187" t="s">
        <v>58</v>
      </c>
      <c r="AE96" s="187" t="s">
        <v>58</v>
      </c>
      <c r="AG96" s="186"/>
      <c r="AH96" s="187" t="s">
        <v>57</v>
      </c>
      <c r="AI96" s="187" t="s">
        <v>57</v>
      </c>
      <c r="AJ96" s="187" t="s">
        <v>57</v>
      </c>
      <c r="AK96" s="187" t="s">
        <v>58</v>
      </c>
      <c r="AL96" s="187" t="s">
        <v>58</v>
      </c>
      <c r="AM96" s="187" t="s">
        <v>58</v>
      </c>
    </row>
    <row r="97" spans="1:39" ht="24.75" thickBot="1" x14ac:dyDescent="0.25">
      <c r="A97" s="188" t="s">
        <v>59</v>
      </c>
      <c r="B97" s="189" t="s">
        <v>258</v>
      </c>
      <c r="C97" s="189" t="s">
        <v>259</v>
      </c>
      <c r="D97" s="189" t="s">
        <v>260</v>
      </c>
      <c r="E97" s="189" t="s">
        <v>261</v>
      </c>
      <c r="F97" s="189" t="s">
        <v>262</v>
      </c>
      <c r="G97" s="189" t="s">
        <v>263</v>
      </c>
      <c r="H97" s="160"/>
      <c r="I97" s="188" t="s">
        <v>59</v>
      </c>
      <c r="J97" s="189" t="s">
        <v>258</v>
      </c>
      <c r="K97" s="189" t="s">
        <v>259</v>
      </c>
      <c r="L97" s="189" t="s">
        <v>260</v>
      </c>
      <c r="M97" s="189" t="s">
        <v>261</v>
      </c>
      <c r="N97" s="189" t="s">
        <v>262</v>
      </c>
      <c r="O97" s="189" t="s">
        <v>263</v>
      </c>
      <c r="Q97" s="188" t="s">
        <v>59</v>
      </c>
      <c r="R97" s="189" t="s">
        <v>258</v>
      </c>
      <c r="S97" s="189" t="s">
        <v>259</v>
      </c>
      <c r="T97" s="189" t="s">
        <v>260</v>
      </c>
      <c r="U97" s="189" t="s">
        <v>261</v>
      </c>
      <c r="V97" s="189" t="s">
        <v>262</v>
      </c>
      <c r="W97" s="189" t="s">
        <v>263</v>
      </c>
      <c r="Y97" s="188" t="s">
        <v>59</v>
      </c>
      <c r="Z97" s="189" t="s">
        <v>258</v>
      </c>
      <c r="AA97" s="189" t="s">
        <v>259</v>
      </c>
      <c r="AB97" s="189" t="s">
        <v>260</v>
      </c>
      <c r="AC97" s="189" t="s">
        <v>261</v>
      </c>
      <c r="AD97" s="189" t="s">
        <v>262</v>
      </c>
      <c r="AE97" s="189" t="s">
        <v>263</v>
      </c>
      <c r="AG97" s="188" t="s">
        <v>59</v>
      </c>
      <c r="AH97" s="189" t="s">
        <v>258</v>
      </c>
      <c r="AI97" s="189" t="s">
        <v>259</v>
      </c>
      <c r="AJ97" s="189" t="s">
        <v>260</v>
      </c>
      <c r="AK97" s="189" t="s">
        <v>261</v>
      </c>
      <c r="AL97" s="189" t="s">
        <v>262</v>
      </c>
      <c r="AM97" s="189" t="s">
        <v>263</v>
      </c>
    </row>
    <row r="98" spans="1:39" ht="60.75" thickBot="1" x14ac:dyDescent="0.25">
      <c r="A98" s="190"/>
      <c r="B98" s="189" t="str">
        <f t="shared" ref="B98:G98" si="29">CONCATENATE($A$94,"-",B97)</f>
        <v>openDomain-long-FST1-Cx [-]</v>
      </c>
      <c r="C98" s="189" t="str">
        <f t="shared" si="29"/>
        <v>openDomain-long-FST1-Cy [-]</v>
      </c>
      <c r="D98" s="189" t="str">
        <f t="shared" si="29"/>
        <v>openDomain-long-FST1-Cz [-]</v>
      </c>
      <c r="E98" s="189" t="str">
        <f t="shared" si="29"/>
        <v>openDomain-long-FST1-Cnx [-]</v>
      </c>
      <c r="F98" s="189" t="str">
        <f t="shared" si="29"/>
        <v>openDomain-long-FST1-Cny [-]</v>
      </c>
      <c r="G98" s="189" t="str">
        <f t="shared" si="29"/>
        <v>openDomain-long-FST1-Cnz [-]</v>
      </c>
      <c r="H98" s="160"/>
      <c r="I98" s="190"/>
      <c r="J98" s="189" t="str">
        <f t="shared" ref="J98:O98" si="30">CONCATENATE($I$94,"-",J97)</f>
        <v>openDomain-long-FST2-Cx [-]</v>
      </c>
      <c r="K98" s="189" t="str">
        <f t="shared" si="30"/>
        <v>openDomain-long-FST2-Cy [-]</v>
      </c>
      <c r="L98" s="189" t="str">
        <f t="shared" si="30"/>
        <v>openDomain-long-FST2-Cz [-]</v>
      </c>
      <c r="M98" s="189" t="str">
        <f t="shared" si="30"/>
        <v>openDomain-long-FST2-Cnx [-]</v>
      </c>
      <c r="N98" s="189" t="str">
        <f t="shared" si="30"/>
        <v>openDomain-long-FST2-Cny [-]</v>
      </c>
      <c r="O98" s="189" t="str">
        <f t="shared" si="30"/>
        <v>openDomain-long-FST2-Cnz [-]</v>
      </c>
      <c r="Q98" s="190"/>
      <c r="R98" s="189" t="str">
        <f t="shared" ref="R98:W98" si="31">CONCATENATE($Q$94,"-",R97)</f>
        <v>openDomain-trans-FST2-noApp-Cx [-]</v>
      </c>
      <c r="S98" s="189" t="str">
        <f t="shared" si="31"/>
        <v>openDomain-trans-FST2-noApp-Cy [-]</v>
      </c>
      <c r="T98" s="189" t="str">
        <f t="shared" si="31"/>
        <v>openDomain-trans-FST2-noApp-Cz [-]</v>
      </c>
      <c r="U98" s="189" t="str">
        <f t="shared" si="31"/>
        <v>openDomain-trans-FST2-noApp-Cnx [-]</v>
      </c>
      <c r="V98" s="189" t="str">
        <f t="shared" si="31"/>
        <v>openDomain-trans-FST2-noApp-Cny [-]</v>
      </c>
      <c r="W98" s="189" t="str">
        <f t="shared" si="31"/>
        <v>openDomain-trans-FST2-noApp-Cnz [-]</v>
      </c>
      <c r="Y98" s="190"/>
      <c r="Z98" s="189" t="str">
        <f t="shared" ref="Z98:AE98" si="32">CONCATENATE($Y$94,"-",Z97)</f>
        <v>openDomain-trans-FST2-hull-Cx [-]</v>
      </c>
      <c r="AA98" s="189" t="str">
        <f t="shared" si="32"/>
        <v>openDomain-trans-FST2-hull-Cy [-]</v>
      </c>
      <c r="AB98" s="189" t="str">
        <f t="shared" si="32"/>
        <v>openDomain-trans-FST2-hull-Cz [-]</v>
      </c>
      <c r="AC98" s="189" t="str">
        <f t="shared" si="32"/>
        <v>openDomain-trans-FST2-hull-Cnx [-]</v>
      </c>
      <c r="AD98" s="189" t="str">
        <f t="shared" si="32"/>
        <v>openDomain-trans-FST2-hull-Cny [-]</v>
      </c>
      <c r="AE98" s="189" t="str">
        <f t="shared" si="32"/>
        <v>openDomain-trans-FST2-hull-Cnz [-]</v>
      </c>
      <c r="AG98" s="190"/>
      <c r="AH98" s="189" t="str">
        <f t="shared" ref="AH98:AM98" si="33">CONCATENATE($AG$94,"-",AH97)</f>
        <v>openDomain-trans-FST2-topsides-Cx [-]</v>
      </c>
      <c r="AI98" s="189" t="str">
        <f t="shared" si="33"/>
        <v>openDomain-trans-FST2-topsides-Cy [-]</v>
      </c>
      <c r="AJ98" s="189" t="str">
        <f t="shared" si="33"/>
        <v>openDomain-trans-FST2-topsides-Cz [-]</v>
      </c>
      <c r="AK98" s="189" t="str">
        <f t="shared" si="33"/>
        <v>openDomain-trans-FST2-topsides-Cnx [-]</v>
      </c>
      <c r="AL98" s="189" t="str">
        <f t="shared" si="33"/>
        <v>openDomain-trans-FST2-topsides-Cny [-]</v>
      </c>
      <c r="AM98" s="189" t="str">
        <f t="shared" si="33"/>
        <v>openDomain-trans-FST2-topsides-Cnz [-]</v>
      </c>
    </row>
    <row r="99" spans="1:39" x14ac:dyDescent="0.2">
      <c r="A99" s="191">
        <f>openDomain_trans_FST1!P14</f>
        <v>0</v>
      </c>
      <c r="B99" s="202">
        <f>openDomain_trans_FST1!S14*B6</f>
        <v>0.17973342291245667</v>
      </c>
      <c r="C99" s="203">
        <f>openDomain_trans_FST1!T14*C6</f>
        <v>-1.069471695154617E-3</v>
      </c>
      <c r="D99" s="203" t="e">
        <f>openDomain_trans_FST1!U14*D6</f>
        <v>#VALUE!</v>
      </c>
      <c r="E99" s="203" t="e">
        <f>openDomain_trans_FST1!V14*E6</f>
        <v>#VALUE!</v>
      </c>
      <c r="F99" s="203" t="e">
        <f>openDomain_trans_FST1!W14*F6</f>
        <v>#VALUE!</v>
      </c>
      <c r="G99" s="204">
        <f>openDomain_trans_FST1!X14*G6</f>
        <v>3.630820805666847E-4</v>
      </c>
      <c r="H99" s="174"/>
      <c r="I99" s="191">
        <f>openDomain_trans_FST2!P14</f>
        <v>0</v>
      </c>
      <c r="J99" s="202">
        <f>openDomain_trans_FST2!S14*J6</f>
        <v>0.69236329614215808</v>
      </c>
      <c r="K99" s="203">
        <f>openDomain_trans_FST2!T14*K6</f>
        <v>-1.5221195426332487E-2</v>
      </c>
      <c r="L99" s="203" t="e">
        <f>openDomain_trans_FST2!U14*L6</f>
        <v>#VALUE!</v>
      </c>
      <c r="M99" s="203" t="e">
        <f>openDomain_trans_FST2!V14*M6</f>
        <v>#VALUE!</v>
      </c>
      <c r="N99" s="203" t="e">
        <f>openDomain_trans_FST2!W14*N6</f>
        <v>#VALUE!</v>
      </c>
      <c r="O99" s="204">
        <f>openDomain_trans_FST2!X14*O6</f>
        <v>3.4237135593225012E-3</v>
      </c>
      <c r="Q99" s="191"/>
      <c r="R99" s="192"/>
      <c r="S99" s="193"/>
      <c r="T99" s="193"/>
      <c r="U99" s="193"/>
      <c r="V99" s="193"/>
      <c r="W99" s="194"/>
      <c r="Y99" s="191"/>
      <c r="Z99" s="192"/>
      <c r="AA99" s="193"/>
      <c r="AB99" s="193"/>
      <c r="AC99" s="193"/>
      <c r="AD99" s="193"/>
      <c r="AE99" s="194"/>
      <c r="AG99" s="191"/>
      <c r="AH99" s="192"/>
      <c r="AI99" s="193"/>
      <c r="AJ99" s="193"/>
      <c r="AK99" s="193"/>
      <c r="AL99" s="193"/>
      <c r="AM99" s="194"/>
    </row>
    <row r="100" spans="1:39" x14ac:dyDescent="0.2">
      <c r="A100" s="191">
        <f>openDomain_trans_FST1!P15</f>
        <v>15</v>
      </c>
      <c r="B100" s="205">
        <f>openDomain_trans_FST1!S15*B7</f>
        <v>0.66951348622626006</v>
      </c>
      <c r="C100" s="206">
        <f>openDomain_trans_FST1!T15*C7</f>
        <v>0.16273091032669537</v>
      </c>
      <c r="D100" s="206" t="e">
        <f>openDomain_trans_FST1!U15*D7</f>
        <v>#VALUE!</v>
      </c>
      <c r="E100" s="206" t="e">
        <f>openDomain_trans_FST1!V15*E7</f>
        <v>#VALUE!</v>
      </c>
      <c r="F100" s="206" t="e">
        <f>openDomain_trans_FST1!W15*F7</f>
        <v>#VALUE!</v>
      </c>
      <c r="G100" s="207">
        <f>openDomain_trans_FST1!X15*G7</f>
        <v>-7.619030472421095E-3</v>
      </c>
      <c r="H100" s="174"/>
      <c r="I100" s="191">
        <f>openDomain_trans_FST2!P15</f>
        <v>15</v>
      </c>
      <c r="J100" s="205">
        <f>openDomain_trans_FST2!S15*J7</f>
        <v>0.95474673072268501</v>
      </c>
      <c r="K100" s="206">
        <f>openDomain_trans_FST2!T15*K7</f>
        <v>0.18486395647878812</v>
      </c>
      <c r="L100" s="206" t="e">
        <f>openDomain_trans_FST2!U15*L7</f>
        <v>#VALUE!</v>
      </c>
      <c r="M100" s="206" t="e">
        <f>openDomain_trans_FST2!V15*M7</f>
        <v>#VALUE!</v>
      </c>
      <c r="N100" s="206" t="e">
        <f>openDomain_trans_FST2!W15*N7</f>
        <v>#VALUE!</v>
      </c>
      <c r="O100" s="207">
        <f>openDomain_trans_FST2!X15*O7</f>
        <v>-8.9443115039141447E-3</v>
      </c>
      <c r="Q100" s="191"/>
      <c r="R100" s="195"/>
      <c r="S100" s="174"/>
      <c r="T100" s="174"/>
      <c r="U100" s="174"/>
      <c r="V100" s="174"/>
      <c r="W100" s="196"/>
      <c r="Y100" s="191"/>
      <c r="Z100" s="195"/>
      <c r="AA100" s="174"/>
      <c r="AB100" s="174"/>
      <c r="AC100" s="174"/>
      <c r="AD100" s="174"/>
      <c r="AE100" s="196"/>
      <c r="AG100" s="191"/>
      <c r="AH100" s="195"/>
      <c r="AI100" s="174"/>
      <c r="AJ100" s="174"/>
      <c r="AK100" s="174"/>
      <c r="AL100" s="174"/>
      <c r="AM100" s="196"/>
    </row>
    <row r="101" spans="1:39" x14ac:dyDescent="0.2">
      <c r="A101" s="191">
        <f>openDomain_trans_FST1!P16</f>
        <v>30</v>
      </c>
      <c r="B101" s="205">
        <f>openDomain_trans_FST1!S16*B8</f>
        <v>0.50444916098767589</v>
      </c>
      <c r="C101" s="206">
        <f>openDomain_trans_FST1!T16*C8</f>
        <v>0.35842049519945629</v>
      </c>
      <c r="D101" s="206" t="e">
        <f>openDomain_trans_FST1!U16*D8</f>
        <v>#VALUE!</v>
      </c>
      <c r="E101" s="206" t="e">
        <f>openDomain_trans_FST1!V16*E8</f>
        <v>#VALUE!</v>
      </c>
      <c r="F101" s="206" t="e">
        <f>openDomain_trans_FST1!W16*F8</f>
        <v>#VALUE!</v>
      </c>
      <c r="G101" s="207">
        <f>openDomain_trans_FST1!X16*G8</f>
        <v>-2.47297853177957E-2</v>
      </c>
      <c r="H101" s="174"/>
      <c r="I101" s="191">
        <f>openDomain_trans_FST2!P16</f>
        <v>30</v>
      </c>
      <c r="J101" s="205">
        <f>openDomain_trans_FST2!S16*J8</f>
        <v>0.90796016544859315</v>
      </c>
      <c r="K101" s="206">
        <f>openDomain_trans_FST2!T16*K8</f>
        <v>0.51025377175112341</v>
      </c>
      <c r="L101" s="206" t="e">
        <f>openDomain_trans_FST2!U16*L8</f>
        <v>#VALUE!</v>
      </c>
      <c r="M101" s="206" t="e">
        <f>openDomain_trans_FST2!V16*M8</f>
        <v>#VALUE!</v>
      </c>
      <c r="N101" s="206" t="e">
        <f>openDomain_trans_FST2!W16*N8</f>
        <v>#VALUE!</v>
      </c>
      <c r="O101" s="207">
        <f>openDomain_trans_FST2!X16*O8</f>
        <v>-5.3215836580409119E-2</v>
      </c>
      <c r="Q101" s="191"/>
      <c r="R101" s="195"/>
      <c r="S101" s="174"/>
      <c r="T101" s="174"/>
      <c r="U101" s="174"/>
      <c r="V101" s="174"/>
      <c r="W101" s="196"/>
      <c r="Y101" s="191"/>
      <c r="Z101" s="195"/>
      <c r="AA101" s="174"/>
      <c r="AB101" s="174"/>
      <c r="AC101" s="174"/>
      <c r="AD101" s="174"/>
      <c r="AE101" s="196"/>
      <c r="AG101" s="191"/>
      <c r="AH101" s="195"/>
      <c r="AI101" s="174"/>
      <c r="AJ101" s="174"/>
      <c r="AK101" s="174"/>
      <c r="AL101" s="174"/>
      <c r="AM101" s="196"/>
    </row>
    <row r="102" spans="1:39" x14ac:dyDescent="0.2">
      <c r="A102" s="191">
        <f>openDomain_trans_FST1!P17</f>
        <v>45</v>
      </c>
      <c r="B102" s="205">
        <f>openDomain_trans_FST1!S17*B9</f>
        <v>0.32277978626843556</v>
      </c>
      <c r="C102" s="206">
        <f>openDomain_trans_FST1!T17*C9</f>
        <v>0.60480998321408241</v>
      </c>
      <c r="D102" s="206" t="e">
        <f>openDomain_trans_FST1!U17*D9</f>
        <v>#VALUE!</v>
      </c>
      <c r="E102" s="206" t="e">
        <f>openDomain_trans_FST1!V17*E9</f>
        <v>#VALUE!</v>
      </c>
      <c r="F102" s="206" t="e">
        <f>openDomain_trans_FST1!W17*F9</f>
        <v>#VALUE!</v>
      </c>
      <c r="G102" s="207">
        <f>openDomain_trans_FST1!X17*G9</f>
        <v>-4.3340836834848642E-2</v>
      </c>
      <c r="H102" s="174"/>
      <c r="I102" s="191">
        <f>openDomain_trans_FST2!P17</f>
        <v>45</v>
      </c>
      <c r="J102" s="205">
        <f>openDomain_trans_FST2!S17*J9</f>
        <v>0.70221613735348265</v>
      </c>
      <c r="K102" s="206">
        <f>openDomain_trans_FST2!T17*K9</f>
        <v>0.87371457437214439</v>
      </c>
      <c r="L102" s="206" t="e">
        <f>openDomain_trans_FST2!U17*L9</f>
        <v>#VALUE!</v>
      </c>
      <c r="M102" s="206" t="e">
        <f>openDomain_trans_FST2!V17*M9</f>
        <v>#VALUE!</v>
      </c>
      <c r="N102" s="206" t="e">
        <f>openDomain_trans_FST2!W17*N9</f>
        <v>#VALUE!</v>
      </c>
      <c r="O102" s="207">
        <f>openDomain_trans_FST2!X17*O9</f>
        <v>-7.8704174053024364E-2</v>
      </c>
      <c r="Q102" s="191"/>
      <c r="R102" s="195"/>
      <c r="S102" s="174"/>
      <c r="T102" s="174"/>
      <c r="U102" s="174"/>
      <c r="V102" s="174"/>
      <c r="W102" s="196"/>
      <c r="Y102" s="191"/>
      <c r="Z102" s="195"/>
      <c r="AA102" s="174"/>
      <c r="AB102" s="174"/>
      <c r="AC102" s="174"/>
      <c r="AD102" s="174"/>
      <c r="AE102" s="196"/>
      <c r="AG102" s="191"/>
      <c r="AH102" s="195"/>
      <c r="AI102" s="174"/>
      <c r="AJ102" s="174"/>
      <c r="AK102" s="174"/>
      <c r="AL102" s="174"/>
      <c r="AM102" s="196"/>
    </row>
    <row r="103" spans="1:39" x14ac:dyDescent="0.2">
      <c r="A103" s="191">
        <f>openDomain_trans_FST1!P18</f>
        <v>60</v>
      </c>
      <c r="B103" s="205">
        <f>openDomain_trans_FST1!S18*B10</f>
        <v>0.13943987089342857</v>
      </c>
      <c r="C103" s="206">
        <f>openDomain_trans_FST1!T18*C10</f>
        <v>0.79547344402048403</v>
      </c>
      <c r="D103" s="206" t="e">
        <f>openDomain_trans_FST1!U18*D10</f>
        <v>#VALUE!</v>
      </c>
      <c r="E103" s="206" t="e">
        <f>openDomain_trans_FST1!V18*E10</f>
        <v>#VALUE!</v>
      </c>
      <c r="F103" s="206" t="e">
        <f>openDomain_trans_FST1!W18*F10</f>
        <v>#VALUE!</v>
      </c>
      <c r="G103" s="207">
        <f>openDomain_trans_FST1!X18*G10</f>
        <v>-5.1174243105358778E-2</v>
      </c>
      <c r="H103" s="174"/>
      <c r="I103" s="191">
        <f>openDomain_trans_FST2!P18</f>
        <v>60</v>
      </c>
      <c r="J103" s="205">
        <f>openDomain_trans_FST2!S18*J10</f>
        <v>8.3957844134965293E-2</v>
      </c>
      <c r="K103" s="206">
        <f>openDomain_trans_FST2!T18*K10</f>
        <v>1.1307056148726662</v>
      </c>
      <c r="L103" s="206" t="e">
        <f>openDomain_trans_FST2!U18*L10</f>
        <v>#VALUE!</v>
      </c>
      <c r="M103" s="206" t="e">
        <f>openDomain_trans_FST2!V18*M10</f>
        <v>#VALUE!</v>
      </c>
      <c r="N103" s="206" t="e">
        <f>openDomain_trans_FST2!W18*N10</f>
        <v>#VALUE!</v>
      </c>
      <c r="O103" s="207">
        <f>openDomain_trans_FST2!X18*O10</f>
        <v>-7.6983872165764564E-2</v>
      </c>
      <c r="Q103" s="191"/>
      <c r="R103" s="195"/>
      <c r="S103" s="174"/>
      <c r="T103" s="174"/>
      <c r="U103" s="174"/>
      <c r="V103" s="174"/>
      <c r="W103" s="196"/>
      <c r="Y103" s="191"/>
      <c r="Z103" s="195"/>
      <c r="AA103" s="174"/>
      <c r="AB103" s="174"/>
      <c r="AC103" s="174"/>
      <c r="AD103" s="174"/>
      <c r="AE103" s="196"/>
      <c r="AG103" s="191"/>
      <c r="AH103" s="195"/>
      <c r="AI103" s="174"/>
      <c r="AJ103" s="174"/>
      <c r="AK103" s="174"/>
      <c r="AL103" s="174"/>
      <c r="AM103" s="196"/>
    </row>
    <row r="104" spans="1:39" x14ac:dyDescent="0.2">
      <c r="A104" s="191">
        <f>openDomain_trans_FST1!P19</f>
        <v>75</v>
      </c>
      <c r="B104" s="205">
        <f>openDomain_trans_FST1!S19*B11</f>
        <v>0.40457193319277029</v>
      </c>
      <c r="C104" s="206">
        <f>openDomain_trans_FST1!T19*C11</f>
        <v>0.87949420614767093</v>
      </c>
      <c r="D104" s="206" t="e">
        <f>openDomain_trans_FST1!U19*D11</f>
        <v>#VALUE!</v>
      </c>
      <c r="E104" s="206" t="e">
        <f>openDomain_trans_FST1!V19*E11</f>
        <v>#VALUE!</v>
      </c>
      <c r="F104" s="206" t="e">
        <f>openDomain_trans_FST1!W19*F11</f>
        <v>#VALUE!</v>
      </c>
      <c r="G104" s="207">
        <f>openDomain_trans_FST1!X19*G11</f>
        <v>-3.1391999341475817E-2</v>
      </c>
      <c r="H104" s="174"/>
      <c r="I104" s="191">
        <f>openDomain_trans_FST2!P19</f>
        <v>75</v>
      </c>
      <c r="J104" s="205">
        <f>openDomain_trans_FST2!S19*J11</f>
        <v>9.5327761957611779E-2</v>
      </c>
      <c r="K104" s="206">
        <f>openDomain_trans_FST2!T19*K11</f>
        <v>1.1860157439396202</v>
      </c>
      <c r="L104" s="206" t="e">
        <f>openDomain_trans_FST2!U19*L11</f>
        <v>#VALUE!</v>
      </c>
      <c r="M104" s="206" t="e">
        <f>openDomain_trans_FST2!V19*M11</f>
        <v>#VALUE!</v>
      </c>
      <c r="N104" s="206" t="e">
        <f>openDomain_trans_FST2!W19*N11</f>
        <v>#VALUE!</v>
      </c>
      <c r="O104" s="207">
        <f>openDomain_trans_FST2!X19*O11</f>
        <v>-1.2950472830291338E-2</v>
      </c>
      <c r="Q104" s="191"/>
      <c r="R104" s="195"/>
      <c r="S104" s="174"/>
      <c r="T104" s="174"/>
      <c r="U104" s="174"/>
      <c r="V104" s="174"/>
      <c r="W104" s="196"/>
      <c r="Y104" s="191"/>
      <c r="Z104" s="195"/>
      <c r="AA104" s="174"/>
      <c r="AB104" s="174"/>
      <c r="AC104" s="174"/>
      <c r="AD104" s="174"/>
      <c r="AE104" s="196"/>
      <c r="AG104" s="191"/>
      <c r="AH104" s="195"/>
      <c r="AI104" s="174"/>
      <c r="AJ104" s="174"/>
      <c r="AK104" s="174"/>
      <c r="AL104" s="174"/>
      <c r="AM104" s="196"/>
    </row>
    <row r="105" spans="1:39" x14ac:dyDescent="0.2">
      <c r="A105" s="191">
        <f>openDomain_trans_FST1!P20</f>
        <v>90</v>
      </c>
      <c r="B105" s="205">
        <f>openDomain_trans_FST1!S20*B12</f>
        <v>0.28081580798741324</v>
      </c>
      <c r="C105" s="206">
        <f>openDomain_trans_FST1!T20*C12</f>
        <v>1.0238709387462637</v>
      </c>
      <c r="D105" s="206" t="e">
        <f>openDomain_trans_FST1!U20*D12</f>
        <v>#VALUE!</v>
      </c>
      <c r="E105" s="206" t="e">
        <f>openDomain_trans_FST1!V20*E12</f>
        <v>#VALUE!</v>
      </c>
      <c r="F105" s="206" t="e">
        <f>openDomain_trans_FST1!W20*F12</f>
        <v>#VALUE!</v>
      </c>
      <c r="G105" s="207">
        <f>openDomain_trans_FST1!X20*G12</f>
        <v>2.3440980057131244E-2</v>
      </c>
      <c r="H105" s="174"/>
      <c r="I105" s="191">
        <f>openDomain_trans_FST2!P20</f>
        <v>90</v>
      </c>
      <c r="J105" s="205">
        <f>openDomain_trans_FST2!S20*J12</f>
        <v>-0.2231348601382141</v>
      </c>
      <c r="K105" s="206">
        <f>openDomain_trans_FST2!T20*K12</f>
        <v>1.0648697459768313</v>
      </c>
      <c r="L105" s="206" t="e">
        <f>openDomain_trans_FST2!U20*L12</f>
        <v>#VALUE!</v>
      </c>
      <c r="M105" s="206" t="e">
        <f>openDomain_trans_FST2!V20*M12</f>
        <v>#VALUE!</v>
      </c>
      <c r="N105" s="206" t="e">
        <f>openDomain_trans_FST2!W20*N12</f>
        <v>#VALUE!</v>
      </c>
      <c r="O105" s="207">
        <f>openDomain_trans_FST2!X20*O12</f>
        <v>1.0741656481791241E-2</v>
      </c>
      <c r="Q105" s="191"/>
      <c r="R105" s="195"/>
      <c r="S105" s="174"/>
      <c r="T105" s="174"/>
      <c r="U105" s="174"/>
      <c r="V105" s="174"/>
      <c r="W105" s="196"/>
      <c r="Y105" s="191"/>
      <c r="Z105" s="195"/>
      <c r="AA105" s="174"/>
      <c r="AB105" s="174"/>
      <c r="AC105" s="174"/>
      <c r="AD105" s="174"/>
      <c r="AE105" s="196"/>
      <c r="AG105" s="191"/>
      <c r="AH105" s="195"/>
      <c r="AI105" s="174"/>
      <c r="AJ105" s="174"/>
      <c r="AK105" s="174"/>
      <c r="AL105" s="174"/>
      <c r="AM105" s="196"/>
    </row>
    <row r="106" spans="1:39" x14ac:dyDescent="0.2">
      <c r="A106" s="191">
        <f>openDomain_trans_FST1!P21</f>
        <v>105</v>
      </c>
      <c r="B106" s="205">
        <f>openDomain_trans_FST1!S21*B13</f>
        <v>-0.10324630767335627</v>
      </c>
      <c r="C106" s="206">
        <f>openDomain_trans_FST1!T21*C13</f>
        <v>1.1574253788453515</v>
      </c>
      <c r="D106" s="206" t="e">
        <f>openDomain_trans_FST1!U21*D13</f>
        <v>#VALUE!</v>
      </c>
      <c r="E106" s="206" t="e">
        <f>openDomain_trans_FST1!V21*E13</f>
        <v>#VALUE!</v>
      </c>
      <c r="F106" s="206" t="e">
        <f>openDomain_trans_FST1!W21*F13</f>
        <v>#VALUE!</v>
      </c>
      <c r="G106" s="207">
        <f>openDomain_trans_FST1!X21*G13</f>
        <v>1.9623090263882041E-2</v>
      </c>
      <c r="H106" s="174"/>
      <c r="I106" s="191">
        <f>openDomain_trans_FST2!P21</f>
        <v>105</v>
      </c>
      <c r="J106" s="205">
        <f>openDomain_trans_FST2!S21*J13</f>
        <v>-0.33233449627541001</v>
      </c>
      <c r="K106" s="206">
        <f>openDomain_trans_FST2!T21*K13</f>
        <v>0.90517913324384103</v>
      </c>
      <c r="L106" s="206" t="e">
        <f>openDomain_trans_FST2!U21*L13</f>
        <v>#VALUE!</v>
      </c>
      <c r="M106" s="206" t="e">
        <f>openDomain_trans_FST2!V21*M13</f>
        <v>#VALUE!</v>
      </c>
      <c r="N106" s="206" t="e">
        <f>openDomain_trans_FST2!W21*N13</f>
        <v>#VALUE!</v>
      </c>
      <c r="O106" s="207">
        <f>openDomain_trans_FST2!X21*O13</f>
        <v>3.2910187468696832E-2</v>
      </c>
      <c r="Q106" s="191"/>
      <c r="R106" s="195"/>
      <c r="S106" s="174"/>
      <c r="T106" s="174"/>
      <c r="U106" s="174"/>
      <c r="V106" s="174"/>
      <c r="W106" s="196"/>
      <c r="Y106" s="191"/>
      <c r="Z106" s="195"/>
      <c r="AA106" s="174"/>
      <c r="AB106" s="174"/>
      <c r="AC106" s="174"/>
      <c r="AD106" s="174"/>
      <c r="AE106" s="196"/>
      <c r="AG106" s="191"/>
      <c r="AH106" s="195"/>
      <c r="AI106" s="174"/>
      <c r="AJ106" s="174"/>
      <c r="AK106" s="174"/>
      <c r="AL106" s="174"/>
      <c r="AM106" s="196"/>
    </row>
    <row r="107" spans="1:39" x14ac:dyDescent="0.2">
      <c r="A107" s="191">
        <f>openDomain_trans_FST1!P22</f>
        <v>120</v>
      </c>
      <c r="B107" s="205">
        <f>openDomain_trans_FST1!S22*B14</f>
        <v>-0.13776436731877556</v>
      </c>
      <c r="C107" s="206">
        <f>openDomain_trans_FST1!T22*C14</f>
        <v>1.0410154624672774</v>
      </c>
      <c r="D107" s="206" t="e">
        <f>openDomain_trans_FST1!U22*D14</f>
        <v>#VALUE!</v>
      </c>
      <c r="E107" s="206" t="e">
        <f>openDomain_trans_FST1!V22*E14</f>
        <v>#VALUE!</v>
      </c>
      <c r="F107" s="206" t="e">
        <f>openDomain_trans_FST1!W22*F14</f>
        <v>#VALUE!</v>
      </c>
      <c r="G107" s="207">
        <f>openDomain_trans_FST1!X22*G14</f>
        <v>8.3387397257222703E-2</v>
      </c>
      <c r="H107" s="174"/>
      <c r="I107" s="191">
        <f>openDomain_trans_FST2!P22</f>
        <v>120</v>
      </c>
      <c r="J107" s="205">
        <f>openDomain_trans_FST2!S22*J14</f>
        <v>-9.5213291575173914E-2</v>
      </c>
      <c r="K107" s="206">
        <f>openDomain_trans_FST2!T22*K14</f>
        <v>0.82863331619784253</v>
      </c>
      <c r="L107" s="206" t="e">
        <f>openDomain_trans_FST2!U22*L14</f>
        <v>#VALUE!</v>
      </c>
      <c r="M107" s="206" t="e">
        <f>openDomain_trans_FST2!V22*M14</f>
        <v>#VALUE!</v>
      </c>
      <c r="N107" s="206" t="e">
        <f>openDomain_trans_FST2!W22*N14</f>
        <v>#VALUE!</v>
      </c>
      <c r="O107" s="207">
        <f>openDomain_trans_FST2!X22*O14</f>
        <v>4.2217627817563649E-2</v>
      </c>
      <c r="Q107" s="191"/>
      <c r="R107" s="195"/>
      <c r="S107" s="174"/>
      <c r="T107" s="174"/>
      <c r="U107" s="174"/>
      <c r="V107" s="174"/>
      <c r="W107" s="196"/>
      <c r="Y107" s="191"/>
      <c r="Z107" s="195"/>
      <c r="AA107" s="174"/>
      <c r="AB107" s="174"/>
      <c r="AC107" s="174"/>
      <c r="AD107" s="174"/>
      <c r="AE107" s="196"/>
      <c r="AG107" s="191"/>
      <c r="AH107" s="195"/>
      <c r="AI107" s="174"/>
      <c r="AJ107" s="174"/>
      <c r="AK107" s="174"/>
      <c r="AL107" s="174"/>
      <c r="AM107" s="196"/>
    </row>
    <row r="108" spans="1:39" x14ac:dyDescent="0.2">
      <c r="A108" s="191">
        <f>openDomain_trans_FST1!P23</f>
        <v>135</v>
      </c>
      <c r="B108" s="205">
        <f>openDomain_trans_FST1!S23*B15</f>
        <v>-0.44049154741575453</v>
      </c>
      <c r="C108" s="206">
        <f>openDomain_trans_FST1!T23*C15</f>
        <v>0.80608454261229601</v>
      </c>
      <c r="D108" s="206" t="e">
        <f>openDomain_trans_FST1!U23*D15</f>
        <v>#VALUE!</v>
      </c>
      <c r="E108" s="206" t="e">
        <f>openDomain_trans_FST1!V23*E15</f>
        <v>#VALUE!</v>
      </c>
      <c r="F108" s="206" t="e">
        <f>openDomain_trans_FST1!W23*F15</f>
        <v>#VALUE!</v>
      </c>
      <c r="G108" s="207">
        <f>openDomain_trans_FST1!X23*G15</f>
        <v>0.10979344213221577</v>
      </c>
      <c r="H108" s="174"/>
      <c r="I108" s="191">
        <f>openDomain_trans_FST2!P23</f>
        <v>135</v>
      </c>
      <c r="J108" s="205">
        <f>openDomain_trans_FST2!S23*J15</f>
        <v>-0.51583544908168155</v>
      </c>
      <c r="K108" s="206">
        <f>openDomain_trans_FST2!T23*K15</f>
        <v>0.64279020421167343</v>
      </c>
      <c r="L108" s="206" t="e">
        <f>openDomain_trans_FST2!U23*L15</f>
        <v>#VALUE!</v>
      </c>
      <c r="M108" s="206" t="e">
        <f>openDomain_trans_FST2!V23*M15</f>
        <v>#VALUE!</v>
      </c>
      <c r="N108" s="206" t="e">
        <f>openDomain_trans_FST2!W23*N15</f>
        <v>#VALUE!</v>
      </c>
      <c r="O108" s="207">
        <f>openDomain_trans_FST2!X23*O15</f>
        <v>3.0875186399097053E-2</v>
      </c>
      <c r="Q108" s="191"/>
      <c r="R108" s="195"/>
      <c r="S108" s="174"/>
      <c r="T108" s="174"/>
      <c r="U108" s="174"/>
      <c r="V108" s="174"/>
      <c r="W108" s="196"/>
      <c r="Y108" s="191"/>
      <c r="Z108" s="195"/>
      <c r="AA108" s="174"/>
      <c r="AB108" s="174"/>
      <c r="AC108" s="174"/>
      <c r="AD108" s="174"/>
      <c r="AE108" s="196"/>
      <c r="AG108" s="191"/>
      <c r="AH108" s="195"/>
      <c r="AI108" s="174"/>
      <c r="AJ108" s="174"/>
      <c r="AK108" s="174"/>
      <c r="AL108" s="174"/>
      <c r="AM108" s="196"/>
    </row>
    <row r="109" spans="1:39" x14ac:dyDescent="0.2">
      <c r="A109" s="191">
        <f>openDomain_trans_FST1!P24</f>
        <v>150</v>
      </c>
      <c r="B109" s="205">
        <f>openDomain_trans_FST1!S24*B16</f>
        <v>-0.69739249531362812</v>
      </c>
      <c r="C109" s="206">
        <f>openDomain_trans_FST1!T24*C16</f>
        <v>0.46180886950574579</v>
      </c>
      <c r="D109" s="206" t="e">
        <f>openDomain_trans_FST1!U24*D16</f>
        <v>#VALUE!</v>
      </c>
      <c r="E109" s="206" t="e">
        <f>openDomain_trans_FST1!V24*E16</f>
        <v>#VALUE!</v>
      </c>
      <c r="F109" s="206" t="e">
        <f>openDomain_trans_FST1!W24*F16</f>
        <v>#VALUE!</v>
      </c>
      <c r="G109" s="207">
        <f>openDomain_trans_FST1!X24*G16</f>
        <v>5.0831532812837393E-2</v>
      </c>
      <c r="H109" s="174"/>
      <c r="I109" s="191">
        <f>openDomain_trans_FST2!P24</f>
        <v>150</v>
      </c>
      <c r="J109" s="205">
        <f>openDomain_trans_FST2!S24*J16</f>
        <v>-0.66217970994544206</v>
      </c>
      <c r="K109" s="206">
        <f>openDomain_trans_FST2!T24*K16</f>
        <v>0.39367147051218293</v>
      </c>
      <c r="L109" s="206" t="e">
        <f>openDomain_trans_FST2!U24*L16</f>
        <v>#VALUE!</v>
      </c>
      <c r="M109" s="206" t="e">
        <f>openDomain_trans_FST2!V24*M16</f>
        <v>#VALUE!</v>
      </c>
      <c r="N109" s="206" t="e">
        <f>openDomain_trans_FST2!W24*N16</f>
        <v>#VALUE!</v>
      </c>
      <c r="O109" s="207">
        <f>openDomain_trans_FST2!X24*O16</f>
        <v>2.8579752960390239E-2</v>
      </c>
      <c r="Q109" s="191"/>
      <c r="R109" s="195"/>
      <c r="S109" s="174"/>
      <c r="T109" s="174"/>
      <c r="U109" s="174"/>
      <c r="V109" s="174"/>
      <c r="W109" s="196"/>
      <c r="Y109" s="191"/>
      <c r="Z109" s="195"/>
      <c r="AA109" s="174"/>
      <c r="AB109" s="174"/>
      <c r="AC109" s="174"/>
      <c r="AD109" s="174"/>
      <c r="AE109" s="196"/>
      <c r="AG109" s="191"/>
      <c r="AH109" s="195"/>
      <c r="AI109" s="174"/>
      <c r="AJ109" s="174"/>
      <c r="AK109" s="174"/>
      <c r="AL109" s="174"/>
      <c r="AM109" s="196"/>
    </row>
    <row r="110" spans="1:39" x14ac:dyDescent="0.2">
      <c r="A110" s="191">
        <f>openDomain_trans_FST1!P25</f>
        <v>165</v>
      </c>
      <c r="B110" s="205">
        <f>openDomain_trans_FST1!S25*B17</f>
        <v>-1.0023117037525273</v>
      </c>
      <c r="C110" s="206">
        <f>openDomain_trans_FST1!T25*C17</f>
        <v>0.15907788415476293</v>
      </c>
      <c r="D110" s="206" t="e">
        <f>openDomain_trans_FST1!U25*D17</f>
        <v>#VALUE!</v>
      </c>
      <c r="E110" s="206" t="e">
        <f>openDomain_trans_FST1!V25*E17</f>
        <v>#VALUE!</v>
      </c>
      <c r="F110" s="206" t="e">
        <f>openDomain_trans_FST1!W25*F17</f>
        <v>#VALUE!</v>
      </c>
      <c r="G110" s="207">
        <f>openDomain_trans_FST1!X25*G17</f>
        <v>7.0068831741784974E-3</v>
      </c>
      <c r="H110" s="174"/>
      <c r="I110" s="191">
        <f>openDomain_trans_FST2!P25</f>
        <v>165</v>
      </c>
      <c r="J110" s="205">
        <f>openDomain_trans_FST2!S25*J17</f>
        <v>-0.6502602555528374</v>
      </c>
      <c r="K110" s="206">
        <f>openDomain_trans_FST2!T25*K17</f>
        <v>0.17031734029397377</v>
      </c>
      <c r="L110" s="206" t="e">
        <f>openDomain_trans_FST2!U25*L17</f>
        <v>#VALUE!</v>
      </c>
      <c r="M110" s="206" t="e">
        <f>openDomain_trans_FST2!V25*M17</f>
        <v>#VALUE!</v>
      </c>
      <c r="N110" s="206" t="e">
        <f>openDomain_trans_FST2!W25*N17</f>
        <v>#VALUE!</v>
      </c>
      <c r="O110" s="207">
        <f>openDomain_trans_FST2!X25*O17</f>
        <v>1.7230739696529374E-2</v>
      </c>
      <c r="Q110" s="191"/>
      <c r="R110" s="195"/>
      <c r="S110" s="174"/>
      <c r="T110" s="174"/>
      <c r="U110" s="174"/>
      <c r="V110" s="174"/>
      <c r="W110" s="196"/>
      <c r="Y110" s="191"/>
      <c r="Z110" s="195"/>
      <c r="AA110" s="174"/>
      <c r="AB110" s="174"/>
      <c r="AC110" s="174"/>
      <c r="AD110" s="174"/>
      <c r="AE110" s="196"/>
      <c r="AG110" s="191"/>
      <c r="AH110" s="195"/>
      <c r="AI110" s="174"/>
      <c r="AJ110" s="174"/>
      <c r="AK110" s="174"/>
      <c r="AL110" s="174"/>
      <c r="AM110" s="196"/>
    </row>
    <row r="111" spans="1:39" x14ac:dyDescent="0.2">
      <c r="A111" s="191">
        <f>openDomain_trans_FST1!P26</f>
        <v>180</v>
      </c>
      <c r="B111" s="205">
        <f>openDomain_trans_FST1!S26*B18</f>
        <v>-0.81123761476258704</v>
      </c>
      <c r="C111" s="206">
        <f>openDomain_trans_FST1!T26*C18</f>
        <v>-3.313498455269303E-2</v>
      </c>
      <c r="D111" s="206" t="e">
        <f>openDomain_trans_FST1!U26*D18</f>
        <v>#VALUE!</v>
      </c>
      <c r="E111" s="206" t="e">
        <f>openDomain_trans_FST1!V26*E18</f>
        <v>#VALUE!</v>
      </c>
      <c r="F111" s="206" t="e">
        <f>openDomain_trans_FST1!W26*F18</f>
        <v>#VALUE!</v>
      </c>
      <c r="G111" s="207">
        <f>openDomain_trans_FST1!X26*G18</f>
        <v>2.9667909026279788E-3</v>
      </c>
      <c r="H111" s="174"/>
      <c r="I111" s="191">
        <f>openDomain_trans_FST2!P26</f>
        <v>180</v>
      </c>
      <c r="J111" s="205">
        <f>openDomain_trans_FST2!S26*J18</f>
        <v>-0.21750904897029646</v>
      </c>
      <c r="K111" s="206">
        <f>openDomain_trans_FST2!T26*K18</f>
        <v>1.5082188803506088E-2</v>
      </c>
      <c r="L111" s="206" t="e">
        <f>openDomain_trans_FST2!U26*L18</f>
        <v>#VALUE!</v>
      </c>
      <c r="M111" s="206" t="e">
        <f>openDomain_trans_FST2!V26*M18</f>
        <v>#VALUE!</v>
      </c>
      <c r="N111" s="206" t="e">
        <f>openDomain_trans_FST2!W26*N18</f>
        <v>#VALUE!</v>
      </c>
      <c r="O111" s="207">
        <f>openDomain_trans_FST2!X26*O18</f>
        <v>4.9041365002184551E-3</v>
      </c>
      <c r="Q111" s="191"/>
      <c r="R111" s="195"/>
      <c r="S111" s="174"/>
      <c r="T111" s="174"/>
      <c r="U111" s="174"/>
      <c r="V111" s="174"/>
      <c r="W111" s="196"/>
      <c r="Y111" s="191"/>
      <c r="Z111" s="195"/>
      <c r="AA111" s="174"/>
      <c r="AB111" s="174"/>
      <c r="AC111" s="174"/>
      <c r="AD111" s="174"/>
      <c r="AE111" s="196"/>
      <c r="AG111" s="191"/>
      <c r="AH111" s="195"/>
      <c r="AI111" s="174"/>
      <c r="AJ111" s="174"/>
      <c r="AK111" s="174"/>
      <c r="AL111" s="174"/>
      <c r="AM111" s="196"/>
    </row>
    <row r="112" spans="1:39" x14ac:dyDescent="0.2">
      <c r="A112" s="197">
        <f>openDomain_trans_FST1!P27</f>
        <v>195</v>
      </c>
      <c r="B112" s="205">
        <f>openDomain_trans_FST1!S27*B19</f>
        <v>-0.81107607551592908</v>
      </c>
      <c r="C112" s="206">
        <f>openDomain_trans_FST1!T27*C19</f>
        <v>-0.21352984445305348</v>
      </c>
      <c r="D112" s="206" t="e">
        <f>openDomain_trans_FST1!U27*D19</f>
        <v>#VALUE!</v>
      </c>
      <c r="E112" s="206" t="e">
        <f>openDomain_trans_FST1!V27*E19</f>
        <v>#VALUE!</v>
      </c>
      <c r="F112" s="206" t="e">
        <f>openDomain_trans_FST1!W27*F19</f>
        <v>#VALUE!</v>
      </c>
      <c r="G112" s="207">
        <f>openDomain_trans_FST1!X27*G19</f>
        <v>-3.8803764720218702E-2</v>
      </c>
      <c r="H112" s="174"/>
      <c r="I112" s="197">
        <f>openDomain_trans_FST2!P27</f>
        <v>195</v>
      </c>
      <c r="J112" s="205">
        <f>openDomain_trans_FST2!S27*J19</f>
        <v>-0.28118756060645433</v>
      </c>
      <c r="K112" s="206">
        <f>openDomain_trans_FST2!T27*K19</f>
        <v>-0.10462402451256629</v>
      </c>
      <c r="L112" s="206" t="e">
        <f>openDomain_trans_FST2!U27*L19</f>
        <v>#VALUE!</v>
      </c>
      <c r="M112" s="206" t="e">
        <f>openDomain_trans_FST2!V27*M19</f>
        <v>#VALUE!</v>
      </c>
      <c r="N112" s="206" t="e">
        <f>openDomain_trans_FST2!W27*N19</f>
        <v>#VALUE!</v>
      </c>
      <c r="O112" s="207">
        <f>openDomain_trans_FST2!X27*O19</f>
        <v>-1.1442096973607858E-2</v>
      </c>
      <c r="Q112" s="197"/>
      <c r="R112" s="195"/>
      <c r="S112" s="174"/>
      <c r="T112" s="174"/>
      <c r="U112" s="174"/>
      <c r="V112" s="174"/>
      <c r="W112" s="196"/>
      <c r="Y112" s="197"/>
      <c r="Z112" s="195"/>
      <c r="AA112" s="174"/>
      <c r="AB112" s="174"/>
      <c r="AC112" s="174"/>
      <c r="AD112" s="174"/>
      <c r="AE112" s="196"/>
      <c r="AG112" s="197"/>
      <c r="AH112" s="195"/>
      <c r="AI112" s="174"/>
      <c r="AJ112" s="174"/>
      <c r="AK112" s="174"/>
      <c r="AL112" s="174"/>
      <c r="AM112" s="196"/>
    </row>
    <row r="113" spans="1:39" x14ac:dyDescent="0.2">
      <c r="A113" s="197">
        <f>openDomain_trans_FST1!P28</f>
        <v>210</v>
      </c>
      <c r="B113" s="205">
        <f>openDomain_trans_FST1!S28*B20</f>
        <v>-0.50023270214208415</v>
      </c>
      <c r="C113" s="206">
        <f>openDomain_trans_FST1!T28*C20</f>
        <v>-0.55424277842039205</v>
      </c>
      <c r="D113" s="206" t="e">
        <f>openDomain_trans_FST1!U28*D20</f>
        <v>#VALUE!</v>
      </c>
      <c r="E113" s="206" t="e">
        <f>openDomain_trans_FST1!V28*E20</f>
        <v>#VALUE!</v>
      </c>
      <c r="F113" s="206" t="e">
        <f>openDomain_trans_FST1!W28*F20</f>
        <v>#VALUE!</v>
      </c>
      <c r="G113" s="207">
        <f>openDomain_trans_FST1!X28*G20</f>
        <v>-9.4140341356023713E-2</v>
      </c>
      <c r="H113" s="174"/>
      <c r="I113" s="197">
        <f>openDomain_trans_FST2!P28</f>
        <v>210</v>
      </c>
      <c r="J113" s="205">
        <f>openDomain_trans_FST2!S28*J20</f>
        <v>-0.29844167442394764</v>
      </c>
      <c r="K113" s="206">
        <f>openDomain_trans_FST2!T28*K20</f>
        <v>-0.34879323743565871</v>
      </c>
      <c r="L113" s="206" t="e">
        <f>openDomain_trans_FST2!U28*L20</f>
        <v>#VALUE!</v>
      </c>
      <c r="M113" s="206" t="e">
        <f>openDomain_trans_FST2!V28*M20</f>
        <v>#VALUE!</v>
      </c>
      <c r="N113" s="206" t="e">
        <f>openDomain_trans_FST2!W28*N20</f>
        <v>#VALUE!</v>
      </c>
      <c r="O113" s="207">
        <f>openDomain_trans_FST2!X28*O20</f>
        <v>-3.3319406541123371E-2</v>
      </c>
      <c r="Q113" s="197"/>
      <c r="R113" s="195"/>
      <c r="S113" s="174"/>
      <c r="T113" s="174"/>
      <c r="U113" s="174"/>
      <c r="V113" s="174"/>
      <c r="W113" s="196"/>
      <c r="Y113" s="197"/>
      <c r="Z113" s="195"/>
      <c r="AA113" s="174"/>
      <c r="AB113" s="174"/>
      <c r="AC113" s="174"/>
      <c r="AD113" s="174"/>
      <c r="AE113" s="196"/>
      <c r="AG113" s="197"/>
      <c r="AH113" s="195"/>
      <c r="AI113" s="174"/>
      <c r="AJ113" s="174"/>
      <c r="AK113" s="174"/>
      <c r="AL113" s="174"/>
      <c r="AM113" s="196"/>
    </row>
    <row r="114" spans="1:39" x14ac:dyDescent="0.2">
      <c r="A114" s="197">
        <f>openDomain_trans_FST1!P29</f>
        <v>225</v>
      </c>
      <c r="B114" s="205">
        <f>openDomain_trans_FST1!S29*B21</f>
        <v>-0.27389065980751132</v>
      </c>
      <c r="C114" s="206">
        <f>openDomain_trans_FST1!T29*C21</f>
        <v>-0.92225977396387882</v>
      </c>
      <c r="D114" s="206" t="e">
        <f>openDomain_trans_FST1!U29*D21</f>
        <v>#VALUE!</v>
      </c>
      <c r="E114" s="206" t="e">
        <f>openDomain_trans_FST1!V29*E21</f>
        <v>#VALUE!</v>
      </c>
      <c r="F114" s="206" t="e">
        <f>openDomain_trans_FST1!W29*F21</f>
        <v>#VALUE!</v>
      </c>
      <c r="G114" s="207">
        <f>openDomain_trans_FST1!X29*G21</f>
        <v>-0.19283455786214185</v>
      </c>
      <c r="H114" s="174"/>
      <c r="I114" s="197">
        <f>openDomain_trans_FST2!P29</f>
        <v>225</v>
      </c>
      <c r="J114" s="205">
        <f>openDomain_trans_FST2!S29*J21</f>
        <v>-0.2420495334771853</v>
      </c>
      <c r="K114" s="206">
        <f>openDomain_trans_FST2!T29*K21</f>
        <v>-0.61254884039924962</v>
      </c>
      <c r="L114" s="206" t="e">
        <f>openDomain_trans_FST2!U29*L21</f>
        <v>#VALUE!</v>
      </c>
      <c r="M114" s="206" t="e">
        <f>openDomain_trans_FST2!V29*M21</f>
        <v>#VALUE!</v>
      </c>
      <c r="N114" s="206" t="e">
        <f>openDomain_trans_FST2!W29*N21</f>
        <v>#VALUE!</v>
      </c>
      <c r="O114" s="207">
        <f>openDomain_trans_FST2!X29*O21</f>
        <v>-3.8567565133158697E-2</v>
      </c>
      <c r="Q114" s="197"/>
      <c r="R114" s="195"/>
      <c r="S114" s="174"/>
      <c r="T114" s="174"/>
      <c r="U114" s="174"/>
      <c r="V114" s="174"/>
      <c r="W114" s="196"/>
      <c r="Y114" s="197"/>
      <c r="Z114" s="195"/>
      <c r="AA114" s="174"/>
      <c r="AB114" s="174"/>
      <c r="AC114" s="174"/>
      <c r="AD114" s="174"/>
      <c r="AE114" s="196"/>
      <c r="AG114" s="197"/>
      <c r="AH114" s="195"/>
      <c r="AI114" s="174"/>
      <c r="AJ114" s="174"/>
      <c r="AK114" s="174"/>
      <c r="AL114" s="174"/>
      <c r="AM114" s="196"/>
    </row>
    <row r="115" spans="1:39" x14ac:dyDescent="0.2">
      <c r="A115" s="197">
        <f>openDomain_trans_FST1!P30</f>
        <v>240</v>
      </c>
      <c r="B115" s="205">
        <f>openDomain_trans_FST1!S30*B22</f>
        <v>-5.2202002116892514E-2</v>
      </c>
      <c r="C115" s="206">
        <f>openDomain_trans_FST1!T30*C22</f>
        <v>-1.2528260179681863</v>
      </c>
      <c r="D115" s="206" t="e">
        <f>openDomain_trans_FST1!U30*D22</f>
        <v>#VALUE!</v>
      </c>
      <c r="E115" s="206" t="e">
        <f>openDomain_trans_FST1!V30*E22</f>
        <v>#VALUE!</v>
      </c>
      <c r="F115" s="206" t="e">
        <f>openDomain_trans_FST1!W30*F22</f>
        <v>#VALUE!</v>
      </c>
      <c r="G115" s="207">
        <f>openDomain_trans_FST1!X30*G22</f>
        <v>-0.16155473632305825</v>
      </c>
      <c r="H115" s="174"/>
      <c r="I115" s="197">
        <f>openDomain_trans_FST2!P30</f>
        <v>240</v>
      </c>
      <c r="J115" s="205">
        <f>openDomain_trans_FST2!S30*J22</f>
        <v>-2.8149619522508908E-2</v>
      </c>
      <c r="K115" s="206">
        <f>openDomain_trans_FST2!T30*K22</f>
        <v>-0.8493100641375525</v>
      </c>
      <c r="L115" s="206" t="e">
        <f>openDomain_trans_FST2!U30*L22</f>
        <v>#VALUE!</v>
      </c>
      <c r="M115" s="206" t="e">
        <f>openDomain_trans_FST2!V30*M22</f>
        <v>#VALUE!</v>
      </c>
      <c r="N115" s="206" t="e">
        <f>openDomain_trans_FST2!W30*N22</f>
        <v>#VALUE!</v>
      </c>
      <c r="O115" s="207">
        <f>openDomain_trans_FST2!X30*O22</f>
        <v>-4.4468708228614977E-2</v>
      </c>
      <c r="Q115" s="197"/>
      <c r="R115" s="195"/>
      <c r="S115" s="174"/>
      <c r="T115" s="174"/>
      <c r="U115" s="174"/>
      <c r="V115" s="174"/>
      <c r="W115" s="196"/>
      <c r="Y115" s="197"/>
      <c r="Z115" s="195"/>
      <c r="AA115" s="174"/>
      <c r="AB115" s="174"/>
      <c r="AC115" s="174"/>
      <c r="AD115" s="174"/>
      <c r="AE115" s="196"/>
      <c r="AG115" s="197"/>
      <c r="AH115" s="195"/>
      <c r="AI115" s="174"/>
      <c r="AJ115" s="174"/>
      <c r="AK115" s="174"/>
      <c r="AL115" s="174"/>
      <c r="AM115" s="196"/>
    </row>
    <row r="116" spans="1:39" x14ac:dyDescent="0.2">
      <c r="A116" s="197">
        <f>openDomain_trans_FST1!P31</f>
        <v>255</v>
      </c>
      <c r="B116" s="205">
        <f>openDomain_trans_FST1!S31*B23</f>
        <v>1.0500459255048453E-2</v>
      </c>
      <c r="C116" s="206">
        <f>openDomain_trans_FST1!T31*C23</f>
        <v>-1.251575033860205</v>
      </c>
      <c r="D116" s="206" t="e">
        <f>openDomain_trans_FST1!U31*D23</f>
        <v>#VALUE!</v>
      </c>
      <c r="E116" s="206" t="e">
        <f>openDomain_trans_FST1!V31*E23</f>
        <v>#VALUE!</v>
      </c>
      <c r="F116" s="206" t="e">
        <f>openDomain_trans_FST1!W31*F23</f>
        <v>#VALUE!</v>
      </c>
      <c r="G116" s="207">
        <f>openDomain_trans_FST1!X31*G23</f>
        <v>-4.8201256376626977E-2</v>
      </c>
      <c r="H116" s="174"/>
      <c r="I116" s="197">
        <f>openDomain_trans_FST2!P31</f>
        <v>255</v>
      </c>
      <c r="J116" s="205">
        <f>openDomain_trans_FST2!S31*J23</f>
        <v>-3.2761674242432419E-2</v>
      </c>
      <c r="K116" s="206">
        <f>openDomain_trans_FST2!T31*K23</f>
        <v>-0.96872676662008483</v>
      </c>
      <c r="L116" s="206" t="e">
        <f>openDomain_trans_FST2!U31*L23</f>
        <v>#VALUE!</v>
      </c>
      <c r="M116" s="206" t="e">
        <f>openDomain_trans_FST2!V31*M23</f>
        <v>#VALUE!</v>
      </c>
      <c r="N116" s="206" t="e">
        <f>openDomain_trans_FST2!W31*N23</f>
        <v>#VALUE!</v>
      </c>
      <c r="O116" s="207">
        <f>openDomain_trans_FST2!X31*O23</f>
        <v>-3.6676783726183139E-2</v>
      </c>
      <c r="Q116" s="197"/>
      <c r="R116" s="195"/>
      <c r="S116" s="174"/>
      <c r="T116" s="174"/>
      <c r="U116" s="174"/>
      <c r="V116" s="174"/>
      <c r="W116" s="196"/>
      <c r="Y116" s="197"/>
      <c r="Z116" s="195"/>
      <c r="AA116" s="174"/>
      <c r="AB116" s="174"/>
      <c r="AC116" s="174"/>
      <c r="AD116" s="174"/>
      <c r="AE116" s="196"/>
      <c r="AG116" s="197"/>
      <c r="AH116" s="195"/>
      <c r="AI116" s="174"/>
      <c r="AJ116" s="174"/>
      <c r="AK116" s="174"/>
      <c r="AL116" s="174"/>
      <c r="AM116" s="196"/>
    </row>
    <row r="117" spans="1:39" x14ac:dyDescent="0.2">
      <c r="A117" s="197">
        <f>openDomain_trans_FST1!P32</f>
        <v>270</v>
      </c>
      <c r="B117" s="205">
        <f>openDomain_trans_FST1!S32*B24</f>
        <v>0.17310642225815909</v>
      </c>
      <c r="C117" s="206">
        <f>openDomain_trans_FST1!T32*C24</f>
        <v>-1.0868919624793183</v>
      </c>
      <c r="D117" s="206" t="e">
        <f>openDomain_trans_FST1!U32*D24</f>
        <v>#VALUE!</v>
      </c>
      <c r="E117" s="206" t="e">
        <f>openDomain_trans_FST1!V32*E24</f>
        <v>#VALUE!</v>
      </c>
      <c r="F117" s="206" t="e">
        <f>openDomain_trans_FST1!W32*F24</f>
        <v>#VALUE!</v>
      </c>
      <c r="G117" s="207">
        <f>openDomain_trans_FST1!X32*G24</f>
        <v>-1.2226071265083056E-2</v>
      </c>
      <c r="H117" s="174"/>
      <c r="I117" s="197">
        <f>openDomain_trans_FST2!P32</f>
        <v>270</v>
      </c>
      <c r="J117" s="205">
        <f>openDomain_trans_FST2!S32*J24</f>
        <v>-2.6466021109773363E-2</v>
      </c>
      <c r="K117" s="206">
        <f>openDomain_trans_FST2!T32*K24</f>
        <v>-1.1362330045638613</v>
      </c>
      <c r="L117" s="206" t="e">
        <f>openDomain_trans_FST2!U32*L24</f>
        <v>#VALUE!</v>
      </c>
      <c r="M117" s="206" t="e">
        <f>openDomain_trans_FST2!V32*M24</f>
        <v>#VALUE!</v>
      </c>
      <c r="N117" s="206" t="e">
        <f>openDomain_trans_FST2!W32*N24</f>
        <v>#VALUE!</v>
      </c>
      <c r="O117" s="207">
        <f>openDomain_trans_FST2!X32*O24</f>
        <v>-2.9691367649746309E-2</v>
      </c>
      <c r="Q117" s="197"/>
      <c r="R117" s="195"/>
      <c r="S117" s="174"/>
      <c r="T117" s="174"/>
      <c r="U117" s="174"/>
      <c r="V117" s="174"/>
      <c r="W117" s="196"/>
      <c r="Y117" s="197"/>
      <c r="Z117" s="195"/>
      <c r="AA117" s="174"/>
      <c r="AB117" s="174"/>
      <c r="AC117" s="174"/>
      <c r="AD117" s="174"/>
      <c r="AE117" s="196"/>
      <c r="AG117" s="197"/>
      <c r="AH117" s="195"/>
      <c r="AI117" s="174"/>
      <c r="AJ117" s="174"/>
      <c r="AK117" s="174"/>
      <c r="AL117" s="174"/>
      <c r="AM117" s="196"/>
    </row>
    <row r="118" spans="1:39" x14ac:dyDescent="0.2">
      <c r="A118" s="197">
        <f>openDomain_trans_FST1!P33</f>
        <v>285</v>
      </c>
      <c r="B118" s="205">
        <f>openDomain_trans_FST1!S33*B25</f>
        <v>4.5476952914842529E-2</v>
      </c>
      <c r="C118" s="206">
        <f>openDomain_trans_FST1!T33*C25</f>
        <v>-0.94079421666212548</v>
      </c>
      <c r="D118" s="206" t="e">
        <f>openDomain_trans_FST1!U33*D25</f>
        <v>#VALUE!</v>
      </c>
      <c r="E118" s="206" t="e">
        <f>openDomain_trans_FST1!V33*E25</f>
        <v>#VALUE!</v>
      </c>
      <c r="F118" s="206" t="e">
        <f>openDomain_trans_FST1!W33*F25</f>
        <v>#VALUE!</v>
      </c>
      <c r="G118" s="207">
        <f>openDomain_trans_FST1!X33*G25</f>
        <v>4.0179459256616548E-2</v>
      </c>
      <c r="H118" s="174"/>
      <c r="I118" s="197">
        <f>openDomain_trans_FST2!P33</f>
        <v>285</v>
      </c>
      <c r="J118" s="205">
        <f>openDomain_trans_FST2!S33*J25</f>
        <v>-2.2447242207738895E-2</v>
      </c>
      <c r="K118" s="206">
        <f>openDomain_trans_FST2!T33*K25</f>
        <v>-1.2816598194882913</v>
      </c>
      <c r="L118" s="206" t="e">
        <f>openDomain_trans_FST2!U33*L25</f>
        <v>#VALUE!</v>
      </c>
      <c r="M118" s="206" t="e">
        <f>openDomain_trans_FST2!V33*M25</f>
        <v>#VALUE!</v>
      </c>
      <c r="N118" s="206" t="e">
        <f>openDomain_trans_FST2!W33*N25</f>
        <v>#VALUE!</v>
      </c>
      <c r="O118" s="207">
        <f>openDomain_trans_FST2!X33*O25</f>
        <v>4.4460174282424929E-2</v>
      </c>
      <c r="Q118" s="197"/>
      <c r="R118" s="195"/>
      <c r="S118" s="174"/>
      <c r="T118" s="174"/>
      <c r="U118" s="174"/>
      <c r="V118" s="174"/>
      <c r="W118" s="196"/>
      <c r="Y118" s="197"/>
      <c r="Z118" s="195"/>
      <c r="AA118" s="174"/>
      <c r="AB118" s="174"/>
      <c r="AC118" s="174"/>
      <c r="AD118" s="174"/>
      <c r="AE118" s="196"/>
      <c r="AG118" s="197"/>
      <c r="AH118" s="195"/>
      <c r="AI118" s="174"/>
      <c r="AJ118" s="174"/>
      <c r="AK118" s="174"/>
      <c r="AL118" s="174"/>
      <c r="AM118" s="196"/>
    </row>
    <row r="119" spans="1:39" x14ac:dyDescent="0.2">
      <c r="A119" s="197">
        <f>openDomain_trans_FST1!P34</f>
        <v>300</v>
      </c>
      <c r="B119" s="205">
        <f>openDomain_trans_FST1!S34*B26</f>
        <v>3.771950834287633E-2</v>
      </c>
      <c r="C119" s="206">
        <f>openDomain_trans_FST1!T34*C26</f>
        <v>-0.80144923170379678</v>
      </c>
      <c r="D119" s="206" t="e">
        <f>openDomain_trans_FST1!U34*D26</f>
        <v>#VALUE!</v>
      </c>
      <c r="E119" s="206" t="e">
        <f>openDomain_trans_FST1!V34*E26</f>
        <v>#VALUE!</v>
      </c>
      <c r="F119" s="206" t="e">
        <f>openDomain_trans_FST1!W34*F26</f>
        <v>#VALUE!</v>
      </c>
      <c r="G119" s="207">
        <f>openDomain_trans_FST1!X34*G26</f>
        <v>5.3081768514876303E-2</v>
      </c>
      <c r="H119" s="174"/>
      <c r="I119" s="197">
        <f>openDomain_trans_FST2!P34</f>
        <v>300</v>
      </c>
      <c r="J119" s="205">
        <f>openDomain_trans_FST2!S34*J26</f>
        <v>4.1073159238183894E-2</v>
      </c>
      <c r="K119" s="206">
        <f>openDomain_trans_FST2!T34*K26</f>
        <v>-1.3355556234729316</v>
      </c>
      <c r="L119" s="206" t="e">
        <f>openDomain_trans_FST2!U34*L26</f>
        <v>#VALUE!</v>
      </c>
      <c r="M119" s="206" t="e">
        <f>openDomain_trans_FST2!V34*M26</f>
        <v>#VALUE!</v>
      </c>
      <c r="N119" s="206" t="e">
        <f>openDomain_trans_FST2!W34*N26</f>
        <v>#VALUE!</v>
      </c>
      <c r="O119" s="207">
        <f>openDomain_trans_FST2!X34*O26</f>
        <v>0.13678561545314069</v>
      </c>
      <c r="Q119" s="197"/>
      <c r="R119" s="195"/>
      <c r="S119" s="174"/>
      <c r="T119" s="174"/>
      <c r="U119" s="174"/>
      <c r="V119" s="174"/>
      <c r="W119" s="196"/>
      <c r="Y119" s="197"/>
      <c r="Z119" s="195"/>
      <c r="AA119" s="174"/>
      <c r="AB119" s="174"/>
      <c r="AC119" s="174"/>
      <c r="AD119" s="174"/>
      <c r="AE119" s="196"/>
      <c r="AG119" s="197"/>
      <c r="AH119" s="195"/>
      <c r="AI119" s="174"/>
      <c r="AJ119" s="174"/>
      <c r="AK119" s="174"/>
      <c r="AL119" s="174"/>
      <c r="AM119" s="196"/>
    </row>
    <row r="120" spans="1:39" x14ac:dyDescent="0.2">
      <c r="A120" s="197">
        <f>openDomain_trans_FST1!P35</f>
        <v>315</v>
      </c>
      <c r="B120" s="205">
        <f>openDomain_trans_FST1!S35*B27</f>
        <v>0.1537803309033719</v>
      </c>
      <c r="C120" s="206">
        <f>openDomain_trans_FST1!T35*C27</f>
        <v>-0.56118987893530581</v>
      </c>
      <c r="D120" s="206" t="e">
        <f>openDomain_trans_FST1!U35*D27</f>
        <v>#VALUE!</v>
      </c>
      <c r="E120" s="206" t="e">
        <f>openDomain_trans_FST1!V35*E27</f>
        <v>#VALUE!</v>
      </c>
      <c r="F120" s="206" t="e">
        <f>openDomain_trans_FST1!W35*F27</f>
        <v>#VALUE!</v>
      </c>
      <c r="G120" s="207">
        <f>openDomain_trans_FST1!X35*G27</f>
        <v>5.4309641488841716E-2</v>
      </c>
      <c r="H120" s="174"/>
      <c r="I120" s="197">
        <f>openDomain_trans_FST2!P35</f>
        <v>315</v>
      </c>
      <c r="J120" s="205">
        <f>openDomain_trans_FST2!S35*J27</f>
        <v>0.43419721168130265</v>
      </c>
      <c r="K120" s="206">
        <f>openDomain_trans_FST2!T35*K27</f>
        <v>-1.0189649031600629</v>
      </c>
      <c r="L120" s="206" t="e">
        <f>openDomain_trans_FST2!U35*L27</f>
        <v>#VALUE!</v>
      </c>
      <c r="M120" s="206" t="e">
        <f>openDomain_trans_FST2!V35*M27</f>
        <v>#VALUE!</v>
      </c>
      <c r="N120" s="206" t="e">
        <f>openDomain_trans_FST2!W35*N27</f>
        <v>#VALUE!</v>
      </c>
      <c r="O120" s="207">
        <f>openDomain_trans_FST2!X35*O27</f>
        <v>0.13263596137152514</v>
      </c>
      <c r="Q120" s="197"/>
      <c r="R120" s="195"/>
      <c r="S120" s="174"/>
      <c r="T120" s="174"/>
      <c r="U120" s="174"/>
      <c r="V120" s="174"/>
      <c r="W120" s="196"/>
      <c r="Y120" s="197"/>
      <c r="Z120" s="195"/>
      <c r="AA120" s="174"/>
      <c r="AB120" s="174"/>
      <c r="AC120" s="174"/>
      <c r="AD120" s="174"/>
      <c r="AE120" s="196"/>
      <c r="AG120" s="197"/>
      <c r="AH120" s="195"/>
      <c r="AI120" s="174"/>
      <c r="AJ120" s="174"/>
      <c r="AK120" s="174"/>
      <c r="AL120" s="174"/>
      <c r="AM120" s="196"/>
    </row>
    <row r="121" spans="1:39" x14ac:dyDescent="0.2">
      <c r="A121" s="197">
        <f>openDomain_trans_FST1!P36</f>
        <v>330</v>
      </c>
      <c r="B121" s="205">
        <f>openDomain_trans_FST1!S36*B28</f>
        <v>0.22871788589617095</v>
      </c>
      <c r="C121" s="206">
        <f>openDomain_trans_FST1!T36*C28</f>
        <v>-0.31871300898045962</v>
      </c>
      <c r="D121" s="206" t="e">
        <f>openDomain_trans_FST1!U36*D28</f>
        <v>#VALUE!</v>
      </c>
      <c r="E121" s="206" t="e">
        <f>openDomain_trans_FST1!V36*E28</f>
        <v>#VALUE!</v>
      </c>
      <c r="F121" s="206" t="e">
        <f>openDomain_trans_FST1!W36*F28</f>
        <v>#VALUE!</v>
      </c>
      <c r="G121" s="207">
        <f>openDomain_trans_FST1!X36*G28</f>
        <v>3.5569294904548736E-2</v>
      </c>
      <c r="H121" s="174"/>
      <c r="I121" s="197">
        <f>openDomain_trans_FST2!P36</f>
        <v>330</v>
      </c>
      <c r="J121" s="205">
        <f>openDomain_trans_FST2!S36*J28</f>
        <v>0.64049517167506764</v>
      </c>
      <c r="K121" s="206">
        <f>openDomain_trans_FST2!T36*K28</f>
        <v>-0.60229940838494145</v>
      </c>
      <c r="L121" s="206" t="e">
        <f>openDomain_trans_FST2!U36*L28</f>
        <v>#VALUE!</v>
      </c>
      <c r="M121" s="206" t="e">
        <f>openDomain_trans_FST2!V36*M28</f>
        <v>#VALUE!</v>
      </c>
      <c r="N121" s="206" t="e">
        <f>openDomain_trans_FST2!W36*N28</f>
        <v>#VALUE!</v>
      </c>
      <c r="O121" s="207">
        <f>openDomain_trans_FST2!X36*O28</f>
        <v>9.482063518868683E-2</v>
      </c>
      <c r="Q121" s="197"/>
      <c r="R121" s="195"/>
      <c r="S121" s="174"/>
      <c r="T121" s="174"/>
      <c r="U121" s="174"/>
      <c r="V121" s="174"/>
      <c r="W121" s="196"/>
      <c r="Y121" s="197"/>
      <c r="Z121" s="195"/>
      <c r="AA121" s="174"/>
      <c r="AB121" s="174"/>
      <c r="AC121" s="174"/>
      <c r="AD121" s="174"/>
      <c r="AE121" s="196"/>
      <c r="AG121" s="197"/>
      <c r="AH121" s="195"/>
      <c r="AI121" s="174"/>
      <c r="AJ121" s="174"/>
      <c r="AK121" s="174"/>
      <c r="AL121" s="174"/>
      <c r="AM121" s="196"/>
    </row>
    <row r="122" spans="1:39" x14ac:dyDescent="0.2">
      <c r="A122" s="197">
        <f>openDomain_trans_FST1!P37</f>
        <v>345</v>
      </c>
      <c r="B122" s="205">
        <f>openDomain_trans_FST1!S37*B29</f>
        <v>0.29598151917350374</v>
      </c>
      <c r="C122" s="206">
        <f>openDomain_trans_FST1!T37*C29</f>
        <v>-9.9898163901526948E-2</v>
      </c>
      <c r="D122" s="206" t="e">
        <f>openDomain_trans_FST1!U37*D29</f>
        <v>#VALUE!</v>
      </c>
      <c r="E122" s="206" t="e">
        <f>openDomain_trans_FST1!V37*E29</f>
        <v>#VALUE!</v>
      </c>
      <c r="F122" s="206" t="e">
        <f>openDomain_trans_FST1!W37*F29</f>
        <v>#VALUE!</v>
      </c>
      <c r="G122" s="207">
        <f>openDomain_trans_FST1!X37*G29</f>
        <v>1.2928246705518912E-2</v>
      </c>
      <c r="H122" s="174"/>
      <c r="I122" s="197">
        <f>openDomain_trans_FST2!P37</f>
        <v>345</v>
      </c>
      <c r="J122" s="205">
        <f>openDomain_trans_FST2!S37*J29</f>
        <v>0.7450407196089176</v>
      </c>
      <c r="K122" s="206">
        <f>openDomain_trans_FST2!T37*K29</f>
        <v>-0.23293559907637373</v>
      </c>
      <c r="L122" s="206" t="e">
        <f>openDomain_trans_FST2!U37*L29</f>
        <v>#VALUE!</v>
      </c>
      <c r="M122" s="206" t="e">
        <f>openDomain_trans_FST2!V37*M29</f>
        <v>#VALUE!</v>
      </c>
      <c r="N122" s="206" t="e">
        <f>openDomain_trans_FST2!W37*N29</f>
        <v>#VALUE!</v>
      </c>
      <c r="O122" s="207">
        <f>openDomain_trans_FST2!X37*O29</f>
        <v>4.9780928195313302E-2</v>
      </c>
      <c r="Q122" s="197"/>
      <c r="R122" s="195"/>
      <c r="S122" s="174"/>
      <c r="T122" s="174"/>
      <c r="U122" s="174"/>
      <c r="V122" s="174"/>
      <c r="W122" s="196"/>
      <c r="Y122" s="197"/>
      <c r="Z122" s="195"/>
      <c r="AA122" s="174"/>
      <c r="AB122" s="174"/>
      <c r="AC122" s="174"/>
      <c r="AD122" s="174"/>
      <c r="AE122" s="196"/>
      <c r="AG122" s="197"/>
      <c r="AH122" s="195"/>
      <c r="AI122" s="174"/>
      <c r="AJ122" s="174"/>
      <c r="AK122" s="174"/>
      <c r="AL122" s="174"/>
      <c r="AM122" s="196"/>
    </row>
    <row r="123" spans="1:39" ht="12.75" thickBot="1" x14ac:dyDescent="0.25">
      <c r="A123" s="198">
        <v>360</v>
      </c>
      <c r="B123" s="208">
        <f>openDomain_trans_FST1!S38*B30</f>
        <v>0.17973342291245667</v>
      </c>
      <c r="C123" s="209">
        <f>openDomain_trans_FST1!T38*C30</f>
        <v>-1.069471695154617E-3</v>
      </c>
      <c r="D123" s="209" t="e">
        <f>openDomain_trans_FST1!U38*D30</f>
        <v>#VALUE!</v>
      </c>
      <c r="E123" s="209" t="e">
        <f>openDomain_trans_FST1!V38*E30</f>
        <v>#VALUE!</v>
      </c>
      <c r="F123" s="209" t="e">
        <f>openDomain_trans_FST1!W38*F30</f>
        <v>#VALUE!</v>
      </c>
      <c r="G123" s="210">
        <f>openDomain_trans_FST1!X38*G30</f>
        <v>3.630820805666847E-4</v>
      </c>
      <c r="H123" s="182"/>
      <c r="I123" s="198">
        <v>360</v>
      </c>
      <c r="J123" s="208">
        <f>openDomain_trans_FST2!S38*J30</f>
        <v>0.69236329614215808</v>
      </c>
      <c r="K123" s="209">
        <f>openDomain_trans_FST2!T38*K30</f>
        <v>-1.5221195426332487E-2</v>
      </c>
      <c r="L123" s="209" t="e">
        <f>openDomain_trans_FST2!U38*L30</f>
        <v>#VALUE!</v>
      </c>
      <c r="M123" s="209" t="e">
        <f>openDomain_trans_FST2!V38*M30</f>
        <v>#VALUE!</v>
      </c>
      <c r="N123" s="209" t="e">
        <f>openDomain_trans_FST2!W38*N30</f>
        <v>#VALUE!</v>
      </c>
      <c r="O123" s="210">
        <f>openDomain_trans_FST2!X38*O30</f>
        <v>3.4237135593225012E-3</v>
      </c>
      <c r="Q123" s="198"/>
      <c r="R123" s="199"/>
      <c r="S123" s="200"/>
      <c r="T123" s="200"/>
      <c r="U123" s="200"/>
      <c r="V123" s="200"/>
      <c r="W123" s="201"/>
      <c r="Y123" s="198"/>
      <c r="Z123" s="199"/>
      <c r="AA123" s="200"/>
      <c r="AB123" s="200"/>
      <c r="AC123" s="200"/>
      <c r="AD123" s="200"/>
      <c r="AE123" s="201"/>
      <c r="AG123" s="198"/>
      <c r="AH123" s="199"/>
      <c r="AI123" s="200"/>
      <c r="AJ123" s="200"/>
      <c r="AK123" s="200"/>
      <c r="AL123" s="200"/>
      <c r="AM123" s="201"/>
    </row>
    <row r="125" spans="1:39" ht="15.75" customHeight="1" thickBot="1" x14ac:dyDescent="0.25">
      <c r="A125" s="228" t="s">
        <v>75</v>
      </c>
      <c r="B125" s="228"/>
      <c r="C125" s="228"/>
      <c r="D125" s="228"/>
      <c r="E125" s="228"/>
      <c r="F125" s="228"/>
      <c r="G125" s="228"/>
      <c r="H125" s="160"/>
      <c r="I125" s="228" t="s">
        <v>76</v>
      </c>
      <c r="J125" s="228"/>
      <c r="K125" s="228"/>
      <c r="L125" s="228"/>
      <c r="M125" s="228"/>
      <c r="N125" s="228"/>
      <c r="O125" s="228"/>
      <c r="Q125" s="228" t="s">
        <v>77</v>
      </c>
      <c r="R125" s="228"/>
      <c r="S125" s="228"/>
      <c r="T125" s="228"/>
      <c r="U125" s="228"/>
      <c r="V125" s="228"/>
      <c r="W125" s="228"/>
    </row>
    <row r="126" spans="1:39" x14ac:dyDescent="0.2">
      <c r="A126" s="184" t="s">
        <v>55</v>
      </c>
      <c r="B126" s="185">
        <f>openDomain_trans_LNGC_FST1!S5</f>
        <v>1678</v>
      </c>
      <c r="C126" s="185">
        <f>openDomain_trans_LNGC_FST1!T5</f>
        <v>7811</v>
      </c>
      <c r="D126" s="185">
        <f>openDomain_trans_LNGC_FST1!U5</f>
        <v>8949</v>
      </c>
      <c r="E126" s="185">
        <f>openDomain_trans_LNGC_FST1!V5</f>
        <v>298215</v>
      </c>
      <c r="F126" s="185">
        <f>openDomain_trans_LNGC_FST1!W5</f>
        <v>32704</v>
      </c>
      <c r="G126" s="185">
        <f>openDomain_trans_LNGC_FST1!X5</f>
        <v>1598052</v>
      </c>
      <c r="H126" s="164"/>
      <c r="I126" s="184" t="s">
        <v>55</v>
      </c>
      <c r="J126" s="185">
        <f t="shared" ref="J126:O126" si="34">B126</f>
        <v>1678</v>
      </c>
      <c r="K126" s="185">
        <f t="shared" si="34"/>
        <v>7811</v>
      </c>
      <c r="L126" s="185">
        <f t="shared" si="34"/>
        <v>8949</v>
      </c>
      <c r="M126" s="185">
        <f t="shared" si="34"/>
        <v>298215</v>
      </c>
      <c r="N126" s="185">
        <f t="shared" si="34"/>
        <v>32704</v>
      </c>
      <c r="O126" s="185">
        <f t="shared" si="34"/>
        <v>1598052</v>
      </c>
      <c r="Q126" s="184" t="s">
        <v>55</v>
      </c>
      <c r="R126" s="185">
        <f>openDomain_trans_LNGC_LNGC!S5</f>
        <v>1566</v>
      </c>
      <c r="S126" s="185">
        <f>openDomain_trans_LNGC_LNGC!T5</f>
        <v>7543</v>
      </c>
      <c r="T126" s="185">
        <f>openDomain_trans_LNGC_LNGC!U5</f>
        <v>13570</v>
      </c>
      <c r="U126" s="185">
        <f>openDomain_trans_LNGC_LNGC!V5</f>
        <v>192871</v>
      </c>
      <c r="V126" s="185">
        <f>openDomain_trans_LNGC_LNGC!W5</f>
        <v>26653</v>
      </c>
      <c r="W126" s="185">
        <f>openDomain_trans_LNGC_LNGC!X5</f>
        <v>2225185</v>
      </c>
    </row>
    <row r="127" spans="1:39" ht="12.75" thickBot="1" x14ac:dyDescent="0.25">
      <c r="A127" s="186"/>
      <c r="B127" s="187" t="s">
        <v>57</v>
      </c>
      <c r="C127" s="187" t="s">
        <v>57</v>
      </c>
      <c r="D127" s="187" t="s">
        <v>57</v>
      </c>
      <c r="E127" s="187" t="s">
        <v>58</v>
      </c>
      <c r="F127" s="187" t="s">
        <v>58</v>
      </c>
      <c r="G127" s="187" t="s">
        <v>58</v>
      </c>
      <c r="H127" s="167"/>
      <c r="I127" s="186"/>
      <c r="J127" s="187" t="s">
        <v>57</v>
      </c>
      <c r="K127" s="187" t="s">
        <v>57</v>
      </c>
      <c r="L127" s="187" t="s">
        <v>57</v>
      </c>
      <c r="M127" s="187" t="s">
        <v>58</v>
      </c>
      <c r="N127" s="187" t="s">
        <v>58</v>
      </c>
      <c r="O127" s="187" t="s">
        <v>58</v>
      </c>
      <c r="Q127" s="186"/>
      <c r="R127" s="187" t="s">
        <v>57</v>
      </c>
      <c r="S127" s="187" t="s">
        <v>57</v>
      </c>
      <c r="T127" s="187" t="s">
        <v>57</v>
      </c>
      <c r="U127" s="187" t="s">
        <v>58</v>
      </c>
      <c r="V127" s="187" t="s">
        <v>58</v>
      </c>
      <c r="W127" s="187" t="s">
        <v>58</v>
      </c>
    </row>
    <row r="128" spans="1:39" ht="14.25" thickBot="1" x14ac:dyDescent="0.25">
      <c r="A128" s="188" t="s">
        <v>59</v>
      </c>
      <c r="B128" s="189" t="s">
        <v>258</v>
      </c>
      <c r="C128" s="189" t="s">
        <v>259</v>
      </c>
      <c r="D128" s="189" t="s">
        <v>260</v>
      </c>
      <c r="E128" s="189" t="s">
        <v>261</v>
      </c>
      <c r="F128" s="189" t="s">
        <v>262</v>
      </c>
      <c r="G128" s="189" t="s">
        <v>263</v>
      </c>
      <c r="H128" s="160"/>
      <c r="I128" s="188" t="s">
        <v>59</v>
      </c>
      <c r="J128" s="189" t="s">
        <v>258</v>
      </c>
      <c r="K128" s="189" t="s">
        <v>259</v>
      </c>
      <c r="L128" s="189" t="s">
        <v>260</v>
      </c>
      <c r="M128" s="189" t="s">
        <v>261</v>
      </c>
      <c r="N128" s="189" t="s">
        <v>262</v>
      </c>
      <c r="O128" s="189" t="s">
        <v>263</v>
      </c>
      <c r="Q128" s="188" t="s">
        <v>59</v>
      </c>
      <c r="R128" s="189" t="s">
        <v>258</v>
      </c>
      <c r="S128" s="189" t="s">
        <v>259</v>
      </c>
      <c r="T128" s="189" t="s">
        <v>260</v>
      </c>
      <c r="U128" s="189" t="s">
        <v>261</v>
      </c>
      <c r="V128" s="189" t="s">
        <v>262</v>
      </c>
      <c r="W128" s="189" t="s">
        <v>263</v>
      </c>
    </row>
    <row r="129" spans="1:23" ht="60.75" thickBot="1" x14ac:dyDescent="0.25">
      <c r="A129" s="190"/>
      <c r="B129" s="189" t="str">
        <f t="shared" ref="B129:G129" si="35">CONCATENATE($A$125,"-",B128)</f>
        <v>openDomain-long-LNGC-FST1-Cx [-]</v>
      </c>
      <c r="C129" s="189" t="str">
        <f t="shared" si="35"/>
        <v>openDomain-long-LNGC-FST1-Cy [-]</v>
      </c>
      <c r="D129" s="189" t="str">
        <f t="shared" si="35"/>
        <v>openDomain-long-LNGC-FST1-Cz [-]</v>
      </c>
      <c r="E129" s="189" t="str">
        <f t="shared" si="35"/>
        <v>openDomain-long-LNGC-FST1-Cnx [-]</v>
      </c>
      <c r="F129" s="189" t="str">
        <f t="shared" si="35"/>
        <v>openDomain-long-LNGC-FST1-Cny [-]</v>
      </c>
      <c r="G129" s="189" t="str">
        <f t="shared" si="35"/>
        <v>openDomain-long-LNGC-FST1-Cnz [-]</v>
      </c>
      <c r="H129" s="160"/>
      <c r="I129" s="190"/>
      <c r="J129" s="189" t="str">
        <f t="shared" ref="J129:O129" si="36">CONCATENATE($I$125,"-",J128)</f>
        <v>openDomain-long-LNGC-FST2-Cx [-]</v>
      </c>
      <c r="K129" s="189" t="str">
        <f t="shared" si="36"/>
        <v>openDomain-long-LNGC-FST2-Cy [-]</v>
      </c>
      <c r="L129" s="189" t="str">
        <f t="shared" si="36"/>
        <v>openDomain-long-LNGC-FST2-Cz [-]</v>
      </c>
      <c r="M129" s="189" t="str">
        <f t="shared" si="36"/>
        <v>openDomain-long-LNGC-FST2-Cnx [-]</v>
      </c>
      <c r="N129" s="189" t="str">
        <f t="shared" si="36"/>
        <v>openDomain-long-LNGC-FST2-Cny [-]</v>
      </c>
      <c r="O129" s="189" t="str">
        <f t="shared" si="36"/>
        <v>openDomain-long-LNGC-FST2-Cnz [-]</v>
      </c>
      <c r="Q129" s="190"/>
      <c r="R129" s="189" t="str">
        <f t="shared" ref="R129:W129" si="37">CONCATENATE($Q$125,"-",R128)</f>
        <v>openDomain-long-LNGC-LNGC-Cx [-]</v>
      </c>
      <c r="S129" s="189" t="str">
        <f t="shared" si="37"/>
        <v>openDomain-long-LNGC-LNGC-Cy [-]</v>
      </c>
      <c r="T129" s="189" t="str">
        <f t="shared" si="37"/>
        <v>openDomain-long-LNGC-LNGC-Cz [-]</v>
      </c>
      <c r="U129" s="189" t="str">
        <f t="shared" si="37"/>
        <v>openDomain-long-LNGC-LNGC-Cnx [-]</v>
      </c>
      <c r="V129" s="189" t="str">
        <f t="shared" si="37"/>
        <v>openDomain-long-LNGC-LNGC-Cny [-]</v>
      </c>
      <c r="W129" s="189" t="str">
        <f t="shared" si="37"/>
        <v>openDomain-long-LNGC-LNGC-Cnz [-]</v>
      </c>
    </row>
    <row r="130" spans="1:23" x14ac:dyDescent="0.2">
      <c r="A130" s="191">
        <f>openDomain_trans_LNGC_FST1!P14</f>
        <v>0</v>
      </c>
      <c r="B130" s="202">
        <f>openDomain_trans_LNGC_FST1!S14*B6</f>
        <v>0.18136453656125834</v>
      </c>
      <c r="C130" s="203">
        <f>openDomain_trans_LNGC_FST1!T14*C6</f>
        <v>-8.6152820706655048E-3</v>
      </c>
      <c r="D130" s="203" t="e">
        <f>openDomain_trans_LNGC_FST1!U14*D6</f>
        <v>#VALUE!</v>
      </c>
      <c r="E130" s="203" t="e">
        <f>openDomain_trans_LNGC_FST1!V14*E6</f>
        <v>#VALUE!</v>
      </c>
      <c r="F130" s="203" t="e">
        <f>openDomain_trans_LNGC_FST1!W14*F6</f>
        <v>#VALUE!</v>
      </c>
      <c r="G130" s="204">
        <f>openDomain_trans_LNGC_FST1!X14*G6</f>
        <v>-2.702982192781729E-3</v>
      </c>
      <c r="H130" s="174"/>
      <c r="I130" s="191">
        <f>openDomain_trans_LNGC_FST2!P14</f>
        <v>0</v>
      </c>
      <c r="J130" s="202">
        <f>openDomain_trans_LNGC_FST2!S14*J6</f>
        <v>0.74523754107757878</v>
      </c>
      <c r="K130" s="203">
        <f>openDomain_trans_LNGC_FST2!T14*K6</f>
        <v>9.6874683217140038E-3</v>
      </c>
      <c r="L130" s="203" t="e">
        <f>openDomain_trans_LNGC_FST2!U14*L6</f>
        <v>#VALUE!</v>
      </c>
      <c r="M130" s="203" t="e">
        <f>openDomain_trans_LNGC_FST2!V14*M6</f>
        <v>#VALUE!</v>
      </c>
      <c r="N130" s="203" t="e">
        <f>openDomain_trans_LNGC_FST2!W14*N6</f>
        <v>#VALUE!</v>
      </c>
      <c r="O130" s="204">
        <f>openDomain_trans_LNGC_FST2!X14*O6</f>
        <v>-2.5518124841581304E-2</v>
      </c>
      <c r="Q130" s="191"/>
      <c r="R130" s="192"/>
      <c r="S130" s="193"/>
      <c r="T130" s="193"/>
      <c r="U130" s="193"/>
      <c r="V130" s="193"/>
      <c r="W130" s="194"/>
    </row>
    <row r="131" spans="1:23" x14ac:dyDescent="0.2">
      <c r="A131" s="191">
        <f>openDomain_trans_LNGC_FST1!P15</f>
        <v>15</v>
      </c>
      <c r="B131" s="205">
        <f>openDomain_trans_LNGC_FST1!S15*B7</f>
        <v>0.49443054026511635</v>
      </c>
      <c r="C131" s="206">
        <f>openDomain_trans_LNGC_FST1!T15*C7</f>
        <v>0.13035303079316454</v>
      </c>
      <c r="D131" s="206" t="e">
        <f>openDomain_trans_LNGC_FST1!U15*D7</f>
        <v>#VALUE!</v>
      </c>
      <c r="E131" s="206" t="e">
        <f>openDomain_trans_LNGC_FST1!V15*E7</f>
        <v>#VALUE!</v>
      </c>
      <c r="F131" s="206" t="e">
        <f>openDomain_trans_LNGC_FST1!W15*F7</f>
        <v>#VALUE!</v>
      </c>
      <c r="G131" s="207">
        <f>openDomain_trans_LNGC_FST1!X15*G7</f>
        <v>9.8934966964245551E-3</v>
      </c>
      <c r="H131" s="174"/>
      <c r="I131" s="191">
        <f>openDomain_trans_LNGC_FST2!P15</f>
        <v>15</v>
      </c>
      <c r="J131" s="205">
        <f>openDomain_trans_LNGC_FST2!S15*J7</f>
        <v>0.7444265183103127</v>
      </c>
      <c r="K131" s="206">
        <f>openDomain_trans_LNGC_FST2!T15*K7</f>
        <v>9.6404169295209952E-2</v>
      </c>
      <c r="L131" s="206" t="e">
        <f>openDomain_trans_LNGC_FST2!U15*L7</f>
        <v>#VALUE!</v>
      </c>
      <c r="M131" s="206" t="e">
        <f>openDomain_trans_LNGC_FST2!V15*M7</f>
        <v>#VALUE!</v>
      </c>
      <c r="N131" s="206" t="e">
        <f>openDomain_trans_LNGC_FST2!W15*N7</f>
        <v>#VALUE!</v>
      </c>
      <c r="O131" s="207">
        <f>openDomain_trans_LNGC_FST2!X15*O7</f>
        <v>-5.8069304611235847E-3</v>
      </c>
      <c r="Q131" s="191"/>
      <c r="R131" s="195"/>
      <c r="S131" s="174"/>
      <c r="T131" s="174"/>
      <c r="U131" s="174"/>
      <c r="V131" s="174"/>
      <c r="W131" s="196"/>
    </row>
    <row r="132" spans="1:23" x14ac:dyDescent="0.2">
      <c r="A132" s="191">
        <f>openDomain_trans_LNGC_FST1!P16</f>
        <v>30</v>
      </c>
      <c r="B132" s="205">
        <f>openDomain_trans_LNGC_FST1!S16*B8</f>
        <v>0.2230400475947695</v>
      </c>
      <c r="C132" s="206">
        <f>openDomain_trans_LNGC_FST1!T16*C8</f>
        <v>0.17547966543309407</v>
      </c>
      <c r="D132" s="206" t="e">
        <f>openDomain_trans_LNGC_FST1!U16*D8</f>
        <v>#VALUE!</v>
      </c>
      <c r="E132" s="206" t="e">
        <f>openDomain_trans_LNGC_FST1!V16*E8</f>
        <v>#VALUE!</v>
      </c>
      <c r="F132" s="206" t="e">
        <f>openDomain_trans_LNGC_FST1!W16*F8</f>
        <v>#VALUE!</v>
      </c>
      <c r="G132" s="207">
        <f>openDomain_trans_LNGC_FST1!X16*G8</f>
        <v>2.9488240441747231E-2</v>
      </c>
      <c r="H132" s="174"/>
      <c r="I132" s="191">
        <f>openDomain_trans_LNGC_FST2!P16</f>
        <v>30</v>
      </c>
      <c r="J132" s="205">
        <f>openDomain_trans_LNGC_FST2!S16*J8</f>
        <v>0.7127488130562889</v>
      </c>
      <c r="K132" s="206">
        <f>openDomain_trans_LNGC_FST2!T16*K8</f>
        <v>0.22862798022453668</v>
      </c>
      <c r="L132" s="206" t="e">
        <f>openDomain_trans_LNGC_FST2!U16*L8</f>
        <v>#VALUE!</v>
      </c>
      <c r="M132" s="206" t="e">
        <f>openDomain_trans_LNGC_FST2!V16*M8</f>
        <v>#VALUE!</v>
      </c>
      <c r="N132" s="206" t="e">
        <f>openDomain_trans_LNGC_FST2!W16*N8</f>
        <v>#VALUE!</v>
      </c>
      <c r="O132" s="207">
        <f>openDomain_trans_LNGC_FST2!X16*O8</f>
        <v>-2.7493435018298717E-2</v>
      </c>
      <c r="Q132" s="191"/>
      <c r="R132" s="195"/>
      <c r="S132" s="174"/>
      <c r="T132" s="174"/>
      <c r="U132" s="174"/>
      <c r="V132" s="174"/>
      <c r="W132" s="196"/>
    </row>
    <row r="133" spans="1:23" x14ac:dyDescent="0.2">
      <c r="A133" s="191">
        <f>openDomain_trans_LNGC_FST1!P17</f>
        <v>45</v>
      </c>
      <c r="B133" s="205">
        <f>openDomain_trans_LNGC_FST1!S17*B9</f>
        <v>0.19003521072884128</v>
      </c>
      <c r="C133" s="206">
        <f>openDomain_trans_LNGC_FST1!T17*C9</f>
        <v>0.37844882183208794</v>
      </c>
      <c r="D133" s="206" t="e">
        <f>openDomain_trans_LNGC_FST1!U17*D9</f>
        <v>#VALUE!</v>
      </c>
      <c r="E133" s="206" t="e">
        <f>openDomain_trans_LNGC_FST1!V17*E9</f>
        <v>#VALUE!</v>
      </c>
      <c r="F133" s="206" t="e">
        <f>openDomain_trans_LNGC_FST1!W17*F9</f>
        <v>#VALUE!</v>
      </c>
      <c r="G133" s="207">
        <f>openDomain_trans_LNGC_FST1!X17*G9</f>
        <v>4.5698075801451604E-2</v>
      </c>
      <c r="H133" s="174"/>
      <c r="I133" s="191">
        <f>openDomain_trans_LNGC_FST2!P17</f>
        <v>45</v>
      </c>
      <c r="J133" s="205">
        <f>openDomain_trans_LNGC_FST2!S17*J9</f>
        <v>0.49593116228760786</v>
      </c>
      <c r="K133" s="206">
        <f>openDomain_trans_LNGC_FST2!T17*K9</f>
        <v>0.2585179994245777</v>
      </c>
      <c r="L133" s="206" t="e">
        <f>openDomain_trans_LNGC_FST2!U17*L9</f>
        <v>#VALUE!</v>
      </c>
      <c r="M133" s="206" t="e">
        <f>openDomain_trans_LNGC_FST2!V17*M9</f>
        <v>#VALUE!</v>
      </c>
      <c r="N133" s="206" t="e">
        <f>openDomain_trans_LNGC_FST2!W17*N9</f>
        <v>#VALUE!</v>
      </c>
      <c r="O133" s="207">
        <f>openDomain_trans_LNGC_FST2!X17*O9</f>
        <v>-7.7176320401736095E-2</v>
      </c>
      <c r="Q133" s="191"/>
      <c r="R133" s="195"/>
      <c r="S133" s="174"/>
      <c r="T133" s="174"/>
      <c r="U133" s="174"/>
      <c r="V133" s="174"/>
      <c r="W133" s="196"/>
    </row>
    <row r="134" spans="1:23" x14ac:dyDescent="0.2">
      <c r="A134" s="191">
        <f>openDomain_trans_LNGC_FST1!P18</f>
        <v>60</v>
      </c>
      <c r="B134" s="205">
        <f>openDomain_trans_LNGC_FST1!S18*B10</f>
        <v>6.6537551573926407E-2</v>
      </c>
      <c r="C134" s="206">
        <f>openDomain_trans_LNGC_FST1!T18*C10</f>
        <v>0.43434726662649292</v>
      </c>
      <c r="D134" s="206" t="e">
        <f>openDomain_trans_LNGC_FST1!U18*D10</f>
        <v>#VALUE!</v>
      </c>
      <c r="E134" s="206" t="e">
        <f>openDomain_trans_LNGC_FST1!V18*E10</f>
        <v>#VALUE!</v>
      </c>
      <c r="F134" s="206" t="e">
        <f>openDomain_trans_LNGC_FST1!W18*F10</f>
        <v>#VALUE!</v>
      </c>
      <c r="G134" s="207">
        <f>openDomain_trans_LNGC_FST1!X18*G10</f>
        <v>9.7794187258205503E-2</v>
      </c>
      <c r="H134" s="174"/>
      <c r="I134" s="191">
        <f>openDomain_trans_LNGC_FST2!P18</f>
        <v>60</v>
      </c>
      <c r="J134" s="205">
        <f>openDomain_trans_LNGC_FST2!S18*J10</f>
        <v>8.3605492823558517E-2</v>
      </c>
      <c r="K134" s="206">
        <f>openDomain_trans_LNGC_FST2!T18*K10</f>
        <v>0.2778756697321636</v>
      </c>
      <c r="L134" s="206" t="e">
        <f>openDomain_trans_LNGC_FST2!U18*L10</f>
        <v>#VALUE!</v>
      </c>
      <c r="M134" s="206" t="e">
        <f>openDomain_trans_LNGC_FST2!V18*M10</f>
        <v>#VALUE!</v>
      </c>
      <c r="N134" s="206" t="e">
        <f>openDomain_trans_LNGC_FST2!W18*N10</f>
        <v>#VALUE!</v>
      </c>
      <c r="O134" s="207">
        <f>openDomain_trans_LNGC_FST2!X18*O10</f>
        <v>-6.412812738363817E-2</v>
      </c>
      <c r="Q134" s="191"/>
      <c r="R134" s="195"/>
      <c r="S134" s="174"/>
      <c r="T134" s="174"/>
      <c r="U134" s="174"/>
      <c r="V134" s="174"/>
      <c r="W134" s="196"/>
    </row>
    <row r="135" spans="1:23" x14ac:dyDescent="0.2">
      <c r="A135" s="191">
        <f>openDomain_trans_LNGC_FST1!P19</f>
        <v>75</v>
      </c>
      <c r="B135" s="205">
        <f>openDomain_trans_LNGC_FST1!S19*B11</f>
        <v>6.6746706087107116E-2</v>
      </c>
      <c r="C135" s="206">
        <f>openDomain_trans_LNGC_FST1!T19*C11</f>
        <v>0.55917625086173628</v>
      </c>
      <c r="D135" s="206" t="e">
        <f>openDomain_trans_LNGC_FST1!U19*D11</f>
        <v>#VALUE!</v>
      </c>
      <c r="E135" s="206" t="e">
        <f>openDomain_trans_LNGC_FST1!V19*E11</f>
        <v>#VALUE!</v>
      </c>
      <c r="F135" s="206" t="e">
        <f>openDomain_trans_LNGC_FST1!W19*F11</f>
        <v>#VALUE!</v>
      </c>
      <c r="G135" s="207">
        <f>openDomain_trans_LNGC_FST1!X19*G11</f>
        <v>0.11199183561362323</v>
      </c>
      <c r="H135" s="174"/>
      <c r="I135" s="191">
        <f>openDomain_trans_LNGC_FST2!P19</f>
        <v>75</v>
      </c>
      <c r="J135" s="205">
        <f>openDomain_trans_LNGC_FST2!S19*J11</f>
        <v>0.18205260240456278</v>
      </c>
      <c r="K135" s="206">
        <f>openDomain_trans_LNGC_FST2!T19*K11</f>
        <v>0.16409331638386865</v>
      </c>
      <c r="L135" s="206" t="e">
        <f>openDomain_trans_LNGC_FST2!U19*L11</f>
        <v>#VALUE!</v>
      </c>
      <c r="M135" s="206" t="e">
        <f>openDomain_trans_LNGC_FST2!V19*M11</f>
        <v>#VALUE!</v>
      </c>
      <c r="N135" s="206" t="e">
        <f>openDomain_trans_LNGC_FST2!W19*N11</f>
        <v>#VALUE!</v>
      </c>
      <c r="O135" s="207">
        <f>openDomain_trans_LNGC_FST2!X19*O11</f>
        <v>-6.5049386307442295E-2</v>
      </c>
      <c r="Q135" s="191"/>
      <c r="R135" s="195"/>
      <c r="S135" s="174"/>
      <c r="T135" s="174"/>
      <c r="U135" s="174"/>
      <c r="V135" s="174"/>
      <c r="W135" s="196"/>
    </row>
    <row r="136" spans="1:23" x14ac:dyDescent="0.2">
      <c r="A136" s="191">
        <f>openDomain_trans_LNGC_FST1!P20</f>
        <v>90</v>
      </c>
      <c r="B136" s="205">
        <f>openDomain_trans_LNGC_FST1!S20*B12</f>
        <v>-0.15668340453668009</v>
      </c>
      <c r="C136" s="206">
        <f>openDomain_trans_LNGC_FST1!T20*C12</f>
        <v>0.68059907542870879</v>
      </c>
      <c r="D136" s="206" t="e">
        <f>openDomain_trans_LNGC_FST1!U20*D12</f>
        <v>#VALUE!</v>
      </c>
      <c r="E136" s="206" t="e">
        <f>openDomain_trans_LNGC_FST1!V20*E12</f>
        <v>#VALUE!</v>
      </c>
      <c r="F136" s="206" t="e">
        <f>openDomain_trans_LNGC_FST1!W20*F12</f>
        <v>#VALUE!</v>
      </c>
      <c r="G136" s="207">
        <f>openDomain_trans_LNGC_FST1!X20*G12</f>
        <v>0.12627076167231299</v>
      </c>
      <c r="H136" s="174"/>
      <c r="I136" s="191">
        <f>openDomain_trans_LNGC_FST2!P20</f>
        <v>90</v>
      </c>
      <c r="J136" s="205">
        <f>openDomain_trans_LNGC_FST2!S20*J12</f>
        <v>-0.19993613412297287</v>
      </c>
      <c r="K136" s="206">
        <f>openDomain_trans_LNGC_FST2!T20*K12</f>
        <v>-0.14978942307065796</v>
      </c>
      <c r="L136" s="206" t="e">
        <f>openDomain_trans_LNGC_FST2!U20*L12</f>
        <v>#VALUE!</v>
      </c>
      <c r="M136" s="206" t="e">
        <f>openDomain_trans_LNGC_FST2!V20*M12</f>
        <v>#VALUE!</v>
      </c>
      <c r="N136" s="206" t="e">
        <f>openDomain_trans_LNGC_FST2!W20*N12</f>
        <v>#VALUE!</v>
      </c>
      <c r="O136" s="207">
        <f>openDomain_trans_LNGC_FST2!X20*O12</f>
        <v>7.6675930736968094E-3</v>
      </c>
      <c r="Q136" s="191"/>
      <c r="R136" s="195"/>
      <c r="S136" s="174"/>
      <c r="T136" s="174"/>
      <c r="U136" s="174"/>
      <c r="V136" s="174"/>
      <c r="W136" s="196"/>
    </row>
    <row r="137" spans="1:23" x14ac:dyDescent="0.2">
      <c r="A137" s="191">
        <f>openDomain_trans_LNGC_FST1!P21</f>
        <v>105</v>
      </c>
      <c r="B137" s="205">
        <f>openDomain_trans_LNGC_FST1!S21*B13</f>
        <v>-0.21585838109610098</v>
      </c>
      <c r="C137" s="206">
        <f>openDomain_trans_LNGC_FST1!T21*C13</f>
        <v>0.79758294508685079</v>
      </c>
      <c r="D137" s="206" t="e">
        <f>openDomain_trans_LNGC_FST1!U21*D13</f>
        <v>#VALUE!</v>
      </c>
      <c r="E137" s="206" t="e">
        <f>openDomain_trans_LNGC_FST1!V21*E13</f>
        <v>#VALUE!</v>
      </c>
      <c r="F137" s="206" t="e">
        <f>openDomain_trans_LNGC_FST1!W21*F13</f>
        <v>#VALUE!</v>
      </c>
      <c r="G137" s="207">
        <f>openDomain_trans_LNGC_FST1!X21*G13</f>
        <v>0.13096957769987769</v>
      </c>
      <c r="H137" s="174"/>
      <c r="I137" s="191">
        <f>openDomain_trans_LNGC_FST2!P21</f>
        <v>105</v>
      </c>
      <c r="J137" s="205">
        <f>openDomain_trans_LNGC_FST2!S21*J13</f>
        <v>-0.17823890479944013</v>
      </c>
      <c r="K137" s="206">
        <f>openDomain_trans_LNGC_FST2!T21*K13</f>
        <v>-5.6996132813126023E-2</v>
      </c>
      <c r="L137" s="206" t="e">
        <f>openDomain_trans_LNGC_FST2!U21*L13</f>
        <v>#VALUE!</v>
      </c>
      <c r="M137" s="206" t="e">
        <f>openDomain_trans_LNGC_FST2!V21*M13</f>
        <v>#VALUE!</v>
      </c>
      <c r="N137" s="206" t="e">
        <f>openDomain_trans_LNGC_FST2!W21*N13</f>
        <v>#VALUE!</v>
      </c>
      <c r="O137" s="207">
        <f>openDomain_trans_LNGC_FST2!X21*O13</f>
        <v>2.5387246753204216E-2</v>
      </c>
      <c r="Q137" s="191"/>
      <c r="R137" s="195"/>
      <c r="S137" s="174"/>
      <c r="T137" s="174"/>
      <c r="U137" s="174"/>
      <c r="V137" s="174"/>
      <c r="W137" s="196"/>
    </row>
    <row r="138" spans="1:23" x14ac:dyDescent="0.2">
      <c r="A138" s="191">
        <f>openDomain_trans_LNGC_FST1!P22</f>
        <v>120</v>
      </c>
      <c r="B138" s="205">
        <f>openDomain_trans_LNGC_FST1!S22*B14</f>
        <v>-0.13634291843768695</v>
      </c>
      <c r="C138" s="206">
        <f>openDomain_trans_LNGC_FST1!T22*C14</f>
        <v>0.8436213849160844</v>
      </c>
      <c r="D138" s="206" t="e">
        <f>openDomain_trans_LNGC_FST1!U22*D14</f>
        <v>#VALUE!</v>
      </c>
      <c r="E138" s="206" t="e">
        <f>openDomain_trans_LNGC_FST1!V22*E14</f>
        <v>#VALUE!</v>
      </c>
      <c r="F138" s="206" t="e">
        <f>openDomain_trans_LNGC_FST1!W22*F14</f>
        <v>#VALUE!</v>
      </c>
      <c r="G138" s="207">
        <f>openDomain_trans_LNGC_FST1!X22*G14</f>
        <v>0.14708732001215077</v>
      </c>
      <c r="H138" s="174"/>
      <c r="I138" s="191">
        <f>openDomain_trans_LNGC_FST2!P22</f>
        <v>120</v>
      </c>
      <c r="J138" s="205">
        <f>openDomain_trans_LNGC_FST2!S22*J14</f>
        <v>-6.0562446736328955E-2</v>
      </c>
      <c r="K138" s="206">
        <f>openDomain_trans_LNGC_FST2!T22*K14</f>
        <v>0.20820593582145863</v>
      </c>
      <c r="L138" s="206" t="e">
        <f>openDomain_trans_LNGC_FST2!U22*L14</f>
        <v>#VALUE!</v>
      </c>
      <c r="M138" s="206" t="e">
        <f>openDomain_trans_LNGC_FST2!V22*M14</f>
        <v>#VALUE!</v>
      </c>
      <c r="N138" s="206" t="e">
        <f>openDomain_trans_LNGC_FST2!W22*N14</f>
        <v>#VALUE!</v>
      </c>
      <c r="O138" s="207">
        <f>openDomain_trans_LNGC_FST2!X22*O14</f>
        <v>4.3021385245726719E-2</v>
      </c>
      <c r="Q138" s="191"/>
      <c r="R138" s="195"/>
      <c r="S138" s="174"/>
      <c r="T138" s="174"/>
      <c r="U138" s="174"/>
      <c r="V138" s="174"/>
      <c r="W138" s="196"/>
    </row>
    <row r="139" spans="1:23" x14ac:dyDescent="0.2">
      <c r="A139" s="191">
        <f>openDomain_trans_LNGC_FST1!P23</f>
        <v>135</v>
      </c>
      <c r="B139" s="205">
        <f>openDomain_trans_LNGC_FST1!S23*B15</f>
        <v>-0.42539593211934051</v>
      </c>
      <c r="C139" s="206">
        <f>openDomain_trans_LNGC_FST1!T23*C15</f>
        <v>0.66767570648565144</v>
      </c>
      <c r="D139" s="206" t="e">
        <f>openDomain_trans_LNGC_FST1!U23*D15</f>
        <v>#VALUE!</v>
      </c>
      <c r="E139" s="206" t="e">
        <f>openDomain_trans_LNGC_FST1!V23*E15</f>
        <v>#VALUE!</v>
      </c>
      <c r="F139" s="206" t="e">
        <f>openDomain_trans_LNGC_FST1!W23*F15</f>
        <v>#VALUE!</v>
      </c>
      <c r="G139" s="207">
        <f>openDomain_trans_LNGC_FST1!X23*G15</f>
        <v>0.17068985599201345</v>
      </c>
      <c r="H139" s="174"/>
      <c r="I139" s="191">
        <f>openDomain_trans_LNGC_FST2!P23</f>
        <v>135</v>
      </c>
      <c r="J139" s="205">
        <f>openDomain_trans_LNGC_FST2!S23*J15</f>
        <v>-0.45236286954170574</v>
      </c>
      <c r="K139" s="206">
        <f>openDomain_trans_LNGC_FST2!T23*K15</f>
        <v>0.27522905014392851</v>
      </c>
      <c r="L139" s="206" t="e">
        <f>openDomain_trans_LNGC_FST2!U23*L15</f>
        <v>#VALUE!</v>
      </c>
      <c r="M139" s="206" t="e">
        <f>openDomain_trans_LNGC_FST2!V23*M15</f>
        <v>#VALUE!</v>
      </c>
      <c r="N139" s="206" t="e">
        <f>openDomain_trans_LNGC_FST2!W23*N15</f>
        <v>#VALUE!</v>
      </c>
      <c r="O139" s="207">
        <f>openDomain_trans_LNGC_FST2!X23*O15</f>
        <v>7.0492979696582247E-2</v>
      </c>
      <c r="Q139" s="191"/>
      <c r="R139" s="195"/>
      <c r="S139" s="174"/>
      <c r="T139" s="174"/>
      <c r="U139" s="174"/>
      <c r="V139" s="174"/>
      <c r="W139" s="196"/>
    </row>
    <row r="140" spans="1:23" x14ac:dyDescent="0.2">
      <c r="A140" s="191">
        <f>openDomain_trans_LNGC_FST1!P24</f>
        <v>150</v>
      </c>
      <c r="B140" s="205">
        <f>openDomain_trans_LNGC_FST1!S24*B16</f>
        <v>-0.69052468794955235</v>
      </c>
      <c r="C140" s="206">
        <f>openDomain_trans_LNGC_FST1!T24*C16</f>
        <v>0.42449411085101391</v>
      </c>
      <c r="D140" s="206" t="e">
        <f>openDomain_trans_LNGC_FST1!U24*D16</f>
        <v>#VALUE!</v>
      </c>
      <c r="E140" s="206" t="e">
        <f>openDomain_trans_LNGC_FST1!V24*E16</f>
        <v>#VALUE!</v>
      </c>
      <c r="F140" s="206" t="e">
        <f>openDomain_trans_LNGC_FST1!W24*F16</f>
        <v>#VALUE!</v>
      </c>
      <c r="G140" s="207">
        <f>openDomain_trans_LNGC_FST1!X24*G16</f>
        <v>9.5979006885149681E-2</v>
      </c>
      <c r="H140" s="174"/>
      <c r="I140" s="191">
        <f>openDomain_trans_LNGC_FST2!P24</f>
        <v>150</v>
      </c>
      <c r="J140" s="205">
        <f>openDomain_trans_LNGC_FST2!S24*J16</f>
        <v>-0.54691425292673257</v>
      </c>
      <c r="K140" s="206">
        <f>openDomain_trans_LNGC_FST2!T24*K16</f>
        <v>0.22189221951176519</v>
      </c>
      <c r="L140" s="206" t="e">
        <f>openDomain_trans_LNGC_FST2!U24*L16</f>
        <v>#VALUE!</v>
      </c>
      <c r="M140" s="206" t="e">
        <f>openDomain_trans_LNGC_FST2!V24*M16</f>
        <v>#VALUE!</v>
      </c>
      <c r="N140" s="206" t="e">
        <f>openDomain_trans_LNGC_FST2!W24*N16</f>
        <v>#VALUE!</v>
      </c>
      <c r="O140" s="207">
        <f>openDomain_trans_LNGC_FST2!X24*O16</f>
        <v>4.4865985375486278E-2</v>
      </c>
      <c r="Q140" s="191"/>
      <c r="R140" s="195"/>
      <c r="S140" s="174"/>
      <c r="T140" s="174"/>
      <c r="U140" s="174"/>
      <c r="V140" s="174"/>
      <c r="W140" s="196"/>
    </row>
    <row r="141" spans="1:23" x14ac:dyDescent="0.2">
      <c r="A141" s="191">
        <f>openDomain_trans_LNGC_FST1!P25</f>
        <v>165</v>
      </c>
      <c r="B141" s="205">
        <f>openDomain_trans_LNGC_FST1!S25*B17</f>
        <v>-1.0500471082219376</v>
      </c>
      <c r="C141" s="206">
        <f>openDomain_trans_LNGC_FST1!T25*C17</f>
        <v>0.18502223024011757</v>
      </c>
      <c r="D141" s="206" t="e">
        <f>openDomain_trans_LNGC_FST1!U25*D17</f>
        <v>#VALUE!</v>
      </c>
      <c r="E141" s="206" t="e">
        <f>openDomain_trans_LNGC_FST1!V25*E17</f>
        <v>#VALUE!</v>
      </c>
      <c r="F141" s="206" t="e">
        <f>openDomain_trans_LNGC_FST1!W25*F17</f>
        <v>#VALUE!</v>
      </c>
      <c r="G141" s="207">
        <f>openDomain_trans_LNGC_FST1!X25*G17</f>
        <v>4.2261221483028841E-2</v>
      </c>
      <c r="H141" s="174"/>
      <c r="I141" s="191">
        <f>openDomain_trans_LNGC_FST2!P25</f>
        <v>165</v>
      </c>
      <c r="J141" s="205">
        <f>openDomain_trans_LNGC_FST2!S25*J17</f>
        <v>-0.48262391813708094</v>
      </c>
      <c r="K141" s="206">
        <f>openDomain_trans_LNGC_FST2!T25*K17</f>
        <v>0.11412996379946054</v>
      </c>
      <c r="L141" s="206" t="e">
        <f>openDomain_trans_LNGC_FST2!U25*L17</f>
        <v>#VALUE!</v>
      </c>
      <c r="M141" s="206" t="e">
        <f>openDomain_trans_LNGC_FST2!V25*M17</f>
        <v>#VALUE!</v>
      </c>
      <c r="N141" s="206" t="e">
        <f>openDomain_trans_LNGC_FST2!W25*N17</f>
        <v>#VALUE!</v>
      </c>
      <c r="O141" s="207">
        <f>openDomain_trans_LNGC_FST2!X25*O17</f>
        <v>1.3635063691431075E-2</v>
      </c>
      <c r="Q141" s="191"/>
      <c r="R141" s="195"/>
      <c r="S141" s="174"/>
      <c r="T141" s="174"/>
      <c r="U141" s="174"/>
      <c r="V141" s="174"/>
      <c r="W141" s="196"/>
    </row>
    <row r="142" spans="1:23" x14ac:dyDescent="0.2">
      <c r="A142" s="191">
        <f>openDomain_trans_LNGC_FST1!P26</f>
        <v>180</v>
      </c>
      <c r="B142" s="205">
        <f>openDomain_trans_LNGC_FST1!S26*B18</f>
        <v>-0.8920955444155203</v>
      </c>
      <c r="C142" s="206">
        <f>openDomain_trans_LNGC_FST1!T26*C18</f>
        <v>-4.3417601295727857E-3</v>
      </c>
      <c r="D142" s="206" t="e">
        <f>openDomain_trans_LNGC_FST1!U26*D18</f>
        <v>#VALUE!</v>
      </c>
      <c r="E142" s="206" t="e">
        <f>openDomain_trans_LNGC_FST1!V26*E18</f>
        <v>#VALUE!</v>
      </c>
      <c r="F142" s="206" t="e">
        <f>openDomain_trans_LNGC_FST1!W26*F18</f>
        <v>#VALUE!</v>
      </c>
      <c r="G142" s="207">
        <f>openDomain_trans_LNGC_FST1!X26*G18</f>
        <v>1.0277496579856243E-2</v>
      </c>
      <c r="H142" s="174"/>
      <c r="I142" s="191">
        <f>openDomain_trans_LNGC_FST2!P26</f>
        <v>180</v>
      </c>
      <c r="J142" s="205">
        <f>openDomain_trans_LNGC_FST2!S26*J18</f>
        <v>-0.23283094049548267</v>
      </c>
      <c r="K142" s="206">
        <f>openDomain_trans_LNGC_FST2!T26*K18</f>
        <v>1.5060106571838686E-2</v>
      </c>
      <c r="L142" s="206" t="e">
        <f>openDomain_trans_LNGC_FST2!U26*L18</f>
        <v>#VALUE!</v>
      </c>
      <c r="M142" s="206" t="e">
        <f>openDomain_trans_LNGC_FST2!V26*M18</f>
        <v>#VALUE!</v>
      </c>
      <c r="N142" s="206" t="e">
        <f>openDomain_trans_LNGC_FST2!W26*N18</f>
        <v>#VALUE!</v>
      </c>
      <c r="O142" s="207">
        <f>openDomain_trans_LNGC_FST2!X26*O18</f>
        <v>8.2107705145526531E-3</v>
      </c>
      <c r="Q142" s="191"/>
      <c r="R142" s="195"/>
      <c r="S142" s="174"/>
      <c r="T142" s="174"/>
      <c r="U142" s="174"/>
      <c r="V142" s="174"/>
      <c r="W142" s="196"/>
    </row>
    <row r="143" spans="1:23" x14ac:dyDescent="0.2">
      <c r="A143" s="197">
        <f>openDomain_trans_LNGC_FST1!P27</f>
        <v>195</v>
      </c>
      <c r="B143" s="205">
        <f>openDomain_trans_LNGC_FST1!S27*B19</f>
        <v>-0.77974430361761271</v>
      </c>
      <c r="C143" s="206">
        <f>openDomain_trans_LNGC_FST1!T27*C19</f>
        <v>-0.19179351188720481</v>
      </c>
      <c r="D143" s="206" t="e">
        <f>openDomain_trans_LNGC_FST1!U27*D19</f>
        <v>#VALUE!</v>
      </c>
      <c r="E143" s="206" t="e">
        <f>openDomain_trans_LNGC_FST1!V27*E19</f>
        <v>#VALUE!</v>
      </c>
      <c r="F143" s="206" t="e">
        <f>openDomain_trans_LNGC_FST1!W27*F19</f>
        <v>#VALUE!</v>
      </c>
      <c r="G143" s="207">
        <f>openDomain_trans_LNGC_FST1!X27*G19</f>
        <v>-4.6622187530698966E-2</v>
      </c>
      <c r="H143" s="174"/>
      <c r="I143" s="197">
        <f>openDomain_trans_LNGC_FST2!P27</f>
        <v>195</v>
      </c>
      <c r="J143" s="205">
        <f>openDomain_trans_LNGC_FST2!S27*J19</f>
        <v>-0.28298732890916328</v>
      </c>
      <c r="K143" s="206">
        <f>openDomain_trans_LNGC_FST2!T27*K19</f>
        <v>-9.5236272365585795E-2</v>
      </c>
      <c r="L143" s="206" t="e">
        <f>openDomain_trans_LNGC_FST2!U27*L19</f>
        <v>#VALUE!</v>
      </c>
      <c r="M143" s="206" t="e">
        <f>openDomain_trans_LNGC_FST2!V27*M19</f>
        <v>#VALUE!</v>
      </c>
      <c r="N143" s="206" t="e">
        <f>openDomain_trans_LNGC_FST2!W27*N19</f>
        <v>#VALUE!</v>
      </c>
      <c r="O143" s="207">
        <f>openDomain_trans_LNGC_FST2!X27*O19</f>
        <v>-9.4125755546560688E-3</v>
      </c>
      <c r="Q143" s="197"/>
      <c r="R143" s="195"/>
      <c r="S143" s="174"/>
      <c r="T143" s="174"/>
      <c r="U143" s="174"/>
      <c r="V143" s="174"/>
      <c r="W143" s="196"/>
    </row>
    <row r="144" spans="1:23" x14ac:dyDescent="0.2">
      <c r="A144" s="197">
        <f>openDomain_trans_LNGC_FST1!P28</f>
        <v>210</v>
      </c>
      <c r="B144" s="205">
        <f>openDomain_trans_LNGC_FST1!S28*B20</f>
        <v>-0.50097034928061357</v>
      </c>
      <c r="C144" s="206">
        <f>openDomain_trans_LNGC_FST1!T28*C20</f>
        <v>-0.52236576592096462</v>
      </c>
      <c r="D144" s="206" t="e">
        <f>openDomain_trans_LNGC_FST1!U28*D20</f>
        <v>#VALUE!</v>
      </c>
      <c r="E144" s="206" t="e">
        <f>openDomain_trans_LNGC_FST1!V28*E20</f>
        <v>#VALUE!</v>
      </c>
      <c r="F144" s="206" t="e">
        <f>openDomain_trans_LNGC_FST1!W28*F20</f>
        <v>#VALUE!</v>
      </c>
      <c r="G144" s="207">
        <f>openDomain_trans_LNGC_FST1!X28*G20</f>
        <v>-8.6781061239142115E-2</v>
      </c>
      <c r="H144" s="174"/>
      <c r="I144" s="197">
        <f>openDomain_trans_LNGC_FST2!P28</f>
        <v>210</v>
      </c>
      <c r="J144" s="205">
        <f>openDomain_trans_LNGC_FST2!S28*J20</f>
        <v>-0.29259178557522403</v>
      </c>
      <c r="K144" s="206">
        <f>openDomain_trans_LNGC_FST2!T28*K20</f>
        <v>-0.34077902586507985</v>
      </c>
      <c r="L144" s="206" t="e">
        <f>openDomain_trans_LNGC_FST2!U28*L20</f>
        <v>#VALUE!</v>
      </c>
      <c r="M144" s="206" t="e">
        <f>openDomain_trans_LNGC_FST2!V28*M20</f>
        <v>#VALUE!</v>
      </c>
      <c r="N144" s="206" t="e">
        <f>openDomain_trans_LNGC_FST2!W28*N20</f>
        <v>#VALUE!</v>
      </c>
      <c r="O144" s="207">
        <f>openDomain_trans_LNGC_FST2!X28*O20</f>
        <v>-2.65942326719012E-2</v>
      </c>
      <c r="Q144" s="197"/>
      <c r="R144" s="195"/>
      <c r="S144" s="174"/>
      <c r="T144" s="174"/>
      <c r="U144" s="174"/>
      <c r="V144" s="174"/>
      <c r="W144" s="196"/>
    </row>
    <row r="145" spans="1:23" x14ac:dyDescent="0.2">
      <c r="A145" s="197">
        <f>openDomain_trans_LNGC_FST1!P29</f>
        <v>225</v>
      </c>
      <c r="B145" s="205">
        <f>openDomain_trans_LNGC_FST1!S29*B21</f>
        <v>-0.29673848386764889</v>
      </c>
      <c r="C145" s="206">
        <f>openDomain_trans_LNGC_FST1!T29*C21</f>
        <v>-0.87867340811195771</v>
      </c>
      <c r="D145" s="206" t="e">
        <f>openDomain_trans_LNGC_FST1!U29*D21</f>
        <v>#VALUE!</v>
      </c>
      <c r="E145" s="206" t="e">
        <f>openDomain_trans_LNGC_FST1!V29*E21</f>
        <v>#VALUE!</v>
      </c>
      <c r="F145" s="206" t="e">
        <f>openDomain_trans_LNGC_FST1!W29*F21</f>
        <v>#VALUE!</v>
      </c>
      <c r="G145" s="207">
        <f>openDomain_trans_LNGC_FST1!X29*G21</f>
        <v>-0.15530895152611335</v>
      </c>
      <c r="H145" s="174"/>
      <c r="I145" s="197">
        <f>openDomain_trans_LNGC_FST2!P29</f>
        <v>225</v>
      </c>
      <c r="J145" s="205">
        <f>openDomain_trans_LNGC_FST2!S29*J21</f>
        <v>-0.22559164944345392</v>
      </c>
      <c r="K145" s="206">
        <f>openDomain_trans_LNGC_FST2!T29*K21</f>
        <v>-0.62188462642368014</v>
      </c>
      <c r="L145" s="206" t="e">
        <f>openDomain_trans_LNGC_FST2!U29*L21</f>
        <v>#VALUE!</v>
      </c>
      <c r="M145" s="206" t="e">
        <f>openDomain_trans_LNGC_FST2!V29*M21</f>
        <v>#VALUE!</v>
      </c>
      <c r="N145" s="206" t="e">
        <f>openDomain_trans_LNGC_FST2!W29*N21</f>
        <v>#VALUE!</v>
      </c>
      <c r="O145" s="207">
        <f>openDomain_trans_LNGC_FST2!X29*O21</f>
        <v>-2.4247607736278268E-2</v>
      </c>
      <c r="Q145" s="197"/>
      <c r="R145" s="195"/>
      <c r="S145" s="174"/>
      <c r="T145" s="174"/>
      <c r="U145" s="174"/>
      <c r="V145" s="174"/>
      <c r="W145" s="196"/>
    </row>
    <row r="146" spans="1:23" x14ac:dyDescent="0.2">
      <c r="A146" s="197">
        <f>openDomain_trans_LNGC_FST1!P30</f>
        <v>240</v>
      </c>
      <c r="B146" s="205">
        <f>openDomain_trans_LNGC_FST1!S30*B22</f>
        <v>-7.9415749044620232E-2</v>
      </c>
      <c r="C146" s="206">
        <f>openDomain_trans_LNGC_FST1!T30*C22</f>
        <v>-1.2172198731611918</v>
      </c>
      <c r="D146" s="206" t="e">
        <f>openDomain_trans_LNGC_FST1!U30*D22</f>
        <v>#VALUE!</v>
      </c>
      <c r="E146" s="206" t="e">
        <f>openDomain_trans_LNGC_FST1!V30*E22</f>
        <v>#VALUE!</v>
      </c>
      <c r="F146" s="206" t="e">
        <f>openDomain_trans_LNGC_FST1!W30*F22</f>
        <v>#VALUE!</v>
      </c>
      <c r="G146" s="207">
        <f>openDomain_trans_LNGC_FST1!X30*G22</f>
        <v>-0.10102183895954814</v>
      </c>
      <c r="H146" s="174"/>
      <c r="I146" s="197">
        <f>openDomain_trans_LNGC_FST2!P30</f>
        <v>240</v>
      </c>
      <c r="J146" s="205">
        <f>openDomain_trans_LNGC_FST2!S30*J22</f>
        <v>-2.4595358526772373E-2</v>
      </c>
      <c r="K146" s="206">
        <f>openDomain_trans_LNGC_FST2!T30*K22</f>
        <v>-0.87325186277180256</v>
      </c>
      <c r="L146" s="206" t="e">
        <f>openDomain_trans_LNGC_FST2!U30*L22</f>
        <v>#VALUE!</v>
      </c>
      <c r="M146" s="206" t="e">
        <f>openDomain_trans_LNGC_FST2!V30*M22</f>
        <v>#VALUE!</v>
      </c>
      <c r="N146" s="206" t="e">
        <f>openDomain_trans_LNGC_FST2!W30*N22</f>
        <v>#VALUE!</v>
      </c>
      <c r="O146" s="207">
        <f>openDomain_trans_LNGC_FST2!X30*O22</f>
        <v>-1.2574604548419003E-2</v>
      </c>
      <c r="Q146" s="197"/>
      <c r="R146" s="195"/>
      <c r="S146" s="174"/>
      <c r="T146" s="174"/>
      <c r="U146" s="174"/>
      <c r="V146" s="174"/>
      <c r="W146" s="196"/>
    </row>
    <row r="147" spans="1:23" x14ac:dyDescent="0.2">
      <c r="A147" s="197">
        <f>openDomain_trans_LNGC_FST1!P31</f>
        <v>255</v>
      </c>
      <c r="B147" s="205">
        <f>openDomain_trans_LNGC_FST1!S31*B23</f>
        <v>-9.391522953083406E-2</v>
      </c>
      <c r="C147" s="206">
        <f>openDomain_trans_LNGC_FST1!T31*C23</f>
        <v>-1.2738060754016105</v>
      </c>
      <c r="D147" s="206" t="e">
        <f>openDomain_trans_LNGC_FST1!U31*D23</f>
        <v>#VALUE!</v>
      </c>
      <c r="E147" s="206" t="e">
        <f>openDomain_trans_LNGC_FST1!V31*E23</f>
        <v>#VALUE!</v>
      </c>
      <c r="F147" s="206" t="e">
        <f>openDomain_trans_LNGC_FST1!W31*F23</f>
        <v>#VALUE!</v>
      </c>
      <c r="G147" s="207">
        <f>openDomain_trans_LNGC_FST1!X31*G23</f>
        <v>-1.4319242356195545E-2</v>
      </c>
      <c r="H147" s="174"/>
      <c r="I147" s="197">
        <f>openDomain_trans_LNGC_FST2!P31</f>
        <v>255</v>
      </c>
      <c r="J147" s="205">
        <f>openDomain_trans_LNGC_FST2!S31*J23</f>
        <v>-8.0088669854806477E-2</v>
      </c>
      <c r="K147" s="206">
        <f>openDomain_trans_LNGC_FST2!T31*K23</f>
        <v>-0.97367162963430831</v>
      </c>
      <c r="L147" s="206" t="e">
        <f>openDomain_trans_LNGC_FST2!U31*L23</f>
        <v>#VALUE!</v>
      </c>
      <c r="M147" s="206" t="e">
        <f>openDomain_trans_LNGC_FST2!V31*M23</f>
        <v>#VALUE!</v>
      </c>
      <c r="N147" s="206" t="e">
        <f>openDomain_trans_LNGC_FST2!W31*N23</f>
        <v>#VALUE!</v>
      </c>
      <c r="O147" s="207">
        <f>openDomain_trans_LNGC_FST2!X31*O23</f>
        <v>-1.7978925231948467E-2</v>
      </c>
      <c r="Q147" s="197"/>
      <c r="R147" s="195"/>
      <c r="S147" s="174"/>
      <c r="T147" s="174"/>
      <c r="U147" s="174"/>
      <c r="V147" s="174"/>
      <c r="W147" s="196"/>
    </row>
    <row r="148" spans="1:23" x14ac:dyDescent="0.2">
      <c r="A148" s="197">
        <f>openDomain_trans_LNGC_FST1!P32</f>
        <v>270</v>
      </c>
      <c r="B148" s="205">
        <f>openDomain_trans_LNGC_FST1!S32*B24</f>
        <v>3.0661444946451386E-2</v>
      </c>
      <c r="C148" s="206">
        <f>openDomain_trans_LNGC_FST1!T32*C24</f>
        <v>-1.1010673146503713</v>
      </c>
      <c r="D148" s="206" t="e">
        <f>openDomain_trans_LNGC_FST1!U32*D24</f>
        <v>#VALUE!</v>
      </c>
      <c r="E148" s="206" t="e">
        <f>openDomain_trans_LNGC_FST1!V32*E24</f>
        <v>#VALUE!</v>
      </c>
      <c r="F148" s="206" t="e">
        <f>openDomain_trans_LNGC_FST1!W32*F24</f>
        <v>#VALUE!</v>
      </c>
      <c r="G148" s="207">
        <f>openDomain_trans_LNGC_FST1!X32*G24</f>
        <v>2.00611058650088E-2</v>
      </c>
      <c r="H148" s="174"/>
      <c r="I148" s="197">
        <f>openDomain_trans_LNGC_FST2!P32</f>
        <v>270</v>
      </c>
      <c r="J148" s="205">
        <f>openDomain_trans_LNGC_FST2!S32*J24</f>
        <v>-4.8486807748704092E-2</v>
      </c>
      <c r="K148" s="206">
        <f>openDomain_trans_LNGC_FST2!T32*K24</f>
        <v>-1.1130393649259578</v>
      </c>
      <c r="L148" s="206" t="e">
        <f>openDomain_trans_LNGC_FST2!U32*L24</f>
        <v>#VALUE!</v>
      </c>
      <c r="M148" s="206" t="e">
        <f>openDomain_trans_LNGC_FST2!V32*M24</f>
        <v>#VALUE!</v>
      </c>
      <c r="N148" s="206" t="e">
        <f>openDomain_trans_LNGC_FST2!W32*N24</f>
        <v>#VALUE!</v>
      </c>
      <c r="O148" s="207">
        <f>openDomain_trans_LNGC_FST2!X32*O24</f>
        <v>-1.7630714454490135E-2</v>
      </c>
      <c r="Q148" s="197"/>
      <c r="R148" s="195"/>
      <c r="S148" s="174"/>
      <c r="T148" s="174"/>
      <c r="U148" s="174"/>
      <c r="V148" s="174"/>
      <c r="W148" s="196"/>
    </row>
    <row r="149" spans="1:23" x14ac:dyDescent="0.2">
      <c r="A149" s="197">
        <f>openDomain_trans_LNGC_FST1!P33</f>
        <v>285</v>
      </c>
      <c r="B149" s="205">
        <f>openDomain_trans_LNGC_FST1!S33*B25</f>
        <v>3.7886402517717702E-2</v>
      </c>
      <c r="C149" s="206">
        <f>openDomain_trans_LNGC_FST1!T33*C25</f>
        <v>-0.92561666716406121</v>
      </c>
      <c r="D149" s="206" t="e">
        <f>openDomain_trans_LNGC_FST1!U33*D25</f>
        <v>#VALUE!</v>
      </c>
      <c r="E149" s="206" t="e">
        <f>openDomain_trans_LNGC_FST1!V33*E25</f>
        <v>#VALUE!</v>
      </c>
      <c r="F149" s="206" t="e">
        <f>openDomain_trans_LNGC_FST1!W33*F25</f>
        <v>#VALUE!</v>
      </c>
      <c r="G149" s="207">
        <f>openDomain_trans_LNGC_FST1!X33*G25</f>
        <v>4.0464947385740892E-2</v>
      </c>
      <c r="H149" s="174"/>
      <c r="I149" s="197">
        <f>openDomain_trans_LNGC_FST2!P33</f>
        <v>285</v>
      </c>
      <c r="J149" s="205">
        <f>openDomain_trans_LNGC_FST2!S33*J25</f>
        <v>3.5065356998295549E-2</v>
      </c>
      <c r="K149" s="206">
        <f>openDomain_trans_LNGC_FST2!T33*K25</f>
        <v>-1.215327831253102</v>
      </c>
      <c r="L149" s="206" t="e">
        <f>openDomain_trans_LNGC_FST2!U33*L25</f>
        <v>#VALUE!</v>
      </c>
      <c r="M149" s="206" t="e">
        <f>openDomain_trans_LNGC_FST2!V33*M25</f>
        <v>#VALUE!</v>
      </c>
      <c r="N149" s="206" t="e">
        <f>openDomain_trans_LNGC_FST2!W33*N25</f>
        <v>#VALUE!</v>
      </c>
      <c r="O149" s="207">
        <f>openDomain_trans_LNGC_FST2!X33*O25</f>
        <v>2.4745887980116461E-2</v>
      </c>
      <c r="Q149" s="197"/>
      <c r="R149" s="195"/>
      <c r="S149" s="174"/>
      <c r="T149" s="174"/>
      <c r="U149" s="174"/>
      <c r="V149" s="174"/>
      <c r="W149" s="196"/>
    </row>
    <row r="150" spans="1:23" x14ac:dyDescent="0.2">
      <c r="A150" s="197">
        <f>openDomain_trans_LNGC_FST1!P34</f>
        <v>300</v>
      </c>
      <c r="B150" s="205">
        <f>openDomain_trans_LNGC_FST1!S34*B26</f>
        <v>4.7603522876586202E-2</v>
      </c>
      <c r="C150" s="206">
        <f>openDomain_trans_LNGC_FST1!T34*C26</f>
        <v>-0.79471031839459216</v>
      </c>
      <c r="D150" s="206" t="e">
        <f>openDomain_trans_LNGC_FST1!U34*D26</f>
        <v>#VALUE!</v>
      </c>
      <c r="E150" s="206" t="e">
        <f>openDomain_trans_LNGC_FST1!V34*E26</f>
        <v>#VALUE!</v>
      </c>
      <c r="F150" s="206" t="e">
        <f>openDomain_trans_LNGC_FST1!W34*F26</f>
        <v>#VALUE!</v>
      </c>
      <c r="G150" s="207">
        <f>openDomain_trans_LNGC_FST1!X34*G26</f>
        <v>4.8960952321409006E-2</v>
      </c>
      <c r="H150" s="174"/>
      <c r="I150" s="197">
        <f>openDomain_trans_LNGC_FST2!P34</f>
        <v>300</v>
      </c>
      <c r="J150" s="205">
        <f>openDomain_trans_LNGC_FST2!S34*J26</f>
        <v>6.2811441129175277E-2</v>
      </c>
      <c r="K150" s="206">
        <f>openDomain_trans_LNGC_FST2!T34*K26</f>
        <v>-1.1466672095863408</v>
      </c>
      <c r="L150" s="206" t="e">
        <f>openDomain_trans_LNGC_FST2!U34*L26</f>
        <v>#VALUE!</v>
      </c>
      <c r="M150" s="206" t="e">
        <f>openDomain_trans_LNGC_FST2!V34*M26</f>
        <v>#VALUE!</v>
      </c>
      <c r="N150" s="206" t="e">
        <f>openDomain_trans_LNGC_FST2!W34*N26</f>
        <v>#VALUE!</v>
      </c>
      <c r="O150" s="207">
        <f>openDomain_trans_LNGC_FST2!X34*O26</f>
        <v>9.9603493512147923E-2</v>
      </c>
      <c r="Q150" s="197"/>
      <c r="R150" s="195"/>
      <c r="S150" s="174"/>
      <c r="T150" s="174"/>
      <c r="U150" s="174"/>
      <c r="V150" s="174"/>
      <c r="W150" s="196"/>
    </row>
    <row r="151" spans="1:23" x14ac:dyDescent="0.2">
      <c r="A151" s="197">
        <f>openDomain_trans_LNGC_FST1!P35</f>
        <v>315</v>
      </c>
      <c r="B151" s="205">
        <f>openDomain_trans_LNGC_FST1!S35*B27</f>
        <v>0.16543602623348283</v>
      </c>
      <c r="C151" s="206">
        <f>openDomain_trans_LNGC_FST1!T35*C27</f>
        <v>-0.57265269931638318</v>
      </c>
      <c r="D151" s="206" t="e">
        <f>openDomain_trans_LNGC_FST1!U35*D27</f>
        <v>#VALUE!</v>
      </c>
      <c r="E151" s="206" t="e">
        <f>openDomain_trans_LNGC_FST1!V35*E27</f>
        <v>#VALUE!</v>
      </c>
      <c r="F151" s="206" t="e">
        <f>openDomain_trans_LNGC_FST1!W35*F27</f>
        <v>#VALUE!</v>
      </c>
      <c r="G151" s="207">
        <f>openDomain_trans_LNGC_FST1!X35*G27</f>
        <v>6.1054183780424501E-2</v>
      </c>
      <c r="H151" s="174"/>
      <c r="I151" s="197">
        <f>openDomain_trans_LNGC_FST2!P35</f>
        <v>315</v>
      </c>
      <c r="J151" s="205">
        <f>openDomain_trans_LNGC_FST2!S35*J27</f>
        <v>0.51957489153842373</v>
      </c>
      <c r="K151" s="206">
        <f>openDomain_trans_LNGC_FST2!T35*K27</f>
        <v>-0.83658486032283685</v>
      </c>
      <c r="L151" s="206" t="e">
        <f>openDomain_trans_LNGC_FST2!U35*L27</f>
        <v>#VALUE!</v>
      </c>
      <c r="M151" s="206" t="e">
        <f>openDomain_trans_LNGC_FST2!V35*M27</f>
        <v>#VALUE!</v>
      </c>
      <c r="N151" s="206" t="e">
        <f>openDomain_trans_LNGC_FST2!W35*N27</f>
        <v>#VALUE!</v>
      </c>
      <c r="O151" s="207">
        <f>openDomain_trans_LNGC_FST2!X35*O27</f>
        <v>9.7261938745945326E-2</v>
      </c>
      <c r="Q151" s="197"/>
      <c r="R151" s="195"/>
      <c r="S151" s="174"/>
      <c r="T151" s="174"/>
      <c r="U151" s="174"/>
      <c r="V151" s="174"/>
      <c r="W151" s="196"/>
    </row>
    <row r="152" spans="1:23" x14ac:dyDescent="0.2">
      <c r="A152" s="197">
        <f>openDomain_trans_LNGC_FST1!P36</f>
        <v>330</v>
      </c>
      <c r="B152" s="205">
        <f>openDomain_trans_LNGC_FST1!S36*B28</f>
        <v>0.23739702131244031</v>
      </c>
      <c r="C152" s="206">
        <f>openDomain_trans_LNGC_FST1!T36*C28</f>
        <v>-0.31747294290300521</v>
      </c>
      <c r="D152" s="206" t="e">
        <f>openDomain_trans_LNGC_FST1!U36*D28</f>
        <v>#VALUE!</v>
      </c>
      <c r="E152" s="206" t="e">
        <f>openDomain_trans_LNGC_FST1!V36*E28</f>
        <v>#VALUE!</v>
      </c>
      <c r="F152" s="206" t="e">
        <f>openDomain_trans_LNGC_FST1!W36*F28</f>
        <v>#VALUE!</v>
      </c>
      <c r="G152" s="207">
        <f>openDomain_trans_LNGC_FST1!X36*G28</f>
        <v>3.0750966061762371E-2</v>
      </c>
      <c r="H152" s="174"/>
      <c r="I152" s="197">
        <f>openDomain_trans_LNGC_FST2!P36</f>
        <v>330</v>
      </c>
      <c r="J152" s="205">
        <f>openDomain_trans_LNGC_FST2!S36*J28</f>
        <v>0.67825458776148073</v>
      </c>
      <c r="K152" s="206">
        <f>openDomain_trans_LNGC_FST2!T36*K28</f>
        <v>-0.51141300739667939</v>
      </c>
      <c r="L152" s="206" t="e">
        <f>openDomain_trans_LNGC_FST2!U36*L28</f>
        <v>#VALUE!</v>
      </c>
      <c r="M152" s="206" t="e">
        <f>openDomain_trans_LNGC_FST2!V36*M28</f>
        <v>#VALUE!</v>
      </c>
      <c r="N152" s="206" t="e">
        <f>openDomain_trans_LNGC_FST2!W36*N28</f>
        <v>#VALUE!</v>
      </c>
      <c r="O152" s="207">
        <f>openDomain_trans_LNGC_FST2!X36*O28</f>
        <v>7.594344203160279E-2</v>
      </c>
      <c r="Q152" s="197"/>
      <c r="R152" s="195"/>
      <c r="S152" s="174"/>
      <c r="T152" s="174"/>
      <c r="U152" s="174"/>
      <c r="V152" s="174"/>
      <c r="W152" s="196"/>
    </row>
    <row r="153" spans="1:23" x14ac:dyDescent="0.2">
      <c r="A153" s="197">
        <f>openDomain_trans_LNGC_FST1!P37</f>
        <v>345</v>
      </c>
      <c r="B153" s="205">
        <f>openDomain_trans_LNGC_FST1!S37*B29</f>
        <v>0.30441397580531182</v>
      </c>
      <c r="C153" s="206">
        <f>openDomain_trans_LNGC_FST1!T37*C29</f>
        <v>-9.8037080796873427E-2</v>
      </c>
      <c r="D153" s="206" t="e">
        <f>openDomain_trans_LNGC_FST1!U37*D29</f>
        <v>#VALUE!</v>
      </c>
      <c r="E153" s="206" t="e">
        <f>openDomain_trans_LNGC_FST1!V37*E29</f>
        <v>#VALUE!</v>
      </c>
      <c r="F153" s="206" t="e">
        <f>openDomain_trans_LNGC_FST1!W37*F29</f>
        <v>#VALUE!</v>
      </c>
      <c r="G153" s="207">
        <f>openDomain_trans_LNGC_FST1!X37*G29</f>
        <v>8.7460972076043361E-3</v>
      </c>
      <c r="H153" s="174"/>
      <c r="I153" s="197">
        <f>openDomain_trans_LNGC_FST2!P37</f>
        <v>345</v>
      </c>
      <c r="J153" s="205">
        <f>openDomain_trans_LNGC_FST2!S37*J29</f>
        <v>0.79822490036749738</v>
      </c>
      <c r="K153" s="206">
        <f>openDomain_trans_LNGC_FST2!T37*K29</f>
        <v>-0.18832650344808199</v>
      </c>
      <c r="L153" s="206" t="e">
        <f>openDomain_trans_LNGC_FST2!U37*L29</f>
        <v>#VALUE!</v>
      </c>
      <c r="M153" s="206" t="e">
        <f>openDomain_trans_LNGC_FST2!V37*M29</f>
        <v>#VALUE!</v>
      </c>
      <c r="N153" s="206" t="e">
        <f>openDomain_trans_LNGC_FST2!W37*N29</f>
        <v>#VALUE!</v>
      </c>
      <c r="O153" s="207">
        <f>openDomain_trans_LNGC_FST2!X37*O29</f>
        <v>2.2830764483111051E-2</v>
      </c>
      <c r="Q153" s="197"/>
      <c r="R153" s="195"/>
      <c r="S153" s="174"/>
      <c r="T153" s="174"/>
      <c r="U153" s="174"/>
      <c r="V153" s="174"/>
      <c r="W153" s="196"/>
    </row>
    <row r="154" spans="1:23" ht="12.75" thickBot="1" x14ac:dyDescent="0.25">
      <c r="A154" s="198">
        <v>360</v>
      </c>
      <c r="B154" s="208">
        <f>openDomain_trans_LNGC_FST1!S38*B30</f>
        <v>0.18136453656125834</v>
      </c>
      <c r="C154" s="209">
        <f>openDomain_trans_LNGC_FST1!T38*C30</f>
        <v>-8.6152820706655048E-3</v>
      </c>
      <c r="D154" s="209" t="e">
        <f>openDomain_trans_LNGC_FST1!U38*D30</f>
        <v>#VALUE!</v>
      </c>
      <c r="E154" s="209" t="e">
        <f>openDomain_trans_LNGC_FST1!V38*E30</f>
        <v>#VALUE!</v>
      </c>
      <c r="F154" s="209" t="e">
        <f>openDomain_trans_LNGC_FST1!W38*F30</f>
        <v>#VALUE!</v>
      </c>
      <c r="G154" s="210">
        <f>openDomain_trans_LNGC_FST1!X38*G30</f>
        <v>-2.702982192781729E-3</v>
      </c>
      <c r="H154" s="182"/>
      <c r="I154" s="198">
        <v>360</v>
      </c>
      <c r="J154" s="208">
        <f>openDomain_trans_LNGC_FST2!S38*J30</f>
        <v>0.74523754107757878</v>
      </c>
      <c r="K154" s="209">
        <f>openDomain_trans_LNGC_FST2!T38*K30</f>
        <v>9.6874683217140038E-3</v>
      </c>
      <c r="L154" s="209" t="e">
        <f>openDomain_trans_LNGC_FST2!U38*L30</f>
        <v>#VALUE!</v>
      </c>
      <c r="M154" s="209" t="e">
        <f>openDomain_trans_LNGC_FST2!V38*M30</f>
        <v>#VALUE!</v>
      </c>
      <c r="N154" s="209" t="e">
        <f>openDomain_trans_LNGC_FST2!W38*N30</f>
        <v>#VALUE!</v>
      </c>
      <c r="O154" s="210">
        <f>openDomain_trans_LNGC_FST2!X38*O30</f>
        <v>-2.5518124841581304E-2</v>
      </c>
      <c r="Q154" s="198"/>
      <c r="R154" s="199"/>
      <c r="S154" s="200"/>
      <c r="T154" s="200"/>
      <c r="U154" s="200"/>
      <c r="V154" s="200"/>
      <c r="W154" s="201"/>
    </row>
    <row r="156" spans="1:23" ht="15.75" customHeight="1" thickBot="1" x14ac:dyDescent="0.25">
      <c r="A156" s="228" t="s">
        <v>78</v>
      </c>
      <c r="B156" s="228"/>
      <c r="C156" s="228"/>
      <c r="D156" s="228"/>
      <c r="E156" s="228"/>
      <c r="F156" s="228"/>
      <c r="G156" s="228"/>
      <c r="H156" s="160"/>
      <c r="I156" s="228" t="s">
        <v>79</v>
      </c>
      <c r="J156" s="228"/>
      <c r="K156" s="228"/>
      <c r="L156" s="228"/>
      <c r="M156" s="228"/>
      <c r="N156" s="228"/>
      <c r="O156" s="228"/>
    </row>
    <row r="157" spans="1:23" x14ac:dyDescent="0.2">
      <c r="A157" s="184" t="s">
        <v>55</v>
      </c>
      <c r="B157" s="185">
        <f>openDomain_trans_full_FST1!S5</f>
        <v>1360</v>
      </c>
      <c r="C157" s="185">
        <f>openDomain_trans_full_FST1!T5</f>
        <v>6322</v>
      </c>
      <c r="D157" s="185">
        <f>openDomain_trans_full_FST1!U5</f>
        <v>8949</v>
      </c>
      <c r="E157" s="185">
        <f>openDomain_trans_full_FST1!V5</f>
        <v>195355</v>
      </c>
      <c r="F157" s="185">
        <f>openDomain_trans_full_FST1!W5</f>
        <v>21665</v>
      </c>
      <c r="G157" s="185">
        <f>openDomain_trans_full_FST1!X5</f>
        <v>1293418</v>
      </c>
      <c r="H157" s="164"/>
      <c r="I157" s="184" t="s">
        <v>55</v>
      </c>
      <c r="J157" s="185">
        <f t="shared" ref="J157:O157" si="38">B157</f>
        <v>1360</v>
      </c>
      <c r="K157" s="185">
        <f t="shared" si="38"/>
        <v>6322</v>
      </c>
      <c r="L157" s="185">
        <f t="shared" si="38"/>
        <v>8949</v>
      </c>
      <c r="M157" s="185">
        <f t="shared" si="38"/>
        <v>195355</v>
      </c>
      <c r="N157" s="185">
        <f t="shared" si="38"/>
        <v>21665</v>
      </c>
      <c r="O157" s="185">
        <f t="shared" si="38"/>
        <v>1293418</v>
      </c>
    </row>
    <row r="158" spans="1:23" ht="12.75" thickBot="1" x14ac:dyDescent="0.25">
      <c r="A158" s="186"/>
      <c r="B158" s="187" t="s">
        <v>57</v>
      </c>
      <c r="C158" s="187" t="s">
        <v>57</v>
      </c>
      <c r="D158" s="187" t="s">
        <v>57</v>
      </c>
      <c r="E158" s="187" t="s">
        <v>58</v>
      </c>
      <c r="F158" s="187" t="s">
        <v>58</v>
      </c>
      <c r="G158" s="187" t="s">
        <v>58</v>
      </c>
      <c r="H158" s="167"/>
      <c r="I158" s="186"/>
      <c r="J158" s="187" t="s">
        <v>57</v>
      </c>
      <c r="K158" s="187" t="s">
        <v>57</v>
      </c>
      <c r="L158" s="187" t="s">
        <v>57</v>
      </c>
      <c r="M158" s="187" t="s">
        <v>58</v>
      </c>
      <c r="N158" s="187" t="s">
        <v>58</v>
      </c>
      <c r="O158" s="187" t="s">
        <v>58</v>
      </c>
    </row>
    <row r="159" spans="1:23" ht="14.25" thickBot="1" x14ac:dyDescent="0.25">
      <c r="A159" s="188" t="s">
        <v>59</v>
      </c>
      <c r="B159" s="189" t="s">
        <v>258</v>
      </c>
      <c r="C159" s="189" t="s">
        <v>259</v>
      </c>
      <c r="D159" s="189" t="s">
        <v>260</v>
      </c>
      <c r="E159" s="189" t="s">
        <v>261</v>
      </c>
      <c r="F159" s="189" t="s">
        <v>262</v>
      </c>
      <c r="G159" s="189" t="s">
        <v>263</v>
      </c>
      <c r="H159" s="160"/>
      <c r="I159" s="188" t="s">
        <v>59</v>
      </c>
      <c r="J159" s="189" t="s">
        <v>258</v>
      </c>
      <c r="K159" s="189" t="s">
        <v>259</v>
      </c>
      <c r="L159" s="189" t="s">
        <v>260</v>
      </c>
      <c r="M159" s="189" t="s">
        <v>261</v>
      </c>
      <c r="N159" s="189" t="s">
        <v>262</v>
      </c>
      <c r="O159" s="189" t="s">
        <v>263</v>
      </c>
    </row>
    <row r="160" spans="1:23" ht="36.75" thickBot="1" x14ac:dyDescent="0.25">
      <c r="A160" s="190"/>
      <c r="B160" s="189" t="str">
        <f t="shared" ref="B160:G160" si="39">CONCATENATE($A$156,"-",B159)</f>
        <v>openDomain-long-full-FST1-Cx [-]</v>
      </c>
      <c r="C160" s="189" t="str">
        <f t="shared" si="39"/>
        <v>openDomain-long-full-FST1-Cy [-]</v>
      </c>
      <c r="D160" s="189" t="str">
        <f t="shared" si="39"/>
        <v>openDomain-long-full-FST1-Cz [-]</v>
      </c>
      <c r="E160" s="189" t="str">
        <f t="shared" si="39"/>
        <v>openDomain-long-full-FST1-Cnx [-]</v>
      </c>
      <c r="F160" s="189" t="str">
        <f t="shared" si="39"/>
        <v>openDomain-long-full-FST1-Cny [-]</v>
      </c>
      <c r="G160" s="189" t="str">
        <f t="shared" si="39"/>
        <v>openDomain-long-full-FST1-Cnz [-]</v>
      </c>
      <c r="H160" s="160"/>
      <c r="I160" s="190"/>
      <c r="J160" s="189" t="str">
        <f t="shared" ref="J160:O160" si="40">CONCATENATE($I$156,"-",J159)</f>
        <v>openDomain-long-full-FST2-Cx [-]</v>
      </c>
      <c r="K160" s="189" t="str">
        <f t="shared" si="40"/>
        <v>openDomain-long-full-FST2-Cy [-]</v>
      </c>
      <c r="L160" s="189" t="str">
        <f t="shared" si="40"/>
        <v>openDomain-long-full-FST2-Cz [-]</v>
      </c>
      <c r="M160" s="189" t="str">
        <f t="shared" si="40"/>
        <v>openDomain-long-full-FST2-Cnx [-]</v>
      </c>
      <c r="N160" s="189" t="str">
        <f t="shared" si="40"/>
        <v>openDomain-long-full-FST2-Cny [-]</v>
      </c>
      <c r="O160" s="189" t="str">
        <f t="shared" si="40"/>
        <v>openDomain-long-full-FST2-Cnz [-]</v>
      </c>
    </row>
    <row r="161" spans="1:15" x14ac:dyDescent="0.2">
      <c r="A161" s="191">
        <f>openDomain_trans_full_FST1!P14</f>
        <v>0</v>
      </c>
      <c r="B161" s="192">
        <f>openDomain_trans_full_FST1!S14*B6</f>
        <v>0.18881644237788692</v>
      </c>
      <c r="C161" s="193">
        <f>openDomain_trans_full_FST1!T14*C6</f>
        <v>3.296052655395813E-3</v>
      </c>
      <c r="D161" s="193" t="e">
        <f>openDomain_trans_full_FST1!U14*D6</f>
        <v>#VALUE!</v>
      </c>
      <c r="E161" s="193" t="e">
        <f>openDomain_trans_full_FST1!V14*E6</f>
        <v>#VALUE!</v>
      </c>
      <c r="F161" s="193" t="e">
        <f>openDomain_trans_full_FST1!W14*F6</f>
        <v>#VALUE!</v>
      </c>
      <c r="G161" s="194">
        <f>openDomain_trans_full_FST1!X14*G6</f>
        <v>-6.7510627726506071E-4</v>
      </c>
      <c r="H161" s="174"/>
      <c r="I161" s="191">
        <f>openDomain_trans_full_FST2!P14</f>
        <v>0</v>
      </c>
      <c r="J161" s="202">
        <f>openDomain_trans_full_FST2!S14*J6</f>
        <v>0.68524292103502238</v>
      </c>
      <c r="K161" s="203">
        <f>openDomain_trans_full_FST2!T14*K6</f>
        <v>-1.7210341662862578E-2</v>
      </c>
      <c r="L161" s="203" t="e">
        <f>openDomain_trans_full_FST2!U14*L6</f>
        <v>#VALUE!</v>
      </c>
      <c r="M161" s="203" t="e">
        <f>openDomain_trans_full_FST2!V14*M6</f>
        <v>#VALUE!</v>
      </c>
      <c r="N161" s="203" t="e">
        <f>openDomain_trans_full_FST2!W14*N6</f>
        <v>#VALUE!</v>
      </c>
      <c r="O161" s="204">
        <f>openDomain_trans_full_FST2!X14*O6</f>
        <v>2.2834735724865918E-3</v>
      </c>
    </row>
    <row r="162" spans="1:15" x14ac:dyDescent="0.2">
      <c r="A162" s="191">
        <f>openDomain_trans_full_FST1!P15</f>
        <v>15</v>
      </c>
      <c r="B162" s="195">
        <f>openDomain_trans_full_FST1!S15*B7</f>
        <v>0.76154768051654953</v>
      </c>
      <c r="C162" s="174">
        <f>openDomain_trans_full_FST1!T15*C7</f>
        <v>0.15340589389093442</v>
      </c>
      <c r="D162" s="174" t="e">
        <f>openDomain_trans_full_FST1!U15*D7</f>
        <v>#VALUE!</v>
      </c>
      <c r="E162" s="174" t="e">
        <f>openDomain_trans_full_FST1!V15*E7</f>
        <v>#VALUE!</v>
      </c>
      <c r="F162" s="174" t="e">
        <f>openDomain_trans_full_FST1!W15*F7</f>
        <v>#VALUE!</v>
      </c>
      <c r="G162" s="196">
        <f>openDomain_trans_full_FST1!X15*G7</f>
        <v>1.1215320928678893E-2</v>
      </c>
      <c r="H162" s="174"/>
      <c r="I162" s="191">
        <f>openDomain_trans_full_FST2!P15</f>
        <v>15</v>
      </c>
      <c r="J162" s="205">
        <f>openDomain_trans_full_FST2!S15*J7</f>
        <v>0.9765561207996899</v>
      </c>
      <c r="K162" s="206">
        <f>openDomain_trans_full_FST2!T15*K7</f>
        <v>0.14801532201130435</v>
      </c>
      <c r="L162" s="206" t="e">
        <f>openDomain_trans_full_FST2!U15*L7</f>
        <v>#VALUE!</v>
      </c>
      <c r="M162" s="206" t="e">
        <f>openDomain_trans_full_FST2!V15*M7</f>
        <v>#VALUE!</v>
      </c>
      <c r="N162" s="206" t="e">
        <f>openDomain_trans_full_FST2!W15*N7</f>
        <v>#VALUE!</v>
      </c>
      <c r="O162" s="207">
        <f>openDomain_trans_full_FST2!X15*O7</f>
        <v>-5.2342638958659182E-3</v>
      </c>
    </row>
    <row r="163" spans="1:15" x14ac:dyDescent="0.2">
      <c r="A163" s="191">
        <f>openDomain_trans_full_FST1!P16</f>
        <v>30</v>
      </c>
      <c r="B163" s="195">
        <f>openDomain_trans_full_FST1!S16*B8</f>
        <v>0.61483796917636735</v>
      </c>
      <c r="C163" s="174">
        <f>openDomain_trans_full_FST1!T16*C8</f>
        <v>0.35080522156861682</v>
      </c>
      <c r="D163" s="174" t="e">
        <f>openDomain_trans_full_FST1!U16*D8</f>
        <v>#VALUE!</v>
      </c>
      <c r="E163" s="174" t="e">
        <f>openDomain_trans_full_FST1!V16*E8</f>
        <v>#VALUE!</v>
      </c>
      <c r="F163" s="174" t="e">
        <f>openDomain_trans_full_FST1!W16*F8</f>
        <v>#VALUE!</v>
      </c>
      <c r="G163" s="196">
        <f>openDomain_trans_full_FST1!X16*G8</f>
        <v>-1.2794075861597832E-2</v>
      </c>
      <c r="H163" s="174"/>
      <c r="I163" s="191">
        <f>openDomain_trans_full_FST2!P16</f>
        <v>30</v>
      </c>
      <c r="J163" s="205">
        <f>openDomain_trans_full_FST2!S16*J8</f>
        <v>0.99136146417060222</v>
      </c>
      <c r="K163" s="206">
        <f>openDomain_trans_full_FST2!T16*K8</f>
        <v>0.4243342702683629</v>
      </c>
      <c r="L163" s="206" t="e">
        <f>openDomain_trans_full_FST2!U16*L8</f>
        <v>#VALUE!</v>
      </c>
      <c r="M163" s="206" t="e">
        <f>openDomain_trans_full_FST2!V16*M8</f>
        <v>#VALUE!</v>
      </c>
      <c r="N163" s="206" t="e">
        <f>openDomain_trans_full_FST2!W16*N8</f>
        <v>#VALUE!</v>
      </c>
      <c r="O163" s="207">
        <f>openDomain_trans_full_FST2!X16*O8</f>
        <v>-3.6055175126295705E-2</v>
      </c>
    </row>
    <row r="164" spans="1:15" x14ac:dyDescent="0.2">
      <c r="A164" s="191">
        <f>openDomain_trans_full_FST1!P17</f>
        <v>45</v>
      </c>
      <c r="B164" s="195">
        <f>openDomain_trans_full_FST1!S17*B9</f>
        <v>0.40661311440140668</v>
      </c>
      <c r="C164" s="174">
        <f>openDomain_trans_full_FST1!T17*C9</f>
        <v>0.56238159528771081</v>
      </c>
      <c r="D164" s="174" t="e">
        <f>openDomain_trans_full_FST1!U17*D9</f>
        <v>#VALUE!</v>
      </c>
      <c r="E164" s="174" t="e">
        <f>openDomain_trans_full_FST1!V17*E9</f>
        <v>#VALUE!</v>
      </c>
      <c r="F164" s="174" t="e">
        <f>openDomain_trans_full_FST1!W17*F9</f>
        <v>#VALUE!</v>
      </c>
      <c r="G164" s="196">
        <f>openDomain_trans_full_FST1!X17*G9</f>
        <v>-2.5251317635824382E-2</v>
      </c>
      <c r="H164" s="174"/>
      <c r="I164" s="191">
        <f>openDomain_trans_full_FST2!P17</f>
        <v>45</v>
      </c>
      <c r="J164" s="205">
        <f>openDomain_trans_full_FST2!S17*J9</f>
        <v>0.75964286287204252</v>
      </c>
      <c r="K164" s="206">
        <f>openDomain_trans_full_FST2!T17*K9</f>
        <v>0.75669328451209739</v>
      </c>
      <c r="L164" s="206" t="e">
        <f>openDomain_trans_full_FST2!U17*L9</f>
        <v>#VALUE!</v>
      </c>
      <c r="M164" s="206" t="e">
        <f>openDomain_trans_full_FST2!V17*M9</f>
        <v>#VALUE!</v>
      </c>
      <c r="N164" s="206" t="e">
        <f>openDomain_trans_full_FST2!W17*N9</f>
        <v>#VALUE!</v>
      </c>
      <c r="O164" s="207">
        <f>openDomain_trans_full_FST2!X17*O9</f>
        <v>-5.7180109481710928E-2</v>
      </c>
    </row>
    <row r="165" spans="1:15" x14ac:dyDescent="0.2">
      <c r="A165" s="191">
        <f>openDomain_trans_full_FST1!P18</f>
        <v>60</v>
      </c>
      <c r="B165" s="195">
        <f>openDomain_trans_full_FST1!S18*B10</f>
        <v>0.17291564020420469</v>
      </c>
      <c r="C165" s="174">
        <f>openDomain_trans_full_FST1!T18*C10</f>
        <v>0.73211974270856306</v>
      </c>
      <c r="D165" s="174" t="e">
        <f>openDomain_trans_full_FST1!U18*D10</f>
        <v>#VALUE!</v>
      </c>
      <c r="E165" s="174" t="e">
        <f>openDomain_trans_full_FST1!V18*E10</f>
        <v>#VALUE!</v>
      </c>
      <c r="F165" s="174" t="e">
        <f>openDomain_trans_full_FST1!W18*F10</f>
        <v>#VALUE!</v>
      </c>
      <c r="G165" s="196">
        <f>openDomain_trans_full_FST1!X18*G10</f>
        <v>-3.375575117040551E-2</v>
      </c>
      <c r="H165" s="174"/>
      <c r="I165" s="191">
        <f>openDomain_trans_full_FST2!P18</f>
        <v>60</v>
      </c>
      <c r="J165" s="205">
        <f>openDomain_trans_full_FST2!S18*J10</f>
        <v>0.10017229202624714</v>
      </c>
      <c r="K165" s="206">
        <f>openDomain_trans_full_FST2!T18*K10</f>
        <v>0.98744268483071918</v>
      </c>
      <c r="L165" s="206" t="e">
        <f>openDomain_trans_full_FST2!U18*L10</f>
        <v>#VALUE!</v>
      </c>
      <c r="M165" s="206" t="e">
        <f>openDomain_trans_full_FST2!V18*M10</f>
        <v>#VALUE!</v>
      </c>
      <c r="N165" s="206" t="e">
        <f>openDomain_trans_full_FST2!W18*N10</f>
        <v>#VALUE!</v>
      </c>
      <c r="O165" s="207">
        <f>openDomain_trans_full_FST2!X18*O10</f>
        <v>-4.9807625025628299E-2</v>
      </c>
    </row>
    <row r="166" spans="1:15" x14ac:dyDescent="0.2">
      <c r="A166" s="191">
        <f>openDomain_trans_full_FST1!P19</f>
        <v>75</v>
      </c>
      <c r="B166" s="195">
        <f>openDomain_trans_full_FST1!S19*B11</f>
        <v>0.37089747529997841</v>
      </c>
      <c r="C166" s="174">
        <f>openDomain_trans_full_FST1!T19*C11</f>
        <v>0.82740313696716861</v>
      </c>
      <c r="D166" s="174" t="e">
        <f>openDomain_trans_full_FST1!U19*D11</f>
        <v>#VALUE!</v>
      </c>
      <c r="E166" s="174" t="e">
        <f>openDomain_trans_full_FST1!V19*E11</f>
        <v>#VALUE!</v>
      </c>
      <c r="F166" s="174" t="e">
        <f>openDomain_trans_full_FST1!W19*F11</f>
        <v>#VALUE!</v>
      </c>
      <c r="G166" s="196">
        <f>openDomain_trans_full_FST1!X19*G11</f>
        <v>-2.5026530027716026E-2</v>
      </c>
      <c r="H166" s="174"/>
      <c r="I166" s="191">
        <f>openDomain_trans_full_FST2!P19</f>
        <v>75</v>
      </c>
      <c r="J166" s="205">
        <f>openDomain_trans_full_FST2!S19*J11</f>
        <v>8.4950666591754306E-2</v>
      </c>
      <c r="K166" s="206">
        <f>openDomain_trans_full_FST2!T19*K11</f>
        <v>1.0671493307811943</v>
      </c>
      <c r="L166" s="206" t="e">
        <f>openDomain_trans_full_FST2!U19*L11</f>
        <v>#VALUE!</v>
      </c>
      <c r="M166" s="206" t="e">
        <f>openDomain_trans_full_FST2!V19*M11</f>
        <v>#VALUE!</v>
      </c>
      <c r="N166" s="206" t="e">
        <f>openDomain_trans_full_FST2!W19*N11</f>
        <v>#VALUE!</v>
      </c>
      <c r="O166" s="207">
        <f>openDomain_trans_full_FST2!X19*O11</f>
        <v>-2.8171753061456091E-2</v>
      </c>
    </row>
    <row r="167" spans="1:15" x14ac:dyDescent="0.2">
      <c r="A167" s="191">
        <f>openDomain_trans_full_FST1!P20</f>
        <v>90</v>
      </c>
      <c r="B167" s="195">
        <f>openDomain_trans_full_FST1!S20*B12</f>
        <v>0.39015575345663434</v>
      </c>
      <c r="C167" s="174">
        <f>openDomain_trans_full_FST1!T20*C12</f>
        <v>0.92821658540953145</v>
      </c>
      <c r="D167" s="174" t="e">
        <f>openDomain_trans_full_FST1!U20*D12</f>
        <v>#VALUE!</v>
      </c>
      <c r="E167" s="174" t="e">
        <f>openDomain_trans_full_FST1!V20*E12</f>
        <v>#VALUE!</v>
      </c>
      <c r="F167" s="174" t="e">
        <f>openDomain_trans_full_FST1!W20*F12</f>
        <v>#VALUE!</v>
      </c>
      <c r="G167" s="196">
        <f>openDomain_trans_full_FST1!X20*G12</f>
        <v>1.8165510002355213E-2</v>
      </c>
      <c r="H167" s="174"/>
      <c r="I167" s="191">
        <f>openDomain_trans_full_FST2!P20</f>
        <v>90</v>
      </c>
      <c r="J167" s="205">
        <f>openDomain_trans_full_FST2!S20*J12</f>
        <v>-0.37631445669657176</v>
      </c>
      <c r="K167" s="206">
        <f>openDomain_trans_full_FST2!T20*K12</f>
        <v>0.96153276858171943</v>
      </c>
      <c r="L167" s="206" t="e">
        <f>openDomain_trans_full_FST2!U20*L12</f>
        <v>#VALUE!</v>
      </c>
      <c r="M167" s="206" t="e">
        <f>openDomain_trans_full_FST2!V20*M12</f>
        <v>#VALUE!</v>
      </c>
      <c r="N167" s="206" t="e">
        <f>openDomain_trans_full_FST2!W20*N12</f>
        <v>#VALUE!</v>
      </c>
      <c r="O167" s="207">
        <f>openDomain_trans_full_FST2!X20*O12</f>
        <v>2.5931686025490361E-3</v>
      </c>
    </row>
    <row r="168" spans="1:15" x14ac:dyDescent="0.2">
      <c r="A168" s="191">
        <f>openDomain_trans_full_FST1!P21</f>
        <v>105</v>
      </c>
      <c r="B168" s="195">
        <f>openDomain_trans_full_FST1!S21*B13</f>
        <v>-8.4506282848956088E-2</v>
      </c>
      <c r="C168" s="174">
        <f>openDomain_trans_full_FST1!T21*C13</f>
        <v>1.0495930352227634</v>
      </c>
      <c r="D168" s="174" t="e">
        <f>openDomain_trans_full_FST1!U21*D13</f>
        <v>#VALUE!</v>
      </c>
      <c r="E168" s="174" t="e">
        <f>openDomain_trans_full_FST1!V21*E13</f>
        <v>#VALUE!</v>
      </c>
      <c r="F168" s="174" t="e">
        <f>openDomain_trans_full_FST1!W21*F13</f>
        <v>#VALUE!</v>
      </c>
      <c r="G168" s="196">
        <f>openDomain_trans_full_FST1!X21*G13</f>
        <v>3.4589687358572749E-2</v>
      </c>
      <c r="H168" s="174"/>
      <c r="I168" s="191">
        <f>openDomain_trans_full_FST2!P21</f>
        <v>105</v>
      </c>
      <c r="J168" s="205">
        <f>openDomain_trans_full_FST2!S21*J13</f>
        <v>-0.32327744036055994</v>
      </c>
      <c r="K168" s="206">
        <f>openDomain_trans_full_FST2!T21*K13</f>
        <v>0.84476016644166008</v>
      </c>
      <c r="L168" s="206" t="e">
        <f>openDomain_trans_full_FST2!U21*L13</f>
        <v>#VALUE!</v>
      </c>
      <c r="M168" s="206" t="e">
        <f>openDomain_trans_full_FST2!V21*M13</f>
        <v>#VALUE!</v>
      </c>
      <c r="N168" s="206" t="e">
        <f>openDomain_trans_full_FST2!W21*N13</f>
        <v>#VALUE!</v>
      </c>
      <c r="O168" s="207">
        <f>openDomain_trans_full_FST2!X21*O13</f>
        <v>2.589132040345235E-2</v>
      </c>
    </row>
    <row r="169" spans="1:15" x14ac:dyDescent="0.2">
      <c r="A169" s="191">
        <f>openDomain_trans_full_FST1!P22</f>
        <v>120</v>
      </c>
      <c r="B169" s="195">
        <f>openDomain_trans_full_FST1!S22*B14</f>
        <v>-0.15738729380251143</v>
      </c>
      <c r="C169" s="174">
        <f>openDomain_trans_full_FST1!T22*C14</f>
        <v>0.92476236617757579</v>
      </c>
      <c r="D169" s="174" t="e">
        <f>openDomain_trans_full_FST1!U22*D14</f>
        <v>#VALUE!</v>
      </c>
      <c r="E169" s="174" t="e">
        <f>openDomain_trans_full_FST1!V22*E14</f>
        <v>#VALUE!</v>
      </c>
      <c r="F169" s="174" t="e">
        <f>openDomain_trans_full_FST1!W22*F14</f>
        <v>#VALUE!</v>
      </c>
      <c r="G169" s="196">
        <f>openDomain_trans_full_FST1!X22*G14</f>
        <v>5.945281883964719E-2</v>
      </c>
      <c r="H169" s="174"/>
      <c r="I169" s="191">
        <f>openDomain_trans_full_FST2!P22</f>
        <v>120</v>
      </c>
      <c r="J169" s="205">
        <f>openDomain_trans_full_FST2!S22*J14</f>
        <v>-0.11230277052360291</v>
      </c>
      <c r="K169" s="206">
        <f>openDomain_trans_full_FST2!T22*K14</f>
        <v>0.78442119314073344</v>
      </c>
      <c r="L169" s="206" t="e">
        <f>openDomain_trans_full_FST2!U22*L14</f>
        <v>#VALUE!</v>
      </c>
      <c r="M169" s="206" t="e">
        <f>openDomain_trans_full_FST2!V22*M14</f>
        <v>#VALUE!</v>
      </c>
      <c r="N169" s="206" t="e">
        <f>openDomain_trans_full_FST2!W22*N14</f>
        <v>#VALUE!</v>
      </c>
      <c r="O169" s="207">
        <f>openDomain_trans_full_FST2!X22*O14</f>
        <v>3.0582506863248662E-2</v>
      </c>
    </row>
    <row r="170" spans="1:15" x14ac:dyDescent="0.2">
      <c r="A170" s="191">
        <f>openDomain_trans_full_FST1!P23</f>
        <v>135</v>
      </c>
      <c r="B170" s="195">
        <f>openDomain_trans_full_FST1!S23*B15</f>
        <v>-0.47326416960196471</v>
      </c>
      <c r="C170" s="174">
        <f>openDomain_trans_full_FST1!T23*C15</f>
        <v>0.69445823189288181</v>
      </c>
      <c r="D170" s="174" t="e">
        <f>openDomain_trans_full_FST1!U23*D15</f>
        <v>#VALUE!</v>
      </c>
      <c r="E170" s="174" t="e">
        <f>openDomain_trans_full_FST1!V23*E15</f>
        <v>#VALUE!</v>
      </c>
      <c r="F170" s="174" t="e">
        <f>openDomain_trans_full_FST1!W23*F15</f>
        <v>#VALUE!</v>
      </c>
      <c r="G170" s="196">
        <f>openDomain_trans_full_FST1!X23*G15</f>
        <v>7.7603618953740447E-2</v>
      </c>
      <c r="H170" s="174"/>
      <c r="I170" s="191">
        <f>openDomain_trans_full_FST2!P23</f>
        <v>135</v>
      </c>
      <c r="J170" s="205">
        <f>openDomain_trans_full_FST2!S23*J15</f>
        <v>-0.65045899892214665</v>
      </c>
      <c r="K170" s="206">
        <f>openDomain_trans_full_FST2!T23*K15</f>
        <v>0.59439701242006981</v>
      </c>
      <c r="L170" s="206" t="e">
        <f>openDomain_trans_full_FST2!U23*L15</f>
        <v>#VALUE!</v>
      </c>
      <c r="M170" s="206" t="e">
        <f>openDomain_trans_full_FST2!V23*M15</f>
        <v>#VALUE!</v>
      </c>
      <c r="N170" s="206" t="e">
        <f>openDomain_trans_full_FST2!W23*N15</f>
        <v>#VALUE!</v>
      </c>
      <c r="O170" s="207">
        <f>openDomain_trans_full_FST2!X23*O15</f>
        <v>1.3850892717722161E-2</v>
      </c>
    </row>
    <row r="171" spans="1:15" x14ac:dyDescent="0.2">
      <c r="A171" s="191">
        <f>openDomain_trans_full_FST1!P24</f>
        <v>150</v>
      </c>
      <c r="B171" s="195">
        <f>openDomain_trans_full_FST1!S24*B16</f>
        <v>-0.75353688596794099</v>
      </c>
      <c r="C171" s="174">
        <f>openDomain_trans_full_FST1!T24*C16</f>
        <v>0.38989753105925845</v>
      </c>
      <c r="D171" s="174" t="e">
        <f>openDomain_trans_full_FST1!U24*D16</f>
        <v>#VALUE!</v>
      </c>
      <c r="E171" s="174" t="e">
        <f>openDomain_trans_full_FST1!V24*E16</f>
        <v>#VALUE!</v>
      </c>
      <c r="F171" s="174" t="e">
        <f>openDomain_trans_full_FST1!W24*F16</f>
        <v>#VALUE!</v>
      </c>
      <c r="G171" s="196">
        <f>openDomain_trans_full_FST1!X24*G16</f>
        <v>3.2710987966004815E-2</v>
      </c>
      <c r="H171" s="174"/>
      <c r="I171" s="191">
        <f>openDomain_trans_full_FST2!P24</f>
        <v>150</v>
      </c>
      <c r="J171" s="205">
        <f>openDomain_trans_full_FST2!S24*J16</f>
        <v>-0.79370209221009902</v>
      </c>
      <c r="K171" s="206">
        <f>openDomain_trans_full_FST2!T24*K16</f>
        <v>0.36707258007721799</v>
      </c>
      <c r="L171" s="206" t="e">
        <f>openDomain_trans_full_FST2!U24*L16</f>
        <v>#VALUE!</v>
      </c>
      <c r="M171" s="206" t="e">
        <f>openDomain_trans_full_FST2!V24*M16</f>
        <v>#VALUE!</v>
      </c>
      <c r="N171" s="206" t="e">
        <f>openDomain_trans_full_FST2!W24*N16</f>
        <v>#VALUE!</v>
      </c>
      <c r="O171" s="207">
        <f>openDomain_trans_full_FST2!X24*O16</f>
        <v>9.9212807416202177E-3</v>
      </c>
    </row>
    <row r="172" spans="1:15" x14ac:dyDescent="0.2">
      <c r="A172" s="191">
        <f>openDomain_trans_full_FST1!P25</f>
        <v>165</v>
      </c>
      <c r="B172" s="195">
        <f>openDomain_trans_full_FST1!S25*B17</f>
        <v>-1.0418074528717729</v>
      </c>
      <c r="C172" s="174">
        <f>openDomain_trans_full_FST1!T25*C17</f>
        <v>0.13406849151133524</v>
      </c>
      <c r="D172" s="174" t="e">
        <f>openDomain_trans_full_FST1!U25*D17</f>
        <v>#VALUE!</v>
      </c>
      <c r="E172" s="174" t="e">
        <f>openDomain_trans_full_FST1!V25*E17</f>
        <v>#VALUE!</v>
      </c>
      <c r="F172" s="174" t="e">
        <f>openDomain_trans_full_FST1!W25*F17</f>
        <v>#VALUE!</v>
      </c>
      <c r="G172" s="196">
        <f>openDomain_trans_full_FST1!X25*G17</f>
        <v>6.1571542328620714E-3</v>
      </c>
      <c r="H172" s="174"/>
      <c r="I172" s="191">
        <f>openDomain_trans_full_FST2!P25</f>
        <v>165</v>
      </c>
      <c r="J172" s="205">
        <f>openDomain_trans_full_FST2!S25*J17</f>
        <v>-0.69880015923620165</v>
      </c>
      <c r="K172" s="206">
        <f>openDomain_trans_full_FST2!T25*K17</f>
        <v>0.16462118032883041</v>
      </c>
      <c r="L172" s="206" t="e">
        <f>openDomain_trans_full_FST2!U25*L17</f>
        <v>#VALUE!</v>
      </c>
      <c r="M172" s="206" t="e">
        <f>openDomain_trans_full_FST2!V25*M17</f>
        <v>#VALUE!</v>
      </c>
      <c r="N172" s="206" t="e">
        <f>openDomain_trans_full_FST2!W25*N17</f>
        <v>#VALUE!</v>
      </c>
      <c r="O172" s="207">
        <f>openDomain_trans_full_FST2!X25*O17</f>
        <v>-7.3680894010646287E-4</v>
      </c>
    </row>
    <row r="173" spans="1:15" x14ac:dyDescent="0.2">
      <c r="A173" s="191">
        <f>openDomain_trans_full_FST1!P26</f>
        <v>180</v>
      </c>
      <c r="B173" s="195">
        <f>openDomain_trans_full_FST1!S26*B18</f>
        <v>-0.85256212204150716</v>
      </c>
      <c r="C173" s="174">
        <f>openDomain_trans_full_FST1!T26*C18</f>
        <v>-2.589228798891623E-2</v>
      </c>
      <c r="D173" s="174" t="e">
        <f>openDomain_trans_full_FST1!U26*D18</f>
        <v>#VALUE!</v>
      </c>
      <c r="E173" s="174" t="e">
        <f>openDomain_trans_full_FST1!V26*E18</f>
        <v>#VALUE!</v>
      </c>
      <c r="F173" s="174" t="e">
        <f>openDomain_trans_full_FST1!W26*F18</f>
        <v>#VALUE!</v>
      </c>
      <c r="G173" s="196">
        <f>openDomain_trans_full_FST1!X26*G18</f>
        <v>5.0322719776563817E-3</v>
      </c>
      <c r="H173" s="174"/>
      <c r="I173" s="191">
        <f>openDomain_trans_full_FST2!P26</f>
        <v>180</v>
      </c>
      <c r="J173" s="205">
        <f>openDomain_trans_full_FST2!S26*J18</f>
        <v>-0.19773536460960695</v>
      </c>
      <c r="K173" s="206">
        <f>openDomain_trans_full_FST2!T26*K18</f>
        <v>1.3063311172093353E-2</v>
      </c>
      <c r="L173" s="206" t="e">
        <f>openDomain_trans_full_FST2!U26*L18</f>
        <v>#VALUE!</v>
      </c>
      <c r="M173" s="206" t="e">
        <f>openDomain_trans_full_FST2!V26*M18</f>
        <v>#VALUE!</v>
      </c>
      <c r="N173" s="206" t="e">
        <f>openDomain_trans_full_FST2!W26*N18</f>
        <v>#VALUE!</v>
      </c>
      <c r="O173" s="207">
        <f>openDomain_trans_full_FST2!X26*O18</f>
        <v>3.6361122448578319E-3</v>
      </c>
    </row>
    <row r="174" spans="1:15" x14ac:dyDescent="0.2">
      <c r="A174" s="197">
        <f>openDomain_trans_full_FST1!P27</f>
        <v>195</v>
      </c>
      <c r="B174" s="195">
        <f>openDomain_trans_full_FST1!S27*B19</f>
        <v>-0.84100218399000648</v>
      </c>
      <c r="C174" s="174">
        <f>openDomain_trans_full_FST1!T27*C19</f>
        <v>-0.19951348812831943</v>
      </c>
      <c r="D174" s="174" t="e">
        <f>openDomain_trans_full_FST1!U27*D19</f>
        <v>#VALUE!</v>
      </c>
      <c r="E174" s="174" t="e">
        <f>openDomain_trans_full_FST1!V27*E19</f>
        <v>#VALUE!</v>
      </c>
      <c r="F174" s="174" t="e">
        <f>openDomain_trans_full_FST1!W27*F19</f>
        <v>#VALUE!</v>
      </c>
      <c r="G174" s="196">
        <f>openDomain_trans_full_FST1!X27*G19</f>
        <v>-4.0572215165164356E-2</v>
      </c>
      <c r="H174" s="174"/>
      <c r="I174" s="197">
        <f>openDomain_trans_full_FST2!P27</f>
        <v>195</v>
      </c>
      <c r="J174" s="205">
        <f>openDomain_trans_full_FST2!S27*J19</f>
        <v>-0.2741158585834319</v>
      </c>
      <c r="K174" s="206">
        <f>openDomain_trans_full_FST2!T27*K19</f>
        <v>-8.7936628761219271E-2</v>
      </c>
      <c r="L174" s="206" t="e">
        <f>openDomain_trans_full_FST2!U27*L19</f>
        <v>#VALUE!</v>
      </c>
      <c r="M174" s="206" t="e">
        <f>openDomain_trans_full_FST2!V27*M19</f>
        <v>#VALUE!</v>
      </c>
      <c r="N174" s="206" t="e">
        <f>openDomain_trans_full_FST2!W27*N19</f>
        <v>#VALUE!</v>
      </c>
      <c r="O174" s="207">
        <f>openDomain_trans_full_FST2!X27*O19</f>
        <v>-8.521723627835867E-4</v>
      </c>
    </row>
    <row r="175" spans="1:15" x14ac:dyDescent="0.2">
      <c r="A175" s="197">
        <f>openDomain_trans_full_FST1!P28</f>
        <v>210</v>
      </c>
      <c r="B175" s="195">
        <f>openDomain_trans_full_FST1!S28*B20</f>
        <v>-0.52726675976623238</v>
      </c>
      <c r="C175" s="174">
        <f>openDomain_trans_full_FST1!T28*C20</f>
        <v>-0.49055633150603062</v>
      </c>
      <c r="D175" s="174" t="e">
        <f>openDomain_trans_full_FST1!U28*D20</f>
        <v>#VALUE!</v>
      </c>
      <c r="E175" s="174" t="e">
        <f>openDomain_trans_full_FST1!V28*E20</f>
        <v>#VALUE!</v>
      </c>
      <c r="F175" s="174" t="e">
        <f>openDomain_trans_full_FST1!W28*F20</f>
        <v>#VALUE!</v>
      </c>
      <c r="G175" s="196">
        <f>openDomain_trans_full_FST1!X28*G20</f>
        <v>-7.1063201113708938E-2</v>
      </c>
      <c r="H175" s="174"/>
      <c r="I175" s="197">
        <f>openDomain_trans_full_FST2!P28</f>
        <v>210</v>
      </c>
      <c r="J175" s="205">
        <f>openDomain_trans_full_FST2!S28*J20</f>
        <v>-0.34174134123229655</v>
      </c>
      <c r="K175" s="206">
        <f>openDomain_trans_full_FST2!T28*K20</f>
        <v>-0.3120261791492554</v>
      </c>
      <c r="L175" s="206" t="e">
        <f>openDomain_trans_full_FST2!U28*L20</f>
        <v>#VALUE!</v>
      </c>
      <c r="M175" s="206" t="e">
        <f>openDomain_trans_full_FST2!V28*M20</f>
        <v>#VALUE!</v>
      </c>
      <c r="N175" s="206" t="e">
        <f>openDomain_trans_full_FST2!W28*N20</f>
        <v>#VALUE!</v>
      </c>
      <c r="O175" s="207">
        <f>openDomain_trans_full_FST2!X28*O20</f>
        <v>-1.7871911137202712E-2</v>
      </c>
    </row>
    <row r="176" spans="1:15" x14ac:dyDescent="0.2">
      <c r="A176" s="197">
        <f>openDomain_trans_full_FST1!P29</f>
        <v>225</v>
      </c>
      <c r="B176" s="195">
        <f>openDomain_trans_full_FST1!S29*B21</f>
        <v>-0.30670955660230176</v>
      </c>
      <c r="C176" s="174">
        <f>openDomain_trans_full_FST1!T29*C21</f>
        <v>-0.77551060314674058</v>
      </c>
      <c r="D176" s="174" t="e">
        <f>openDomain_trans_full_FST1!U29*D21</f>
        <v>#VALUE!</v>
      </c>
      <c r="E176" s="174" t="e">
        <f>openDomain_trans_full_FST1!V29*E21</f>
        <v>#VALUE!</v>
      </c>
      <c r="F176" s="174" t="e">
        <f>openDomain_trans_full_FST1!W29*F21</f>
        <v>#VALUE!</v>
      </c>
      <c r="G176" s="196">
        <f>openDomain_trans_full_FST1!X29*G21</f>
        <v>-0.13668257532519471</v>
      </c>
      <c r="H176" s="174"/>
      <c r="I176" s="197">
        <f>openDomain_trans_full_FST2!P29</f>
        <v>225</v>
      </c>
      <c r="J176" s="205">
        <f>openDomain_trans_full_FST2!S29*J21</f>
        <v>-0.34724429308434024</v>
      </c>
      <c r="K176" s="206">
        <f>openDomain_trans_full_FST2!T29*K21</f>
        <v>-0.58326782635157282</v>
      </c>
      <c r="L176" s="206" t="e">
        <f>openDomain_trans_full_FST2!U29*L21</f>
        <v>#VALUE!</v>
      </c>
      <c r="M176" s="206" t="e">
        <f>openDomain_trans_full_FST2!V29*M21</f>
        <v>#VALUE!</v>
      </c>
      <c r="N176" s="206" t="e">
        <f>openDomain_trans_full_FST2!W29*N21</f>
        <v>#VALUE!</v>
      </c>
      <c r="O176" s="207">
        <f>openDomain_trans_full_FST2!X29*O21</f>
        <v>-2.5334732759481844E-2</v>
      </c>
    </row>
    <row r="177" spans="1:23" x14ac:dyDescent="0.2">
      <c r="A177" s="197">
        <f>openDomain_trans_full_FST1!P30</f>
        <v>240</v>
      </c>
      <c r="B177" s="195">
        <f>openDomain_trans_full_FST1!S30*B22</f>
        <v>-6.745804657120634E-2</v>
      </c>
      <c r="C177" s="174">
        <f>openDomain_trans_full_FST1!T30*C22</f>
        <v>-1.0497206419402738</v>
      </c>
      <c r="D177" s="174" t="e">
        <f>openDomain_trans_full_FST1!U30*D22</f>
        <v>#VALUE!</v>
      </c>
      <c r="E177" s="174" t="e">
        <f>openDomain_trans_full_FST1!V30*E22</f>
        <v>#VALUE!</v>
      </c>
      <c r="F177" s="174" t="e">
        <f>openDomain_trans_full_FST1!W30*F22</f>
        <v>#VALUE!</v>
      </c>
      <c r="G177" s="196">
        <f>openDomain_trans_full_FST1!X30*G22</f>
        <v>-0.13896791488502067</v>
      </c>
      <c r="H177" s="174"/>
      <c r="I177" s="197">
        <f>openDomain_trans_full_FST2!P30</f>
        <v>240</v>
      </c>
      <c r="J177" s="205">
        <f>openDomain_trans_full_FST2!S30*J22</f>
        <v>-4.5967539204752543E-2</v>
      </c>
      <c r="K177" s="206">
        <f>openDomain_trans_full_FST2!T30*K22</f>
        <v>-0.78679778294903768</v>
      </c>
      <c r="L177" s="206" t="e">
        <f>openDomain_trans_full_FST2!U30*L22</f>
        <v>#VALUE!</v>
      </c>
      <c r="M177" s="206" t="e">
        <f>openDomain_trans_full_FST2!V30*M22</f>
        <v>#VALUE!</v>
      </c>
      <c r="N177" s="206" t="e">
        <f>openDomain_trans_full_FST2!W30*N22</f>
        <v>#VALUE!</v>
      </c>
      <c r="O177" s="207">
        <f>openDomain_trans_full_FST2!X30*O22</f>
        <v>-3.8657350774332057E-2</v>
      </c>
    </row>
    <row r="178" spans="1:23" x14ac:dyDescent="0.2">
      <c r="A178" s="197">
        <f>openDomain_trans_full_FST1!P31</f>
        <v>255</v>
      </c>
      <c r="B178" s="195">
        <f>openDomain_trans_full_FST1!S31*B23</f>
        <v>-0.10426243460531529</v>
      </c>
      <c r="C178" s="174">
        <f>openDomain_trans_full_FST1!T31*C23</f>
        <v>-1.0775590275632998</v>
      </c>
      <c r="D178" s="174" t="e">
        <f>openDomain_trans_full_FST1!U31*D23</f>
        <v>#VALUE!</v>
      </c>
      <c r="E178" s="174" t="e">
        <f>openDomain_trans_full_FST1!V31*E23</f>
        <v>#VALUE!</v>
      </c>
      <c r="F178" s="174" t="e">
        <f>openDomain_trans_full_FST1!W31*F23</f>
        <v>#VALUE!</v>
      </c>
      <c r="G178" s="196">
        <f>openDomain_trans_full_FST1!X31*G23</f>
        <v>-3.8012020917284069E-2</v>
      </c>
      <c r="H178" s="174"/>
      <c r="I178" s="197">
        <f>openDomain_trans_full_FST2!P31</f>
        <v>255</v>
      </c>
      <c r="J178" s="205">
        <f>openDomain_trans_full_FST2!S31*J23</f>
        <v>-5.5224644023705867E-2</v>
      </c>
      <c r="K178" s="206">
        <f>openDomain_trans_full_FST2!T31*K23</f>
        <v>-0.87044786464440849</v>
      </c>
      <c r="L178" s="206" t="e">
        <f>openDomain_trans_full_FST2!U31*L23</f>
        <v>#VALUE!</v>
      </c>
      <c r="M178" s="206" t="e">
        <f>openDomain_trans_full_FST2!V31*M23</f>
        <v>#VALUE!</v>
      </c>
      <c r="N178" s="206" t="e">
        <f>openDomain_trans_full_FST2!W31*N23</f>
        <v>#VALUE!</v>
      </c>
      <c r="O178" s="207">
        <f>openDomain_trans_full_FST2!X31*O23</f>
        <v>-3.140474506477145E-2</v>
      </c>
    </row>
    <row r="179" spans="1:23" x14ac:dyDescent="0.2">
      <c r="A179" s="197">
        <f>openDomain_trans_full_FST1!P32</f>
        <v>270</v>
      </c>
      <c r="B179" s="195">
        <f>openDomain_trans_full_FST1!S32*B24</f>
        <v>0.25396219991139113</v>
      </c>
      <c r="C179" s="174">
        <f>openDomain_trans_full_FST1!T32*C24</f>
        <v>-0.96858507075307898</v>
      </c>
      <c r="D179" s="174" t="e">
        <f>openDomain_trans_full_FST1!U32*D24</f>
        <v>#VALUE!</v>
      </c>
      <c r="E179" s="174" t="e">
        <f>openDomain_trans_full_FST1!V32*E24</f>
        <v>#VALUE!</v>
      </c>
      <c r="F179" s="174" t="e">
        <f>openDomain_trans_full_FST1!W32*F24</f>
        <v>#VALUE!</v>
      </c>
      <c r="G179" s="196">
        <f>openDomain_trans_full_FST1!X32*G24</f>
        <v>-1.6793237952578449E-2</v>
      </c>
      <c r="H179" s="174"/>
      <c r="I179" s="197">
        <f>openDomain_trans_full_FST2!P32</f>
        <v>270</v>
      </c>
      <c r="J179" s="205">
        <f>openDomain_trans_full_FST2!S32*J24</f>
        <v>-1.9389070598275229E-2</v>
      </c>
      <c r="K179" s="206">
        <f>openDomain_trans_full_FST2!T32*K24</f>
        <v>-0.97861801206150445</v>
      </c>
      <c r="L179" s="206" t="e">
        <f>openDomain_trans_full_FST2!U32*L24</f>
        <v>#VALUE!</v>
      </c>
      <c r="M179" s="206" t="e">
        <f>openDomain_trans_full_FST2!V32*M24</f>
        <v>#VALUE!</v>
      </c>
      <c r="N179" s="206" t="e">
        <f>openDomain_trans_full_FST2!W32*N24</f>
        <v>#VALUE!</v>
      </c>
      <c r="O179" s="207">
        <f>openDomain_trans_full_FST2!X32*O24</f>
        <v>-2.4485426464963326E-2</v>
      </c>
    </row>
    <row r="180" spans="1:23" x14ac:dyDescent="0.2">
      <c r="A180" s="197">
        <f>openDomain_trans_full_FST1!P33</f>
        <v>285</v>
      </c>
      <c r="B180" s="195">
        <f>openDomain_trans_full_FST1!S33*B25</f>
        <v>9.9906911376018814E-2</v>
      </c>
      <c r="C180" s="174">
        <f>openDomain_trans_full_FST1!T33*C25</f>
        <v>-0.84116460055678943</v>
      </c>
      <c r="D180" s="174" t="e">
        <f>openDomain_trans_full_FST1!U33*D25</f>
        <v>#VALUE!</v>
      </c>
      <c r="E180" s="174" t="e">
        <f>openDomain_trans_full_FST1!V33*E25</f>
        <v>#VALUE!</v>
      </c>
      <c r="F180" s="174" t="e">
        <f>openDomain_trans_full_FST1!W33*F25</f>
        <v>#VALUE!</v>
      </c>
      <c r="G180" s="196">
        <f>openDomain_trans_full_FST1!X33*G25</f>
        <v>3.1540659404316579E-2</v>
      </c>
      <c r="H180" s="174"/>
      <c r="I180" s="197">
        <f>openDomain_trans_full_FST2!P33</f>
        <v>285</v>
      </c>
      <c r="J180" s="205">
        <f>openDomain_trans_full_FST2!S33*J25</f>
        <v>9.6443713369470094E-2</v>
      </c>
      <c r="K180" s="206">
        <f>openDomain_trans_full_FST2!T33*K25</f>
        <v>-1.0961972742566706</v>
      </c>
      <c r="L180" s="206" t="e">
        <f>openDomain_trans_full_FST2!U33*L25</f>
        <v>#VALUE!</v>
      </c>
      <c r="M180" s="206" t="e">
        <f>openDomain_trans_full_FST2!V33*M25</f>
        <v>#VALUE!</v>
      </c>
      <c r="N180" s="206" t="e">
        <f>openDomain_trans_full_FST2!W33*N25</f>
        <v>#VALUE!</v>
      </c>
      <c r="O180" s="207">
        <f>openDomain_trans_full_FST2!X33*O25</f>
        <v>3.4987407707122026E-2</v>
      </c>
    </row>
    <row r="181" spans="1:23" x14ac:dyDescent="0.2">
      <c r="A181" s="197">
        <f>openDomain_trans_full_FST1!P34</f>
        <v>300</v>
      </c>
      <c r="B181" s="195">
        <f>openDomain_trans_full_FST1!S34*B26</f>
        <v>6.3027348882921164E-2</v>
      </c>
      <c r="C181" s="174">
        <f>openDomain_trans_full_FST1!T34*C26</f>
        <v>-0.7531741431213147</v>
      </c>
      <c r="D181" s="174" t="e">
        <f>openDomain_trans_full_FST1!U34*D26</f>
        <v>#VALUE!</v>
      </c>
      <c r="E181" s="174" t="e">
        <f>openDomain_trans_full_FST1!V34*E26</f>
        <v>#VALUE!</v>
      </c>
      <c r="F181" s="174" t="e">
        <f>openDomain_trans_full_FST1!W34*F26</f>
        <v>#VALUE!</v>
      </c>
      <c r="G181" s="196">
        <f>openDomain_trans_full_FST1!X34*G26</f>
        <v>4.7497785945811534E-2</v>
      </c>
      <c r="H181" s="174"/>
      <c r="I181" s="197">
        <f>openDomain_trans_full_FST2!P34</f>
        <v>300</v>
      </c>
      <c r="J181" s="205">
        <f>openDomain_trans_full_FST2!S34*J26</f>
        <v>4.7318186868872625E-2</v>
      </c>
      <c r="K181" s="206">
        <f>openDomain_trans_full_FST2!T34*K26</f>
        <v>-1.1248268196956526</v>
      </c>
      <c r="L181" s="206" t="e">
        <f>openDomain_trans_full_FST2!U34*L26</f>
        <v>#VALUE!</v>
      </c>
      <c r="M181" s="206" t="e">
        <f>openDomain_trans_full_FST2!V34*M26</f>
        <v>#VALUE!</v>
      </c>
      <c r="N181" s="206" t="e">
        <f>openDomain_trans_full_FST2!W34*N26</f>
        <v>#VALUE!</v>
      </c>
      <c r="O181" s="207">
        <f>openDomain_trans_full_FST2!X34*O26</f>
        <v>0.12412378054589927</v>
      </c>
    </row>
    <row r="182" spans="1:23" x14ac:dyDescent="0.2">
      <c r="A182" s="197">
        <f>openDomain_trans_full_FST1!P35</f>
        <v>315</v>
      </c>
      <c r="B182" s="195">
        <f>openDomain_trans_full_FST1!S35*B27</f>
        <v>0.20980507322716149</v>
      </c>
      <c r="C182" s="174">
        <f>openDomain_trans_full_FST1!T35*C27</f>
        <v>-0.52444167007207754</v>
      </c>
      <c r="D182" s="174" t="e">
        <f>openDomain_trans_full_FST1!U35*D27</f>
        <v>#VALUE!</v>
      </c>
      <c r="E182" s="174" t="e">
        <f>openDomain_trans_full_FST1!V35*E27</f>
        <v>#VALUE!</v>
      </c>
      <c r="F182" s="174" t="e">
        <f>openDomain_trans_full_FST1!W35*F27</f>
        <v>#VALUE!</v>
      </c>
      <c r="G182" s="196">
        <f>openDomain_trans_full_FST1!X35*G27</f>
        <v>3.4363494783123491E-2</v>
      </c>
      <c r="H182" s="174"/>
      <c r="I182" s="197">
        <f>openDomain_trans_full_FST2!P35</f>
        <v>315</v>
      </c>
      <c r="J182" s="205">
        <f>openDomain_trans_full_FST2!S35*J27</f>
        <v>0.48687733424391338</v>
      </c>
      <c r="K182" s="206">
        <f>openDomain_trans_full_FST2!T35*K27</f>
        <v>-0.84980343367033462</v>
      </c>
      <c r="L182" s="206" t="e">
        <f>openDomain_trans_full_FST2!U35*L27</f>
        <v>#VALUE!</v>
      </c>
      <c r="M182" s="206" t="e">
        <f>openDomain_trans_full_FST2!V35*M27</f>
        <v>#VALUE!</v>
      </c>
      <c r="N182" s="206" t="e">
        <f>openDomain_trans_full_FST2!W35*N27</f>
        <v>#VALUE!</v>
      </c>
      <c r="O182" s="207">
        <f>openDomain_trans_full_FST2!X35*O27</f>
        <v>9.6451095351176963E-2</v>
      </c>
    </row>
    <row r="183" spans="1:23" x14ac:dyDescent="0.2">
      <c r="A183" s="197">
        <f>openDomain_trans_full_FST1!P36</f>
        <v>330</v>
      </c>
      <c r="B183" s="195">
        <f>openDomain_trans_full_FST1!S36*B28</f>
        <v>0.27164571033464746</v>
      </c>
      <c r="C183" s="174">
        <f>openDomain_trans_full_FST1!T36*C28</f>
        <v>-0.27946779808301703</v>
      </c>
      <c r="D183" s="174" t="e">
        <f>openDomain_trans_full_FST1!U36*D28</f>
        <v>#VALUE!</v>
      </c>
      <c r="E183" s="174" t="e">
        <f>openDomain_trans_full_FST1!V36*E28</f>
        <v>#VALUE!</v>
      </c>
      <c r="F183" s="174" t="e">
        <f>openDomain_trans_full_FST1!W36*F28</f>
        <v>#VALUE!</v>
      </c>
      <c r="G183" s="196">
        <f>openDomain_trans_full_FST1!X36*G28</f>
        <v>1.4755386556479677E-2</v>
      </c>
      <c r="H183" s="174"/>
      <c r="I183" s="197">
        <f>openDomain_trans_full_FST2!P36</f>
        <v>330</v>
      </c>
      <c r="J183" s="205">
        <f>openDomain_trans_full_FST2!S36*J28</f>
        <v>0.67214957269196174</v>
      </c>
      <c r="K183" s="206">
        <f>openDomain_trans_full_FST2!T36*K28</f>
        <v>-0.53015785546252914</v>
      </c>
      <c r="L183" s="206" t="e">
        <f>openDomain_trans_full_FST2!U36*L28</f>
        <v>#VALUE!</v>
      </c>
      <c r="M183" s="206" t="e">
        <f>openDomain_trans_full_FST2!V36*M28</f>
        <v>#VALUE!</v>
      </c>
      <c r="N183" s="206" t="e">
        <f>openDomain_trans_full_FST2!W36*N28</f>
        <v>#VALUE!</v>
      </c>
      <c r="O183" s="207">
        <f>openDomain_trans_full_FST2!X36*O28</f>
        <v>7.1182427555021285E-2</v>
      </c>
    </row>
    <row r="184" spans="1:23" x14ac:dyDescent="0.2">
      <c r="A184" s="197">
        <f>openDomain_trans_full_FST1!P37</f>
        <v>345</v>
      </c>
      <c r="B184" s="195">
        <f>openDomain_trans_full_FST1!S37*B29</f>
        <v>0.28786979569125437</v>
      </c>
      <c r="C184" s="174">
        <f>openDomain_trans_full_FST1!T37*C29</f>
        <v>-8.2951654361115582E-2</v>
      </c>
      <c r="D184" s="174" t="e">
        <f>openDomain_trans_full_FST1!U37*D29</f>
        <v>#VALUE!</v>
      </c>
      <c r="E184" s="174" t="e">
        <f>openDomain_trans_full_FST1!V37*E29</f>
        <v>#VALUE!</v>
      </c>
      <c r="F184" s="174" t="e">
        <f>openDomain_trans_full_FST1!W37*F29</f>
        <v>#VALUE!</v>
      </c>
      <c r="G184" s="196">
        <f>openDomain_trans_full_FST1!X37*G29</f>
        <v>1.7310369765636392E-3</v>
      </c>
      <c r="H184" s="174"/>
      <c r="I184" s="197">
        <f>openDomain_trans_full_FST2!P37</f>
        <v>345</v>
      </c>
      <c r="J184" s="205">
        <f>openDomain_trans_full_FST2!S37*J29</f>
        <v>0.77994435509170779</v>
      </c>
      <c r="K184" s="206">
        <f>openDomain_trans_full_FST2!T37*K29</f>
        <v>-0.21009043111849066</v>
      </c>
      <c r="L184" s="206" t="e">
        <f>openDomain_trans_full_FST2!U37*L29</f>
        <v>#VALUE!</v>
      </c>
      <c r="M184" s="206" t="e">
        <f>openDomain_trans_full_FST2!V37*M29</f>
        <v>#VALUE!</v>
      </c>
      <c r="N184" s="206" t="e">
        <f>openDomain_trans_full_FST2!W37*N29</f>
        <v>#VALUE!</v>
      </c>
      <c r="O184" s="207">
        <f>openDomain_trans_full_FST2!X37*O29</f>
        <v>3.9130680948697837E-2</v>
      </c>
    </row>
    <row r="185" spans="1:23" ht="12.75" thickBot="1" x14ac:dyDescent="0.25">
      <c r="A185" s="198">
        <f>openDomain_trans_full_FST1!P38</f>
        <v>360</v>
      </c>
      <c r="B185" s="199">
        <f>openDomain_trans_full_FST1!S38*B30</f>
        <v>0.18881644237788692</v>
      </c>
      <c r="C185" s="200">
        <f>openDomain_trans_full_FST1!T38*C30</f>
        <v>3.296052655395813E-3</v>
      </c>
      <c r="D185" s="200" t="e">
        <f>openDomain_trans_full_FST1!U38*D30</f>
        <v>#VALUE!</v>
      </c>
      <c r="E185" s="200" t="e">
        <f>openDomain_trans_full_FST1!V38*E30</f>
        <v>#VALUE!</v>
      </c>
      <c r="F185" s="200" t="e">
        <f>openDomain_trans_full_FST1!W38*F30</f>
        <v>#VALUE!</v>
      </c>
      <c r="G185" s="201">
        <f>openDomain_trans_full_FST1!X38*G30</f>
        <v>-6.7510627726506071E-4</v>
      </c>
      <c r="H185" s="182"/>
      <c r="I185" s="198">
        <f>openDomain_trans_full_FST2!P38</f>
        <v>360</v>
      </c>
      <c r="J185" s="208">
        <f>openDomain_trans_full_FST2!S38*J30</f>
        <v>0.68524292103502238</v>
      </c>
      <c r="K185" s="209">
        <f>openDomain_trans_full_FST2!T38*K30</f>
        <v>-1.7210341662862578E-2</v>
      </c>
      <c r="L185" s="209" t="e">
        <f>openDomain_trans_full_FST2!U38*L30</f>
        <v>#VALUE!</v>
      </c>
      <c r="M185" s="209" t="e">
        <f>openDomain_trans_full_FST2!V38*M30</f>
        <v>#VALUE!</v>
      </c>
      <c r="N185" s="209" t="e">
        <f>openDomain_trans_full_FST2!W38*N30</f>
        <v>#VALUE!</v>
      </c>
      <c r="O185" s="210">
        <f>openDomain_trans_full_FST2!X38*O30</f>
        <v>2.2834735724865918E-3</v>
      </c>
    </row>
    <row r="187" spans="1:23" ht="15.75" customHeight="1" thickBot="1" x14ac:dyDescent="0.25">
      <c r="A187" s="228" t="s">
        <v>80</v>
      </c>
      <c r="B187" s="228"/>
      <c r="C187" s="228"/>
      <c r="D187" s="228"/>
      <c r="E187" s="228"/>
      <c r="F187" s="228"/>
      <c r="G187" s="228"/>
      <c r="H187" s="160"/>
      <c r="I187" s="228" t="s">
        <v>81</v>
      </c>
      <c r="J187" s="228"/>
      <c r="K187" s="228"/>
      <c r="L187" s="228"/>
      <c r="M187" s="228"/>
      <c r="N187" s="228"/>
      <c r="O187" s="228"/>
      <c r="Q187" s="228"/>
      <c r="R187" s="228"/>
      <c r="S187" s="228"/>
      <c r="T187" s="228"/>
      <c r="U187" s="228"/>
      <c r="V187" s="228"/>
      <c r="W187" s="228"/>
    </row>
    <row r="188" spans="1:23" x14ac:dyDescent="0.2">
      <c r="A188" s="184" t="s">
        <v>55</v>
      </c>
      <c r="B188" s="185">
        <f>openDomain_trans_full_LNGC_FST1!S5</f>
        <v>1360</v>
      </c>
      <c r="C188" s="185">
        <f>openDomain_trans_full_LNGC_FST1!T5</f>
        <v>6322</v>
      </c>
      <c r="D188" s="185">
        <f>openDomain_trans_full_LNGC_FST1!U5</f>
        <v>8949</v>
      </c>
      <c r="E188" s="185">
        <f>openDomain_trans_full_LNGC_FST1!V5</f>
        <v>195355</v>
      </c>
      <c r="F188" s="185">
        <f>openDomain_trans_full_LNGC_FST1!W5</f>
        <v>21665</v>
      </c>
      <c r="G188" s="185">
        <f>openDomain_trans_full_LNGC_FST1!X5</f>
        <v>1293418</v>
      </c>
      <c r="H188" s="164"/>
      <c r="I188" s="184" t="s">
        <v>55</v>
      </c>
      <c r="J188" s="185">
        <f t="shared" ref="J188:O188" si="41">B188</f>
        <v>1360</v>
      </c>
      <c r="K188" s="185">
        <f t="shared" si="41"/>
        <v>6322</v>
      </c>
      <c r="L188" s="185">
        <f t="shared" si="41"/>
        <v>8949</v>
      </c>
      <c r="M188" s="185">
        <f t="shared" si="41"/>
        <v>195355</v>
      </c>
      <c r="N188" s="185">
        <f t="shared" si="41"/>
        <v>21665</v>
      </c>
      <c r="O188" s="185">
        <f t="shared" si="41"/>
        <v>1293418</v>
      </c>
      <c r="Q188" s="184"/>
      <c r="R188" s="185"/>
      <c r="S188" s="185"/>
      <c r="T188" s="185"/>
      <c r="U188" s="185"/>
      <c r="V188" s="185"/>
      <c r="W188" s="185"/>
    </row>
    <row r="189" spans="1:23" ht="12.75" thickBot="1" x14ac:dyDescent="0.25">
      <c r="A189" s="186"/>
      <c r="B189" s="187" t="s">
        <v>57</v>
      </c>
      <c r="C189" s="187" t="s">
        <v>57</v>
      </c>
      <c r="D189" s="187" t="s">
        <v>57</v>
      </c>
      <c r="E189" s="187" t="s">
        <v>58</v>
      </c>
      <c r="F189" s="187" t="s">
        <v>58</v>
      </c>
      <c r="G189" s="187" t="s">
        <v>58</v>
      </c>
      <c r="H189" s="167"/>
      <c r="I189" s="186"/>
      <c r="J189" s="187" t="s">
        <v>57</v>
      </c>
      <c r="K189" s="187" t="s">
        <v>57</v>
      </c>
      <c r="L189" s="187" t="s">
        <v>57</v>
      </c>
      <c r="M189" s="187" t="s">
        <v>58</v>
      </c>
      <c r="N189" s="187" t="s">
        <v>58</v>
      </c>
      <c r="O189" s="187" t="s">
        <v>58</v>
      </c>
      <c r="Q189" s="186"/>
      <c r="R189" s="187"/>
      <c r="S189" s="187"/>
      <c r="T189" s="187"/>
      <c r="U189" s="187"/>
      <c r="V189" s="187"/>
      <c r="W189" s="187"/>
    </row>
    <row r="190" spans="1:23" ht="14.25" thickBot="1" x14ac:dyDescent="0.25">
      <c r="A190" s="188" t="s">
        <v>59</v>
      </c>
      <c r="B190" s="189" t="s">
        <v>258</v>
      </c>
      <c r="C190" s="189" t="s">
        <v>259</v>
      </c>
      <c r="D190" s="189" t="s">
        <v>260</v>
      </c>
      <c r="E190" s="189" t="s">
        <v>261</v>
      </c>
      <c r="F190" s="189" t="s">
        <v>262</v>
      </c>
      <c r="G190" s="189" t="s">
        <v>263</v>
      </c>
      <c r="H190" s="160"/>
      <c r="I190" s="188" t="s">
        <v>59</v>
      </c>
      <c r="J190" s="189" t="s">
        <v>258</v>
      </c>
      <c r="K190" s="189" t="s">
        <v>259</v>
      </c>
      <c r="L190" s="189" t="s">
        <v>260</v>
      </c>
      <c r="M190" s="189" t="s">
        <v>261</v>
      </c>
      <c r="N190" s="189" t="s">
        <v>262</v>
      </c>
      <c r="O190" s="189" t="s">
        <v>263</v>
      </c>
      <c r="Q190" s="188"/>
      <c r="R190" s="189"/>
      <c r="S190" s="189"/>
      <c r="T190" s="189"/>
      <c r="U190" s="189"/>
      <c r="V190" s="189"/>
      <c r="W190" s="189"/>
    </row>
    <row r="191" spans="1:23" ht="36.75" thickBot="1" x14ac:dyDescent="0.25">
      <c r="A191" s="190"/>
      <c r="B191" s="189" t="str">
        <f t="shared" ref="B191:G191" si="42">CONCATENATE($A$187,"-",B190)</f>
        <v>openDomain-long-full-LNGC-FST1-Cx [-]</v>
      </c>
      <c r="C191" s="189" t="str">
        <f t="shared" si="42"/>
        <v>openDomain-long-full-LNGC-FST1-Cy [-]</v>
      </c>
      <c r="D191" s="189" t="str">
        <f t="shared" si="42"/>
        <v>openDomain-long-full-LNGC-FST1-Cz [-]</v>
      </c>
      <c r="E191" s="189" t="str">
        <f t="shared" si="42"/>
        <v>openDomain-long-full-LNGC-FST1-Cnx [-]</v>
      </c>
      <c r="F191" s="189" t="str">
        <f t="shared" si="42"/>
        <v>openDomain-long-full-LNGC-FST1-Cny [-]</v>
      </c>
      <c r="G191" s="189" t="str">
        <f t="shared" si="42"/>
        <v>openDomain-long-full-LNGC-FST1-Cnz [-]</v>
      </c>
      <c r="H191" s="160"/>
      <c r="I191" s="190"/>
      <c r="J191" s="189" t="str">
        <f t="shared" ref="J191:O191" si="43">CONCATENATE($I$187,"-",J190)</f>
        <v>openDomain-long-LNGC-full-FST2-Cx [-]</v>
      </c>
      <c r="K191" s="189" t="str">
        <f t="shared" si="43"/>
        <v>openDomain-long-LNGC-full-FST2-Cy [-]</v>
      </c>
      <c r="L191" s="189" t="str">
        <f t="shared" si="43"/>
        <v>openDomain-long-LNGC-full-FST2-Cz [-]</v>
      </c>
      <c r="M191" s="189" t="str">
        <f t="shared" si="43"/>
        <v>openDomain-long-LNGC-full-FST2-Cnx [-]</v>
      </c>
      <c r="N191" s="189" t="str">
        <f t="shared" si="43"/>
        <v>openDomain-long-LNGC-full-FST2-Cny [-]</v>
      </c>
      <c r="O191" s="189" t="str">
        <f t="shared" si="43"/>
        <v>openDomain-long-LNGC-full-FST2-Cnz [-]</v>
      </c>
      <c r="Q191" s="190"/>
      <c r="R191" s="189"/>
      <c r="S191" s="189"/>
      <c r="T191" s="189"/>
      <c r="U191" s="189"/>
      <c r="V191" s="189"/>
      <c r="W191" s="189"/>
    </row>
    <row r="192" spans="1:23" x14ac:dyDescent="0.2">
      <c r="A192" s="191">
        <f>openDomain_trans_LNGC_FST1!P14</f>
        <v>0</v>
      </c>
      <c r="B192" s="202">
        <f>openDomain_trans_full_LNGC_FST1!S14*B6</f>
        <v>0.17568708473902206</v>
      </c>
      <c r="C192" s="203">
        <f>openDomain_trans_full_LNGC_FST1!T14*C6</f>
        <v>-8.5419744535567468E-3</v>
      </c>
      <c r="D192" s="203" t="e">
        <f>openDomain_trans_full_LNGC_FST1!U14*D6</f>
        <v>#VALUE!</v>
      </c>
      <c r="E192" s="203" t="e">
        <f>openDomain_trans_full_LNGC_FST1!V14*E6</f>
        <v>#VALUE!</v>
      </c>
      <c r="F192" s="203" t="e">
        <f>openDomain_trans_full_LNGC_FST1!W14*F6</f>
        <v>#VALUE!</v>
      </c>
      <c r="G192" s="204">
        <f>openDomain_trans_full_LNGC_FST1!X14*G6</f>
        <v>-5.1662959538290899E-4</v>
      </c>
      <c r="H192" s="174"/>
      <c r="I192" s="191">
        <f>openDomain_trans_LNGC_FST2!P14</f>
        <v>0</v>
      </c>
      <c r="J192" s="192">
        <f>openDomain_trans_full_LNGC_FST2!S14*J6</f>
        <v>0.76392878875106263</v>
      </c>
      <c r="K192" s="193">
        <f>openDomain_trans_full_LNGC_FST2!T14*K6</f>
        <v>1.3004696052818888E-2</v>
      </c>
      <c r="L192" s="193" t="e">
        <f>openDomain_trans_full_LNGC_FST2!U14*L6</f>
        <v>#VALUE!</v>
      </c>
      <c r="M192" s="193" t="e">
        <f>openDomain_trans_full_LNGC_FST2!V14*M6</f>
        <v>#VALUE!</v>
      </c>
      <c r="N192" s="193" t="e">
        <f>openDomain_trans_full_LNGC_FST2!W14*N6</f>
        <v>#VALUE!</v>
      </c>
      <c r="O192" s="194">
        <f>openDomain_trans_full_LNGC_FST2!X14*O6</f>
        <v>-2.4769705174683552E-2</v>
      </c>
      <c r="Q192" s="191"/>
      <c r="R192" s="192"/>
      <c r="S192" s="193"/>
      <c r="T192" s="193"/>
      <c r="U192" s="193"/>
      <c r="V192" s="193"/>
      <c r="W192" s="194"/>
    </row>
    <row r="193" spans="1:23" x14ac:dyDescent="0.2">
      <c r="A193" s="191">
        <f>openDomain_trans_LNGC_FST1!P15</f>
        <v>15</v>
      </c>
      <c r="B193" s="205">
        <f>openDomain_trans_full_LNGC_FST1!S15*B7</f>
        <v>0.47098985635084273</v>
      </c>
      <c r="C193" s="206">
        <f>openDomain_trans_full_LNGC_FST1!T15*C7</f>
        <v>9.6072544943017299E-2</v>
      </c>
      <c r="D193" s="206" t="e">
        <f>openDomain_trans_full_LNGC_FST1!U15*D7</f>
        <v>#VALUE!</v>
      </c>
      <c r="E193" s="206" t="e">
        <f>openDomain_trans_full_LNGC_FST1!V15*E7</f>
        <v>#VALUE!</v>
      </c>
      <c r="F193" s="206" t="e">
        <f>openDomain_trans_full_LNGC_FST1!W15*F7</f>
        <v>#VALUE!</v>
      </c>
      <c r="G193" s="207">
        <f>openDomain_trans_full_LNGC_FST1!X15*G7</f>
        <v>1.2314711065874654E-2</v>
      </c>
      <c r="H193" s="174"/>
      <c r="I193" s="191">
        <f>openDomain_trans_LNGC_FST2!P15</f>
        <v>15</v>
      </c>
      <c r="J193" s="195">
        <f>openDomain_trans_full_LNGC_FST2!S15*J7</f>
        <v>0.72915187919297064</v>
      </c>
      <c r="K193" s="174">
        <f>openDomain_trans_full_LNGC_FST2!T15*K7</f>
        <v>8.4333435106295138E-2</v>
      </c>
      <c r="L193" s="174" t="e">
        <f>openDomain_trans_full_LNGC_FST2!U15*L7</f>
        <v>#VALUE!</v>
      </c>
      <c r="M193" s="174" t="e">
        <f>openDomain_trans_full_LNGC_FST2!V15*M7</f>
        <v>#VALUE!</v>
      </c>
      <c r="N193" s="174" t="e">
        <f>openDomain_trans_full_LNGC_FST2!W15*N7</f>
        <v>#VALUE!</v>
      </c>
      <c r="O193" s="196">
        <f>openDomain_trans_full_LNGC_FST2!X15*O7</f>
        <v>-2.3793821821235888E-2</v>
      </c>
      <c r="Q193" s="191"/>
      <c r="R193" s="195"/>
      <c r="S193" s="174"/>
      <c r="T193" s="174"/>
      <c r="U193" s="174"/>
      <c r="V193" s="174"/>
      <c r="W193" s="196"/>
    </row>
    <row r="194" spans="1:23" x14ac:dyDescent="0.2">
      <c r="A194" s="191">
        <f>openDomain_trans_LNGC_FST1!P16</f>
        <v>30</v>
      </c>
      <c r="B194" s="205">
        <f>openDomain_trans_full_LNGC_FST1!S16*B8</f>
        <v>0.15144137094487492</v>
      </c>
      <c r="C194" s="206">
        <f>openDomain_trans_full_LNGC_FST1!T16*C8</f>
        <v>7.0662200773818601E-2</v>
      </c>
      <c r="D194" s="206" t="e">
        <f>openDomain_trans_full_LNGC_FST1!U16*D8</f>
        <v>#VALUE!</v>
      </c>
      <c r="E194" s="206" t="e">
        <f>openDomain_trans_full_LNGC_FST1!V16*E8</f>
        <v>#VALUE!</v>
      </c>
      <c r="F194" s="206" t="e">
        <f>openDomain_trans_full_LNGC_FST1!W16*F8</f>
        <v>#VALUE!</v>
      </c>
      <c r="G194" s="207">
        <f>openDomain_trans_full_LNGC_FST1!X16*G8</f>
        <v>2.5181753920444874E-2</v>
      </c>
      <c r="H194" s="174"/>
      <c r="I194" s="191">
        <f>openDomain_trans_LNGC_FST2!P16</f>
        <v>30</v>
      </c>
      <c r="J194" s="195">
        <f>openDomain_trans_full_LNGC_FST2!S16*J8</f>
        <v>0.70323090510909636</v>
      </c>
      <c r="K194" s="174">
        <f>openDomain_trans_full_LNGC_FST2!T16*K8</f>
        <v>0.17563173011827862</v>
      </c>
      <c r="L194" s="174" t="e">
        <f>openDomain_trans_full_LNGC_FST2!U16*L8</f>
        <v>#VALUE!</v>
      </c>
      <c r="M194" s="174" t="e">
        <f>openDomain_trans_full_LNGC_FST2!V16*M8</f>
        <v>#VALUE!</v>
      </c>
      <c r="N194" s="174" t="e">
        <f>openDomain_trans_full_LNGC_FST2!W16*N8</f>
        <v>#VALUE!</v>
      </c>
      <c r="O194" s="196">
        <f>openDomain_trans_full_LNGC_FST2!X16*O8</f>
        <v>-4.3810245965361115E-2</v>
      </c>
      <c r="Q194" s="191"/>
      <c r="R194" s="195"/>
      <c r="S194" s="174"/>
      <c r="T194" s="174"/>
      <c r="U194" s="174"/>
      <c r="V194" s="174"/>
      <c r="W194" s="196"/>
    </row>
    <row r="195" spans="1:23" x14ac:dyDescent="0.2">
      <c r="A195" s="191">
        <f>openDomain_trans_LNGC_FST1!P17</f>
        <v>45</v>
      </c>
      <c r="B195" s="205">
        <f>openDomain_trans_full_LNGC_FST1!S17*B9</f>
        <v>0.11005243598730736</v>
      </c>
      <c r="C195" s="206">
        <f>openDomain_trans_full_LNGC_FST1!T17*C9</f>
        <v>0.17425560992913447</v>
      </c>
      <c r="D195" s="206" t="e">
        <f>openDomain_trans_full_LNGC_FST1!U17*D9</f>
        <v>#VALUE!</v>
      </c>
      <c r="E195" s="206" t="e">
        <f>openDomain_trans_full_LNGC_FST1!V17*E9</f>
        <v>#VALUE!</v>
      </c>
      <c r="F195" s="206" t="e">
        <f>openDomain_trans_full_LNGC_FST1!W17*F9</f>
        <v>#VALUE!</v>
      </c>
      <c r="G195" s="207">
        <f>openDomain_trans_full_LNGC_FST1!X17*G9</f>
        <v>8.3081062336370387E-2</v>
      </c>
      <c r="H195" s="174"/>
      <c r="I195" s="191">
        <f>openDomain_trans_LNGC_FST2!P17</f>
        <v>45</v>
      </c>
      <c r="J195" s="195">
        <f>openDomain_trans_full_LNGC_FST2!S17*J9</f>
        <v>0.4836912606129834</v>
      </c>
      <c r="K195" s="174">
        <f>openDomain_trans_full_LNGC_FST2!T17*K9</f>
        <v>0.13802608440277966</v>
      </c>
      <c r="L195" s="174" t="e">
        <f>openDomain_trans_full_LNGC_FST2!U17*L9</f>
        <v>#VALUE!</v>
      </c>
      <c r="M195" s="174" t="e">
        <f>openDomain_trans_full_LNGC_FST2!V17*M9</f>
        <v>#VALUE!</v>
      </c>
      <c r="N195" s="174" t="e">
        <f>openDomain_trans_full_LNGC_FST2!W17*N9</f>
        <v>#VALUE!</v>
      </c>
      <c r="O195" s="196">
        <f>openDomain_trans_full_LNGC_FST2!X17*O9</f>
        <v>-7.1374800547647693E-2</v>
      </c>
      <c r="Q195" s="191"/>
      <c r="R195" s="195"/>
      <c r="S195" s="174"/>
      <c r="T195" s="174"/>
      <c r="U195" s="174"/>
      <c r="V195" s="174"/>
      <c r="W195" s="196"/>
    </row>
    <row r="196" spans="1:23" x14ac:dyDescent="0.2">
      <c r="A196" s="191">
        <f>openDomain_trans_LNGC_FST1!P18</f>
        <v>60</v>
      </c>
      <c r="B196" s="205">
        <f>openDomain_trans_full_LNGC_FST1!S18*B10</f>
        <v>5.7231754565363925E-2</v>
      </c>
      <c r="C196" s="206">
        <f>openDomain_trans_full_LNGC_FST1!T18*C10</f>
        <v>0.25394670955345994</v>
      </c>
      <c r="D196" s="206" t="e">
        <f>openDomain_trans_full_LNGC_FST1!U18*D10</f>
        <v>#VALUE!</v>
      </c>
      <c r="E196" s="206" t="e">
        <f>openDomain_trans_full_LNGC_FST1!V18*E10</f>
        <v>#VALUE!</v>
      </c>
      <c r="F196" s="206" t="e">
        <f>openDomain_trans_full_LNGC_FST1!W18*F10</f>
        <v>#VALUE!</v>
      </c>
      <c r="G196" s="207">
        <f>openDomain_trans_full_LNGC_FST1!X18*G10</f>
        <v>7.8101351491990448E-2</v>
      </c>
      <c r="H196" s="174"/>
      <c r="I196" s="191">
        <f>openDomain_trans_LNGC_FST2!P18</f>
        <v>60</v>
      </c>
      <c r="J196" s="195">
        <f>openDomain_trans_full_LNGC_FST2!S18*J10</f>
        <v>7.3312895500244377E-2</v>
      </c>
      <c r="K196" s="174">
        <f>openDomain_trans_full_LNGC_FST2!T18*K10</f>
        <v>0.1374649777429896</v>
      </c>
      <c r="L196" s="174" t="e">
        <f>openDomain_trans_full_LNGC_FST2!U18*L10</f>
        <v>#VALUE!</v>
      </c>
      <c r="M196" s="174" t="e">
        <f>openDomain_trans_full_LNGC_FST2!V18*M10</f>
        <v>#VALUE!</v>
      </c>
      <c r="N196" s="174" t="e">
        <f>openDomain_trans_full_LNGC_FST2!W18*N10</f>
        <v>#VALUE!</v>
      </c>
      <c r="O196" s="196">
        <f>openDomain_trans_full_LNGC_FST2!X18*O10</f>
        <v>-5.611046244187385E-2</v>
      </c>
      <c r="Q196" s="191"/>
      <c r="R196" s="195"/>
      <c r="S196" s="174"/>
      <c r="T196" s="174"/>
      <c r="U196" s="174"/>
      <c r="V196" s="174"/>
      <c r="W196" s="196"/>
    </row>
    <row r="197" spans="1:23" x14ac:dyDescent="0.2">
      <c r="A197" s="191">
        <f>openDomain_trans_LNGC_FST1!P19</f>
        <v>75</v>
      </c>
      <c r="B197" s="205">
        <f>openDomain_trans_full_LNGC_FST1!S19*B11</f>
        <v>0.11745215319608615</v>
      </c>
      <c r="C197" s="206">
        <f>openDomain_trans_full_LNGC_FST1!T19*C11</f>
        <v>0.33949895103404065</v>
      </c>
      <c r="D197" s="206" t="e">
        <f>openDomain_trans_full_LNGC_FST1!U19*D11</f>
        <v>#VALUE!</v>
      </c>
      <c r="E197" s="206" t="e">
        <f>openDomain_trans_full_LNGC_FST1!V19*E11</f>
        <v>#VALUE!</v>
      </c>
      <c r="F197" s="206" t="e">
        <f>openDomain_trans_full_LNGC_FST1!W19*F11</f>
        <v>#VALUE!</v>
      </c>
      <c r="G197" s="207">
        <f>openDomain_trans_full_LNGC_FST1!X19*G11</f>
        <v>0.14054526504444118</v>
      </c>
      <c r="H197" s="174"/>
      <c r="I197" s="191">
        <f>openDomain_trans_LNGC_FST2!P19</f>
        <v>75</v>
      </c>
      <c r="J197" s="195">
        <f>openDomain_trans_full_LNGC_FST2!S19*J11</f>
        <v>0.14961164699362781</v>
      </c>
      <c r="K197" s="174">
        <f>openDomain_trans_full_LNGC_FST2!T19*K11</f>
        <v>0.11291665007329398</v>
      </c>
      <c r="L197" s="174" t="e">
        <f>openDomain_trans_full_LNGC_FST2!U19*L11</f>
        <v>#VALUE!</v>
      </c>
      <c r="M197" s="174" t="e">
        <f>openDomain_trans_full_LNGC_FST2!V19*M11</f>
        <v>#VALUE!</v>
      </c>
      <c r="N197" s="174" t="e">
        <f>openDomain_trans_full_LNGC_FST2!W19*N11</f>
        <v>#VALUE!</v>
      </c>
      <c r="O197" s="196">
        <f>openDomain_trans_full_LNGC_FST2!X19*O11</f>
        <v>-3.7222839151924869E-2</v>
      </c>
      <c r="Q197" s="191"/>
      <c r="R197" s="195"/>
      <c r="S197" s="174"/>
      <c r="T197" s="174"/>
      <c r="U197" s="174"/>
      <c r="V197" s="174"/>
      <c r="W197" s="196"/>
    </row>
    <row r="198" spans="1:23" x14ac:dyDescent="0.2">
      <c r="A198" s="191">
        <f>openDomain_trans_LNGC_FST1!P20</f>
        <v>90</v>
      </c>
      <c r="B198" s="205">
        <f>openDomain_trans_full_LNGC_FST1!S20*B12</f>
        <v>4.9773139194543771E-2</v>
      </c>
      <c r="C198" s="206">
        <f>openDomain_trans_full_LNGC_FST1!T20*C12</f>
        <v>0.48442610082469462</v>
      </c>
      <c r="D198" s="206" t="e">
        <f>openDomain_trans_full_LNGC_FST1!U20*D12</f>
        <v>#VALUE!</v>
      </c>
      <c r="E198" s="206" t="e">
        <f>openDomain_trans_full_LNGC_FST1!V20*E12</f>
        <v>#VALUE!</v>
      </c>
      <c r="F198" s="206" t="e">
        <f>openDomain_trans_full_LNGC_FST1!W20*F12</f>
        <v>#VALUE!</v>
      </c>
      <c r="G198" s="207">
        <f>openDomain_trans_full_LNGC_FST1!X20*G12</f>
        <v>0.15611227741073283</v>
      </c>
      <c r="H198" s="174"/>
      <c r="I198" s="191">
        <f>openDomain_trans_LNGC_FST2!P20</f>
        <v>90</v>
      </c>
      <c r="J198" s="195">
        <f>openDomain_trans_full_LNGC_FST2!S20*J12</f>
        <v>-0.21922017881524056</v>
      </c>
      <c r="K198" s="174">
        <f>openDomain_trans_full_LNGC_FST2!T20*K12</f>
        <v>-0.12174237067142167</v>
      </c>
      <c r="L198" s="174" t="e">
        <f>openDomain_trans_full_LNGC_FST2!U20*L12</f>
        <v>#VALUE!</v>
      </c>
      <c r="M198" s="174" t="e">
        <f>openDomain_trans_full_LNGC_FST2!V20*M12</f>
        <v>#VALUE!</v>
      </c>
      <c r="N198" s="174" t="e">
        <f>openDomain_trans_full_LNGC_FST2!W20*N12</f>
        <v>#VALUE!</v>
      </c>
      <c r="O198" s="196">
        <f>openDomain_trans_full_LNGC_FST2!X20*O12</f>
        <v>-1.5783610186505832E-3</v>
      </c>
      <c r="Q198" s="191"/>
      <c r="R198" s="195"/>
      <c r="S198" s="174"/>
      <c r="T198" s="174"/>
      <c r="U198" s="174"/>
      <c r="V198" s="174"/>
      <c r="W198" s="196"/>
    </row>
    <row r="199" spans="1:23" x14ac:dyDescent="0.2">
      <c r="A199" s="191">
        <f>openDomain_trans_LNGC_FST1!P21</f>
        <v>105</v>
      </c>
      <c r="B199" s="205">
        <f>openDomain_trans_full_LNGC_FST1!S21*B13</f>
        <v>-0.27382936477624009</v>
      </c>
      <c r="C199" s="206">
        <f>openDomain_trans_full_LNGC_FST1!T21*C13</f>
        <v>0.6442898672756282</v>
      </c>
      <c r="D199" s="206" t="e">
        <f>openDomain_trans_full_LNGC_FST1!U21*D13</f>
        <v>#VALUE!</v>
      </c>
      <c r="E199" s="206" t="e">
        <f>openDomain_trans_full_LNGC_FST1!V21*E13</f>
        <v>#VALUE!</v>
      </c>
      <c r="F199" s="206" t="e">
        <f>openDomain_trans_full_LNGC_FST1!W21*F13</f>
        <v>#VALUE!</v>
      </c>
      <c r="G199" s="207">
        <f>openDomain_trans_full_LNGC_FST1!X21*G13</f>
        <v>0.14910479916108629</v>
      </c>
      <c r="H199" s="174"/>
      <c r="I199" s="191">
        <f>openDomain_trans_LNGC_FST2!P21</f>
        <v>105</v>
      </c>
      <c r="J199" s="195">
        <f>openDomain_trans_full_LNGC_FST2!S21*J13</f>
        <v>-8.1673108704362701E-2</v>
      </c>
      <c r="K199" s="174">
        <f>openDomain_trans_full_LNGC_FST2!T21*K13</f>
        <v>-8.5322782312607814E-2</v>
      </c>
      <c r="L199" s="174" t="e">
        <f>openDomain_trans_full_LNGC_FST2!U21*L13</f>
        <v>#VALUE!</v>
      </c>
      <c r="M199" s="174" t="e">
        <f>openDomain_trans_full_LNGC_FST2!V21*M13</f>
        <v>#VALUE!</v>
      </c>
      <c r="N199" s="174" t="e">
        <f>openDomain_trans_full_LNGC_FST2!W21*N13</f>
        <v>#VALUE!</v>
      </c>
      <c r="O199" s="196">
        <f>openDomain_trans_full_LNGC_FST2!X21*O13</f>
        <v>3.6870203348025343E-3</v>
      </c>
      <c r="Q199" s="191"/>
      <c r="R199" s="195"/>
      <c r="S199" s="174"/>
      <c r="T199" s="174"/>
      <c r="U199" s="174"/>
      <c r="V199" s="174"/>
      <c r="W199" s="196"/>
    </row>
    <row r="200" spans="1:23" x14ac:dyDescent="0.2">
      <c r="A200" s="191">
        <f>openDomain_trans_LNGC_FST1!P22</f>
        <v>120</v>
      </c>
      <c r="B200" s="205">
        <f>openDomain_trans_full_LNGC_FST1!S22*B14</f>
        <v>-0.13988793181949058</v>
      </c>
      <c r="C200" s="206">
        <f>openDomain_trans_full_LNGC_FST1!T22*C14</f>
        <v>0.72430872564190152</v>
      </c>
      <c r="D200" s="206" t="e">
        <f>openDomain_trans_full_LNGC_FST1!U22*D14</f>
        <v>#VALUE!</v>
      </c>
      <c r="E200" s="206" t="e">
        <f>openDomain_trans_full_LNGC_FST1!V22*E14</f>
        <v>#VALUE!</v>
      </c>
      <c r="F200" s="206" t="e">
        <f>openDomain_trans_full_LNGC_FST1!W22*F14</f>
        <v>#VALUE!</v>
      </c>
      <c r="G200" s="207">
        <f>openDomain_trans_full_LNGC_FST1!X22*G14</f>
        <v>0.19689927120522102</v>
      </c>
      <c r="H200" s="174"/>
      <c r="I200" s="191">
        <f>openDomain_trans_LNGC_FST2!P22</f>
        <v>120</v>
      </c>
      <c r="J200" s="195">
        <f>openDomain_trans_full_LNGC_FST2!S22*J14</f>
        <v>-3.8807797315235648E-2</v>
      </c>
      <c r="K200" s="174">
        <f>openDomain_trans_full_LNGC_FST2!T22*K14</f>
        <v>-2.6571241512031766E-3</v>
      </c>
      <c r="L200" s="174" t="e">
        <f>openDomain_trans_full_LNGC_FST2!U22*L14</f>
        <v>#VALUE!</v>
      </c>
      <c r="M200" s="174" t="e">
        <f>openDomain_trans_full_LNGC_FST2!V22*M14</f>
        <v>#VALUE!</v>
      </c>
      <c r="N200" s="174" t="e">
        <f>openDomain_trans_full_LNGC_FST2!W22*N14</f>
        <v>#VALUE!</v>
      </c>
      <c r="O200" s="196">
        <f>openDomain_trans_full_LNGC_FST2!X22*O14</f>
        <v>1.8707554762955332E-2</v>
      </c>
      <c r="Q200" s="191"/>
      <c r="R200" s="195"/>
      <c r="S200" s="174"/>
      <c r="T200" s="174"/>
      <c r="U200" s="174"/>
      <c r="V200" s="174"/>
      <c r="W200" s="196"/>
    </row>
    <row r="201" spans="1:23" x14ac:dyDescent="0.2">
      <c r="A201" s="191">
        <f>openDomain_trans_LNGC_FST1!P23</f>
        <v>135</v>
      </c>
      <c r="B201" s="205">
        <f>openDomain_trans_full_LNGC_FST1!S23*B15</f>
        <v>-0.45313688267808255</v>
      </c>
      <c r="C201" s="206">
        <f>openDomain_trans_full_LNGC_FST1!T23*C15</f>
        <v>0.55678728263182464</v>
      </c>
      <c r="D201" s="206" t="e">
        <f>openDomain_trans_full_LNGC_FST1!U23*D15</f>
        <v>#VALUE!</v>
      </c>
      <c r="E201" s="206" t="e">
        <f>openDomain_trans_full_LNGC_FST1!V23*E15</f>
        <v>#VALUE!</v>
      </c>
      <c r="F201" s="206" t="e">
        <f>openDomain_trans_full_LNGC_FST1!W23*F15</f>
        <v>#VALUE!</v>
      </c>
      <c r="G201" s="207">
        <f>openDomain_trans_full_LNGC_FST1!X23*G15</f>
        <v>0.17644456300572398</v>
      </c>
      <c r="H201" s="174"/>
      <c r="I201" s="191">
        <f>openDomain_trans_LNGC_FST2!P23</f>
        <v>135</v>
      </c>
      <c r="J201" s="195">
        <f>openDomain_trans_full_LNGC_FST2!S23*J15</f>
        <v>-0.44268380266646035</v>
      </c>
      <c r="K201" s="174">
        <f>openDomain_trans_full_LNGC_FST2!T23*K15</f>
        <v>0.18949062004875664</v>
      </c>
      <c r="L201" s="174" t="e">
        <f>openDomain_trans_full_LNGC_FST2!U23*L15</f>
        <v>#VALUE!</v>
      </c>
      <c r="M201" s="174" t="e">
        <f>openDomain_trans_full_LNGC_FST2!V23*M15</f>
        <v>#VALUE!</v>
      </c>
      <c r="N201" s="174" t="e">
        <f>openDomain_trans_full_LNGC_FST2!W23*N15</f>
        <v>#VALUE!</v>
      </c>
      <c r="O201" s="196">
        <f>openDomain_trans_full_LNGC_FST2!X23*O15</f>
        <v>5.3136870431442863E-2</v>
      </c>
      <c r="Q201" s="191"/>
      <c r="R201" s="195"/>
      <c r="S201" s="174"/>
      <c r="T201" s="174"/>
      <c r="U201" s="174"/>
      <c r="V201" s="174"/>
      <c r="W201" s="196"/>
    </row>
    <row r="202" spans="1:23" x14ac:dyDescent="0.2">
      <c r="A202" s="191">
        <f>openDomain_trans_LNGC_FST1!P24</f>
        <v>150</v>
      </c>
      <c r="B202" s="205">
        <f>openDomain_trans_full_LNGC_FST1!S24*B16</f>
        <v>-0.74834761882340284</v>
      </c>
      <c r="C202" s="206">
        <f>openDomain_trans_full_LNGC_FST1!T24*C16</f>
        <v>0.38005141676759335</v>
      </c>
      <c r="D202" s="206" t="e">
        <f>openDomain_trans_full_LNGC_FST1!U24*D16</f>
        <v>#VALUE!</v>
      </c>
      <c r="E202" s="206" t="e">
        <f>openDomain_trans_full_LNGC_FST1!V24*E16</f>
        <v>#VALUE!</v>
      </c>
      <c r="F202" s="206" t="e">
        <f>openDomain_trans_full_LNGC_FST1!W24*F16</f>
        <v>#VALUE!</v>
      </c>
      <c r="G202" s="207">
        <f>openDomain_trans_full_LNGC_FST1!X24*G16</f>
        <v>8.5263316098226141E-2</v>
      </c>
      <c r="H202" s="174"/>
      <c r="I202" s="191">
        <f>openDomain_trans_LNGC_FST2!P24</f>
        <v>150</v>
      </c>
      <c r="J202" s="195">
        <f>openDomain_trans_full_LNGC_FST2!S24*J16</f>
        <v>-0.50584699859258575</v>
      </c>
      <c r="K202" s="174">
        <f>openDomain_trans_full_LNGC_FST2!T24*K16</f>
        <v>0.16461354253530552</v>
      </c>
      <c r="L202" s="174" t="e">
        <f>openDomain_trans_full_LNGC_FST2!U24*L16</f>
        <v>#VALUE!</v>
      </c>
      <c r="M202" s="174" t="e">
        <f>openDomain_trans_full_LNGC_FST2!V24*M16</f>
        <v>#VALUE!</v>
      </c>
      <c r="N202" s="174" t="e">
        <f>openDomain_trans_full_LNGC_FST2!W24*N16</f>
        <v>#VALUE!</v>
      </c>
      <c r="O202" s="196">
        <f>openDomain_trans_full_LNGC_FST2!X24*O16</f>
        <v>1.7398197352894443E-2</v>
      </c>
      <c r="Q202" s="191"/>
      <c r="R202" s="195"/>
      <c r="S202" s="174"/>
      <c r="T202" s="174"/>
      <c r="U202" s="174"/>
      <c r="V202" s="174"/>
      <c r="W202" s="196"/>
    </row>
    <row r="203" spans="1:23" x14ac:dyDescent="0.2">
      <c r="A203" s="191">
        <f>openDomain_trans_LNGC_FST1!P25</f>
        <v>165</v>
      </c>
      <c r="B203" s="205">
        <f>openDomain_trans_full_LNGC_FST1!S25*B17</f>
        <v>-1.1742869704440577</v>
      </c>
      <c r="C203" s="206">
        <f>openDomain_trans_full_LNGC_FST1!T25*C17</f>
        <v>0.17758987583279359</v>
      </c>
      <c r="D203" s="206" t="e">
        <f>openDomain_trans_full_LNGC_FST1!U25*D17</f>
        <v>#VALUE!</v>
      </c>
      <c r="E203" s="206" t="e">
        <f>openDomain_trans_full_LNGC_FST1!V25*E17</f>
        <v>#VALUE!</v>
      </c>
      <c r="F203" s="206" t="e">
        <f>openDomain_trans_full_LNGC_FST1!W25*F17</f>
        <v>#VALUE!</v>
      </c>
      <c r="G203" s="207">
        <f>openDomain_trans_full_LNGC_FST1!X25*G17</f>
        <v>2.4856577402069157E-2</v>
      </c>
      <c r="H203" s="174"/>
      <c r="I203" s="191">
        <f>openDomain_trans_LNGC_FST2!P25</f>
        <v>165</v>
      </c>
      <c r="J203" s="195">
        <f>openDomain_trans_full_LNGC_FST2!S25*J17</f>
        <v>-0.46292972791783066</v>
      </c>
      <c r="K203" s="174">
        <f>openDomain_trans_full_LNGC_FST2!T25*K17</f>
        <v>8.2215628737120031E-2</v>
      </c>
      <c r="L203" s="174" t="e">
        <f>openDomain_trans_full_LNGC_FST2!U25*L17</f>
        <v>#VALUE!</v>
      </c>
      <c r="M203" s="174" t="e">
        <f>openDomain_trans_full_LNGC_FST2!V25*M17</f>
        <v>#VALUE!</v>
      </c>
      <c r="N203" s="174" t="e">
        <f>openDomain_trans_full_LNGC_FST2!W25*N17</f>
        <v>#VALUE!</v>
      </c>
      <c r="O203" s="196">
        <f>openDomain_trans_full_LNGC_FST2!X25*O17</f>
        <v>-1.7502713395726264E-3</v>
      </c>
      <c r="Q203" s="191"/>
      <c r="R203" s="195"/>
      <c r="S203" s="174"/>
      <c r="T203" s="174"/>
      <c r="U203" s="174"/>
      <c r="V203" s="174"/>
      <c r="W203" s="196"/>
    </row>
    <row r="204" spans="1:23" x14ac:dyDescent="0.2">
      <c r="A204" s="191">
        <f>openDomain_trans_LNGC_FST1!P26</f>
        <v>180</v>
      </c>
      <c r="B204" s="205">
        <f>openDomain_trans_full_LNGC_FST1!S26*B18</f>
        <v>-1.0326107359246517</v>
      </c>
      <c r="C204" s="206">
        <f>openDomain_trans_full_LNGC_FST1!T26*C18</f>
        <v>1.1289059667185519E-2</v>
      </c>
      <c r="D204" s="206" t="e">
        <f>openDomain_trans_full_LNGC_FST1!U26*D18</f>
        <v>#VALUE!</v>
      </c>
      <c r="E204" s="206" t="e">
        <f>openDomain_trans_full_LNGC_FST1!V26*E18</f>
        <v>#VALUE!</v>
      </c>
      <c r="F204" s="206" t="e">
        <f>openDomain_trans_full_LNGC_FST1!W26*F18</f>
        <v>#VALUE!</v>
      </c>
      <c r="G204" s="207">
        <f>openDomain_trans_full_LNGC_FST1!X26*G18</f>
        <v>-2.1914542431814145E-3</v>
      </c>
      <c r="H204" s="174"/>
      <c r="I204" s="191">
        <f>openDomain_trans_LNGC_FST2!P26</f>
        <v>180</v>
      </c>
      <c r="J204" s="195">
        <f>openDomain_trans_full_LNGC_FST2!S26*J18</f>
        <v>-0.19602598534509319</v>
      </c>
      <c r="K204" s="174">
        <f>openDomain_trans_full_LNGC_FST2!T26*K18</f>
        <v>-5.7300182444565667E-4</v>
      </c>
      <c r="L204" s="174" t="e">
        <f>openDomain_trans_full_LNGC_FST2!U26*L18</f>
        <v>#VALUE!</v>
      </c>
      <c r="M204" s="174" t="e">
        <f>openDomain_trans_full_LNGC_FST2!V26*M18</f>
        <v>#VALUE!</v>
      </c>
      <c r="N204" s="174" t="e">
        <f>openDomain_trans_full_LNGC_FST2!W26*N18</f>
        <v>#VALUE!</v>
      </c>
      <c r="O204" s="196">
        <f>openDomain_trans_full_LNGC_FST2!X26*O18</f>
        <v>-1.135762927773755E-3</v>
      </c>
      <c r="Q204" s="191"/>
      <c r="R204" s="195"/>
      <c r="S204" s="174"/>
      <c r="T204" s="174"/>
      <c r="U204" s="174"/>
      <c r="V204" s="174"/>
      <c r="W204" s="196"/>
    </row>
    <row r="205" spans="1:23" x14ac:dyDescent="0.2">
      <c r="A205" s="197">
        <f>openDomain_trans_LNGC_FST1!P27</f>
        <v>195</v>
      </c>
      <c r="B205" s="205">
        <f>openDomain_trans_full_LNGC_FST1!S27*B19</f>
        <v>-0.8506334705561529</v>
      </c>
      <c r="C205" s="206">
        <f>openDomain_trans_full_LNGC_FST1!T27*C19</f>
        <v>-0.17050009518068573</v>
      </c>
      <c r="D205" s="206" t="e">
        <f>openDomain_trans_full_LNGC_FST1!U27*D19</f>
        <v>#VALUE!</v>
      </c>
      <c r="E205" s="206" t="e">
        <f>openDomain_trans_full_LNGC_FST1!V27*E19</f>
        <v>#VALUE!</v>
      </c>
      <c r="F205" s="206" t="e">
        <f>openDomain_trans_full_LNGC_FST1!W27*F19</f>
        <v>#VALUE!</v>
      </c>
      <c r="G205" s="207">
        <f>openDomain_trans_full_LNGC_FST1!X27*G19</f>
        <v>-3.3787141766557331E-2</v>
      </c>
      <c r="H205" s="174"/>
      <c r="I205" s="197">
        <f>openDomain_trans_LNGC_FST2!P27</f>
        <v>195</v>
      </c>
      <c r="J205" s="195">
        <f>openDomain_trans_full_LNGC_FST2!S27*J19</f>
        <v>-0.26632524355049342</v>
      </c>
      <c r="K205" s="174">
        <f>openDomain_trans_full_LNGC_FST2!T27*K19</f>
        <v>-7.3012433106630276E-2</v>
      </c>
      <c r="L205" s="174" t="e">
        <f>openDomain_trans_full_LNGC_FST2!U27*L19</f>
        <v>#VALUE!</v>
      </c>
      <c r="M205" s="174" t="e">
        <f>openDomain_trans_full_LNGC_FST2!V27*M19</f>
        <v>#VALUE!</v>
      </c>
      <c r="N205" s="174" t="e">
        <f>openDomain_trans_full_LNGC_FST2!W27*N19</f>
        <v>#VALUE!</v>
      </c>
      <c r="O205" s="196">
        <f>openDomain_trans_full_LNGC_FST2!X27*O19</f>
        <v>1.0276780823772276E-3</v>
      </c>
      <c r="Q205" s="197"/>
      <c r="R205" s="195"/>
      <c r="S205" s="174"/>
      <c r="T205" s="174"/>
      <c r="U205" s="174"/>
      <c r="V205" s="174"/>
      <c r="W205" s="196"/>
    </row>
    <row r="206" spans="1:23" x14ac:dyDescent="0.2">
      <c r="A206" s="197">
        <f>openDomain_trans_LNGC_FST1!P28</f>
        <v>210</v>
      </c>
      <c r="B206" s="205">
        <f>openDomain_trans_full_LNGC_FST1!S28*B20</f>
        <v>-0.52485040240031688</v>
      </c>
      <c r="C206" s="206">
        <f>openDomain_trans_full_LNGC_FST1!T28*C20</f>
        <v>-0.45075170512303836</v>
      </c>
      <c r="D206" s="206" t="e">
        <f>openDomain_trans_full_LNGC_FST1!U28*D20</f>
        <v>#VALUE!</v>
      </c>
      <c r="E206" s="206" t="e">
        <f>openDomain_trans_full_LNGC_FST1!V28*E20</f>
        <v>#VALUE!</v>
      </c>
      <c r="F206" s="206" t="e">
        <f>openDomain_trans_full_LNGC_FST1!W28*F20</f>
        <v>#VALUE!</v>
      </c>
      <c r="G206" s="207">
        <f>openDomain_trans_full_LNGC_FST1!X28*G20</f>
        <v>-7.3776030583076399E-2</v>
      </c>
      <c r="H206" s="174"/>
      <c r="I206" s="197">
        <f>openDomain_trans_LNGC_FST2!P28</f>
        <v>210</v>
      </c>
      <c r="J206" s="195">
        <f>openDomain_trans_full_LNGC_FST2!S28*J20</f>
        <v>-0.31873579764626164</v>
      </c>
      <c r="K206" s="174">
        <f>openDomain_trans_full_LNGC_FST2!T28*K20</f>
        <v>-0.27245632597570973</v>
      </c>
      <c r="L206" s="174" t="e">
        <f>openDomain_trans_full_LNGC_FST2!U28*L20</f>
        <v>#VALUE!</v>
      </c>
      <c r="M206" s="174" t="e">
        <f>openDomain_trans_full_LNGC_FST2!V28*M20</f>
        <v>#VALUE!</v>
      </c>
      <c r="N206" s="174" t="e">
        <f>openDomain_trans_full_LNGC_FST2!W28*N20</f>
        <v>#VALUE!</v>
      </c>
      <c r="O206" s="196">
        <f>openDomain_trans_full_LNGC_FST2!X28*O20</f>
        <v>-9.2929210270160465E-3</v>
      </c>
      <c r="Q206" s="197"/>
      <c r="R206" s="195"/>
      <c r="S206" s="174"/>
      <c r="T206" s="174"/>
      <c r="U206" s="174"/>
      <c r="V206" s="174"/>
      <c r="W206" s="196"/>
    </row>
    <row r="207" spans="1:23" x14ac:dyDescent="0.2">
      <c r="A207" s="197">
        <f>openDomain_trans_LNGC_FST1!P29</f>
        <v>225</v>
      </c>
      <c r="B207" s="205">
        <f>openDomain_trans_full_LNGC_FST1!S29*B21</f>
        <v>-0.31701990741250269</v>
      </c>
      <c r="C207" s="206">
        <f>openDomain_trans_full_LNGC_FST1!T29*C21</f>
        <v>-0.73199381591732204</v>
      </c>
      <c r="D207" s="206" t="e">
        <f>openDomain_trans_full_LNGC_FST1!U29*D21</f>
        <v>#VALUE!</v>
      </c>
      <c r="E207" s="206" t="e">
        <f>openDomain_trans_full_LNGC_FST1!V29*E21</f>
        <v>#VALUE!</v>
      </c>
      <c r="F207" s="206" t="e">
        <f>openDomain_trans_full_LNGC_FST1!W29*F21</f>
        <v>#VALUE!</v>
      </c>
      <c r="G207" s="207">
        <f>openDomain_trans_full_LNGC_FST1!X29*G21</f>
        <v>-0.14180173890474021</v>
      </c>
      <c r="H207" s="174"/>
      <c r="I207" s="197">
        <f>openDomain_trans_LNGC_FST2!P29</f>
        <v>225</v>
      </c>
      <c r="J207" s="195">
        <f>openDomain_trans_full_LNGC_FST2!S29*J21</f>
        <v>-0.29505843946513194</v>
      </c>
      <c r="K207" s="174">
        <f>openDomain_trans_full_LNGC_FST2!T29*K21</f>
        <v>-0.49865279368126059</v>
      </c>
      <c r="L207" s="174" t="e">
        <f>openDomain_trans_full_LNGC_FST2!U29*L21</f>
        <v>#VALUE!</v>
      </c>
      <c r="M207" s="174" t="e">
        <f>openDomain_trans_full_LNGC_FST2!V29*M21</f>
        <v>#VALUE!</v>
      </c>
      <c r="N207" s="174" t="e">
        <f>openDomain_trans_full_LNGC_FST2!W29*N21</f>
        <v>#VALUE!</v>
      </c>
      <c r="O207" s="196">
        <f>openDomain_trans_full_LNGC_FST2!X29*O21</f>
        <v>-1.6033837743517569E-2</v>
      </c>
      <c r="Q207" s="197"/>
      <c r="R207" s="195"/>
      <c r="S207" s="174"/>
      <c r="T207" s="174"/>
      <c r="U207" s="174"/>
      <c r="V207" s="174"/>
      <c r="W207" s="196"/>
    </row>
    <row r="208" spans="1:23" x14ac:dyDescent="0.2">
      <c r="A208" s="197">
        <f>openDomain_trans_LNGC_FST1!P30</f>
        <v>240</v>
      </c>
      <c r="B208" s="205">
        <f>openDomain_trans_full_LNGC_FST1!S30*B22</f>
        <v>-9.9835423851485042E-2</v>
      </c>
      <c r="C208" s="206">
        <f>openDomain_trans_full_LNGC_FST1!T30*C22</f>
        <v>-1.0346274715000183</v>
      </c>
      <c r="D208" s="206" t="e">
        <f>openDomain_trans_full_LNGC_FST1!U30*D22</f>
        <v>#VALUE!</v>
      </c>
      <c r="E208" s="206" t="e">
        <f>openDomain_trans_full_LNGC_FST1!V30*E22</f>
        <v>#VALUE!</v>
      </c>
      <c r="F208" s="206" t="e">
        <f>openDomain_trans_full_LNGC_FST1!W30*F22</f>
        <v>#VALUE!</v>
      </c>
      <c r="G208" s="207">
        <f>openDomain_trans_full_LNGC_FST1!X30*G22</f>
        <v>-0.10527239667434292</v>
      </c>
      <c r="H208" s="174"/>
      <c r="I208" s="197">
        <f>openDomain_trans_LNGC_FST2!P30</f>
        <v>240</v>
      </c>
      <c r="J208" s="195">
        <f>openDomain_trans_full_LNGC_FST2!S30*J22</f>
        <v>-3.3451826581146218E-2</v>
      </c>
      <c r="K208" s="174">
        <f>openDomain_trans_full_LNGC_FST2!T30*K22</f>
        <v>-0.68944084212802015</v>
      </c>
      <c r="L208" s="174" t="e">
        <f>openDomain_trans_full_LNGC_FST2!U30*L22</f>
        <v>#VALUE!</v>
      </c>
      <c r="M208" s="174" t="e">
        <f>openDomain_trans_full_LNGC_FST2!V30*M22</f>
        <v>#VALUE!</v>
      </c>
      <c r="N208" s="174" t="e">
        <f>openDomain_trans_full_LNGC_FST2!W30*N22</f>
        <v>#VALUE!</v>
      </c>
      <c r="O208" s="196">
        <f>openDomain_trans_full_LNGC_FST2!X30*O22</f>
        <v>-1.3246900837502917E-2</v>
      </c>
      <c r="Q208" s="197"/>
      <c r="R208" s="195"/>
      <c r="S208" s="174"/>
      <c r="T208" s="174"/>
      <c r="U208" s="174"/>
      <c r="V208" s="174"/>
      <c r="W208" s="196"/>
    </row>
    <row r="209" spans="1:23" x14ac:dyDescent="0.2">
      <c r="A209" s="197">
        <f>openDomain_trans_LNGC_FST1!P31</f>
        <v>255</v>
      </c>
      <c r="B209" s="205">
        <f>openDomain_trans_full_LNGC_FST1!S31*B23</f>
        <v>-0.15079172924458056</v>
      </c>
      <c r="C209" s="206">
        <f>openDomain_trans_full_LNGC_FST1!T31*C23</f>
        <v>-1.0266600000327442</v>
      </c>
      <c r="D209" s="206" t="e">
        <f>openDomain_trans_full_LNGC_FST1!U31*D23</f>
        <v>#VALUE!</v>
      </c>
      <c r="E209" s="206" t="e">
        <f>openDomain_trans_full_LNGC_FST1!V31*E23</f>
        <v>#VALUE!</v>
      </c>
      <c r="F209" s="206" t="e">
        <f>openDomain_trans_full_LNGC_FST1!W31*F23</f>
        <v>#VALUE!</v>
      </c>
      <c r="G209" s="207">
        <f>openDomain_trans_full_LNGC_FST1!X31*G23</f>
        <v>-4.8567981449852013E-2</v>
      </c>
      <c r="H209" s="174"/>
      <c r="I209" s="197">
        <f>openDomain_trans_LNGC_FST2!P31</f>
        <v>255</v>
      </c>
      <c r="J209" s="195">
        <f>openDomain_trans_full_LNGC_FST2!S31*J23</f>
        <v>-9.416631867004488E-2</v>
      </c>
      <c r="K209" s="174">
        <f>openDomain_trans_full_LNGC_FST2!T31*K23</f>
        <v>-0.86898373472454693</v>
      </c>
      <c r="L209" s="174" t="e">
        <f>openDomain_trans_full_LNGC_FST2!U31*L23</f>
        <v>#VALUE!</v>
      </c>
      <c r="M209" s="174" t="e">
        <f>openDomain_trans_full_LNGC_FST2!V31*M23</f>
        <v>#VALUE!</v>
      </c>
      <c r="N209" s="174" t="e">
        <f>openDomain_trans_full_LNGC_FST2!W31*N23</f>
        <v>#VALUE!</v>
      </c>
      <c r="O209" s="196">
        <f>openDomain_trans_full_LNGC_FST2!X31*O23</f>
        <v>-2.3109690485044757E-2</v>
      </c>
      <c r="Q209" s="197"/>
      <c r="R209" s="195"/>
      <c r="S209" s="174"/>
      <c r="T209" s="174"/>
      <c r="U209" s="174"/>
      <c r="V209" s="174"/>
      <c r="W209" s="196"/>
    </row>
    <row r="210" spans="1:23" x14ac:dyDescent="0.2">
      <c r="A210" s="197">
        <f>openDomain_trans_LNGC_FST1!P32</f>
        <v>270</v>
      </c>
      <c r="B210" s="205">
        <f>openDomain_trans_full_LNGC_FST1!S32*B24</f>
        <v>3.0428437494667844E-2</v>
      </c>
      <c r="C210" s="206">
        <f>openDomain_trans_full_LNGC_FST1!T32*C24</f>
        <v>-0.91924520150500766</v>
      </c>
      <c r="D210" s="206" t="e">
        <f>openDomain_trans_full_LNGC_FST1!U32*D24</f>
        <v>#VALUE!</v>
      </c>
      <c r="E210" s="206" t="e">
        <f>openDomain_trans_full_LNGC_FST1!V32*E24</f>
        <v>#VALUE!</v>
      </c>
      <c r="F210" s="206" t="e">
        <f>openDomain_trans_full_LNGC_FST1!W32*F24</f>
        <v>#VALUE!</v>
      </c>
      <c r="G210" s="207">
        <f>openDomain_trans_full_LNGC_FST1!X32*G24</f>
        <v>3.6151708242358395E-2</v>
      </c>
      <c r="H210" s="174"/>
      <c r="I210" s="197">
        <f>openDomain_trans_LNGC_FST2!P32</f>
        <v>270</v>
      </c>
      <c r="J210" s="195">
        <f>openDomain_trans_full_LNGC_FST2!S32*J24</f>
        <v>-9.378771071098236E-3</v>
      </c>
      <c r="K210" s="174">
        <f>openDomain_trans_full_LNGC_FST2!T32*K24</f>
        <v>-0.83658119352048865</v>
      </c>
      <c r="L210" s="174" t="e">
        <f>openDomain_trans_full_LNGC_FST2!U32*L24</f>
        <v>#VALUE!</v>
      </c>
      <c r="M210" s="174" t="e">
        <f>openDomain_trans_full_LNGC_FST2!V32*M24</f>
        <v>#VALUE!</v>
      </c>
      <c r="N210" s="174" t="e">
        <f>openDomain_trans_full_LNGC_FST2!W32*N24</f>
        <v>#VALUE!</v>
      </c>
      <c r="O210" s="196">
        <f>openDomain_trans_full_LNGC_FST2!X32*O24</f>
        <v>-2.491007002876405E-2</v>
      </c>
      <c r="Q210" s="197"/>
      <c r="R210" s="195"/>
      <c r="S210" s="174"/>
      <c r="T210" s="174"/>
      <c r="U210" s="174"/>
      <c r="V210" s="174"/>
      <c r="W210" s="196"/>
    </row>
    <row r="211" spans="1:23" x14ac:dyDescent="0.2">
      <c r="A211" s="197">
        <f>openDomain_trans_LNGC_FST1!P33</f>
        <v>285</v>
      </c>
      <c r="B211" s="205">
        <f>openDomain_trans_full_LNGC_FST1!S33*B25</f>
        <v>0.1367265906684324</v>
      </c>
      <c r="C211" s="206">
        <f>openDomain_trans_full_LNGC_FST1!T33*C25</f>
        <v>-0.81171398614934498</v>
      </c>
      <c r="D211" s="206" t="e">
        <f>openDomain_trans_full_LNGC_FST1!U33*D25</f>
        <v>#VALUE!</v>
      </c>
      <c r="E211" s="206" t="e">
        <f>openDomain_trans_full_LNGC_FST1!V33*E25</f>
        <v>#VALUE!</v>
      </c>
      <c r="F211" s="206" t="e">
        <f>openDomain_trans_full_LNGC_FST1!W33*F25</f>
        <v>#VALUE!</v>
      </c>
      <c r="G211" s="207">
        <f>openDomain_trans_full_LNGC_FST1!X33*G25</f>
        <v>2.8429620401801605E-2</v>
      </c>
      <c r="H211" s="174"/>
      <c r="I211" s="197">
        <f>openDomain_trans_LNGC_FST2!P33</f>
        <v>285</v>
      </c>
      <c r="J211" s="195">
        <f>openDomain_trans_full_LNGC_FST2!S33*J25</f>
        <v>0.11418597805485389</v>
      </c>
      <c r="K211" s="174">
        <f>openDomain_trans_full_LNGC_FST2!T33*K25</f>
        <v>-0.89752269471891744</v>
      </c>
      <c r="L211" s="174" t="e">
        <f>openDomain_trans_full_LNGC_FST2!U33*L25</f>
        <v>#VALUE!</v>
      </c>
      <c r="M211" s="174" t="e">
        <f>openDomain_trans_full_LNGC_FST2!V33*M25</f>
        <v>#VALUE!</v>
      </c>
      <c r="N211" s="174" t="e">
        <f>openDomain_trans_full_LNGC_FST2!W33*N25</f>
        <v>#VALUE!</v>
      </c>
      <c r="O211" s="196">
        <f>openDomain_trans_full_LNGC_FST2!X33*O25</f>
        <v>4.4306388094853551E-2</v>
      </c>
      <c r="Q211" s="197"/>
      <c r="R211" s="195"/>
      <c r="S211" s="174"/>
      <c r="T211" s="174"/>
      <c r="U211" s="174"/>
      <c r="V211" s="174"/>
      <c r="W211" s="196"/>
    </row>
    <row r="212" spans="1:23" x14ac:dyDescent="0.2">
      <c r="A212" s="197">
        <f>openDomain_trans_LNGC_FST1!P34</f>
        <v>300</v>
      </c>
      <c r="B212" s="205">
        <f>openDomain_trans_full_LNGC_FST1!S34*B26</f>
        <v>7.9000194582958677E-2</v>
      </c>
      <c r="C212" s="206">
        <f>openDomain_trans_full_LNGC_FST1!T34*C26</f>
        <v>-0.66216913045800996</v>
      </c>
      <c r="D212" s="206" t="e">
        <f>openDomain_trans_full_LNGC_FST1!U34*D26</f>
        <v>#VALUE!</v>
      </c>
      <c r="E212" s="206" t="e">
        <f>openDomain_trans_full_LNGC_FST1!V34*E26</f>
        <v>#VALUE!</v>
      </c>
      <c r="F212" s="206" t="e">
        <f>openDomain_trans_full_LNGC_FST1!W34*F26</f>
        <v>#VALUE!</v>
      </c>
      <c r="G212" s="207">
        <f>openDomain_trans_full_LNGC_FST1!X34*G26</f>
        <v>1.8990350135164581E-2</v>
      </c>
      <c r="H212" s="174"/>
      <c r="I212" s="197">
        <f>openDomain_trans_LNGC_FST2!P34</f>
        <v>300</v>
      </c>
      <c r="J212" s="195">
        <f>openDomain_trans_full_LNGC_FST2!S34*J26</f>
        <v>8.6048229447250574E-2</v>
      </c>
      <c r="K212" s="174">
        <f>openDomain_trans_full_LNGC_FST2!T34*K26</f>
        <v>-0.8662010397762534</v>
      </c>
      <c r="L212" s="174" t="e">
        <f>openDomain_trans_full_LNGC_FST2!U34*L26</f>
        <v>#VALUE!</v>
      </c>
      <c r="M212" s="174" t="e">
        <f>openDomain_trans_full_LNGC_FST2!V34*M26</f>
        <v>#VALUE!</v>
      </c>
      <c r="N212" s="174" t="e">
        <f>openDomain_trans_full_LNGC_FST2!W34*N26</f>
        <v>#VALUE!</v>
      </c>
      <c r="O212" s="196">
        <f>openDomain_trans_full_LNGC_FST2!X34*O26</f>
        <v>6.1917547762153413E-2</v>
      </c>
      <c r="Q212" s="197"/>
      <c r="R212" s="195"/>
      <c r="S212" s="174"/>
      <c r="T212" s="174"/>
      <c r="U212" s="174"/>
      <c r="V212" s="174"/>
      <c r="W212" s="196"/>
    </row>
    <row r="213" spans="1:23" x14ac:dyDescent="0.2">
      <c r="A213" s="197">
        <f>openDomain_trans_LNGC_FST1!P35</f>
        <v>315</v>
      </c>
      <c r="B213" s="205">
        <f>openDomain_trans_full_LNGC_FST1!S35*B27</f>
        <v>0.2207744242965933</v>
      </c>
      <c r="C213" s="206">
        <f>openDomain_trans_full_LNGC_FST1!T35*C27</f>
        <v>-0.48676563954298957</v>
      </c>
      <c r="D213" s="206" t="e">
        <f>openDomain_trans_full_LNGC_FST1!U35*D27</f>
        <v>#VALUE!</v>
      </c>
      <c r="E213" s="206" t="e">
        <f>openDomain_trans_full_LNGC_FST1!V35*E27</f>
        <v>#VALUE!</v>
      </c>
      <c r="F213" s="206" t="e">
        <f>openDomain_trans_full_LNGC_FST1!W35*F27</f>
        <v>#VALUE!</v>
      </c>
      <c r="G213" s="207">
        <f>openDomain_trans_full_LNGC_FST1!X35*G27</f>
        <v>3.030262742259995E-2</v>
      </c>
      <c r="H213" s="174"/>
      <c r="I213" s="197">
        <f>openDomain_trans_LNGC_FST2!P35</f>
        <v>315</v>
      </c>
      <c r="J213" s="195">
        <f>openDomain_trans_full_LNGC_FST2!S35*J27</f>
        <v>0.56090862488394666</v>
      </c>
      <c r="K213" s="174">
        <f>openDomain_trans_full_LNGC_FST2!T35*K27</f>
        <v>-0.58065742670107967</v>
      </c>
      <c r="L213" s="174" t="e">
        <f>openDomain_trans_full_LNGC_FST2!U35*L27</f>
        <v>#VALUE!</v>
      </c>
      <c r="M213" s="174" t="e">
        <f>openDomain_trans_full_LNGC_FST2!V35*M27</f>
        <v>#VALUE!</v>
      </c>
      <c r="N213" s="174" t="e">
        <f>openDomain_trans_full_LNGC_FST2!W35*N27</f>
        <v>#VALUE!</v>
      </c>
      <c r="O213" s="196">
        <f>openDomain_trans_full_LNGC_FST2!X35*O27</f>
        <v>4.7056306954310852E-2</v>
      </c>
      <c r="Q213" s="197"/>
      <c r="R213" s="195"/>
      <c r="S213" s="174"/>
      <c r="T213" s="174"/>
      <c r="U213" s="174"/>
      <c r="V213" s="174"/>
      <c r="W213" s="196"/>
    </row>
    <row r="214" spans="1:23" x14ac:dyDescent="0.2">
      <c r="A214" s="197">
        <f>openDomain_trans_LNGC_FST1!P36</f>
        <v>330</v>
      </c>
      <c r="B214" s="205">
        <f>openDomain_trans_full_LNGC_FST1!S36*B28</f>
        <v>0.25717369100531973</v>
      </c>
      <c r="C214" s="206">
        <f>openDomain_trans_full_LNGC_FST1!T36*C28</f>
        <v>-0.26569025395375129</v>
      </c>
      <c r="D214" s="206" t="e">
        <f>openDomain_trans_full_LNGC_FST1!U36*D28</f>
        <v>#VALUE!</v>
      </c>
      <c r="E214" s="206" t="e">
        <f>openDomain_trans_full_LNGC_FST1!V36*E28</f>
        <v>#VALUE!</v>
      </c>
      <c r="F214" s="206" t="e">
        <f>openDomain_trans_full_LNGC_FST1!W36*F28</f>
        <v>#VALUE!</v>
      </c>
      <c r="G214" s="207">
        <f>openDomain_trans_full_LNGC_FST1!X36*G28</f>
        <v>1.1119436201842171E-2</v>
      </c>
      <c r="H214" s="174"/>
      <c r="I214" s="197">
        <f>openDomain_trans_LNGC_FST2!P36</f>
        <v>330</v>
      </c>
      <c r="J214" s="195">
        <f>openDomain_trans_full_LNGC_FST2!S36*J28</f>
        <v>0.724527265143736</v>
      </c>
      <c r="K214" s="174">
        <f>openDomain_trans_full_LNGC_FST2!T36*K28</f>
        <v>-0.40254812693116232</v>
      </c>
      <c r="L214" s="174" t="e">
        <f>openDomain_trans_full_LNGC_FST2!U36*L28</f>
        <v>#VALUE!</v>
      </c>
      <c r="M214" s="174" t="e">
        <f>openDomain_trans_full_LNGC_FST2!V36*M28</f>
        <v>#VALUE!</v>
      </c>
      <c r="N214" s="174" t="e">
        <f>openDomain_trans_full_LNGC_FST2!W36*N28</f>
        <v>#VALUE!</v>
      </c>
      <c r="O214" s="196">
        <f>openDomain_trans_full_LNGC_FST2!X36*O28</f>
        <v>3.683041104278402E-2</v>
      </c>
      <c r="Q214" s="197"/>
      <c r="R214" s="195"/>
      <c r="S214" s="174"/>
      <c r="T214" s="174"/>
      <c r="U214" s="174"/>
      <c r="V214" s="174"/>
      <c r="W214" s="196"/>
    </row>
    <row r="215" spans="1:23" x14ac:dyDescent="0.2">
      <c r="A215" s="197">
        <f>openDomain_trans_LNGC_FST1!P37</f>
        <v>345</v>
      </c>
      <c r="B215" s="205">
        <f>openDomain_trans_full_LNGC_FST1!S37*B29</f>
        <v>0.27533933085705375</v>
      </c>
      <c r="C215" s="206">
        <f>openDomain_trans_full_LNGC_FST1!T37*C29</f>
        <v>-8.0324998185502289E-2</v>
      </c>
      <c r="D215" s="206" t="e">
        <f>openDomain_trans_full_LNGC_FST1!U37*D29</f>
        <v>#VALUE!</v>
      </c>
      <c r="E215" s="206" t="e">
        <f>openDomain_trans_full_LNGC_FST1!V37*E29</f>
        <v>#VALUE!</v>
      </c>
      <c r="F215" s="206" t="e">
        <f>openDomain_trans_full_LNGC_FST1!W37*F29</f>
        <v>#VALUE!</v>
      </c>
      <c r="G215" s="207">
        <f>openDomain_trans_full_LNGC_FST1!X37*G29</f>
        <v>-4.6662161531216761E-4</v>
      </c>
      <c r="H215" s="174"/>
      <c r="I215" s="197">
        <f>openDomain_trans_LNGC_FST2!P37</f>
        <v>345</v>
      </c>
      <c r="J215" s="195">
        <f>openDomain_trans_full_LNGC_FST2!S37*J29</f>
        <v>0.86613383167452207</v>
      </c>
      <c r="K215" s="174">
        <f>openDomain_trans_full_LNGC_FST2!T37*K29</f>
        <v>-0.14237870934372371</v>
      </c>
      <c r="L215" s="174" t="e">
        <f>openDomain_trans_full_LNGC_FST2!U37*L29</f>
        <v>#VALUE!</v>
      </c>
      <c r="M215" s="174" t="e">
        <f>openDomain_trans_full_LNGC_FST2!V37*M29</f>
        <v>#VALUE!</v>
      </c>
      <c r="N215" s="174" t="e">
        <f>openDomain_trans_full_LNGC_FST2!W37*N29</f>
        <v>#VALUE!</v>
      </c>
      <c r="O215" s="196">
        <f>openDomain_trans_full_LNGC_FST2!X37*O29</f>
        <v>2.7071800165795997E-3</v>
      </c>
      <c r="Q215" s="197"/>
      <c r="R215" s="195"/>
      <c r="S215" s="174"/>
      <c r="T215" s="174"/>
      <c r="U215" s="174"/>
      <c r="V215" s="174"/>
      <c r="W215" s="196"/>
    </row>
    <row r="216" spans="1:23" ht="12.75" thickBot="1" x14ac:dyDescent="0.25">
      <c r="A216" s="198">
        <f>openDomain_trans_LNGC_FST1!P38</f>
        <v>360</v>
      </c>
      <c r="B216" s="208">
        <f>openDomain_trans_full_LNGC_FST1!S38*B30</f>
        <v>0.17568708473902206</v>
      </c>
      <c r="C216" s="209">
        <f>openDomain_trans_full_LNGC_FST1!T38*C30</f>
        <v>-8.5419744535567468E-3</v>
      </c>
      <c r="D216" s="209" t="e">
        <f>openDomain_trans_full_LNGC_FST1!U38*D30</f>
        <v>#VALUE!</v>
      </c>
      <c r="E216" s="209" t="e">
        <f>openDomain_trans_full_LNGC_FST1!V38*E30</f>
        <v>#VALUE!</v>
      </c>
      <c r="F216" s="209" t="e">
        <f>openDomain_trans_full_LNGC_FST1!W38*F30</f>
        <v>#VALUE!</v>
      </c>
      <c r="G216" s="210">
        <f>openDomain_trans_full_LNGC_FST1!X38*G30</f>
        <v>-5.1662959538290899E-4</v>
      </c>
      <c r="H216" s="182"/>
      <c r="I216" s="198">
        <f>openDomain_trans_LNGC_FST2!P38</f>
        <v>360</v>
      </c>
      <c r="J216" s="199">
        <f>openDomain_trans_full_LNGC_FST2!S38*J30</f>
        <v>0.76392878875106263</v>
      </c>
      <c r="K216" s="200">
        <f>openDomain_trans_full_LNGC_FST2!T38*K30</f>
        <v>1.3004696052818888E-2</v>
      </c>
      <c r="L216" s="200" t="e">
        <f>openDomain_trans_full_LNGC_FST2!U38*L30</f>
        <v>#VALUE!</v>
      </c>
      <c r="M216" s="200" t="e">
        <f>openDomain_trans_full_LNGC_FST2!V38*M30</f>
        <v>#VALUE!</v>
      </c>
      <c r="N216" s="200" t="e">
        <f>openDomain_trans_full_LNGC_FST2!W38*N30</f>
        <v>#VALUE!</v>
      </c>
      <c r="O216" s="201">
        <f>openDomain_trans_full_LNGC_FST2!X38*O30</f>
        <v>-2.4769705174683552E-2</v>
      </c>
      <c r="Q216" s="198"/>
      <c r="R216" s="199"/>
      <c r="S216" s="200"/>
      <c r="T216" s="200"/>
      <c r="U216" s="200"/>
      <c r="V216" s="200"/>
      <c r="W216" s="201"/>
    </row>
  </sheetData>
  <mergeCells count="20">
    <mergeCell ref="Y94:AE94"/>
    <mergeCell ref="AG94:AM94"/>
    <mergeCell ref="A156:G156"/>
    <mergeCell ref="I156:O156"/>
    <mergeCell ref="A187:G187"/>
    <mergeCell ref="I187:O187"/>
    <mergeCell ref="Q187:W187"/>
    <mergeCell ref="A125:G125"/>
    <mergeCell ref="I125:O125"/>
    <mergeCell ref="Q125:W125"/>
    <mergeCell ref="A1:G1"/>
    <mergeCell ref="I1:O1"/>
    <mergeCell ref="R1:X1"/>
    <mergeCell ref="A32:G32"/>
    <mergeCell ref="I32:O32"/>
    <mergeCell ref="A63:G63"/>
    <mergeCell ref="I63:O63"/>
    <mergeCell ref="A94:G94"/>
    <mergeCell ref="I94:O94"/>
    <mergeCell ref="Q94:W94"/>
  </mergeCells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16"/>
  <sheetViews>
    <sheetView topLeftCell="L178" zoomScaleNormal="100" workbookViewId="0">
      <selection activeCell="X192" sqref="X192"/>
    </sheetView>
  </sheetViews>
  <sheetFormatPr defaultColWidth="8.5703125" defaultRowHeight="15" x14ac:dyDescent="0.25"/>
  <cols>
    <col min="1" max="17" width="12.7109375" customWidth="1"/>
    <col min="19" max="19" width="10.7109375" customWidth="1"/>
    <col min="20" max="21" width="14.5703125" customWidth="1"/>
    <col min="22" max="22" width="14.42578125" customWidth="1"/>
    <col min="23" max="23" width="12" customWidth="1"/>
    <col min="24" max="24" width="14.5703125" customWidth="1"/>
    <col min="25" max="25" width="8.85546875" customWidth="1"/>
    <col min="26" max="26" width="11.7109375" customWidth="1"/>
    <col min="27" max="27" width="12.140625" customWidth="1"/>
  </cols>
  <sheetData>
    <row r="1" spans="1:24" ht="15.75" customHeight="1" x14ac:dyDescent="0.25">
      <c r="A1" s="221" t="s">
        <v>70</v>
      </c>
      <c r="B1" s="221"/>
      <c r="C1" s="221"/>
      <c r="D1" s="221"/>
      <c r="E1" s="221"/>
      <c r="F1" s="221"/>
      <c r="G1" s="221"/>
      <c r="H1" s="13"/>
      <c r="I1" s="221" t="s">
        <v>71</v>
      </c>
      <c r="J1" s="221"/>
      <c r="K1" s="221"/>
      <c r="L1" s="221"/>
      <c r="M1" s="221"/>
      <c r="N1" s="221"/>
      <c r="O1" s="221"/>
      <c r="R1" s="224"/>
      <c r="S1" s="224"/>
      <c r="T1" s="224"/>
      <c r="U1" s="224"/>
      <c r="V1" s="224"/>
      <c r="W1" s="224"/>
      <c r="X1" s="224"/>
    </row>
    <row r="2" spans="1:24" x14ac:dyDescent="0.25">
      <c r="A2" s="14" t="s">
        <v>55</v>
      </c>
      <c r="B2" s="15">
        <f>openDomain_long_FST1!S5</f>
        <v>1678</v>
      </c>
      <c r="C2" s="15">
        <f>openDomain_long_FST1!T5</f>
        <v>7811</v>
      </c>
      <c r="D2" s="15">
        <f>openDomain_long_FST1!U5</f>
        <v>8949</v>
      </c>
      <c r="E2" s="15">
        <f>openDomain_long_FST1!V5</f>
        <v>298215</v>
      </c>
      <c r="F2" s="15">
        <f>openDomain_long_FST1!W5</f>
        <v>32704</v>
      </c>
      <c r="G2" s="15">
        <f>openDomain_long_FST1!X5</f>
        <v>1598052</v>
      </c>
      <c r="H2" s="16"/>
      <c r="I2" s="14" t="s">
        <v>55</v>
      </c>
      <c r="J2" s="15">
        <f t="shared" ref="J2:O2" si="0">B2</f>
        <v>1678</v>
      </c>
      <c r="K2" s="15">
        <f t="shared" si="0"/>
        <v>7811</v>
      </c>
      <c r="L2" s="15">
        <f t="shared" si="0"/>
        <v>8949</v>
      </c>
      <c r="M2" s="15">
        <f t="shared" si="0"/>
        <v>298215</v>
      </c>
      <c r="N2" s="15">
        <f t="shared" si="0"/>
        <v>32704</v>
      </c>
      <c r="O2" s="15">
        <f t="shared" si="0"/>
        <v>1598052</v>
      </c>
    </row>
    <row r="3" spans="1:24" x14ac:dyDescent="0.25">
      <c r="A3" s="17"/>
      <c r="B3" s="18" t="s">
        <v>57</v>
      </c>
      <c r="C3" s="18" t="s">
        <v>57</v>
      </c>
      <c r="D3" s="18" t="s">
        <v>57</v>
      </c>
      <c r="E3" s="18" t="s">
        <v>58</v>
      </c>
      <c r="F3" s="18" t="s">
        <v>58</v>
      </c>
      <c r="G3" s="18" t="s">
        <v>58</v>
      </c>
      <c r="H3" s="19"/>
      <c r="I3" s="17"/>
      <c r="J3" s="18" t="s">
        <v>57</v>
      </c>
      <c r="K3" s="18" t="s">
        <v>57</v>
      </c>
      <c r="L3" s="18" t="s">
        <v>57</v>
      </c>
      <c r="M3" s="18" t="s">
        <v>58</v>
      </c>
      <c r="N3" s="18" t="s">
        <v>58</v>
      </c>
      <c r="O3" s="18" t="s">
        <v>58</v>
      </c>
    </row>
    <row r="4" spans="1:24" ht="27" x14ac:dyDescent="0.25">
      <c r="A4" s="20" t="s">
        <v>59</v>
      </c>
      <c r="B4" s="21" t="s">
        <v>60</v>
      </c>
      <c r="C4" s="21" t="s">
        <v>61</v>
      </c>
      <c r="D4" s="21" t="s">
        <v>62</v>
      </c>
      <c r="E4" s="21" t="s">
        <v>63</v>
      </c>
      <c r="F4" s="21" t="s">
        <v>64</v>
      </c>
      <c r="G4" s="21" t="s">
        <v>65</v>
      </c>
      <c r="H4" s="13"/>
      <c r="I4" s="20" t="s">
        <v>59</v>
      </c>
      <c r="J4" s="21" t="s">
        <v>60</v>
      </c>
      <c r="K4" s="21" t="s">
        <v>61</v>
      </c>
      <c r="L4" s="21" t="s">
        <v>62</v>
      </c>
      <c r="M4" s="21" t="s">
        <v>63</v>
      </c>
      <c r="N4" s="21" t="s">
        <v>64</v>
      </c>
      <c r="O4" s="21" t="s">
        <v>65</v>
      </c>
    </row>
    <row r="5" spans="1:24" ht="33.75" x14ac:dyDescent="0.25">
      <c r="A5" s="22"/>
      <c r="B5" s="23" t="str">
        <f t="shared" ref="B5:G5" si="1">CONCATENATE($A$1,"-",B4)</f>
        <v>openDomain-long-FST1-Cx [-]</v>
      </c>
      <c r="C5" s="23" t="str">
        <f t="shared" si="1"/>
        <v>openDomain-long-FST1-Cy [-]</v>
      </c>
      <c r="D5" s="23" t="str">
        <f t="shared" si="1"/>
        <v>openDomain-long-FST1-Cz [-]</v>
      </c>
      <c r="E5" s="23" t="str">
        <f t="shared" si="1"/>
        <v>openDomain-long-FST1-Cnx [-]</v>
      </c>
      <c r="F5" s="23" t="str">
        <f t="shared" si="1"/>
        <v>openDomain-long-FST1-Cny [-]</v>
      </c>
      <c r="G5" s="23" t="str">
        <f t="shared" si="1"/>
        <v>openDomain-long-FST1-Cnz [-]</v>
      </c>
      <c r="H5" s="24"/>
      <c r="I5" s="22"/>
      <c r="J5" s="23" t="str">
        <f t="shared" ref="J5:O5" si="2">CONCATENATE($I$1,"-",J4)</f>
        <v>openDomain-long-FST2-Cx [-]</v>
      </c>
      <c r="K5" s="23" t="str">
        <f t="shared" si="2"/>
        <v>openDomain-long-FST2-Cy [-]</v>
      </c>
      <c r="L5" s="23" t="str">
        <f t="shared" si="2"/>
        <v>openDomain-long-FST2-Cz [-]</v>
      </c>
      <c r="M5" s="23" t="str">
        <f t="shared" si="2"/>
        <v>openDomain-long-FST2-Cnx [-]</v>
      </c>
      <c r="N5" s="23" t="str">
        <f t="shared" si="2"/>
        <v>openDomain-long-FST2-Cny [-]</v>
      </c>
      <c r="O5" s="23" t="str">
        <f t="shared" si="2"/>
        <v>openDomain-long-FST2-Cnz [-]</v>
      </c>
    </row>
    <row r="6" spans="1:24" x14ac:dyDescent="0.25">
      <c r="A6" s="26">
        <f>openDomain_long_FST1!P14</f>
        <v>0</v>
      </c>
      <c r="B6" s="31">
        <f>openDomain_long_FST1!S14</f>
        <v>0.17973342291245667</v>
      </c>
      <c r="C6" s="32">
        <f>openDomain_long_FST1!T14</f>
        <v>9.6128369382248082E-3</v>
      </c>
      <c r="D6" s="32">
        <f>openDomain_long_FST1!U14</f>
        <v>5.752332657711199E-2</v>
      </c>
      <c r="E6" s="32">
        <f>openDomain_long_FST1!V14</f>
        <v>-3.2286342943169668E-3</v>
      </c>
      <c r="F6" s="32">
        <f>openDomain_long_FST1!W14</f>
        <v>0.1075833050247815</v>
      </c>
      <c r="G6" s="33">
        <f>openDomain_long_FST1!X14</f>
        <v>-4.4743413136131855E-3</v>
      </c>
      <c r="H6" s="25"/>
      <c r="I6" s="26">
        <f>openDomain_long_FST2!P14</f>
        <v>0</v>
      </c>
      <c r="J6" s="31">
        <f>openDomain_long_FST2!S14</f>
        <v>0.69236329614215808</v>
      </c>
      <c r="K6" s="32">
        <f>openDomain_long_FST2!T14</f>
        <v>-2.1392659801165399E-2</v>
      </c>
      <c r="L6" s="32">
        <f>openDomain_long_FST2!U14</f>
        <v>0.114479915947145</v>
      </c>
      <c r="M6" s="32">
        <f>openDomain_long_FST2!V14</f>
        <v>9.0974070915747149E-3</v>
      </c>
      <c r="N6" s="32">
        <f>openDomain_long_FST2!W14</f>
        <v>1.8494899625189356</v>
      </c>
      <c r="O6" s="33">
        <f>openDomain_long_FST2!X14</f>
        <v>1.2896992232007033E-4</v>
      </c>
    </row>
    <row r="7" spans="1:24" x14ac:dyDescent="0.25">
      <c r="H7" s="25"/>
    </row>
    <row r="8" spans="1:24" x14ac:dyDescent="0.25">
      <c r="A8" s="26">
        <f>openDomain_long_FST1!P15</f>
        <v>30</v>
      </c>
      <c r="B8" s="34">
        <f>openDomain_long_FST1!S15</f>
        <v>0.50444916098767589</v>
      </c>
      <c r="C8" s="25">
        <f>openDomain_long_FST1!T15</f>
        <v>0.35842049519945629</v>
      </c>
      <c r="D8" s="25">
        <f>openDomain_long_FST1!U15</f>
        <v>0.28516457786445087</v>
      </c>
      <c r="E8" s="25">
        <f>openDomain_long_FST1!V15</f>
        <v>-0.16073417201488763</v>
      </c>
      <c r="F8" s="25">
        <f>openDomain_long_FST1!W15</f>
        <v>1.1185668915277696</v>
      </c>
      <c r="G8" s="35">
        <f>openDomain_long_FST1!X15</f>
        <v>-2.47297853177957E-2</v>
      </c>
      <c r="H8" s="25"/>
      <c r="I8" s="26">
        <f>openDomain_long_FST2!P15</f>
        <v>30</v>
      </c>
      <c r="J8" s="34">
        <f>openDomain_long_FST2!S15</f>
        <v>0.90796016544859315</v>
      </c>
      <c r="K8" s="25">
        <f>openDomain_long_FST2!T15</f>
        <v>0.51025377175112341</v>
      </c>
      <c r="L8" s="25">
        <f>openDomain_long_FST2!U15</f>
        <v>0.4065568734291497</v>
      </c>
      <c r="M8" s="25">
        <f>openDomain_long_FST2!V15</f>
        <v>-0.21733334236950289</v>
      </c>
      <c r="N8" s="25">
        <f>openDomain_long_FST2!W15</f>
        <v>2.1363217581154799</v>
      </c>
      <c r="O8" s="35">
        <f>openDomain_long_FST2!X15</f>
        <v>-5.3215836580409119E-2</v>
      </c>
    </row>
    <row r="9" spans="1:24" x14ac:dyDescent="0.25">
      <c r="A9" s="26">
        <f>openDomain_long_FST1!P16</f>
        <v>45</v>
      </c>
      <c r="B9" s="34">
        <f>openDomain_long_FST1!S16</f>
        <v>0.32277978626843556</v>
      </c>
      <c r="C9" s="25">
        <f>openDomain_long_FST1!T16</f>
        <v>0.60480998321408241</v>
      </c>
      <c r="D9" s="25">
        <f>openDomain_long_FST1!U16</f>
        <v>0.38855194488137762</v>
      </c>
      <c r="E9" s="25">
        <f>openDomain_long_FST1!V16</f>
        <v>-0.25618630393105496</v>
      </c>
      <c r="F9" s="25">
        <f>openDomain_long_FST1!W16</f>
        <v>1.7836049360542772</v>
      </c>
      <c r="G9" s="35">
        <f>openDomain_long_FST1!X16</f>
        <v>-4.3340836834848642E-2</v>
      </c>
      <c r="H9" s="25"/>
      <c r="I9" s="26">
        <f>openDomain_long_FST2!P16</f>
        <v>45</v>
      </c>
      <c r="J9" s="34">
        <f>openDomain_long_FST2!S16</f>
        <v>0.70221613735348265</v>
      </c>
      <c r="K9" s="25">
        <f>openDomain_long_FST2!T16</f>
        <v>0.87371457437214439</v>
      </c>
      <c r="L9" s="25">
        <f>openDomain_long_FST2!U16</f>
        <v>0.51037902859652473</v>
      </c>
      <c r="M9" s="25">
        <f>openDomain_long_FST2!V16</f>
        <v>-0.34596313402507933</v>
      </c>
      <c r="N9" s="25">
        <f>openDomain_long_FST2!W16</f>
        <v>1.4475806547664196</v>
      </c>
      <c r="O9" s="35">
        <f>openDomain_long_FST2!X16</f>
        <v>-7.8704174053024364E-2</v>
      </c>
    </row>
    <row r="10" spans="1:24" x14ac:dyDescent="0.25">
      <c r="A10" s="26">
        <f>openDomain_long_FST1!P17</f>
        <v>60</v>
      </c>
      <c r="B10" s="34">
        <f>openDomain_long_FST1!S17</f>
        <v>0.13943987089342857</v>
      </c>
      <c r="C10" s="25">
        <f>openDomain_long_FST1!T17</f>
        <v>0.79547344402048414</v>
      </c>
      <c r="D10" s="25">
        <f>openDomain_long_FST1!U17</f>
        <v>0.36427409312299663</v>
      </c>
      <c r="E10" s="25">
        <f>openDomain_long_FST1!V17</f>
        <v>-0.32337484615225082</v>
      </c>
      <c r="F10" s="25">
        <f>openDomain_long_FST1!W17</f>
        <v>1.6364847754170162</v>
      </c>
      <c r="G10" s="35">
        <f>openDomain_long_FST1!X17</f>
        <v>-5.1174243105358778E-2</v>
      </c>
      <c r="H10" s="25"/>
      <c r="I10" s="26">
        <f>openDomain_long_FST2!P17</f>
        <v>60</v>
      </c>
      <c r="J10" s="34">
        <f>openDomain_long_FST2!S17</f>
        <v>8.3957844134965293E-2</v>
      </c>
      <c r="K10" s="25">
        <f>openDomain_long_FST2!T17</f>
        <v>1.1307056148726662</v>
      </c>
      <c r="L10" s="25">
        <f>openDomain_long_FST2!U17</f>
        <v>0.5416027139723435</v>
      </c>
      <c r="M10" s="25">
        <f>openDomain_long_FST2!V17</f>
        <v>-0.4505913866353084</v>
      </c>
      <c r="N10" s="25">
        <f>openDomain_long_FST2!W17</f>
        <v>0.28974679332282982</v>
      </c>
      <c r="O10" s="35">
        <f>openDomain_long_FST2!X17</f>
        <v>-7.6983872165764564E-2</v>
      </c>
    </row>
    <row r="11" spans="1:24" x14ac:dyDescent="0.25">
      <c r="H11" s="25"/>
      <c r="I11" s="26"/>
    </row>
    <row r="12" spans="1:24" x14ac:dyDescent="0.25">
      <c r="A12" s="26">
        <f>openDomain_long_FST1!P18</f>
        <v>90</v>
      </c>
      <c r="B12" s="34">
        <f>openDomain_long_FST1!S18</f>
        <v>0.28081580798741324</v>
      </c>
      <c r="C12" s="25">
        <f>openDomain_long_FST1!T18</f>
        <v>1.0238709387462637</v>
      </c>
      <c r="D12" s="25">
        <f>openDomain_long_FST1!U18</f>
        <v>0.3317579998152857</v>
      </c>
      <c r="E12" s="25">
        <f>openDomain_long_FST1!V18</f>
        <v>-0.41169856675272504</v>
      </c>
      <c r="F12" s="25">
        <f>openDomain_long_FST1!W18</f>
        <v>-9.4702993852845391E-2</v>
      </c>
      <c r="G12" s="35">
        <f>openDomain_long_FST1!X18</f>
        <v>6.4067428635522852E-3</v>
      </c>
      <c r="H12" s="25"/>
      <c r="I12" s="26">
        <f>openDomain_long_FST2!P18</f>
        <v>90</v>
      </c>
      <c r="J12" s="34">
        <f>openDomain_long_FST2!S18</f>
        <v>-0.2231348601382141</v>
      </c>
      <c r="K12" s="25">
        <f>openDomain_long_FST2!T18</f>
        <v>1.0648697459768313</v>
      </c>
      <c r="L12" s="25">
        <f>openDomain_long_FST2!U18</f>
        <v>0.35984014744806525</v>
      </c>
      <c r="M12" s="25">
        <f>openDomain_long_FST2!V18</f>
        <v>-0.43925352852053701</v>
      </c>
      <c r="N12" s="25">
        <f>openDomain_long_FST2!W18</f>
        <v>-0.81100635908499541</v>
      </c>
      <c r="O12" s="35">
        <f>openDomain_long_FST2!X18</f>
        <v>9.5280357702242982E-3</v>
      </c>
    </row>
    <row r="13" spans="1:24" x14ac:dyDescent="0.25">
      <c r="A13" s="26">
        <f>openDomain_long_FST1!P21</f>
        <v>0</v>
      </c>
      <c r="B13" s="34"/>
      <c r="C13" s="25"/>
      <c r="D13" s="25"/>
      <c r="E13" s="25"/>
      <c r="F13" s="25"/>
      <c r="G13" s="35"/>
      <c r="H13" s="25"/>
      <c r="I13" s="26">
        <f>openDomain_long_FST2!P21</f>
        <v>0</v>
      </c>
      <c r="J13" s="34"/>
      <c r="K13" s="25"/>
      <c r="L13" s="25"/>
      <c r="M13" s="25"/>
      <c r="N13" s="25"/>
      <c r="O13" s="35"/>
    </row>
    <row r="14" spans="1:24" x14ac:dyDescent="0.25">
      <c r="A14" s="26">
        <f>openDomain_long_FST1!P22</f>
        <v>0</v>
      </c>
      <c r="B14" s="34"/>
      <c r="C14" s="25"/>
      <c r="D14" s="25"/>
      <c r="E14" s="25"/>
      <c r="F14" s="25"/>
      <c r="G14" s="35"/>
      <c r="H14" s="25"/>
      <c r="I14" s="26">
        <f>openDomain_long_FST2!P22</f>
        <v>0</v>
      </c>
      <c r="J14" s="34"/>
      <c r="K14" s="25"/>
      <c r="L14" s="25"/>
      <c r="M14" s="25"/>
      <c r="N14" s="25"/>
      <c r="O14" s="35"/>
    </row>
    <row r="15" spans="1:24" x14ac:dyDescent="0.25">
      <c r="A15" s="26">
        <f>openDomain_long_FST1!P23</f>
        <v>0</v>
      </c>
      <c r="B15" s="34"/>
      <c r="C15" s="25"/>
      <c r="D15" s="25"/>
      <c r="E15" s="25"/>
      <c r="F15" s="25"/>
      <c r="G15" s="35"/>
      <c r="H15" s="25"/>
      <c r="I15" s="26">
        <f>openDomain_long_FST2!P23</f>
        <v>0</v>
      </c>
      <c r="J15" s="34"/>
      <c r="K15" s="25"/>
      <c r="L15" s="25"/>
      <c r="M15" s="25"/>
      <c r="N15" s="25"/>
      <c r="O15" s="35"/>
    </row>
    <row r="16" spans="1:24" x14ac:dyDescent="0.25">
      <c r="A16" s="26">
        <f>openDomain_long_FST1!P24</f>
        <v>0</v>
      </c>
      <c r="B16" s="34"/>
      <c r="C16" s="25"/>
      <c r="D16" s="25"/>
      <c r="E16" s="25"/>
      <c r="F16" s="25"/>
      <c r="G16" s="35"/>
      <c r="H16" s="25"/>
      <c r="I16" s="26">
        <f>openDomain_long_FST2!P24</f>
        <v>0</v>
      </c>
      <c r="J16" s="34"/>
      <c r="K16" s="25"/>
      <c r="L16" s="25"/>
      <c r="M16" s="25"/>
      <c r="N16" s="25"/>
      <c r="O16" s="35"/>
    </row>
    <row r="17" spans="1:15" x14ac:dyDescent="0.25">
      <c r="A17" s="26">
        <f>openDomain_long_FST1!P25</f>
        <v>0</v>
      </c>
      <c r="B17" s="34"/>
      <c r="C17" s="25"/>
      <c r="D17" s="25"/>
      <c r="E17" s="25"/>
      <c r="F17" s="25"/>
      <c r="G17" s="35"/>
      <c r="H17" s="25"/>
      <c r="I17" s="26">
        <f>openDomain_long_FST2!P25</f>
        <v>0</v>
      </c>
      <c r="J17" s="34"/>
      <c r="K17" s="25"/>
      <c r="L17" s="25"/>
      <c r="M17" s="25"/>
      <c r="N17" s="25"/>
      <c r="O17" s="35"/>
    </row>
    <row r="18" spans="1:15" x14ac:dyDescent="0.25">
      <c r="A18" s="26">
        <f>openDomain_long_FST1!P26</f>
        <v>0</v>
      </c>
      <c r="B18" s="34"/>
      <c r="C18" s="25"/>
      <c r="D18" s="25"/>
      <c r="E18" s="25"/>
      <c r="F18" s="25"/>
      <c r="G18" s="35"/>
      <c r="H18" s="25"/>
      <c r="I18" s="26">
        <f>openDomain_long_FST2!P26</f>
        <v>0</v>
      </c>
      <c r="J18" s="34"/>
      <c r="K18" s="25"/>
      <c r="L18" s="25"/>
      <c r="M18" s="25"/>
      <c r="N18" s="25"/>
      <c r="O18" s="35"/>
    </row>
    <row r="19" spans="1:15" x14ac:dyDescent="0.25">
      <c r="A19" s="27">
        <v>195</v>
      </c>
      <c r="B19" s="34"/>
      <c r="C19" s="25"/>
      <c r="D19" s="25"/>
      <c r="E19" s="25"/>
      <c r="F19" s="25"/>
      <c r="G19" s="35"/>
      <c r="H19" s="25"/>
      <c r="I19" s="27">
        <f t="shared" ref="I19:I30" si="3">A19</f>
        <v>195</v>
      </c>
      <c r="J19" s="34"/>
      <c r="K19" s="25"/>
      <c r="L19" s="25"/>
      <c r="M19" s="25"/>
      <c r="N19" s="25"/>
      <c r="O19" s="35"/>
    </row>
    <row r="20" spans="1:15" x14ac:dyDescent="0.25">
      <c r="A20" s="27">
        <v>210</v>
      </c>
      <c r="B20" s="34"/>
      <c r="C20" s="25"/>
      <c r="D20" s="25"/>
      <c r="E20" s="25"/>
      <c r="F20" s="25"/>
      <c r="G20" s="35"/>
      <c r="H20" s="25"/>
      <c r="I20" s="27">
        <f t="shared" si="3"/>
        <v>210</v>
      </c>
      <c r="J20" s="34"/>
      <c r="K20" s="25"/>
      <c r="L20" s="25"/>
      <c r="M20" s="25"/>
      <c r="N20" s="25"/>
      <c r="O20" s="35"/>
    </row>
    <row r="21" spans="1:15" x14ac:dyDescent="0.25">
      <c r="A21" s="27">
        <v>225</v>
      </c>
      <c r="B21" s="34"/>
      <c r="C21" s="25"/>
      <c r="D21" s="25"/>
      <c r="E21" s="25"/>
      <c r="F21" s="25"/>
      <c r="G21" s="35"/>
      <c r="H21" s="25"/>
      <c r="I21" s="27">
        <f t="shared" si="3"/>
        <v>225</v>
      </c>
      <c r="J21" s="34"/>
      <c r="K21" s="25"/>
      <c r="L21" s="25"/>
      <c r="M21" s="25"/>
      <c r="N21" s="25"/>
      <c r="O21" s="35"/>
    </row>
    <row r="22" spans="1:15" x14ac:dyDescent="0.25">
      <c r="A22" s="27">
        <v>240</v>
      </c>
      <c r="B22" s="34"/>
      <c r="C22" s="25"/>
      <c r="D22" s="25"/>
      <c r="E22" s="25"/>
      <c r="F22" s="25"/>
      <c r="G22" s="35"/>
      <c r="H22" s="25"/>
      <c r="I22" s="27">
        <f t="shared" si="3"/>
        <v>240</v>
      </c>
      <c r="J22" s="34"/>
      <c r="K22" s="25"/>
      <c r="L22" s="25"/>
      <c r="M22" s="25"/>
      <c r="N22" s="25"/>
      <c r="O22" s="35"/>
    </row>
    <row r="23" spans="1:15" ht="14.25" customHeight="1" x14ac:dyDescent="0.25">
      <c r="A23" s="27">
        <v>255</v>
      </c>
      <c r="B23" s="34"/>
      <c r="C23" s="25"/>
      <c r="D23" s="25"/>
      <c r="E23" s="25"/>
      <c r="F23" s="25"/>
      <c r="G23" s="35"/>
      <c r="H23" s="25"/>
      <c r="I23" s="27">
        <f t="shared" si="3"/>
        <v>255</v>
      </c>
      <c r="J23" s="34"/>
      <c r="K23" s="25"/>
      <c r="L23" s="25"/>
      <c r="M23" s="25"/>
      <c r="N23" s="25"/>
      <c r="O23" s="35"/>
    </row>
    <row r="24" spans="1:15" x14ac:dyDescent="0.25">
      <c r="A24" s="27">
        <v>270</v>
      </c>
      <c r="B24" s="34">
        <f>openDomain_long_FST1!S19</f>
        <v>0.1421122942067034</v>
      </c>
      <c r="C24" s="25">
        <f>openDomain_long_FST1!T19</f>
        <v>-0.95592697050694575</v>
      </c>
      <c r="D24" s="25">
        <f>openDomain_long_FST1!U19</f>
        <v>0.45577921003565552</v>
      </c>
      <c r="E24" s="25">
        <f>openDomain_long_FST1!V19</f>
        <v>0.45120215425747762</v>
      </c>
      <c r="F24" s="25">
        <f>openDomain_long_FST1!W19</f>
        <v>1.028651832759758</v>
      </c>
      <c r="G24" s="35">
        <f>openDomain_long_FST1!X19</f>
        <v>-1.6863755722814011E-2</v>
      </c>
      <c r="H24" s="25"/>
      <c r="I24" s="27">
        <f t="shared" si="3"/>
        <v>270</v>
      </c>
      <c r="J24" s="34">
        <f>openDomain_long_FST2!S19</f>
        <v>-6.8140538029109701E-2</v>
      </c>
      <c r="K24" s="25">
        <f>openDomain_long_FST2!T19</f>
        <v>-1.007988870887943</v>
      </c>
      <c r="L24" s="25">
        <f>openDomain_long_FST2!U19</f>
        <v>0.47096746293060299</v>
      </c>
      <c r="M24" s="25">
        <f>openDomain_long_FST2!V19</f>
        <v>0.46901250212852852</v>
      </c>
      <c r="N24" s="25">
        <f>openDomain_long_FST2!W19</f>
        <v>-2.5915868284236283</v>
      </c>
      <c r="O24" s="35">
        <f>openDomain_long_FST2!X19</f>
        <v>-1.5314643825442936E-2</v>
      </c>
    </row>
    <row r="25" spans="1:15" x14ac:dyDescent="0.25">
      <c r="A25" s="27">
        <v>285</v>
      </c>
      <c r="B25" s="34"/>
      <c r="C25" s="25"/>
      <c r="D25" s="25"/>
      <c r="E25" s="25"/>
      <c r="F25" s="25"/>
      <c r="G25" s="35"/>
      <c r="H25" s="25"/>
      <c r="I25" s="27">
        <f t="shared" si="3"/>
        <v>285</v>
      </c>
      <c r="J25" s="34"/>
      <c r="K25" s="25"/>
      <c r="L25" s="25"/>
      <c r="M25" s="25"/>
      <c r="N25" s="25"/>
      <c r="O25" s="35"/>
    </row>
    <row r="26" spans="1:15" x14ac:dyDescent="0.25">
      <c r="A26" s="27">
        <v>300</v>
      </c>
      <c r="B26" s="34"/>
      <c r="C26" s="25"/>
      <c r="D26" s="25"/>
      <c r="E26" s="25"/>
      <c r="F26" s="25"/>
      <c r="G26" s="35"/>
      <c r="H26" s="25"/>
      <c r="I26" s="27">
        <f t="shared" si="3"/>
        <v>300</v>
      </c>
      <c r="J26" s="34"/>
      <c r="K26" s="25"/>
      <c r="L26" s="25"/>
      <c r="M26" s="25"/>
      <c r="N26" s="25"/>
      <c r="O26" s="35"/>
    </row>
    <row r="27" spans="1:15" x14ac:dyDescent="0.25">
      <c r="A27" s="27">
        <v>315</v>
      </c>
      <c r="B27" s="34"/>
      <c r="C27" s="25"/>
      <c r="D27" s="25"/>
      <c r="E27" s="25"/>
      <c r="F27" s="25"/>
      <c r="G27" s="35"/>
      <c r="H27" s="25"/>
      <c r="I27" s="27">
        <f t="shared" si="3"/>
        <v>315</v>
      </c>
      <c r="J27" s="34"/>
      <c r="K27" s="25"/>
      <c r="L27" s="25"/>
      <c r="M27" s="25"/>
      <c r="N27" s="25"/>
      <c r="O27" s="35"/>
    </row>
    <row r="28" spans="1:15" x14ac:dyDescent="0.25">
      <c r="A28" s="27">
        <v>330</v>
      </c>
      <c r="B28" s="34"/>
      <c r="C28" s="25"/>
      <c r="D28" s="25"/>
      <c r="E28" s="25"/>
      <c r="F28" s="25"/>
      <c r="G28" s="35"/>
      <c r="H28" s="25"/>
      <c r="I28" s="27">
        <f t="shared" si="3"/>
        <v>330</v>
      </c>
      <c r="J28" s="34"/>
      <c r="K28" s="25"/>
      <c r="L28" s="25"/>
      <c r="M28" s="25"/>
      <c r="N28" s="25"/>
      <c r="O28" s="35"/>
    </row>
    <row r="29" spans="1:15" x14ac:dyDescent="0.25">
      <c r="A29" s="27">
        <v>345</v>
      </c>
      <c r="B29" s="34"/>
      <c r="C29" s="25"/>
      <c r="D29" s="25"/>
      <c r="E29" s="25"/>
      <c r="F29" s="25"/>
      <c r="G29" s="35"/>
      <c r="H29" s="25"/>
      <c r="I29" s="27">
        <f t="shared" si="3"/>
        <v>345</v>
      </c>
      <c r="J29" s="34"/>
      <c r="K29" s="25"/>
      <c r="L29" s="25"/>
      <c r="M29" s="25"/>
      <c r="N29" s="25"/>
      <c r="O29" s="35"/>
    </row>
    <row r="30" spans="1:15" x14ac:dyDescent="0.25">
      <c r="A30" s="29">
        <v>360</v>
      </c>
      <c r="B30" s="36"/>
      <c r="C30" s="37"/>
      <c r="D30" s="37"/>
      <c r="E30" s="37"/>
      <c r="F30" s="37"/>
      <c r="G30" s="38"/>
      <c r="H30" s="28"/>
      <c r="I30" s="29">
        <f t="shared" si="3"/>
        <v>360</v>
      </c>
      <c r="J30" s="36"/>
      <c r="K30" s="37"/>
      <c r="L30" s="37"/>
      <c r="M30" s="37"/>
      <c r="N30" s="37"/>
      <c r="O30" s="38"/>
    </row>
    <row r="31" spans="1:15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15.75" customHeight="1" x14ac:dyDescent="0.25">
      <c r="A32" s="221" t="s">
        <v>66</v>
      </c>
      <c r="B32" s="221"/>
      <c r="C32" s="221"/>
      <c r="D32" s="221"/>
      <c r="E32" s="221"/>
      <c r="F32" s="221"/>
      <c r="G32" s="221"/>
      <c r="H32" s="13"/>
      <c r="I32" s="221" t="s">
        <v>67</v>
      </c>
      <c r="J32" s="221"/>
      <c r="K32" s="221"/>
      <c r="L32" s="221"/>
      <c r="M32" s="221"/>
      <c r="N32" s="221"/>
      <c r="O32" s="221"/>
    </row>
    <row r="33" spans="1:15" x14ac:dyDescent="0.25">
      <c r="A33" s="14" t="s">
        <v>55</v>
      </c>
      <c r="B33" s="15">
        <f>topoDomain_long_FST1!S5</f>
        <v>1678</v>
      </c>
      <c r="C33" s="15">
        <f>topoDomain_long_FST1!T5</f>
        <v>7811</v>
      </c>
      <c r="D33" s="15">
        <f>topoDomain_long_FST1!U5</f>
        <v>8949</v>
      </c>
      <c r="E33" s="15">
        <f>topoDomain_long_FST1!V5</f>
        <v>298215</v>
      </c>
      <c r="F33" s="15">
        <f>topoDomain_long_FST1!W5</f>
        <v>32704</v>
      </c>
      <c r="G33" s="15">
        <f>topoDomain_long_FST1!X5</f>
        <v>1598052</v>
      </c>
      <c r="H33" s="16"/>
      <c r="I33" s="14" t="s">
        <v>55</v>
      </c>
      <c r="J33" s="15">
        <f t="shared" ref="J33:O33" si="4">B33</f>
        <v>1678</v>
      </c>
      <c r="K33" s="15">
        <f t="shared" si="4"/>
        <v>7811</v>
      </c>
      <c r="L33" s="15">
        <f t="shared" si="4"/>
        <v>8949</v>
      </c>
      <c r="M33" s="15">
        <f t="shared" si="4"/>
        <v>298215</v>
      </c>
      <c r="N33" s="15">
        <f t="shared" si="4"/>
        <v>32704</v>
      </c>
      <c r="O33" s="15">
        <f t="shared" si="4"/>
        <v>1598052</v>
      </c>
    </row>
    <row r="34" spans="1:15" x14ac:dyDescent="0.25">
      <c r="A34" s="17"/>
      <c r="B34" s="18" t="s">
        <v>57</v>
      </c>
      <c r="C34" s="18" t="s">
        <v>57</v>
      </c>
      <c r="D34" s="18" t="s">
        <v>57</v>
      </c>
      <c r="E34" s="18" t="s">
        <v>58</v>
      </c>
      <c r="F34" s="18" t="s">
        <v>58</v>
      </c>
      <c r="G34" s="18" t="s">
        <v>58</v>
      </c>
      <c r="H34" s="19"/>
      <c r="I34" s="17"/>
      <c r="J34" s="18" t="s">
        <v>57</v>
      </c>
      <c r="K34" s="18" t="s">
        <v>57</v>
      </c>
      <c r="L34" s="18" t="s">
        <v>57</v>
      </c>
      <c r="M34" s="18" t="s">
        <v>58</v>
      </c>
      <c r="N34" s="18" t="s">
        <v>58</v>
      </c>
      <c r="O34" s="18" t="s">
        <v>58</v>
      </c>
    </row>
    <row r="35" spans="1:15" ht="27" x14ac:dyDescent="0.25">
      <c r="A35" s="20" t="s">
        <v>59</v>
      </c>
      <c r="B35" s="21" t="s">
        <v>60</v>
      </c>
      <c r="C35" s="21" t="s">
        <v>61</v>
      </c>
      <c r="D35" s="21" t="s">
        <v>62</v>
      </c>
      <c r="E35" s="21" t="s">
        <v>63</v>
      </c>
      <c r="F35" s="21" t="s">
        <v>64</v>
      </c>
      <c r="G35" s="21" t="s">
        <v>65</v>
      </c>
      <c r="H35" s="13"/>
      <c r="I35" s="20" t="s">
        <v>59</v>
      </c>
      <c r="J35" s="21" t="s">
        <v>60</v>
      </c>
      <c r="K35" s="21" t="s">
        <v>61</v>
      </c>
      <c r="L35" s="21" t="s">
        <v>62</v>
      </c>
      <c r="M35" s="21" t="s">
        <v>63</v>
      </c>
      <c r="N35" s="21" t="s">
        <v>64</v>
      </c>
      <c r="O35" s="21" t="s">
        <v>65</v>
      </c>
    </row>
    <row r="36" spans="1:15" ht="33.75" x14ac:dyDescent="0.25">
      <c r="A36" s="22"/>
      <c r="B36" s="23" t="str">
        <f t="shared" ref="B36:G36" si="5">CONCATENATE($A$32,"-",B35)</f>
        <v>topoDomain-long-FST1-Cx [-]</v>
      </c>
      <c r="C36" s="23" t="str">
        <f t="shared" si="5"/>
        <v>topoDomain-long-FST1-Cy [-]</v>
      </c>
      <c r="D36" s="23" t="str">
        <f t="shared" si="5"/>
        <v>topoDomain-long-FST1-Cz [-]</v>
      </c>
      <c r="E36" s="23" t="str">
        <f t="shared" si="5"/>
        <v>topoDomain-long-FST1-Cnx [-]</v>
      </c>
      <c r="F36" s="23" t="str">
        <f t="shared" si="5"/>
        <v>topoDomain-long-FST1-Cny [-]</v>
      </c>
      <c r="G36" s="23" t="str">
        <f t="shared" si="5"/>
        <v>topoDomain-long-FST1-Cnz [-]</v>
      </c>
      <c r="H36" s="24"/>
      <c r="I36" s="22"/>
      <c r="J36" s="23" t="str">
        <f t="shared" ref="J36:O36" si="6">CONCATENATE($I$32,"-",J35)</f>
        <v>topoDomain-long-FST2-Cx [-]</v>
      </c>
      <c r="K36" s="23" t="str">
        <f t="shared" si="6"/>
        <v>topoDomain-long-FST2-Cy [-]</v>
      </c>
      <c r="L36" s="23" t="str">
        <f t="shared" si="6"/>
        <v>topoDomain-long-FST2-Cz [-]</v>
      </c>
      <c r="M36" s="23" t="str">
        <f t="shared" si="6"/>
        <v>topoDomain-long-FST2-Cnx [-]</v>
      </c>
      <c r="N36" s="23" t="str">
        <f t="shared" si="6"/>
        <v>topoDomain-long-FST2-Cny [-]</v>
      </c>
      <c r="O36" s="23" t="str">
        <f t="shared" si="6"/>
        <v>topoDomain-long-FST2-Cnz [-]</v>
      </c>
    </row>
    <row r="37" spans="1:15" x14ac:dyDescent="0.25">
      <c r="A37" s="26">
        <f>topoDomain_long_FST1!P14</f>
        <v>0</v>
      </c>
      <c r="B37" s="31">
        <f>topoDomain_long_FST1!S14</f>
        <v>0.373139765871146</v>
      </c>
      <c r="C37" s="32">
        <f>topoDomain_long_FST1!T14</f>
        <v>2.8664274511544165E-2</v>
      </c>
      <c r="D37" s="32">
        <f>topoDomain_long_FST1!U14</f>
        <v>0.20893043022474142</v>
      </c>
      <c r="E37" s="32">
        <f>topoDomain_long_FST1!V14</f>
        <v>-3.2417730333679068E-3</v>
      </c>
      <c r="F37" s="32">
        <f>topoDomain_long_FST1!W14</f>
        <v>-4.1081922375512801E-2</v>
      </c>
      <c r="G37" s="33">
        <f>topoDomain_long_FST1!X14</f>
        <v>3.4037029322772275E-4</v>
      </c>
      <c r="H37" s="25"/>
      <c r="I37" s="26">
        <f>topoDomain_long_FST2!P14</f>
        <v>0</v>
      </c>
      <c r="J37" s="31">
        <f>topoDomain_long_FST2!S14</f>
        <v>0.92177447619751585</v>
      </c>
      <c r="K37" s="32">
        <f>topoDomain_long_FST2!T14</f>
        <v>-0.12042295748690725</v>
      </c>
      <c r="L37" s="32">
        <f>topoDomain_long_FST2!U14</f>
        <v>0.15452992658739959</v>
      </c>
      <c r="M37" s="32">
        <f>topoDomain_long_FST2!V14</f>
        <v>5.1153933840397368E-2</v>
      </c>
      <c r="N37" s="32">
        <f>topoDomain_long_FST2!W14</f>
        <v>1.6704885997353174</v>
      </c>
      <c r="O37" s="33">
        <f>topoDomain_long_FST2!X14</f>
        <v>1.7454621317992126E-2</v>
      </c>
    </row>
    <row r="38" spans="1:15" x14ac:dyDescent="0.25">
      <c r="H38" s="25"/>
    </row>
    <row r="39" spans="1:15" x14ac:dyDescent="0.25">
      <c r="A39" s="26">
        <f>topoDomain_long_FST1!P15</f>
        <v>30</v>
      </c>
      <c r="B39" s="34">
        <f>topoDomain_long_FST1!S15</f>
        <v>0.81364600231163431</v>
      </c>
      <c r="C39" s="25">
        <f>topoDomain_long_FST1!T15</f>
        <v>0.10052553405130123</v>
      </c>
      <c r="D39" s="25">
        <f>topoDomain_long_FST1!U15</f>
        <v>-0.12280257994514754</v>
      </c>
      <c r="E39" s="25">
        <f>topoDomain_long_FST1!V15</f>
        <v>-4.8615328981526464E-2</v>
      </c>
      <c r="F39" s="25">
        <f>topoDomain_long_FST1!W15</f>
        <v>-2.4924440547165031E-2</v>
      </c>
      <c r="G39" s="35">
        <f>topoDomain_long_FST1!X15</f>
        <v>-3.4959684586157141E-4</v>
      </c>
      <c r="H39" s="25"/>
      <c r="I39" s="26">
        <f>topoDomain_long_FST2!P15</f>
        <v>30</v>
      </c>
      <c r="J39" s="34">
        <f>topoDomain_long_FST2!S15</f>
        <v>0.94208337018132748</v>
      </c>
      <c r="K39" s="25">
        <f>topoDomain_long_FST2!T15</f>
        <v>0.13993162476047377</v>
      </c>
      <c r="L39" s="25">
        <f>topoDomain_long_FST2!U15</f>
        <v>-0.22088344018755893</v>
      </c>
      <c r="M39" s="25">
        <f>topoDomain_long_FST2!V15</f>
        <v>-5.5344700723209829E-2</v>
      </c>
      <c r="N39" s="25">
        <f>topoDomain_long_FST2!W15</f>
        <v>1.2591080767684584</v>
      </c>
      <c r="O39" s="35">
        <f>topoDomain_long_FST2!X15</f>
        <v>-2.2350794003844387E-2</v>
      </c>
    </row>
    <row r="40" spans="1:15" x14ac:dyDescent="0.25">
      <c r="A40" s="26">
        <f>topoDomain_long_FST1!P16</f>
        <v>45</v>
      </c>
      <c r="B40" s="34">
        <f>topoDomain_long_FST1!S16</f>
        <v>0.67451451502980175</v>
      </c>
      <c r="C40" s="25">
        <f>topoDomain_long_FST1!T16</f>
        <v>0.16628176022125524</v>
      </c>
      <c r="D40" s="25">
        <f>topoDomain_long_FST1!U16</f>
        <v>-0.31637040477227901</v>
      </c>
      <c r="E40" s="25">
        <f>topoDomain_long_FST1!V16</f>
        <v>-7.7900925691821055E-2</v>
      </c>
      <c r="F40" s="25">
        <f>topoDomain_long_FST1!W16</f>
        <v>0.72586100799032582</v>
      </c>
      <c r="G40" s="35">
        <f>topoDomain_long_FST1!X16</f>
        <v>-1.1948243354870752E-2</v>
      </c>
      <c r="H40" s="25"/>
      <c r="I40" s="26">
        <f>topoDomain_long_FST2!P16</f>
        <v>45</v>
      </c>
      <c r="J40" s="34">
        <f>topoDomain_long_FST2!S16</f>
        <v>0.68900394262536346</v>
      </c>
      <c r="K40" s="25">
        <f>topoDomain_long_FST2!T16</f>
        <v>0.31129846083641122</v>
      </c>
      <c r="L40" s="25">
        <f>topoDomain_long_FST2!U16</f>
        <v>-0.38175835909660921</v>
      </c>
      <c r="M40" s="25">
        <f>topoDomain_long_FST2!V16</f>
        <v>-0.13023778097125913</v>
      </c>
      <c r="N40" s="25">
        <f>topoDomain_long_FST2!W16</f>
        <v>0.78202216383526979</v>
      </c>
      <c r="O40" s="35">
        <f>topoDomain_long_FST2!X16</f>
        <v>-4.7870715597347201E-2</v>
      </c>
    </row>
    <row r="41" spans="1:15" ht="14.25" customHeight="1" x14ac:dyDescent="0.25">
      <c r="A41" s="26">
        <f>topoDomain_long_FST1!P17</f>
        <v>60</v>
      </c>
      <c r="B41" s="34">
        <f>topoDomain_long_FST1!S17</f>
        <v>0.32790572281245017</v>
      </c>
      <c r="C41" s="25">
        <f>topoDomain_long_FST1!T17</f>
        <v>0.25282581913165503</v>
      </c>
      <c r="D41" s="25">
        <f>topoDomain_long_FST1!U17</f>
        <v>-0.54377187640672975</v>
      </c>
      <c r="E41" s="25">
        <f>topoDomain_long_FST1!V17</f>
        <v>-0.10948373567156723</v>
      </c>
      <c r="F41" s="25">
        <f>topoDomain_long_FST1!W17</f>
        <v>1.1380755031517757</v>
      </c>
      <c r="G41" s="35">
        <f>topoDomain_long_FST1!X17</f>
        <v>-1.5811645117761071E-2</v>
      </c>
      <c r="H41" s="25"/>
      <c r="I41" s="26">
        <f>topoDomain_long_FST2!P17</f>
        <v>60</v>
      </c>
      <c r="J41" s="34">
        <f>topoDomain_long_FST2!S17</f>
        <v>0.21358990536555192</v>
      </c>
      <c r="K41" s="25">
        <f>topoDomain_long_FST2!T17</f>
        <v>0.46176796983780577</v>
      </c>
      <c r="L41" s="25">
        <f>topoDomain_long_FST2!U17</f>
        <v>-0.55111795519345286</v>
      </c>
      <c r="M41" s="25">
        <f>topoDomain_long_FST2!V17</f>
        <v>-0.18065150049587217</v>
      </c>
      <c r="N41" s="25">
        <f>topoDomain_long_FST2!W17</f>
        <v>3.2081850859171319E-2</v>
      </c>
      <c r="O41" s="35">
        <f>topoDomain_long_FST2!X17</f>
        <v>-5.7546827631412015E-2</v>
      </c>
    </row>
    <row r="42" spans="1:15" x14ac:dyDescent="0.25">
      <c r="H42" s="25"/>
    </row>
    <row r="43" spans="1:15" x14ac:dyDescent="0.25">
      <c r="A43" s="26">
        <f>topoDomain_long_FST1!P18</f>
        <v>90</v>
      </c>
      <c r="B43" s="34">
        <f>topoDomain_long_FST1!S18</f>
        <v>0.25532706279470146</v>
      </c>
      <c r="C43" s="25">
        <f>topoDomain_long_FST1!T18</f>
        <v>0.45608723894552172</v>
      </c>
      <c r="D43" s="25">
        <f>topoDomain_long_FST1!U18</f>
        <v>-0.66241650885719228</v>
      </c>
      <c r="E43" s="25">
        <f>topoDomain_long_FST1!V18</f>
        <v>-0.18244782393471748</v>
      </c>
      <c r="F43" s="25">
        <f>topoDomain_long_FST1!W18</f>
        <v>-1.0149168234247082E-2</v>
      </c>
      <c r="G43" s="35">
        <f>topoDomain_long_FST1!X18</f>
        <v>2.6828709556505941E-2</v>
      </c>
      <c r="H43" s="25"/>
      <c r="I43" s="26">
        <f>topoDomain_long_FST2!P18</f>
        <v>90</v>
      </c>
      <c r="J43" s="34">
        <f>topoDomain_long_FST2!S18</f>
        <v>-2.7196705811335632E-2</v>
      </c>
      <c r="K43" s="25">
        <f>topoDomain_long_FST2!T18</f>
        <v>0.48229210218771751</v>
      </c>
      <c r="L43" s="25">
        <f>topoDomain_long_FST2!U18</f>
        <v>-0.62015980717771502</v>
      </c>
      <c r="M43" s="25">
        <f>topoDomain_long_FST2!V18</f>
        <v>-0.19869229713027287</v>
      </c>
      <c r="N43" s="25">
        <f>topoDomain_long_FST2!W18</f>
        <v>-1.6134189116206108</v>
      </c>
      <c r="O43" s="35">
        <f>topoDomain_long_FST2!X18</f>
        <v>1.6211603971504559E-2</v>
      </c>
    </row>
    <row r="44" spans="1:15" x14ac:dyDescent="0.25">
      <c r="A44" s="26"/>
      <c r="B44" s="34"/>
      <c r="C44" s="25"/>
      <c r="D44" s="25"/>
      <c r="E44" s="25"/>
      <c r="F44" s="25"/>
      <c r="G44" s="35"/>
      <c r="H44" s="25"/>
      <c r="I44" s="26"/>
      <c r="J44" s="34"/>
      <c r="K44" s="25"/>
      <c r="L44" s="25"/>
      <c r="M44" s="25"/>
      <c r="N44" s="25"/>
      <c r="O44" s="35"/>
    </row>
    <row r="45" spans="1:15" x14ac:dyDescent="0.25">
      <c r="A45" s="26"/>
      <c r="B45" s="34"/>
      <c r="C45" s="25"/>
      <c r="D45" s="25"/>
      <c r="E45" s="25"/>
      <c r="F45" s="25"/>
      <c r="G45" s="35"/>
      <c r="H45" s="25"/>
      <c r="I45" s="26"/>
      <c r="J45" s="34"/>
      <c r="K45" s="25"/>
      <c r="L45" s="25"/>
      <c r="M45" s="25"/>
      <c r="N45" s="25"/>
      <c r="O45" s="35"/>
    </row>
    <row r="46" spans="1:15" x14ac:dyDescent="0.25">
      <c r="A46" s="26"/>
      <c r="B46" s="34"/>
      <c r="C46" s="25"/>
      <c r="D46" s="25"/>
      <c r="E46" s="25"/>
      <c r="F46" s="25"/>
      <c r="G46" s="35"/>
      <c r="H46" s="25"/>
      <c r="I46" s="26"/>
      <c r="J46" s="34"/>
      <c r="K46" s="25"/>
      <c r="L46" s="25"/>
      <c r="M46" s="25"/>
      <c r="N46" s="25"/>
      <c r="O46" s="35"/>
    </row>
    <row r="47" spans="1:15" x14ac:dyDescent="0.25">
      <c r="A47" s="26"/>
      <c r="B47" s="34"/>
      <c r="C47" s="25"/>
      <c r="D47" s="25"/>
      <c r="E47" s="25"/>
      <c r="F47" s="25"/>
      <c r="G47" s="35"/>
      <c r="H47" s="25"/>
      <c r="I47" s="26"/>
      <c r="J47" s="34"/>
      <c r="K47" s="25"/>
      <c r="L47" s="25"/>
      <c r="M47" s="25"/>
      <c r="N47" s="25"/>
      <c r="O47" s="35"/>
    </row>
    <row r="48" spans="1:15" x14ac:dyDescent="0.25">
      <c r="A48" s="26"/>
      <c r="B48" s="34"/>
      <c r="C48" s="25"/>
      <c r="D48" s="25"/>
      <c r="E48" s="25"/>
      <c r="F48" s="25"/>
      <c r="G48" s="35"/>
      <c r="H48" s="25"/>
      <c r="I48" s="26"/>
      <c r="J48" s="34"/>
      <c r="K48" s="25"/>
      <c r="L48" s="25"/>
      <c r="M48" s="25"/>
      <c r="N48" s="25"/>
      <c r="O48" s="35"/>
    </row>
    <row r="49" spans="1:15" x14ac:dyDescent="0.25">
      <c r="A49" s="26"/>
      <c r="B49" s="34"/>
      <c r="C49" s="25"/>
      <c r="D49" s="25"/>
      <c r="E49" s="25"/>
      <c r="F49" s="25"/>
      <c r="G49" s="35"/>
      <c r="H49" s="25"/>
      <c r="I49" s="26"/>
      <c r="J49" s="34"/>
      <c r="K49" s="25"/>
      <c r="L49" s="25"/>
      <c r="M49" s="25"/>
      <c r="N49" s="25"/>
      <c r="O49" s="35"/>
    </row>
    <row r="50" spans="1:15" x14ac:dyDescent="0.25">
      <c r="A50" s="27"/>
      <c r="B50" s="34"/>
      <c r="C50" s="25"/>
      <c r="D50" s="25"/>
      <c r="E50" s="25"/>
      <c r="F50" s="25"/>
      <c r="G50" s="35"/>
      <c r="H50" s="25"/>
      <c r="I50" s="27"/>
      <c r="J50" s="34"/>
      <c r="K50" s="25"/>
      <c r="L50" s="25"/>
      <c r="M50" s="25"/>
      <c r="N50" s="25"/>
      <c r="O50" s="35"/>
    </row>
    <row r="51" spans="1:15" x14ac:dyDescent="0.25">
      <c r="A51" s="27"/>
      <c r="B51" s="34"/>
      <c r="C51" s="25"/>
      <c r="D51" s="25"/>
      <c r="E51" s="25"/>
      <c r="F51" s="25"/>
      <c r="G51" s="35"/>
      <c r="H51" s="25"/>
      <c r="I51" s="27"/>
      <c r="J51" s="34"/>
      <c r="K51" s="25"/>
      <c r="L51" s="25"/>
      <c r="M51" s="25"/>
      <c r="N51" s="25"/>
      <c r="O51" s="35"/>
    </row>
    <row r="52" spans="1:15" x14ac:dyDescent="0.25">
      <c r="A52" s="27"/>
      <c r="B52" s="34"/>
      <c r="C52" s="25"/>
      <c r="D52" s="25"/>
      <c r="E52" s="25"/>
      <c r="F52" s="25"/>
      <c r="G52" s="35"/>
      <c r="H52" s="25"/>
      <c r="I52" s="27"/>
      <c r="J52" s="34"/>
      <c r="K52" s="25"/>
      <c r="L52" s="25"/>
      <c r="M52" s="25"/>
      <c r="N52" s="25"/>
      <c r="O52" s="35"/>
    </row>
    <row r="53" spans="1:15" x14ac:dyDescent="0.25">
      <c r="A53" s="27"/>
      <c r="B53" s="34"/>
      <c r="C53" s="25"/>
      <c r="D53" s="25"/>
      <c r="E53" s="25"/>
      <c r="F53" s="25"/>
      <c r="G53" s="35"/>
      <c r="H53" s="25"/>
      <c r="I53" s="27"/>
      <c r="J53" s="34"/>
      <c r="K53" s="25"/>
      <c r="L53" s="25"/>
      <c r="M53" s="25"/>
      <c r="N53" s="25"/>
      <c r="O53" s="35"/>
    </row>
    <row r="54" spans="1:15" x14ac:dyDescent="0.25">
      <c r="A54" s="27"/>
      <c r="B54" s="34"/>
      <c r="C54" s="25"/>
      <c r="D54" s="25"/>
      <c r="E54" s="25"/>
      <c r="F54" s="25"/>
      <c r="G54" s="35"/>
      <c r="H54" s="25"/>
      <c r="I54" s="27"/>
      <c r="J54" s="34"/>
      <c r="K54" s="25"/>
      <c r="L54" s="25"/>
      <c r="M54" s="25"/>
      <c r="N54" s="25"/>
      <c r="O54" s="35"/>
    </row>
    <row r="55" spans="1:15" x14ac:dyDescent="0.25">
      <c r="A55" s="27"/>
      <c r="B55" s="34"/>
      <c r="C55" s="25"/>
      <c r="D55" s="25"/>
      <c r="E55" s="25"/>
      <c r="F55" s="25"/>
      <c r="G55" s="35"/>
      <c r="H55" s="25"/>
      <c r="I55" s="27"/>
      <c r="J55" s="34"/>
      <c r="K55" s="25"/>
      <c r="L55" s="25"/>
      <c r="M55" s="25"/>
      <c r="N55" s="25"/>
      <c r="O55" s="35"/>
    </row>
    <row r="56" spans="1:15" x14ac:dyDescent="0.25">
      <c r="A56" s="27"/>
      <c r="B56" s="34"/>
      <c r="C56" s="25"/>
      <c r="D56" s="25"/>
      <c r="E56" s="25"/>
      <c r="F56" s="25"/>
      <c r="G56" s="35"/>
      <c r="H56" s="25"/>
      <c r="I56" s="27"/>
      <c r="J56" s="34"/>
      <c r="K56" s="25"/>
      <c r="L56" s="25"/>
      <c r="M56" s="25"/>
      <c r="N56" s="25"/>
      <c r="O56" s="35"/>
    </row>
    <row r="57" spans="1:15" x14ac:dyDescent="0.25">
      <c r="A57" s="27"/>
      <c r="B57" s="34"/>
      <c r="C57" s="25"/>
      <c r="D57" s="25"/>
      <c r="E57" s="25"/>
      <c r="F57" s="25"/>
      <c r="G57" s="35"/>
      <c r="H57" s="25"/>
      <c r="I57" s="27"/>
      <c r="J57" s="34"/>
      <c r="K57" s="25"/>
      <c r="L57" s="25"/>
      <c r="M57" s="25"/>
      <c r="N57" s="25"/>
      <c r="O57" s="35"/>
    </row>
    <row r="58" spans="1:15" x14ac:dyDescent="0.25">
      <c r="A58" s="27"/>
      <c r="B58" s="34"/>
      <c r="C58" s="25"/>
      <c r="D58" s="25"/>
      <c r="E58" s="25"/>
      <c r="F58" s="25"/>
      <c r="G58" s="35"/>
      <c r="H58" s="25"/>
      <c r="I58" s="27"/>
      <c r="J58" s="34"/>
      <c r="K58" s="25"/>
      <c r="L58" s="25"/>
      <c r="M58" s="25"/>
      <c r="N58" s="25"/>
      <c r="O58" s="35"/>
    </row>
    <row r="59" spans="1:15" x14ac:dyDescent="0.25">
      <c r="A59" s="27"/>
      <c r="B59" s="34"/>
      <c r="C59" s="25"/>
      <c r="D59" s="25"/>
      <c r="E59" s="25"/>
      <c r="F59" s="25"/>
      <c r="G59" s="35"/>
      <c r="H59" s="25"/>
      <c r="I59" s="27"/>
      <c r="J59" s="34"/>
      <c r="K59" s="25"/>
      <c r="L59" s="25"/>
      <c r="M59" s="25"/>
      <c r="N59" s="25"/>
      <c r="O59" s="35"/>
    </row>
    <row r="60" spans="1:15" x14ac:dyDescent="0.25">
      <c r="A60" s="27"/>
      <c r="B60" s="34"/>
      <c r="C60" s="25"/>
      <c r="D60" s="25"/>
      <c r="E60" s="25"/>
      <c r="F60" s="25"/>
      <c r="G60" s="35"/>
      <c r="H60" s="25"/>
      <c r="I60" s="27"/>
      <c r="J60" s="34"/>
      <c r="K60" s="25"/>
      <c r="L60" s="25"/>
      <c r="M60" s="25"/>
      <c r="N60" s="25"/>
      <c r="O60" s="35"/>
    </row>
    <row r="61" spans="1:15" x14ac:dyDescent="0.25">
      <c r="A61" s="29"/>
      <c r="B61" s="36"/>
      <c r="C61" s="37"/>
      <c r="D61" s="37"/>
      <c r="E61" s="37"/>
      <c r="F61" s="37"/>
      <c r="G61" s="38"/>
      <c r="H61" s="28"/>
      <c r="I61" s="29"/>
      <c r="J61" s="36"/>
      <c r="K61" s="37"/>
      <c r="L61" s="37"/>
      <c r="M61" s="37"/>
      <c r="N61" s="37"/>
      <c r="O61" s="38"/>
    </row>
    <row r="62" spans="1:15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spans="1:15" ht="15.75" customHeight="1" x14ac:dyDescent="0.25">
      <c r="A63" s="221" t="s">
        <v>68</v>
      </c>
      <c r="B63" s="221"/>
      <c r="C63" s="221"/>
      <c r="D63" s="221"/>
      <c r="E63" s="221"/>
      <c r="F63" s="221"/>
      <c r="G63" s="221"/>
      <c r="H63" s="13"/>
      <c r="I63" s="221" t="s">
        <v>69</v>
      </c>
      <c r="J63" s="221"/>
      <c r="K63" s="221"/>
      <c r="L63" s="221"/>
      <c r="M63" s="221"/>
      <c r="N63" s="221"/>
      <c r="O63" s="221"/>
    </row>
    <row r="64" spans="1:15" x14ac:dyDescent="0.25">
      <c r="A64" s="14" t="s">
        <v>55</v>
      </c>
      <c r="B64" s="15">
        <f>topoDomain_trans_FST1!S5</f>
        <v>1678</v>
      </c>
      <c r="C64" s="15">
        <f>topoDomain_trans_FST1!T5</f>
        <v>7811</v>
      </c>
      <c r="D64" s="15">
        <f>topoDomain_trans_FST1!U5</f>
        <v>8949</v>
      </c>
      <c r="E64" s="15">
        <f>topoDomain_trans_FST1!V5</f>
        <v>298215</v>
      </c>
      <c r="F64" s="15">
        <f>topoDomain_trans_FST1!W5</f>
        <v>32704</v>
      </c>
      <c r="G64" s="15">
        <f>topoDomain_trans_FST1!X5</f>
        <v>1598052</v>
      </c>
      <c r="H64" s="16"/>
      <c r="I64" s="14" t="s">
        <v>55</v>
      </c>
      <c r="J64" s="15">
        <f t="shared" ref="J64:O64" si="7">B64</f>
        <v>1678</v>
      </c>
      <c r="K64" s="15">
        <f t="shared" si="7"/>
        <v>7811</v>
      </c>
      <c r="L64" s="15">
        <f t="shared" si="7"/>
        <v>8949</v>
      </c>
      <c r="M64" s="15">
        <f t="shared" si="7"/>
        <v>298215</v>
      </c>
      <c r="N64" s="15">
        <f t="shared" si="7"/>
        <v>32704</v>
      </c>
      <c r="O64" s="15">
        <f t="shared" si="7"/>
        <v>1598052</v>
      </c>
    </row>
    <row r="65" spans="1:15" x14ac:dyDescent="0.25">
      <c r="A65" s="17"/>
      <c r="B65" s="18" t="s">
        <v>57</v>
      </c>
      <c r="C65" s="18" t="s">
        <v>57</v>
      </c>
      <c r="D65" s="18" t="s">
        <v>57</v>
      </c>
      <c r="E65" s="18" t="s">
        <v>58</v>
      </c>
      <c r="F65" s="18" t="s">
        <v>58</v>
      </c>
      <c r="G65" s="18" t="s">
        <v>58</v>
      </c>
      <c r="H65" s="19"/>
      <c r="I65" s="17"/>
      <c r="J65" s="18" t="s">
        <v>57</v>
      </c>
      <c r="K65" s="18" t="s">
        <v>57</v>
      </c>
      <c r="L65" s="18" t="s">
        <v>57</v>
      </c>
      <c r="M65" s="18" t="s">
        <v>58</v>
      </c>
      <c r="N65" s="18" t="s">
        <v>58</v>
      </c>
      <c r="O65" s="18" t="s">
        <v>58</v>
      </c>
    </row>
    <row r="66" spans="1:15" ht="27" x14ac:dyDescent="0.25">
      <c r="A66" s="20" t="s">
        <v>59</v>
      </c>
      <c r="B66" s="21" t="s">
        <v>60</v>
      </c>
      <c r="C66" s="21" t="s">
        <v>61</v>
      </c>
      <c r="D66" s="21" t="s">
        <v>62</v>
      </c>
      <c r="E66" s="21" t="s">
        <v>63</v>
      </c>
      <c r="F66" s="21" t="s">
        <v>64</v>
      </c>
      <c r="G66" s="21" t="s">
        <v>65</v>
      </c>
      <c r="H66" s="13"/>
      <c r="I66" s="20" t="s">
        <v>59</v>
      </c>
      <c r="J66" s="21" t="s">
        <v>60</v>
      </c>
      <c r="K66" s="21" t="s">
        <v>61</v>
      </c>
      <c r="L66" s="21" t="s">
        <v>62</v>
      </c>
      <c r="M66" s="21" t="s">
        <v>63</v>
      </c>
      <c r="N66" s="21" t="s">
        <v>64</v>
      </c>
      <c r="O66" s="21" t="s">
        <v>65</v>
      </c>
    </row>
    <row r="67" spans="1:15" ht="33.75" x14ac:dyDescent="0.25">
      <c r="A67" s="22"/>
      <c r="B67" s="23" t="str">
        <f t="shared" ref="B67:G67" si="8">CONCATENATE($A$63,"-",B66)</f>
        <v>topoDomain-trans-FST1-Cx [-]</v>
      </c>
      <c r="C67" s="23" t="str">
        <f t="shared" si="8"/>
        <v>topoDomain-trans-FST1-Cy [-]</v>
      </c>
      <c r="D67" s="23" t="str">
        <f t="shared" si="8"/>
        <v>topoDomain-trans-FST1-Cz [-]</v>
      </c>
      <c r="E67" s="23" t="str">
        <f t="shared" si="8"/>
        <v>topoDomain-trans-FST1-Cnx [-]</v>
      </c>
      <c r="F67" s="23" t="str">
        <f t="shared" si="8"/>
        <v>topoDomain-trans-FST1-Cny [-]</v>
      </c>
      <c r="G67" s="23" t="str">
        <f t="shared" si="8"/>
        <v>topoDomain-trans-FST1-Cnz [-]</v>
      </c>
      <c r="H67" s="24"/>
      <c r="I67" s="22"/>
      <c r="J67" s="23" t="str">
        <f t="shared" ref="J67:O67" si="9">CONCATENATE($I$63,"-",J66)</f>
        <v>topoDomain-trans-FST2-Cx [-]</v>
      </c>
      <c r="K67" s="23" t="str">
        <f t="shared" si="9"/>
        <v>topoDomain-trans-FST2-Cy [-]</v>
      </c>
      <c r="L67" s="23" t="str">
        <f t="shared" si="9"/>
        <v>topoDomain-trans-FST2-Cz [-]</v>
      </c>
      <c r="M67" s="23" t="str">
        <f t="shared" si="9"/>
        <v>topoDomain-trans-FST2-Cnx [-]</v>
      </c>
      <c r="N67" s="23" t="str">
        <f t="shared" si="9"/>
        <v>topoDomain-trans-FST2-Cny [-]</v>
      </c>
      <c r="O67" s="23" t="str">
        <f t="shared" si="9"/>
        <v>topoDomain-trans-FST2-Cnz [-]</v>
      </c>
    </row>
    <row r="68" spans="1:15" x14ac:dyDescent="0.25">
      <c r="A68" s="26">
        <f>topoDomain_trans_FST1!P14</f>
        <v>0</v>
      </c>
      <c r="B68" s="31">
        <f>topoDomain_trans_FST1!S14</f>
        <v>0.60132787411053357</v>
      </c>
      <c r="C68" s="32">
        <f>topoDomain_trans_FST1!T14</f>
        <v>9.424939953919657E-3</v>
      </c>
      <c r="D68" s="32">
        <f>topoDomain_trans_FST1!U14</f>
        <v>0.20176362085615299</v>
      </c>
      <c r="E68" s="32">
        <f>topoDomain_trans_FST1!V14</f>
        <v>6.6533456693139356E-3</v>
      </c>
      <c r="F68" s="32">
        <f>topoDomain_trans_FST1!W14</f>
        <v>0.59408973648395325</v>
      </c>
      <c r="G68" s="33">
        <f>topoDomain_trans_FST1!X14</f>
        <v>4.5307356751141305E-3</v>
      </c>
      <c r="H68" s="25"/>
      <c r="I68" s="26">
        <f>topoDomain_trans_FST2!P14</f>
        <v>0</v>
      </c>
      <c r="J68" s="31">
        <f>topoDomain_trans_FST2!S14</f>
        <v>1.589150775831764</v>
      </c>
      <c r="K68" s="32">
        <f>topoDomain_trans_FST2!T14</f>
        <v>-0.10704279711922482</v>
      </c>
      <c r="L68" s="32">
        <f>topoDomain_trans_FST2!U14</f>
        <v>0.17345655486500119</v>
      </c>
      <c r="M68" s="32">
        <f>topoDomain_trans_FST2!V14</f>
        <v>5.8405041385439879E-2</v>
      </c>
      <c r="N68" s="32">
        <f>topoDomain_trans_FST2!W14</f>
        <v>2.4204515834819644</v>
      </c>
      <c r="O68" s="33">
        <f>topoDomain_trans_FST2!X14</f>
        <v>1.640230870897056E-2</v>
      </c>
    </row>
    <row r="69" spans="1:15" x14ac:dyDescent="0.25">
      <c r="A69" s="26">
        <f>topoDomain_trans_FST1!P15</f>
        <v>30</v>
      </c>
      <c r="B69" s="34">
        <f>topoDomain_trans_FST1!S15</f>
        <v>1.5250186967821473</v>
      </c>
      <c r="C69" s="25">
        <f>topoDomain_trans_FST1!T15</f>
        <v>0.10885488038066543</v>
      </c>
      <c r="D69" s="25">
        <f>topoDomain_trans_FST1!U15</f>
        <v>-0.11618673075486492</v>
      </c>
      <c r="E69" s="25">
        <f>topoDomain_trans_FST1!V15</f>
        <v>-5.473797920068111E-2</v>
      </c>
      <c r="F69" s="25">
        <f>topoDomain_trans_FST1!W15</f>
        <v>1.4803469806739731</v>
      </c>
      <c r="G69" s="35">
        <f>topoDomain_trans_FST1!X15</f>
        <v>6.4080127189404604E-3</v>
      </c>
      <c r="H69" s="25"/>
      <c r="I69" s="26">
        <f>topoDomain_trans_FST2!P15</f>
        <v>30</v>
      </c>
      <c r="J69" s="34">
        <f>topoDomain_trans_FST2!S15</f>
        <v>1.8674097466133948</v>
      </c>
      <c r="K69" s="25">
        <f>topoDomain_trans_FST2!T15</f>
        <v>0.1466218396324121</v>
      </c>
      <c r="L69" s="25">
        <f>topoDomain_trans_FST2!U15</f>
        <v>-0.27062854638200201</v>
      </c>
      <c r="M69" s="25">
        <f>topoDomain_trans_FST2!V15</f>
        <v>-6.4366781760853226E-2</v>
      </c>
      <c r="N69" s="25">
        <f>topoDomain_trans_FST2!W15</f>
        <v>1.7533570818154172</v>
      </c>
      <c r="O69" s="35">
        <f>topoDomain_trans_FST2!X15</f>
        <v>-1.043127390857875E-2</v>
      </c>
    </row>
    <row r="70" spans="1:15" x14ac:dyDescent="0.25">
      <c r="A70" s="26">
        <f>topoDomain_trans_FST1!P16</f>
        <v>45</v>
      </c>
      <c r="B70" s="34">
        <f>topoDomain_trans_FST1!S16</f>
        <v>1.5655836832242853</v>
      </c>
      <c r="C70" s="25">
        <f>topoDomain_trans_FST1!T16</f>
        <v>0.15726359911453683</v>
      </c>
      <c r="D70" s="25">
        <f>topoDomain_trans_FST1!U16</f>
        <v>-0.33909841177442868</v>
      </c>
      <c r="E70" s="25">
        <f>topoDomain_trans_FST1!V16</f>
        <v>-7.9829064043399803E-2</v>
      </c>
      <c r="F70" s="25">
        <f>topoDomain_trans_FST1!W16</f>
        <v>1.7588421856477541</v>
      </c>
      <c r="G70" s="35">
        <f>topoDomain_trans_FST1!X16</f>
        <v>-8.2741769666030193E-3</v>
      </c>
      <c r="H70" s="25"/>
      <c r="I70" s="26">
        <f>topoDomain_trans_FST2!P16</f>
        <v>45</v>
      </c>
      <c r="J70" s="34">
        <f>topoDomain_trans_FST2!S16</f>
        <v>1.753453644783578</v>
      </c>
      <c r="K70" s="25">
        <f>topoDomain_trans_FST2!T16</f>
        <v>0.25389895434305076</v>
      </c>
      <c r="L70" s="25">
        <f>topoDomain_trans_FST2!U16</f>
        <v>-0.45760922492541206</v>
      </c>
      <c r="M70" s="25">
        <f>topoDomain_trans_FST2!V16</f>
        <v>-0.11375722363616612</v>
      </c>
      <c r="N70" s="25">
        <f>topoDomain_trans_FST2!W16</f>
        <v>1.3939560472033139</v>
      </c>
      <c r="O70" s="35">
        <f>topoDomain_trans_FST2!X16</f>
        <v>-2.6552275706858041E-2</v>
      </c>
    </row>
    <row r="71" spans="1:15" x14ac:dyDescent="0.25">
      <c r="A71" s="26">
        <f>topoDomain_trans_FST1!P17</f>
        <v>60</v>
      </c>
      <c r="B71" s="34">
        <f>topoDomain_trans_FST1!S17</f>
        <v>0.96170626231107981</v>
      </c>
      <c r="C71" s="25">
        <f>topoDomain_trans_FST1!T17</f>
        <v>0.19592889961856805</v>
      </c>
      <c r="D71" s="25">
        <f>topoDomain_trans_FST1!U17</f>
        <v>-0.56358382253961092</v>
      </c>
      <c r="E71" s="25">
        <f>topoDomain_trans_FST1!V17</f>
        <v>-0.10129504975670825</v>
      </c>
      <c r="F71" s="25">
        <f>topoDomain_trans_FST1!W17</f>
        <v>1.9468295417482064</v>
      </c>
      <c r="G71" s="35">
        <f>topoDomain_trans_FST1!X17</f>
        <v>-4.6099437157393246E-3</v>
      </c>
      <c r="H71" s="25"/>
      <c r="I71" s="26">
        <f>topoDomain_trans_FST2!P17</f>
        <v>60</v>
      </c>
      <c r="J71" s="34">
        <f>topoDomain_trans_FST2!S17</f>
        <v>0.90086855231601204</v>
      </c>
      <c r="K71" s="25">
        <f>topoDomain_trans_FST2!T17</f>
        <v>0.32122380440566184</v>
      </c>
      <c r="L71" s="25">
        <f>topoDomain_trans_FST2!U17</f>
        <v>-0.58411863114558238</v>
      </c>
      <c r="M71" s="25">
        <f>topoDomain_trans_FST2!V17</f>
        <v>-0.13445686745697624</v>
      </c>
      <c r="N71" s="25">
        <f>topoDomain_trans_FST2!W17</f>
        <v>0.6164993362615302</v>
      </c>
      <c r="O71" s="35">
        <f>topoDomain_trans_FST2!X17</f>
        <v>-3.7428951092547284E-2</v>
      </c>
    </row>
    <row r="72" spans="1:15" x14ac:dyDescent="0.25">
      <c r="A72" s="26">
        <f>topoDomain_trans_FST1!P18</f>
        <v>90</v>
      </c>
      <c r="B72" s="34">
        <f>topoDomain_trans_FST1!S18</f>
        <v>0.19499316497209893</v>
      </c>
      <c r="C72" s="25">
        <f>topoDomain_trans_FST1!T18</f>
        <v>0.34655610238922979</v>
      </c>
      <c r="D72" s="25">
        <f>topoDomain_trans_FST1!U18</f>
        <v>-0.65807201391949077</v>
      </c>
      <c r="E72" s="25">
        <f>topoDomain_trans_FST1!V18</f>
        <v>-0.13507702286708537</v>
      </c>
      <c r="F72" s="25">
        <f>topoDomain_trans_FST1!W18</f>
        <v>0.64380341941119668</v>
      </c>
      <c r="G72" s="35">
        <f>topoDomain_trans_FST1!X18</f>
        <v>1.7229994623474385E-2</v>
      </c>
      <c r="H72" s="25"/>
      <c r="I72" s="26">
        <f>topoDomain_trans_FST2!P18</f>
        <v>90</v>
      </c>
      <c r="J72" s="34">
        <f>topoDomain_trans_FST2!S18</f>
        <v>-0.10243162002260599</v>
      </c>
      <c r="K72" s="25">
        <f>topoDomain_trans_FST2!T18</f>
        <v>0.37750491954182042</v>
      </c>
      <c r="L72" s="25">
        <f>topoDomain_trans_FST2!U18</f>
        <v>-0.59264003587698333</v>
      </c>
      <c r="M72" s="25">
        <f>topoDomain_trans_FST2!V18</f>
        <v>-0.15750360068765745</v>
      </c>
      <c r="N72" s="25">
        <f>topoDomain_trans_FST2!W18</f>
        <v>-2.2238144215953346</v>
      </c>
      <c r="O72" s="35">
        <f>topoDomain_trans_FST2!X18</f>
        <v>1.0485674134024139E-2</v>
      </c>
    </row>
    <row r="73" spans="1:15" x14ac:dyDescent="0.25">
      <c r="A73" s="26">
        <f>topoDomain_trans_FST1!P19</f>
        <v>0</v>
      </c>
      <c r="B73" s="34">
        <f>topoDomain_trans_FST1!S19</f>
        <v>0</v>
      </c>
      <c r="C73" s="25">
        <f>topoDomain_trans_FST1!T19</f>
        <v>0</v>
      </c>
      <c r="D73" s="25">
        <f>topoDomain_trans_FST1!U19</f>
        <v>0</v>
      </c>
      <c r="E73" s="25">
        <f>topoDomain_trans_FST1!V19</f>
        <v>0</v>
      </c>
      <c r="F73" s="25">
        <f>topoDomain_trans_FST1!W19</f>
        <v>0</v>
      </c>
      <c r="G73" s="35">
        <f>topoDomain_trans_FST1!X19</f>
        <v>0</v>
      </c>
      <c r="H73" s="25"/>
      <c r="I73" s="26">
        <f>topoDomain_trans_FST2!P19</f>
        <v>0</v>
      </c>
      <c r="J73" s="34">
        <f>topoDomain_trans_FST2!S19</f>
        <v>0</v>
      </c>
      <c r="K73" s="25">
        <f>topoDomain_trans_FST2!T19</f>
        <v>0</v>
      </c>
      <c r="L73" s="25">
        <f>topoDomain_trans_FST2!U19</f>
        <v>0</v>
      </c>
      <c r="M73" s="25">
        <f>topoDomain_trans_FST2!V19</f>
        <v>0</v>
      </c>
      <c r="N73" s="25">
        <f>topoDomain_trans_FST2!W19</f>
        <v>0</v>
      </c>
      <c r="O73" s="35">
        <f>topoDomain_trans_FST2!X19</f>
        <v>0</v>
      </c>
    </row>
    <row r="74" spans="1:15" x14ac:dyDescent="0.25">
      <c r="A74" s="26">
        <f>topoDomain_trans_FST1!P20</f>
        <v>0</v>
      </c>
      <c r="B74" s="34">
        <f>topoDomain_trans_FST1!S20</f>
        <v>0</v>
      </c>
      <c r="C74" s="25">
        <f>topoDomain_trans_FST1!T20</f>
        <v>0</v>
      </c>
      <c r="D74" s="25">
        <f>topoDomain_trans_FST1!U20</f>
        <v>0</v>
      </c>
      <c r="E74" s="25">
        <f>topoDomain_trans_FST1!V20</f>
        <v>0</v>
      </c>
      <c r="F74" s="25">
        <f>topoDomain_trans_FST1!W20</f>
        <v>0</v>
      </c>
      <c r="G74" s="35">
        <f>topoDomain_trans_FST1!X20</f>
        <v>0</v>
      </c>
      <c r="H74" s="25"/>
      <c r="I74" s="26">
        <f>topoDomain_trans_FST2!P20</f>
        <v>0</v>
      </c>
      <c r="J74" s="34">
        <f>topoDomain_trans_FST2!S20</f>
        <v>0</v>
      </c>
      <c r="K74" s="25">
        <f>topoDomain_trans_FST2!T20</f>
        <v>0</v>
      </c>
      <c r="L74" s="25">
        <f>topoDomain_trans_FST2!U20</f>
        <v>0</v>
      </c>
      <c r="M74" s="25">
        <f>topoDomain_trans_FST2!V20</f>
        <v>0</v>
      </c>
      <c r="N74" s="25">
        <f>topoDomain_trans_FST2!W20</f>
        <v>0</v>
      </c>
      <c r="O74" s="35">
        <f>topoDomain_trans_FST2!X20</f>
        <v>0</v>
      </c>
    </row>
    <row r="75" spans="1:15" x14ac:dyDescent="0.25">
      <c r="A75" s="26">
        <f>topoDomain_trans_FST1!P21</f>
        <v>0</v>
      </c>
      <c r="B75" s="34">
        <f>topoDomain_trans_FST1!S21</f>
        <v>0</v>
      </c>
      <c r="C75" s="25">
        <f>topoDomain_trans_FST1!T21</f>
        <v>0</v>
      </c>
      <c r="D75" s="25">
        <f>topoDomain_trans_FST1!U21</f>
        <v>0</v>
      </c>
      <c r="E75" s="25">
        <f>topoDomain_trans_FST1!V21</f>
        <v>0</v>
      </c>
      <c r="F75" s="25">
        <f>topoDomain_trans_FST1!W21</f>
        <v>0</v>
      </c>
      <c r="G75" s="35">
        <f>topoDomain_trans_FST1!X21</f>
        <v>0</v>
      </c>
      <c r="H75" s="25"/>
      <c r="I75" s="26">
        <f>topoDomain_trans_FST2!P21</f>
        <v>0</v>
      </c>
      <c r="J75" s="34">
        <f>topoDomain_trans_FST2!S21</f>
        <v>0</v>
      </c>
      <c r="K75" s="25">
        <f>topoDomain_trans_FST2!T21</f>
        <v>0</v>
      </c>
      <c r="L75" s="25">
        <f>topoDomain_trans_FST2!U21</f>
        <v>0</v>
      </c>
      <c r="M75" s="25">
        <f>topoDomain_trans_FST2!V21</f>
        <v>0</v>
      </c>
      <c r="N75" s="25">
        <f>topoDomain_trans_FST2!W21</f>
        <v>0</v>
      </c>
      <c r="O75" s="35">
        <f>topoDomain_trans_FST2!X21</f>
        <v>0</v>
      </c>
    </row>
    <row r="76" spans="1:15" x14ac:dyDescent="0.25">
      <c r="A76" s="26">
        <f>topoDomain_trans_FST1!P22</f>
        <v>0</v>
      </c>
      <c r="B76" s="34">
        <f>topoDomain_trans_FST1!S22</f>
        <v>0</v>
      </c>
      <c r="C76" s="25">
        <f>topoDomain_trans_FST1!T22</f>
        <v>0</v>
      </c>
      <c r="D76" s="25">
        <f>topoDomain_trans_FST1!U22</f>
        <v>0</v>
      </c>
      <c r="E76" s="25">
        <f>topoDomain_trans_FST1!V22</f>
        <v>0</v>
      </c>
      <c r="F76" s="25">
        <f>topoDomain_trans_FST1!W22</f>
        <v>0</v>
      </c>
      <c r="G76" s="35">
        <f>topoDomain_trans_FST1!X22</f>
        <v>0</v>
      </c>
      <c r="H76" s="25"/>
      <c r="I76" s="26">
        <f>topoDomain_trans_FST2!P22</f>
        <v>0</v>
      </c>
      <c r="J76" s="34">
        <f>topoDomain_trans_FST2!S22</f>
        <v>0</v>
      </c>
      <c r="K76" s="25">
        <f>topoDomain_trans_FST2!T22</f>
        <v>0</v>
      </c>
      <c r="L76" s="25">
        <f>topoDomain_trans_FST2!U22</f>
        <v>0</v>
      </c>
      <c r="M76" s="25">
        <f>topoDomain_trans_FST2!V22</f>
        <v>0</v>
      </c>
      <c r="N76" s="25">
        <f>topoDomain_trans_FST2!W22</f>
        <v>0</v>
      </c>
      <c r="O76" s="35">
        <f>topoDomain_trans_FST2!X22</f>
        <v>0</v>
      </c>
    </row>
    <row r="77" spans="1:15" x14ac:dyDescent="0.25">
      <c r="A77" s="26">
        <f>topoDomain_trans_FST1!P23</f>
        <v>0</v>
      </c>
      <c r="B77" s="34">
        <f>topoDomain_trans_FST1!S23</f>
        <v>0</v>
      </c>
      <c r="C77" s="25">
        <f>topoDomain_trans_FST1!T23</f>
        <v>0</v>
      </c>
      <c r="D77" s="25">
        <f>topoDomain_trans_FST1!U23</f>
        <v>0</v>
      </c>
      <c r="E77" s="25">
        <f>topoDomain_trans_FST1!V23</f>
        <v>0</v>
      </c>
      <c r="F77" s="25">
        <f>topoDomain_trans_FST1!W23</f>
        <v>0</v>
      </c>
      <c r="G77" s="35">
        <f>topoDomain_trans_FST1!X23</f>
        <v>0</v>
      </c>
      <c r="H77" s="25"/>
      <c r="I77" s="26">
        <f>topoDomain_trans_FST2!P23</f>
        <v>0</v>
      </c>
      <c r="J77" s="34">
        <f>topoDomain_trans_FST2!S23</f>
        <v>0</v>
      </c>
      <c r="K77" s="25">
        <f>topoDomain_trans_FST2!T23</f>
        <v>0</v>
      </c>
      <c r="L77" s="25">
        <f>topoDomain_trans_FST2!U23</f>
        <v>0</v>
      </c>
      <c r="M77" s="25">
        <f>topoDomain_trans_FST2!V23</f>
        <v>0</v>
      </c>
      <c r="N77" s="25">
        <f>topoDomain_trans_FST2!W23</f>
        <v>0</v>
      </c>
      <c r="O77" s="35">
        <f>topoDomain_trans_FST2!X23</f>
        <v>0</v>
      </c>
    </row>
    <row r="78" spans="1:15" x14ac:dyDescent="0.25">
      <c r="A78" s="26">
        <f>topoDomain_trans_FST1!P24</f>
        <v>0</v>
      </c>
      <c r="B78" s="34">
        <f>topoDomain_trans_FST1!S24</f>
        <v>0</v>
      </c>
      <c r="C78" s="25">
        <f>topoDomain_trans_FST1!T24</f>
        <v>0</v>
      </c>
      <c r="D78" s="25">
        <f>topoDomain_trans_FST1!U24</f>
        <v>0</v>
      </c>
      <c r="E78" s="25">
        <f>topoDomain_trans_FST1!V24</f>
        <v>0</v>
      </c>
      <c r="F78" s="25">
        <f>topoDomain_trans_FST1!W24</f>
        <v>0</v>
      </c>
      <c r="G78" s="35">
        <f>topoDomain_trans_FST1!X24</f>
        <v>0</v>
      </c>
      <c r="H78" s="25"/>
      <c r="I78" s="26">
        <f>topoDomain_trans_FST2!P24</f>
        <v>0</v>
      </c>
      <c r="J78" s="34">
        <f>topoDomain_trans_FST2!S24</f>
        <v>0</v>
      </c>
      <c r="K78" s="25">
        <f>topoDomain_trans_FST2!T24</f>
        <v>0</v>
      </c>
      <c r="L78" s="25">
        <f>topoDomain_trans_FST2!U24</f>
        <v>0</v>
      </c>
      <c r="M78" s="25">
        <f>topoDomain_trans_FST2!V24</f>
        <v>0</v>
      </c>
      <c r="N78" s="25">
        <f>topoDomain_trans_FST2!W24</f>
        <v>0</v>
      </c>
      <c r="O78" s="35">
        <f>topoDomain_trans_FST2!X24</f>
        <v>0</v>
      </c>
    </row>
    <row r="79" spans="1:15" x14ac:dyDescent="0.25">
      <c r="A79" s="26">
        <f>topoDomain_trans_FST1!P25</f>
        <v>0</v>
      </c>
      <c r="B79" s="34">
        <f>topoDomain_trans_FST1!S25</f>
        <v>0</v>
      </c>
      <c r="C79" s="25">
        <f>topoDomain_trans_FST1!T25</f>
        <v>0</v>
      </c>
      <c r="D79" s="25">
        <f>topoDomain_trans_FST1!U25</f>
        <v>0</v>
      </c>
      <c r="E79" s="25">
        <f>topoDomain_trans_FST1!V25</f>
        <v>0</v>
      </c>
      <c r="F79" s="25">
        <f>topoDomain_trans_FST1!W25</f>
        <v>0</v>
      </c>
      <c r="G79" s="35">
        <f>topoDomain_trans_FST1!X25</f>
        <v>0</v>
      </c>
      <c r="H79" s="25"/>
      <c r="I79" s="26">
        <f>topoDomain_trans_FST2!P25</f>
        <v>0</v>
      </c>
      <c r="J79" s="34">
        <f>topoDomain_trans_FST2!S25</f>
        <v>0</v>
      </c>
      <c r="K79" s="25">
        <f>topoDomain_trans_FST2!T25</f>
        <v>0</v>
      </c>
      <c r="L79" s="25">
        <f>topoDomain_trans_FST2!U25</f>
        <v>0</v>
      </c>
      <c r="M79" s="25">
        <f>topoDomain_trans_FST2!V25</f>
        <v>0</v>
      </c>
      <c r="N79" s="25">
        <f>topoDomain_trans_FST2!W25</f>
        <v>0</v>
      </c>
      <c r="O79" s="35">
        <f>topoDomain_trans_FST2!X25</f>
        <v>0</v>
      </c>
    </row>
    <row r="80" spans="1:15" x14ac:dyDescent="0.25">
      <c r="A80" s="26">
        <f>topoDomain_trans_FST1!P26</f>
        <v>0</v>
      </c>
      <c r="B80" s="34">
        <f>topoDomain_trans_FST1!S26</f>
        <v>0</v>
      </c>
      <c r="C80" s="25">
        <f>topoDomain_trans_FST1!T26</f>
        <v>0</v>
      </c>
      <c r="D80" s="25">
        <f>topoDomain_trans_FST1!U26</f>
        <v>0</v>
      </c>
      <c r="E80" s="25">
        <f>topoDomain_trans_FST1!V26</f>
        <v>0</v>
      </c>
      <c r="F80" s="25">
        <f>topoDomain_trans_FST1!W26</f>
        <v>0</v>
      </c>
      <c r="G80" s="35">
        <f>topoDomain_trans_FST1!X26</f>
        <v>0</v>
      </c>
      <c r="H80" s="25"/>
      <c r="I80" s="26">
        <f>topoDomain_trans_FST2!P26</f>
        <v>0</v>
      </c>
      <c r="J80" s="34">
        <f>topoDomain_trans_FST2!S26</f>
        <v>0</v>
      </c>
      <c r="K80" s="25">
        <f>topoDomain_trans_FST2!T26</f>
        <v>0</v>
      </c>
      <c r="L80" s="25">
        <f>topoDomain_trans_FST2!U26</f>
        <v>0</v>
      </c>
      <c r="M80" s="25">
        <f>topoDomain_trans_FST2!V26</f>
        <v>0</v>
      </c>
      <c r="N80" s="25">
        <f>topoDomain_trans_FST2!W26</f>
        <v>0</v>
      </c>
      <c r="O80" s="35">
        <f>topoDomain_trans_FST2!X26</f>
        <v>0</v>
      </c>
    </row>
    <row r="81" spans="1:39" x14ac:dyDescent="0.25">
      <c r="A81" s="26">
        <f>topoDomain_trans_FST1!P27</f>
        <v>0</v>
      </c>
      <c r="B81" s="34">
        <f>topoDomain_trans_FST1!S27</f>
        <v>0</v>
      </c>
      <c r="C81" s="25">
        <f>topoDomain_trans_FST1!T27</f>
        <v>0</v>
      </c>
      <c r="D81" s="25">
        <f>topoDomain_trans_FST1!U27</f>
        <v>0</v>
      </c>
      <c r="E81" s="25">
        <f>topoDomain_trans_FST1!V27</f>
        <v>0</v>
      </c>
      <c r="F81" s="25">
        <f>topoDomain_trans_FST1!W27</f>
        <v>0</v>
      </c>
      <c r="G81" s="35">
        <f>topoDomain_trans_FST1!X27</f>
        <v>0</v>
      </c>
      <c r="H81" s="25"/>
      <c r="I81" s="27">
        <f>topoDomain_trans_FST2!P27</f>
        <v>0</v>
      </c>
      <c r="J81" s="34">
        <f>topoDomain_trans_FST2!S27</f>
        <v>0</v>
      </c>
      <c r="K81" s="25">
        <f>topoDomain_trans_FST2!T27</f>
        <v>0</v>
      </c>
      <c r="L81" s="25">
        <f>topoDomain_trans_FST2!U27</f>
        <v>0</v>
      </c>
      <c r="M81" s="25">
        <f>topoDomain_trans_FST2!V27</f>
        <v>0</v>
      </c>
      <c r="N81" s="25">
        <f>topoDomain_trans_FST2!W27</f>
        <v>0</v>
      </c>
      <c r="O81" s="35">
        <f>topoDomain_trans_FST2!X27</f>
        <v>0</v>
      </c>
    </row>
    <row r="82" spans="1:39" x14ac:dyDescent="0.25">
      <c r="A82" s="26">
        <f>topoDomain_trans_FST1!P28</f>
        <v>0</v>
      </c>
      <c r="B82" s="34">
        <f>topoDomain_trans_FST1!S28</f>
        <v>0</v>
      </c>
      <c r="C82" s="25">
        <f>topoDomain_trans_FST1!T28</f>
        <v>0</v>
      </c>
      <c r="D82" s="25">
        <f>topoDomain_trans_FST1!U28</f>
        <v>0</v>
      </c>
      <c r="E82" s="25">
        <f>topoDomain_trans_FST1!V28</f>
        <v>0</v>
      </c>
      <c r="F82" s="25">
        <f>topoDomain_trans_FST1!W28</f>
        <v>0</v>
      </c>
      <c r="G82" s="35">
        <f>topoDomain_trans_FST1!X28</f>
        <v>0</v>
      </c>
      <c r="H82" s="25"/>
      <c r="I82" s="27">
        <f>topoDomain_trans_FST2!P28</f>
        <v>0</v>
      </c>
      <c r="J82" s="34">
        <f>topoDomain_trans_FST2!S28</f>
        <v>0</v>
      </c>
      <c r="K82" s="25">
        <f>topoDomain_trans_FST2!T28</f>
        <v>0</v>
      </c>
      <c r="L82" s="25">
        <f>topoDomain_trans_FST2!U28</f>
        <v>0</v>
      </c>
      <c r="M82" s="25">
        <f>topoDomain_trans_FST2!V28</f>
        <v>0</v>
      </c>
      <c r="N82" s="25">
        <f>topoDomain_trans_FST2!W28</f>
        <v>0</v>
      </c>
      <c r="O82" s="35">
        <f>topoDomain_trans_FST2!X28</f>
        <v>0</v>
      </c>
    </row>
    <row r="83" spans="1:39" x14ac:dyDescent="0.25">
      <c r="A83" s="26">
        <f>topoDomain_trans_FST1!P29</f>
        <v>0</v>
      </c>
      <c r="B83" s="34">
        <f>topoDomain_trans_FST1!S29</f>
        <v>0</v>
      </c>
      <c r="C83" s="25">
        <f>topoDomain_trans_FST1!T29</f>
        <v>0</v>
      </c>
      <c r="D83" s="25">
        <f>topoDomain_trans_FST1!U29</f>
        <v>0</v>
      </c>
      <c r="E83" s="25">
        <f>topoDomain_trans_FST1!V29</f>
        <v>0</v>
      </c>
      <c r="F83" s="25">
        <f>topoDomain_trans_FST1!W29</f>
        <v>0</v>
      </c>
      <c r="G83" s="35">
        <f>topoDomain_trans_FST1!X29</f>
        <v>0</v>
      </c>
      <c r="H83" s="25"/>
      <c r="I83" s="27">
        <f>topoDomain_trans_FST2!P29</f>
        <v>0</v>
      </c>
      <c r="J83" s="34">
        <f>topoDomain_trans_FST2!S29</f>
        <v>0</v>
      </c>
      <c r="K83" s="25">
        <f>topoDomain_trans_FST2!T29</f>
        <v>0</v>
      </c>
      <c r="L83" s="25">
        <f>topoDomain_trans_FST2!U29</f>
        <v>0</v>
      </c>
      <c r="M83" s="25">
        <f>topoDomain_trans_FST2!V29</f>
        <v>0</v>
      </c>
      <c r="N83" s="25">
        <f>topoDomain_trans_FST2!W29</f>
        <v>0</v>
      </c>
      <c r="O83" s="35">
        <f>topoDomain_trans_FST2!X29</f>
        <v>0</v>
      </c>
    </row>
    <row r="84" spans="1:39" x14ac:dyDescent="0.25">
      <c r="A84" s="26">
        <f>topoDomain_trans_FST1!P30</f>
        <v>0</v>
      </c>
      <c r="B84" s="34">
        <f>topoDomain_trans_FST1!S30</f>
        <v>0</v>
      </c>
      <c r="C84" s="25">
        <f>topoDomain_trans_FST1!T30</f>
        <v>0</v>
      </c>
      <c r="D84" s="25">
        <f>topoDomain_trans_FST1!U30</f>
        <v>0</v>
      </c>
      <c r="E84" s="25">
        <f>topoDomain_trans_FST1!V30</f>
        <v>0</v>
      </c>
      <c r="F84" s="25">
        <f>topoDomain_trans_FST1!W30</f>
        <v>0</v>
      </c>
      <c r="G84" s="35">
        <f>topoDomain_trans_FST1!X30</f>
        <v>0</v>
      </c>
      <c r="H84" s="25"/>
      <c r="I84" s="27">
        <f>topoDomain_trans_FST2!P30</f>
        <v>0</v>
      </c>
      <c r="J84" s="34">
        <f>topoDomain_trans_FST2!S30</f>
        <v>0</v>
      </c>
      <c r="K84" s="25">
        <f>topoDomain_trans_FST2!T30</f>
        <v>0</v>
      </c>
      <c r="L84" s="25">
        <f>topoDomain_trans_FST2!U30</f>
        <v>0</v>
      </c>
      <c r="M84" s="25">
        <f>topoDomain_trans_FST2!V30</f>
        <v>0</v>
      </c>
      <c r="N84" s="25">
        <f>topoDomain_trans_FST2!W30</f>
        <v>0</v>
      </c>
      <c r="O84" s="35">
        <f>topoDomain_trans_FST2!X30</f>
        <v>0</v>
      </c>
    </row>
    <row r="85" spans="1:39" x14ac:dyDescent="0.25">
      <c r="A85" s="26">
        <f>topoDomain_trans_FST1!P31</f>
        <v>0</v>
      </c>
      <c r="B85" s="34">
        <f>topoDomain_trans_FST1!S31</f>
        <v>0</v>
      </c>
      <c r="C85" s="25">
        <f>topoDomain_trans_FST1!T31</f>
        <v>0</v>
      </c>
      <c r="D85" s="25">
        <f>topoDomain_trans_FST1!U31</f>
        <v>0</v>
      </c>
      <c r="E85" s="25">
        <f>topoDomain_trans_FST1!V31</f>
        <v>0</v>
      </c>
      <c r="F85" s="25">
        <f>topoDomain_trans_FST1!W31</f>
        <v>0</v>
      </c>
      <c r="G85" s="35">
        <f>topoDomain_trans_FST1!X31</f>
        <v>0</v>
      </c>
      <c r="H85" s="25"/>
      <c r="I85" s="27">
        <f>topoDomain_trans_FST2!P31</f>
        <v>0</v>
      </c>
      <c r="J85" s="34">
        <f>topoDomain_trans_FST2!S31</f>
        <v>0</v>
      </c>
      <c r="K85" s="25">
        <f>topoDomain_trans_FST2!T31</f>
        <v>0</v>
      </c>
      <c r="L85" s="25">
        <f>topoDomain_trans_FST2!U31</f>
        <v>0</v>
      </c>
      <c r="M85" s="25">
        <f>topoDomain_trans_FST2!V31</f>
        <v>0</v>
      </c>
      <c r="N85" s="25">
        <f>topoDomain_trans_FST2!W31</f>
        <v>0</v>
      </c>
      <c r="O85" s="35">
        <f>topoDomain_trans_FST2!X31</f>
        <v>0</v>
      </c>
    </row>
    <row r="86" spans="1:39" x14ac:dyDescent="0.25">
      <c r="A86" s="26">
        <f>topoDomain_trans_FST1!P32</f>
        <v>0</v>
      </c>
      <c r="B86" s="34">
        <f>topoDomain_trans_FST1!S32</f>
        <v>0</v>
      </c>
      <c r="C86" s="25">
        <f>topoDomain_trans_FST1!T32</f>
        <v>0</v>
      </c>
      <c r="D86" s="25">
        <f>topoDomain_trans_FST1!U32</f>
        <v>0</v>
      </c>
      <c r="E86" s="25">
        <f>topoDomain_trans_FST1!V32</f>
        <v>0</v>
      </c>
      <c r="F86" s="25">
        <f>topoDomain_trans_FST1!W32</f>
        <v>0</v>
      </c>
      <c r="G86" s="35">
        <f>topoDomain_trans_FST1!X32</f>
        <v>0</v>
      </c>
      <c r="H86" s="25"/>
      <c r="I86" s="27">
        <f>topoDomain_trans_FST2!P32</f>
        <v>0</v>
      </c>
      <c r="J86" s="34">
        <f>topoDomain_trans_FST2!S32</f>
        <v>0</v>
      </c>
      <c r="K86" s="25">
        <f>topoDomain_trans_FST2!T32</f>
        <v>0</v>
      </c>
      <c r="L86" s="25">
        <f>topoDomain_trans_FST2!U32</f>
        <v>0</v>
      </c>
      <c r="M86" s="25">
        <f>topoDomain_trans_FST2!V32</f>
        <v>0</v>
      </c>
      <c r="N86" s="25">
        <f>topoDomain_trans_FST2!W32</f>
        <v>0</v>
      </c>
      <c r="O86" s="35">
        <f>topoDomain_trans_FST2!X32</f>
        <v>0</v>
      </c>
    </row>
    <row r="87" spans="1:39" x14ac:dyDescent="0.25">
      <c r="A87" s="26">
        <f>topoDomain_trans_FST1!P33</f>
        <v>0</v>
      </c>
      <c r="B87" s="34">
        <f>topoDomain_trans_FST1!S33</f>
        <v>0</v>
      </c>
      <c r="C87" s="25">
        <f>topoDomain_trans_FST1!T33</f>
        <v>0</v>
      </c>
      <c r="D87" s="25">
        <f>topoDomain_trans_FST1!U33</f>
        <v>0</v>
      </c>
      <c r="E87" s="25">
        <f>topoDomain_trans_FST1!V33</f>
        <v>0</v>
      </c>
      <c r="F87" s="25">
        <f>topoDomain_trans_FST1!W33</f>
        <v>0</v>
      </c>
      <c r="G87" s="35">
        <f>topoDomain_trans_FST1!X33</f>
        <v>0</v>
      </c>
      <c r="H87" s="25"/>
      <c r="I87" s="27">
        <f>topoDomain_trans_FST2!P33</f>
        <v>0</v>
      </c>
      <c r="J87" s="34">
        <f>topoDomain_trans_FST2!S33</f>
        <v>0</v>
      </c>
      <c r="K87" s="25">
        <f>topoDomain_trans_FST2!T33</f>
        <v>0</v>
      </c>
      <c r="L87" s="25">
        <f>topoDomain_trans_FST2!U33</f>
        <v>0</v>
      </c>
      <c r="M87" s="25">
        <f>topoDomain_trans_FST2!V33</f>
        <v>0</v>
      </c>
      <c r="N87" s="25">
        <f>topoDomain_trans_FST2!W33</f>
        <v>0</v>
      </c>
      <c r="O87" s="35">
        <f>topoDomain_trans_FST2!X33</f>
        <v>0</v>
      </c>
    </row>
    <row r="88" spans="1:39" x14ac:dyDescent="0.25">
      <c r="A88" s="26">
        <f>topoDomain_trans_FST1!P34</f>
        <v>0</v>
      </c>
      <c r="B88" s="34">
        <f>topoDomain_trans_FST1!S34</f>
        <v>0</v>
      </c>
      <c r="C88" s="25">
        <f>topoDomain_trans_FST1!T34</f>
        <v>0</v>
      </c>
      <c r="D88" s="25">
        <f>topoDomain_trans_FST1!U34</f>
        <v>0</v>
      </c>
      <c r="E88" s="25">
        <f>topoDomain_trans_FST1!V34</f>
        <v>0</v>
      </c>
      <c r="F88" s="25">
        <f>topoDomain_trans_FST1!W34</f>
        <v>0</v>
      </c>
      <c r="G88" s="35">
        <f>topoDomain_trans_FST1!X34</f>
        <v>0</v>
      </c>
      <c r="H88" s="25"/>
      <c r="I88" s="27">
        <f>topoDomain_trans_FST2!P34</f>
        <v>0</v>
      </c>
      <c r="J88" s="34">
        <f>topoDomain_trans_FST2!S34</f>
        <v>0</v>
      </c>
      <c r="K88" s="25">
        <f>topoDomain_trans_FST2!T34</f>
        <v>0</v>
      </c>
      <c r="L88" s="25">
        <f>topoDomain_trans_FST2!U34</f>
        <v>0</v>
      </c>
      <c r="M88" s="25">
        <f>topoDomain_trans_FST2!V34</f>
        <v>0</v>
      </c>
      <c r="N88" s="25">
        <f>topoDomain_trans_FST2!W34</f>
        <v>0</v>
      </c>
      <c r="O88" s="35">
        <f>topoDomain_trans_FST2!X34</f>
        <v>0</v>
      </c>
    </row>
    <row r="89" spans="1:39" x14ac:dyDescent="0.25">
      <c r="A89" s="26">
        <f>topoDomain_trans_FST1!P35</f>
        <v>0</v>
      </c>
      <c r="B89" s="34">
        <f>topoDomain_trans_FST1!S35</f>
        <v>0</v>
      </c>
      <c r="C89" s="25">
        <f>topoDomain_trans_FST1!T35</f>
        <v>0</v>
      </c>
      <c r="D89" s="25">
        <f>topoDomain_trans_FST1!U35</f>
        <v>0</v>
      </c>
      <c r="E89" s="25">
        <f>topoDomain_trans_FST1!V35</f>
        <v>0</v>
      </c>
      <c r="F89" s="25">
        <f>topoDomain_trans_FST1!W35</f>
        <v>0</v>
      </c>
      <c r="G89" s="35">
        <f>topoDomain_trans_FST1!X35</f>
        <v>0</v>
      </c>
      <c r="H89" s="25"/>
      <c r="I89" s="27">
        <f>topoDomain_trans_FST2!P35</f>
        <v>0</v>
      </c>
      <c r="J89" s="34">
        <f>topoDomain_trans_FST2!S35</f>
        <v>0</v>
      </c>
      <c r="K89" s="25">
        <f>topoDomain_trans_FST2!T35</f>
        <v>0</v>
      </c>
      <c r="L89" s="25">
        <f>topoDomain_trans_FST2!U35</f>
        <v>0</v>
      </c>
      <c r="M89" s="25">
        <f>topoDomain_trans_FST2!V35</f>
        <v>0</v>
      </c>
      <c r="N89" s="25">
        <f>topoDomain_trans_FST2!W35</f>
        <v>0</v>
      </c>
      <c r="O89" s="35">
        <f>topoDomain_trans_FST2!X35</f>
        <v>0</v>
      </c>
    </row>
    <row r="90" spans="1:39" x14ac:dyDescent="0.25">
      <c r="A90" s="26">
        <f>topoDomain_trans_FST1!P36</f>
        <v>0</v>
      </c>
      <c r="B90" s="34">
        <f>topoDomain_trans_FST1!S36</f>
        <v>0</v>
      </c>
      <c r="C90" s="25">
        <f>topoDomain_trans_FST1!T36</f>
        <v>0</v>
      </c>
      <c r="D90" s="25">
        <f>topoDomain_trans_FST1!U36</f>
        <v>0</v>
      </c>
      <c r="E90" s="25">
        <f>topoDomain_trans_FST1!V36</f>
        <v>0</v>
      </c>
      <c r="F90" s="25">
        <f>topoDomain_trans_FST1!W36</f>
        <v>0</v>
      </c>
      <c r="G90" s="35">
        <f>topoDomain_trans_FST1!X36</f>
        <v>0</v>
      </c>
      <c r="H90" s="25"/>
      <c r="I90" s="27">
        <f>topoDomain_trans_FST2!P36</f>
        <v>0</v>
      </c>
      <c r="J90" s="34">
        <f>topoDomain_trans_FST2!S36</f>
        <v>0</v>
      </c>
      <c r="K90" s="25">
        <f>topoDomain_trans_FST2!T36</f>
        <v>0</v>
      </c>
      <c r="L90" s="25">
        <f>topoDomain_trans_FST2!U36</f>
        <v>0</v>
      </c>
      <c r="M90" s="25">
        <f>topoDomain_trans_FST2!V36</f>
        <v>0</v>
      </c>
      <c r="N90" s="25">
        <f>topoDomain_trans_FST2!W36</f>
        <v>0</v>
      </c>
      <c r="O90" s="35">
        <f>topoDomain_trans_FST2!X36</f>
        <v>0</v>
      </c>
    </row>
    <row r="91" spans="1:39" x14ac:dyDescent="0.25">
      <c r="A91" s="26">
        <f>topoDomain_trans_FST1!P37</f>
        <v>0</v>
      </c>
      <c r="B91" s="34">
        <f>topoDomain_trans_FST1!S37</f>
        <v>0</v>
      </c>
      <c r="C91" s="25">
        <f>topoDomain_trans_FST1!T37</f>
        <v>0</v>
      </c>
      <c r="D91" s="25">
        <f>topoDomain_trans_FST1!U37</f>
        <v>0</v>
      </c>
      <c r="E91" s="25">
        <f>topoDomain_trans_FST1!V37</f>
        <v>0</v>
      </c>
      <c r="F91" s="25">
        <f>topoDomain_trans_FST1!W37</f>
        <v>0</v>
      </c>
      <c r="G91" s="35">
        <f>topoDomain_trans_FST1!X37</f>
        <v>0</v>
      </c>
      <c r="H91" s="25"/>
      <c r="I91" s="27">
        <f>topoDomain_trans_FST2!P37</f>
        <v>0</v>
      </c>
      <c r="J91" s="34">
        <f>topoDomain_trans_FST2!S37</f>
        <v>0</v>
      </c>
      <c r="K91" s="25">
        <f>topoDomain_trans_FST2!T37</f>
        <v>0</v>
      </c>
      <c r="L91" s="25">
        <f>topoDomain_trans_FST2!U37</f>
        <v>0</v>
      </c>
      <c r="M91" s="25">
        <f>topoDomain_trans_FST2!V37</f>
        <v>0</v>
      </c>
      <c r="N91" s="25">
        <f>topoDomain_trans_FST2!W37</f>
        <v>0</v>
      </c>
      <c r="O91" s="35">
        <f>topoDomain_trans_FST2!X37</f>
        <v>0</v>
      </c>
    </row>
    <row r="92" spans="1:39" x14ac:dyDescent="0.25">
      <c r="A92" s="26">
        <f>topoDomain_trans_FST1!P38</f>
        <v>0</v>
      </c>
      <c r="B92" s="36">
        <f>topoDomain_trans_FST1!S38</f>
        <v>0</v>
      </c>
      <c r="C92" s="37">
        <f>topoDomain_trans_FST1!T38</f>
        <v>0</v>
      </c>
      <c r="D92" s="37">
        <f>topoDomain_trans_FST1!U38</f>
        <v>0</v>
      </c>
      <c r="E92" s="37">
        <f>topoDomain_trans_FST1!V38</f>
        <v>0</v>
      </c>
      <c r="F92" s="37">
        <f>topoDomain_trans_FST1!W38</f>
        <v>0</v>
      </c>
      <c r="G92" s="38">
        <f>topoDomain_trans_FST1!X38</f>
        <v>0</v>
      </c>
      <c r="H92" s="28"/>
      <c r="I92" s="29">
        <f>topoDomain_trans_FST2!P38</f>
        <v>0</v>
      </c>
      <c r="J92" s="36">
        <f>topoDomain_trans_FST2!S38</f>
        <v>0</v>
      </c>
      <c r="K92" s="37">
        <f>topoDomain_trans_FST2!T38</f>
        <v>0</v>
      </c>
      <c r="L92" s="37">
        <f>topoDomain_trans_FST2!U38</f>
        <v>0</v>
      </c>
      <c r="M92" s="37">
        <f>topoDomain_trans_FST2!V38</f>
        <v>0</v>
      </c>
      <c r="N92" s="37">
        <f>topoDomain_trans_FST2!W38</f>
        <v>0</v>
      </c>
      <c r="O92" s="38">
        <f>topoDomain_trans_FST2!X38</f>
        <v>0</v>
      </c>
    </row>
    <row r="94" spans="1:39" ht="15.75" customHeight="1" x14ac:dyDescent="0.25">
      <c r="A94" s="221" t="s">
        <v>82</v>
      </c>
      <c r="B94" s="221"/>
      <c r="C94" s="221"/>
      <c r="D94" s="221"/>
      <c r="E94" s="221"/>
      <c r="F94" s="221"/>
      <c r="G94" s="221"/>
      <c r="H94" s="13"/>
      <c r="I94" s="221" t="s">
        <v>83</v>
      </c>
      <c r="J94" s="221"/>
      <c r="K94" s="221"/>
      <c r="L94" s="221"/>
      <c r="M94" s="221"/>
      <c r="N94" s="221"/>
      <c r="O94" s="221"/>
      <c r="Q94" s="221" t="s">
        <v>72</v>
      </c>
      <c r="R94" s="221"/>
      <c r="S94" s="221"/>
      <c r="T94" s="221"/>
      <c r="U94" s="221"/>
      <c r="V94" s="221"/>
      <c r="W94" s="221"/>
      <c r="Y94" s="221" t="s">
        <v>73</v>
      </c>
      <c r="Z94" s="221"/>
      <c r="AA94" s="221"/>
      <c r="AB94" s="221"/>
      <c r="AC94" s="221"/>
      <c r="AD94" s="221"/>
      <c r="AE94" s="221"/>
      <c r="AG94" s="221" t="s">
        <v>74</v>
      </c>
      <c r="AH94" s="221"/>
      <c r="AI94" s="221"/>
      <c r="AJ94" s="221"/>
      <c r="AK94" s="221"/>
      <c r="AL94" s="221"/>
      <c r="AM94" s="221"/>
    </row>
    <row r="95" spans="1:39" ht="27" x14ac:dyDescent="0.25">
      <c r="A95" s="14" t="s">
        <v>55</v>
      </c>
      <c r="B95" s="15">
        <f>openDomain_trans_FST1!S5</f>
        <v>1678</v>
      </c>
      <c r="C95" s="15">
        <f>openDomain_trans_FST1!T5</f>
        <v>7811</v>
      </c>
      <c r="D95" s="15">
        <f>openDomain_trans_FST1!U5</f>
        <v>8949</v>
      </c>
      <c r="E95" s="15">
        <f>openDomain_trans_FST1!V5</f>
        <v>298215</v>
      </c>
      <c r="F95" s="15">
        <f>openDomain_trans_FST1!W5</f>
        <v>32704</v>
      </c>
      <c r="G95" s="15">
        <f>openDomain_trans_FST1!X5</f>
        <v>1598052</v>
      </c>
      <c r="H95" s="16"/>
      <c r="I95" s="14" t="s">
        <v>55</v>
      </c>
      <c r="J95" s="15">
        <f t="shared" ref="J95:O95" si="10">B95</f>
        <v>1678</v>
      </c>
      <c r="K95" s="15">
        <f t="shared" si="10"/>
        <v>7811</v>
      </c>
      <c r="L95" s="15">
        <f t="shared" si="10"/>
        <v>8949</v>
      </c>
      <c r="M95" s="15">
        <f t="shared" si="10"/>
        <v>298215</v>
      </c>
      <c r="N95" s="15">
        <f t="shared" si="10"/>
        <v>32704</v>
      </c>
      <c r="O95" s="15">
        <f t="shared" si="10"/>
        <v>1598052</v>
      </c>
      <c r="Q95" s="14" t="s">
        <v>55</v>
      </c>
      <c r="R95" s="15">
        <f t="shared" ref="R95:W95" si="11">J95</f>
        <v>1678</v>
      </c>
      <c r="S95" s="15">
        <f t="shared" si="11"/>
        <v>7811</v>
      </c>
      <c r="T95" s="15">
        <f t="shared" si="11"/>
        <v>8949</v>
      </c>
      <c r="U95" s="15">
        <f t="shared" si="11"/>
        <v>298215</v>
      </c>
      <c r="V95" s="15">
        <f t="shared" si="11"/>
        <v>32704</v>
      </c>
      <c r="W95" s="15">
        <f t="shared" si="11"/>
        <v>1598052</v>
      </c>
      <c r="Y95" s="14" t="s">
        <v>55</v>
      </c>
      <c r="Z95" s="15">
        <f t="shared" ref="Z95:AE95" si="12">R95</f>
        <v>1678</v>
      </c>
      <c r="AA95" s="15">
        <f t="shared" si="12"/>
        <v>7811</v>
      </c>
      <c r="AB95" s="15">
        <f t="shared" si="12"/>
        <v>8949</v>
      </c>
      <c r="AC95" s="15">
        <f t="shared" si="12"/>
        <v>298215</v>
      </c>
      <c r="AD95" s="15">
        <f t="shared" si="12"/>
        <v>32704</v>
      </c>
      <c r="AE95" s="15">
        <f t="shared" si="12"/>
        <v>1598052</v>
      </c>
      <c r="AG95" s="14" t="s">
        <v>55</v>
      </c>
      <c r="AH95" s="15">
        <f t="shared" ref="AH95:AM95" si="13">Z95</f>
        <v>1678</v>
      </c>
      <c r="AI95" s="15">
        <f t="shared" si="13"/>
        <v>7811</v>
      </c>
      <c r="AJ95" s="15">
        <f t="shared" si="13"/>
        <v>8949</v>
      </c>
      <c r="AK95" s="15">
        <f t="shared" si="13"/>
        <v>298215</v>
      </c>
      <c r="AL95" s="15">
        <f t="shared" si="13"/>
        <v>32704</v>
      </c>
      <c r="AM95" s="15">
        <f t="shared" si="13"/>
        <v>1598052</v>
      </c>
    </row>
    <row r="96" spans="1:39" x14ac:dyDescent="0.25">
      <c r="A96" s="17"/>
      <c r="B96" s="18" t="s">
        <v>57</v>
      </c>
      <c r="C96" s="18" t="s">
        <v>57</v>
      </c>
      <c r="D96" s="18" t="s">
        <v>57</v>
      </c>
      <c r="E96" s="18" t="s">
        <v>58</v>
      </c>
      <c r="F96" s="18" t="s">
        <v>58</v>
      </c>
      <c r="G96" s="18" t="s">
        <v>58</v>
      </c>
      <c r="H96" s="19"/>
      <c r="I96" s="17"/>
      <c r="J96" s="18" t="s">
        <v>57</v>
      </c>
      <c r="K96" s="18" t="s">
        <v>57</v>
      </c>
      <c r="L96" s="18" t="s">
        <v>57</v>
      </c>
      <c r="M96" s="18" t="s">
        <v>58</v>
      </c>
      <c r="N96" s="18" t="s">
        <v>58</v>
      </c>
      <c r="O96" s="18" t="s">
        <v>58</v>
      </c>
      <c r="Q96" s="17"/>
      <c r="R96" s="18" t="s">
        <v>57</v>
      </c>
      <c r="S96" s="18" t="s">
        <v>57</v>
      </c>
      <c r="T96" s="18" t="s">
        <v>57</v>
      </c>
      <c r="U96" s="18" t="s">
        <v>58</v>
      </c>
      <c r="V96" s="18" t="s">
        <v>58</v>
      </c>
      <c r="W96" s="18" t="s">
        <v>58</v>
      </c>
      <c r="Y96" s="17"/>
      <c r="Z96" s="18" t="s">
        <v>57</v>
      </c>
      <c r="AA96" s="18" t="s">
        <v>57</v>
      </c>
      <c r="AB96" s="18" t="s">
        <v>57</v>
      </c>
      <c r="AC96" s="18" t="s">
        <v>58</v>
      </c>
      <c r="AD96" s="18" t="s">
        <v>58</v>
      </c>
      <c r="AE96" s="18" t="s">
        <v>58</v>
      </c>
      <c r="AG96" s="17"/>
      <c r="AH96" s="18" t="s">
        <v>57</v>
      </c>
      <c r="AI96" s="18" t="s">
        <v>57</v>
      </c>
      <c r="AJ96" s="18" t="s">
        <v>57</v>
      </c>
      <c r="AK96" s="18" t="s">
        <v>58</v>
      </c>
      <c r="AL96" s="18" t="s">
        <v>58</v>
      </c>
      <c r="AM96" s="18" t="s">
        <v>58</v>
      </c>
    </row>
    <row r="97" spans="1:39" ht="27" x14ac:dyDescent="0.25">
      <c r="A97" s="20" t="s">
        <v>59</v>
      </c>
      <c r="B97" s="21" t="s">
        <v>60</v>
      </c>
      <c r="C97" s="21" t="s">
        <v>61</v>
      </c>
      <c r="D97" s="21" t="s">
        <v>62</v>
      </c>
      <c r="E97" s="21" t="s">
        <v>63</v>
      </c>
      <c r="F97" s="21" t="s">
        <v>64</v>
      </c>
      <c r="G97" s="21" t="s">
        <v>65</v>
      </c>
      <c r="H97" s="13"/>
      <c r="I97" s="20" t="s">
        <v>59</v>
      </c>
      <c r="J97" s="21" t="s">
        <v>60</v>
      </c>
      <c r="K97" s="21" t="s">
        <v>61</v>
      </c>
      <c r="L97" s="21" t="s">
        <v>62</v>
      </c>
      <c r="M97" s="21" t="s">
        <v>63</v>
      </c>
      <c r="N97" s="21" t="s">
        <v>64</v>
      </c>
      <c r="O97" s="21" t="s">
        <v>65</v>
      </c>
      <c r="Q97" s="20" t="s">
        <v>59</v>
      </c>
      <c r="R97" s="21" t="s">
        <v>60</v>
      </c>
      <c r="S97" s="21" t="s">
        <v>61</v>
      </c>
      <c r="T97" s="21" t="s">
        <v>62</v>
      </c>
      <c r="U97" s="21" t="s">
        <v>63</v>
      </c>
      <c r="V97" s="21" t="s">
        <v>64</v>
      </c>
      <c r="W97" s="21" t="s">
        <v>65</v>
      </c>
      <c r="Y97" s="20" t="s">
        <v>59</v>
      </c>
      <c r="Z97" s="21" t="s">
        <v>60</v>
      </c>
      <c r="AA97" s="21" t="s">
        <v>61</v>
      </c>
      <c r="AB97" s="21" t="s">
        <v>62</v>
      </c>
      <c r="AC97" s="21" t="s">
        <v>63</v>
      </c>
      <c r="AD97" s="21" t="s">
        <v>64</v>
      </c>
      <c r="AE97" s="21" t="s">
        <v>65</v>
      </c>
      <c r="AG97" s="20" t="s">
        <v>59</v>
      </c>
      <c r="AH97" s="21" t="s">
        <v>60</v>
      </c>
      <c r="AI97" s="21" t="s">
        <v>61</v>
      </c>
      <c r="AJ97" s="21" t="s">
        <v>62</v>
      </c>
      <c r="AK97" s="21" t="s">
        <v>63</v>
      </c>
      <c r="AL97" s="21" t="s">
        <v>64</v>
      </c>
      <c r="AM97" s="21" t="s">
        <v>65</v>
      </c>
    </row>
    <row r="98" spans="1:39" ht="56.25" x14ac:dyDescent="0.25">
      <c r="A98" s="22"/>
      <c r="B98" s="23" t="str">
        <f t="shared" ref="B98:G98" si="14">CONCATENATE($A$94,"-",B97)</f>
        <v>openDomain-trans-FST1-Cx [-]</v>
      </c>
      <c r="C98" s="23" t="str">
        <f t="shared" si="14"/>
        <v>openDomain-trans-FST1-Cy [-]</v>
      </c>
      <c r="D98" s="23" t="str">
        <f t="shared" si="14"/>
        <v>openDomain-trans-FST1-Cz [-]</v>
      </c>
      <c r="E98" s="23" t="str">
        <f t="shared" si="14"/>
        <v>openDomain-trans-FST1-Cnx [-]</v>
      </c>
      <c r="F98" s="23" t="str">
        <f t="shared" si="14"/>
        <v>openDomain-trans-FST1-Cny [-]</v>
      </c>
      <c r="G98" s="23" t="str">
        <f t="shared" si="14"/>
        <v>openDomain-trans-FST1-Cnz [-]</v>
      </c>
      <c r="H98" s="24"/>
      <c r="I98" s="22"/>
      <c r="J98" s="23" t="str">
        <f t="shared" ref="J98:O98" si="15">CONCATENATE($I$94,"-",J97)</f>
        <v>openDomain-trans-FST2-Cx [-]</v>
      </c>
      <c r="K98" s="23" t="str">
        <f t="shared" si="15"/>
        <v>openDomain-trans-FST2-Cy [-]</v>
      </c>
      <c r="L98" s="23" t="str">
        <f t="shared" si="15"/>
        <v>openDomain-trans-FST2-Cz [-]</v>
      </c>
      <c r="M98" s="23" t="str">
        <f t="shared" si="15"/>
        <v>openDomain-trans-FST2-Cnx [-]</v>
      </c>
      <c r="N98" s="23" t="str">
        <f t="shared" si="15"/>
        <v>openDomain-trans-FST2-Cny [-]</v>
      </c>
      <c r="O98" s="23" t="str">
        <f t="shared" si="15"/>
        <v>openDomain-trans-FST2-Cnz [-]</v>
      </c>
      <c r="Q98" s="22"/>
      <c r="R98" s="23" t="str">
        <f t="shared" ref="R98:W98" si="16">CONCATENATE($Q$94,"-",R97)</f>
        <v>openDomain-trans-FST2-noApp-Cx [-]</v>
      </c>
      <c r="S98" s="23" t="str">
        <f t="shared" si="16"/>
        <v>openDomain-trans-FST2-noApp-Cy [-]</v>
      </c>
      <c r="T98" s="23" t="str">
        <f t="shared" si="16"/>
        <v>openDomain-trans-FST2-noApp-Cz [-]</v>
      </c>
      <c r="U98" s="23" t="str">
        <f t="shared" si="16"/>
        <v>openDomain-trans-FST2-noApp-Cnx [-]</v>
      </c>
      <c r="V98" s="23" t="str">
        <f t="shared" si="16"/>
        <v>openDomain-trans-FST2-noApp-Cny [-]</v>
      </c>
      <c r="W98" s="23" t="str">
        <f t="shared" si="16"/>
        <v>openDomain-trans-FST2-noApp-Cnz [-]</v>
      </c>
      <c r="Y98" s="22"/>
      <c r="Z98" s="23" t="str">
        <f t="shared" ref="Z98:AE98" si="17">CONCATENATE($Y$94,"-",Z97)</f>
        <v>openDomain-trans-FST2-hull-Cx [-]</v>
      </c>
      <c r="AA98" s="23" t="str">
        <f t="shared" si="17"/>
        <v>openDomain-trans-FST2-hull-Cy [-]</v>
      </c>
      <c r="AB98" s="23" t="str">
        <f t="shared" si="17"/>
        <v>openDomain-trans-FST2-hull-Cz [-]</v>
      </c>
      <c r="AC98" s="23" t="str">
        <f t="shared" si="17"/>
        <v>openDomain-trans-FST2-hull-Cnx [-]</v>
      </c>
      <c r="AD98" s="23" t="str">
        <f t="shared" si="17"/>
        <v>openDomain-trans-FST2-hull-Cny [-]</v>
      </c>
      <c r="AE98" s="23" t="str">
        <f t="shared" si="17"/>
        <v>openDomain-trans-FST2-hull-Cnz [-]</v>
      </c>
      <c r="AG98" s="22"/>
      <c r="AH98" s="23" t="str">
        <f t="shared" ref="AH98:AM98" si="18">CONCATENATE($AG$94,"-",AH97)</f>
        <v>openDomain-trans-FST2-topsides-Cx [-]</v>
      </c>
      <c r="AI98" s="23" t="str">
        <f t="shared" si="18"/>
        <v>openDomain-trans-FST2-topsides-Cy [-]</v>
      </c>
      <c r="AJ98" s="23" t="str">
        <f t="shared" si="18"/>
        <v>openDomain-trans-FST2-topsides-Cz [-]</v>
      </c>
      <c r="AK98" s="23" t="str">
        <f t="shared" si="18"/>
        <v>openDomain-trans-FST2-topsides-Cnx [-]</v>
      </c>
      <c r="AL98" s="23" t="str">
        <f t="shared" si="18"/>
        <v>openDomain-trans-FST2-topsides-Cny [-]</v>
      </c>
      <c r="AM98" s="23" t="str">
        <f t="shared" si="18"/>
        <v>openDomain-trans-FST2-topsides-Cnz [-]</v>
      </c>
    </row>
    <row r="99" spans="1:39" x14ac:dyDescent="0.25">
      <c r="A99" s="26">
        <f>openDomain_trans_FST1!P14</f>
        <v>0</v>
      </c>
      <c r="B99" s="31">
        <f>openDomain_trans_FST1!S14</f>
        <v>0.23475679663999094</v>
      </c>
      <c r="C99" s="32">
        <f>openDomain_trans_FST1!T14</f>
        <v>-1.069471695154617E-3</v>
      </c>
      <c r="D99" s="32">
        <f>openDomain_trans_FST1!U14</f>
        <v>5.7846034629357189E-2</v>
      </c>
      <c r="E99" s="32">
        <f>openDomain_trans_FST1!V14</f>
        <v>1.4184142912542002E-3</v>
      </c>
      <c r="F99" s="32">
        <f>openDomain_trans_FST1!W14</f>
        <v>0.39064917107864705</v>
      </c>
      <c r="G99" s="33">
        <f>openDomain_trans_FST1!X14</f>
        <v>2.1598706909235272E-4</v>
      </c>
      <c r="H99" s="25"/>
      <c r="I99" s="26">
        <f>openDomain_trans_FST2!P14</f>
        <v>0</v>
      </c>
      <c r="J99" s="31">
        <f>openDomain_trans_FST2!S14</f>
        <v>1.1483789962474444</v>
      </c>
      <c r="K99" s="32">
        <f>openDomain_trans_FST2!T14</f>
        <v>-1.5221195426332487E-2</v>
      </c>
      <c r="L99" s="32">
        <f>openDomain_trans_FST2!U14</f>
        <v>0.13486795215131761</v>
      </c>
      <c r="M99" s="32">
        <f>openDomain_trans_FST2!V14</f>
        <v>7.0142254250863262E-3</v>
      </c>
      <c r="N99" s="32">
        <f>openDomain_trans_FST2!W14</f>
        <v>2.2109723901772669</v>
      </c>
      <c r="O99" s="33">
        <f>openDomain_trans_FST2!X14</f>
        <v>2.0311551388381617E-3</v>
      </c>
      <c r="Q99" s="26">
        <f>openDomain_trans_FST2_noApp!P14</f>
        <v>0</v>
      </c>
      <c r="R99" s="31">
        <f>openDomain_trans_FST2_noApp!S14</f>
        <v>1.0803787885787499</v>
      </c>
      <c r="S99" s="32">
        <f>openDomain_trans_FST2_noApp!T14</f>
        <v>-1.0514907869324569E-2</v>
      </c>
      <c r="T99" s="32">
        <f>openDomain_trans_FST2_noApp!U14</f>
        <v>0.1354228648366749</v>
      </c>
      <c r="U99" s="32">
        <f>openDomain_trans_FST2_noApp!V14</f>
        <v>4.7627119270326592E-3</v>
      </c>
      <c r="V99" s="32">
        <f>openDomain_trans_FST2_noApp!W14</f>
        <v>2.1662255688619294</v>
      </c>
      <c r="W99" s="33">
        <f>openDomain_trans_FST2_noApp!X14</f>
        <v>9.1443964070922294E-4</v>
      </c>
      <c r="Y99" s="26">
        <f>openDomain_trans_FST2_hull!P14</f>
        <v>0</v>
      </c>
      <c r="Z99" s="31">
        <f>openDomain_trans_FST2_hull!S14</f>
        <v>0.3924368557375737</v>
      </c>
      <c r="AA99" s="32">
        <f>openDomain_trans_FST2_hull!T14</f>
        <v>-1.506835326409987E-2</v>
      </c>
      <c r="AB99" s="32">
        <f>openDomain_trans_FST2_hull!U14</f>
        <v>1.8915253373150451E-2</v>
      </c>
      <c r="AC99" s="32">
        <f>openDomain_trans_FST2_hull!V14</f>
        <v>-5.4640446698213663E-3</v>
      </c>
      <c r="AD99" s="32">
        <f>openDomain_trans_FST2_hull!W14</f>
        <v>0.22970724735949388</v>
      </c>
      <c r="AE99" s="33">
        <f>openDomain_trans_FST2_hull!X14</f>
        <v>4.5801078196609874E-3</v>
      </c>
      <c r="AG99" s="26">
        <f>openDomain_trans_FST2_topside!P14</f>
        <v>0</v>
      </c>
      <c r="AH99" s="31">
        <f>openDomain_trans_FST2_topside!S14</f>
        <v>0.68794193284117622</v>
      </c>
      <c r="AI99" s="32">
        <f>openDomain_trans_FST2_topside!T14</f>
        <v>4.5534453947753024E-3</v>
      </c>
      <c r="AJ99" s="32">
        <f>openDomain_trans_FST2_topside!U14</f>
        <v>0.11650761146352444</v>
      </c>
      <c r="AK99" s="32">
        <f>openDomain_trans_FST2_topside!V14</f>
        <v>1.0226756572097397E-2</v>
      </c>
      <c r="AL99" s="32">
        <f>openDomain_trans_FST2_topside!W14</f>
        <v>1.9365183201479597</v>
      </c>
      <c r="AM99" s="33">
        <f>openDomain_trans_FST2_topside!X14</f>
        <v>-3.6656681743318913E-3</v>
      </c>
    </row>
    <row r="100" spans="1:39" x14ac:dyDescent="0.25">
      <c r="A100" s="26">
        <f>openDomain_trans_FST1!P15</f>
        <v>15</v>
      </c>
      <c r="B100" s="34">
        <f>openDomain_trans_FST1!S15</f>
        <v>1.2494232925959512</v>
      </c>
      <c r="C100" s="25">
        <f>openDomain_trans_FST1!T15</f>
        <v>0.15578309148313288</v>
      </c>
      <c r="D100" s="25">
        <f>openDomain_trans_FST1!U15</f>
        <v>0.12905738894216237</v>
      </c>
      <c r="E100" s="25">
        <f>openDomain_trans_FST1!V15</f>
        <v>-7.6993947629344528E-2</v>
      </c>
      <c r="F100" s="25">
        <f>openDomain_trans_FST1!W15</f>
        <v>1.7331367658829486</v>
      </c>
      <c r="G100" s="35">
        <f>openDomain_trans_FST1!X15</f>
        <v>-4.5323417186966296E-3</v>
      </c>
      <c r="H100" s="25"/>
      <c r="I100" s="26">
        <f>openDomain_trans_FST2!P15</f>
        <v>15</v>
      </c>
      <c r="J100" s="34">
        <f>openDomain_trans_FST2!S15</f>
        <v>1.9275585245139257</v>
      </c>
      <c r="K100" s="25">
        <f>openDomain_trans_FST2!T15</f>
        <v>0.16832198810595408</v>
      </c>
      <c r="L100" s="25">
        <f>openDomain_trans_FST2!U15</f>
        <v>0.16218200498860677</v>
      </c>
      <c r="M100" s="25">
        <f>openDomain_trans_FST2!V15</f>
        <v>-7.6584130554032875E-2</v>
      </c>
      <c r="N100" s="25">
        <f>openDomain_trans_FST2!W15</f>
        <v>2.2347697708822301</v>
      </c>
      <c r="O100" s="35">
        <f>openDomain_trans_FST2!X15</f>
        <v>-5.3063096429537522E-3</v>
      </c>
      <c r="Q100" s="26">
        <f>openDomain_trans_FST2_noApp!P15</f>
        <v>15</v>
      </c>
      <c r="R100" s="34">
        <f>openDomain_trans_FST2_noApp!S15</f>
        <v>1.8195306071537467</v>
      </c>
      <c r="S100" s="25">
        <f>openDomain_trans_FST2_noApp!T15</f>
        <v>0.17230035124292778</v>
      </c>
      <c r="T100" s="25">
        <f>openDomain_trans_FST2_noApp!U15</f>
        <v>0.15916984977132015</v>
      </c>
      <c r="U100" s="25">
        <f>openDomain_trans_FST2_noApp!V15</f>
        <v>-7.5612232812303462E-2</v>
      </c>
      <c r="V100" s="25">
        <f>openDomain_trans_FST2_noApp!W15</f>
        <v>2.2102643018686718</v>
      </c>
      <c r="W100" s="35">
        <f>openDomain_trans_FST2_noApp!X15</f>
        <v>-7.7491825579666142E-3</v>
      </c>
      <c r="Y100" s="26">
        <f>openDomain_trans_FST2_hull!P15</f>
        <v>15</v>
      </c>
      <c r="Z100" s="34">
        <f>openDomain_trans_FST2_hull!S15</f>
        <v>0.44829975656125282</v>
      </c>
      <c r="AA100" s="25">
        <f>openDomain_trans_FST2_hull!T15</f>
        <v>0.10222350199543961</v>
      </c>
      <c r="AB100" s="25">
        <f>openDomain_trans_FST2_hull!U15</f>
        <v>2.7452901250311385E-2</v>
      </c>
      <c r="AC100" s="25">
        <f>openDomain_trans_FST2_hull!V15</f>
        <v>-3.8949416754557341E-2</v>
      </c>
      <c r="AD100" s="25">
        <f>openDomain_trans_FST2_hull!W15</f>
        <v>-3.5678735229888918E-3</v>
      </c>
      <c r="AE100" s="35">
        <f>openDomain_trans_FST2_hull!X15</f>
        <v>-1.7902883055801504E-2</v>
      </c>
      <c r="AG100" s="26">
        <f>openDomain_trans_FST2_topside!P15</f>
        <v>15</v>
      </c>
      <c r="AH100" s="34">
        <f>openDomain_trans_FST2_topside!S15</f>
        <v>1.3712308417929728</v>
      </c>
      <c r="AI100" s="25">
        <f>openDomain_trans_FST2_topside!T15</f>
        <v>7.0076849247488152E-2</v>
      </c>
      <c r="AJ100" s="25">
        <f>openDomain_trans_FST2_topside!U15</f>
        <v>0.13171694769602296</v>
      </c>
      <c r="AK100" s="25">
        <f>openDomain_trans_FST2_topside!V15</f>
        <v>-3.6662815983476239E-2</v>
      </c>
      <c r="AL100" s="25">
        <f>openDomain_trans_FST2_topside!W15</f>
        <v>2.213832171102486</v>
      </c>
      <c r="AM100" s="35">
        <f>openDomain_trans_FST2_topside!X15</f>
        <v>1.0153700465495775E-2</v>
      </c>
    </row>
    <row r="101" spans="1:39" x14ac:dyDescent="0.25">
      <c r="A101" s="26">
        <f>openDomain_trans_FST1!P16</f>
        <v>30</v>
      </c>
      <c r="B101" s="34">
        <f>openDomain_trans_FST1!S16</f>
        <v>1.647984808507025</v>
      </c>
      <c r="C101" s="25">
        <f>openDomain_trans_FST1!T16</f>
        <v>0.32906807509773511</v>
      </c>
      <c r="D101" s="25">
        <f>openDomain_trans_FST1!U16</f>
        <v>0.25854393055665381</v>
      </c>
      <c r="E101" s="25">
        <f>openDomain_trans_FST1!V16</f>
        <v>-0.16076636313368592</v>
      </c>
      <c r="F101" s="25">
        <f>openDomain_trans_FST1!W16</f>
        <v>2.4572863178402935</v>
      </c>
      <c r="G101" s="35">
        <f>openDomain_trans_FST1!X16</f>
        <v>-1.4711036803957028E-2</v>
      </c>
      <c r="H101" s="25"/>
      <c r="I101" s="26">
        <f>openDomain_trans_FST2!P16</f>
        <v>30</v>
      </c>
      <c r="J101" s="34">
        <f>openDomain_trans_FST2!S16</f>
        <v>2.3417745553932048</v>
      </c>
      <c r="K101" s="25">
        <f>openDomain_trans_FST2!T16</f>
        <v>0.42643695493558392</v>
      </c>
      <c r="L101" s="25">
        <f>openDomain_trans_FST2!U16</f>
        <v>0.27018047348493524</v>
      </c>
      <c r="M101" s="25">
        <f>openDomain_trans_FST2!V16</f>
        <v>-0.19558058485394272</v>
      </c>
      <c r="N101" s="25">
        <f>openDomain_trans_FST2!W16</f>
        <v>2.5293945313205457</v>
      </c>
      <c r="O101" s="35">
        <f>openDomain_trans_FST2!X16</f>
        <v>-3.1570871238205754E-2</v>
      </c>
      <c r="Q101" s="26">
        <f>openDomain_trans_FST2_noApp!P16</f>
        <v>30</v>
      </c>
      <c r="R101" s="34">
        <f>openDomain_trans_FST2_noApp!S16</f>
        <v>2.2384892146471547</v>
      </c>
      <c r="S101" s="25">
        <f>openDomain_trans_FST2_noApp!T16</f>
        <v>0.42269495948463892</v>
      </c>
      <c r="T101" s="25">
        <f>openDomain_trans_FST2_noApp!U16</f>
        <v>0.2613485482167705</v>
      </c>
      <c r="U101" s="25">
        <f>openDomain_trans_FST2_noApp!V16</f>
        <v>-0.18665241400309943</v>
      </c>
      <c r="V101" s="25">
        <f>openDomain_trans_FST2_noApp!W16</f>
        <v>2.5972549344018168</v>
      </c>
      <c r="W101" s="35">
        <f>openDomain_trans_FST2_noApp!X16</f>
        <v>-3.5939121476558658E-2</v>
      </c>
      <c r="Y101" s="26">
        <f>openDomain_trans_FST2_hull!P16</f>
        <v>30</v>
      </c>
      <c r="Z101" s="34">
        <f>openDomain_trans_FST2_hull!S16</f>
        <v>0.41826512164677754</v>
      </c>
      <c r="AA101" s="25">
        <f>openDomain_trans_FST2_hull!T16</f>
        <v>0.25607642609056835</v>
      </c>
      <c r="AB101" s="25">
        <f>openDomain_trans_FST2_hull!U16</f>
        <v>4.5422743151266813E-2</v>
      </c>
      <c r="AC101" s="25">
        <f>openDomain_trans_FST2_hull!V16</f>
        <v>-8.4617627931597217E-2</v>
      </c>
      <c r="AD101" s="25">
        <f>openDomain_trans_FST2_hull!W16</f>
        <v>-5.4530291595240631E-3</v>
      </c>
      <c r="AE101" s="35">
        <f>openDomain_trans_FST2_hull!X16</f>
        <v>-3.8696872527758434E-2</v>
      </c>
      <c r="AG101" s="26">
        <f>openDomain_trans_FST2_topside!P16</f>
        <v>30</v>
      </c>
      <c r="AH101" s="34">
        <f>openDomain_trans_FST2_topside!S16</f>
        <v>1.8202241017998981</v>
      </c>
      <c r="AI101" s="25">
        <f>openDomain_trans_FST2_topside!T16</f>
        <v>0.16661853433925022</v>
      </c>
      <c r="AJ101" s="25">
        <f>openDomain_trans_FST2_topside!U16</f>
        <v>0.21592580589048951</v>
      </c>
      <c r="AK101" s="25">
        <f>openDomain_trans_FST2_topside!V16</f>
        <v>-0.10203478592296243</v>
      </c>
      <c r="AL101" s="25">
        <f>openDomain_trans_FST2_topside!W16</f>
        <v>2.6027079619811184</v>
      </c>
      <c r="AM101" s="35">
        <f>openDomain_trans_FST2_topside!X16</f>
        <v>2.7577510650593994E-3</v>
      </c>
    </row>
    <row r="102" spans="1:39" x14ac:dyDescent="0.25">
      <c r="A102" s="26">
        <f>openDomain_trans_FST1!P17</f>
        <v>45</v>
      </c>
      <c r="B102" s="34">
        <f>openDomain_trans_FST1!S17</f>
        <v>1.4455057458671952</v>
      </c>
      <c r="C102" s="25">
        <f>openDomain_trans_FST1!T17</f>
        <v>0.52466193878364553</v>
      </c>
      <c r="D102" s="25">
        <f>openDomain_trans_FST1!U17</f>
        <v>0.36794613304604029</v>
      </c>
      <c r="E102" s="25">
        <f>openDomain_trans_FST1!V17</f>
        <v>-0.24941753033106351</v>
      </c>
      <c r="F102" s="25">
        <f>openDomain_trans_FST1!W17</f>
        <v>3.0647795903829307</v>
      </c>
      <c r="G102" s="35">
        <f>openDomain_trans_FST1!X17</f>
        <v>-1.939909432480446E-2</v>
      </c>
      <c r="H102" s="25"/>
      <c r="I102" s="26">
        <f>openDomain_trans_FST2!P17</f>
        <v>45</v>
      </c>
      <c r="J102" s="34">
        <f>openDomain_trans_FST2!S17</f>
        <v>1.9904234021499871</v>
      </c>
      <c r="K102" s="25">
        <f>openDomain_trans_FST2!T17</f>
        <v>0.69077584455462404</v>
      </c>
      <c r="L102" s="25">
        <f>openDomain_trans_FST2!U17</f>
        <v>0.41530109198010257</v>
      </c>
      <c r="M102" s="25">
        <f>openDomain_trans_FST2!V17</f>
        <v>-0.3105501492710222</v>
      </c>
      <c r="N102" s="25">
        <f>openDomain_trans_FST2!W17</f>
        <v>2.1311481661927809</v>
      </c>
      <c r="O102" s="35">
        <f>openDomain_trans_FST2!X17</f>
        <v>-5.0318236155915921E-2</v>
      </c>
      <c r="Q102" s="26">
        <f>openDomain_trans_FST2_noApp!P17</f>
        <v>45</v>
      </c>
      <c r="R102" s="34">
        <f>openDomain_trans_FST2_noApp!S17</f>
        <v>1.9111553331036659</v>
      </c>
      <c r="S102" s="25">
        <f>openDomain_trans_FST2_noApp!T17</f>
        <v>0.67658856600134998</v>
      </c>
      <c r="T102" s="25">
        <f>openDomain_trans_FST2_noApp!U17</f>
        <v>0.3995629447885255</v>
      </c>
      <c r="U102" s="25">
        <f>openDomain_trans_FST2_noApp!V17</f>
        <v>-0.29158565917065032</v>
      </c>
      <c r="V102" s="25">
        <f>openDomain_trans_FST2_noApp!W17</f>
        <v>2.3308553449254821</v>
      </c>
      <c r="W102" s="35">
        <f>openDomain_trans_FST2_noApp!X17</f>
        <v>-5.7144794593064902E-2</v>
      </c>
      <c r="Y102" s="26">
        <f>openDomain_trans_FST2_hull!P17</f>
        <v>45</v>
      </c>
      <c r="Z102" s="34">
        <f>openDomain_trans_FST2_hull!S17</f>
        <v>0.32978874110093448</v>
      </c>
      <c r="AA102" s="25">
        <f>openDomain_trans_FST2_hull!T17</f>
        <v>0.42377429980029774</v>
      </c>
      <c r="AB102" s="25">
        <f>openDomain_trans_FST2_hull!U17</f>
        <v>7.3134287355182515E-2</v>
      </c>
      <c r="AC102" s="25">
        <f>openDomain_trans_FST2_hull!V17</f>
        <v>-0.13665994928963546</v>
      </c>
      <c r="AD102" s="25">
        <f>openDomain_trans_FST2_hull!W17</f>
        <v>-8.5606850922380212E-2</v>
      </c>
      <c r="AE102" s="35">
        <f>openDomain_trans_FST2_hull!X17</f>
        <v>-5.3472920099157613E-2</v>
      </c>
      <c r="AG102" s="26">
        <f>openDomain_trans_FST2_topside!P17</f>
        <v>45</v>
      </c>
      <c r="AH102" s="34">
        <f>openDomain_trans_FST2_topside!S17</f>
        <v>1.5813665964024921</v>
      </c>
      <c r="AI102" s="25">
        <f>openDomain_trans_FST2_topside!T17</f>
        <v>0.25281426714623195</v>
      </c>
      <c r="AJ102" s="25">
        <f>openDomain_trans_FST2_topside!U17</f>
        <v>0.32642865578337132</v>
      </c>
      <c r="AK102" s="25">
        <f>openDomain_trans_FST2_topside!V17</f>
        <v>-0.15492571134165598</v>
      </c>
      <c r="AL102" s="25">
        <f>openDomain_trans_FST2_topside!W17</f>
        <v>2.4164621904299577</v>
      </c>
      <c r="AM102" s="35">
        <f>openDomain_trans_FST2_topside!X17</f>
        <v>-3.671874891216417E-3</v>
      </c>
    </row>
    <row r="103" spans="1:39" x14ac:dyDescent="0.25">
      <c r="A103" s="26">
        <f>openDomain_trans_FST1!P18</f>
        <v>60</v>
      </c>
      <c r="B103" s="34">
        <f>openDomain_trans_FST1!S18</f>
        <v>1.1625968706263632</v>
      </c>
      <c r="C103" s="25">
        <f>openDomain_trans_FST1!T18</f>
        <v>0.63028354112871177</v>
      </c>
      <c r="D103" s="25">
        <f>openDomain_trans_FST1!U18</f>
        <v>0.46648310979723873</v>
      </c>
      <c r="E103" s="25">
        <f>openDomain_trans_FST1!V18</f>
        <v>-0.28267551760710941</v>
      </c>
      <c r="F103" s="25">
        <f>openDomain_trans_FST1!W18</f>
        <v>2.834828854035508</v>
      </c>
      <c r="G103" s="35">
        <f>openDomain_trans_FST1!X18</f>
        <v>-2.5642524701842213E-2</v>
      </c>
      <c r="H103" s="25"/>
      <c r="I103" s="26">
        <f>openDomain_trans_FST2!P18</f>
        <v>60</v>
      </c>
      <c r="J103" s="34">
        <f>openDomain_trans_FST2!S18</f>
        <v>0.99405776709515947</v>
      </c>
      <c r="K103" s="25">
        <f>openDomain_trans_FST2!T18</f>
        <v>0.8401202816692005</v>
      </c>
      <c r="L103" s="25">
        <f>openDomain_trans_FST2!U18</f>
        <v>0.57087858225857291</v>
      </c>
      <c r="M103" s="25">
        <f>openDomain_trans_FST2!V18</f>
        <v>-0.35561074523598751</v>
      </c>
      <c r="N103" s="25">
        <f>openDomain_trans_FST2!W18</f>
        <v>1.6058855174622679</v>
      </c>
      <c r="O103" s="35">
        <f>openDomain_trans_FST2!X18</f>
        <v>-4.3891005285276646E-2</v>
      </c>
      <c r="Q103" s="26">
        <f>openDomain_trans_FST2_noApp!P18</f>
        <v>60</v>
      </c>
      <c r="R103" s="34">
        <f>openDomain_trans_FST2_noApp!S18</f>
        <v>0.95278790382651579</v>
      </c>
      <c r="S103" s="25">
        <f>openDomain_trans_FST2_noApp!T18</f>
        <v>0.80933424051674108</v>
      </c>
      <c r="T103" s="25">
        <f>openDomain_trans_FST2_noApp!U18</f>
        <v>0.5412134922635512</v>
      </c>
      <c r="U103" s="25">
        <f>openDomain_trans_FST2_noApp!V18</f>
        <v>-0.31946172510985704</v>
      </c>
      <c r="V103" s="25">
        <f>openDomain_trans_FST2_noApp!W18</f>
        <v>2.0416492036312244</v>
      </c>
      <c r="W103" s="35">
        <f>openDomain_trans_FST2_noApp!X18</f>
        <v>-5.387961965324381E-2</v>
      </c>
      <c r="Y103" s="26">
        <f>openDomain_trans_FST2_hull!P18</f>
        <v>60</v>
      </c>
      <c r="Z103" s="34">
        <f>openDomain_trans_FST2_hull!S18</f>
        <v>8.0095158019597434E-2</v>
      </c>
      <c r="AA103" s="25">
        <f>openDomain_trans_FST2_hull!T18</f>
        <v>0.53713233729358878</v>
      </c>
      <c r="AB103" s="25">
        <f>openDomain_trans_FST2_hull!U18</f>
        <v>0.10123920789646727</v>
      </c>
      <c r="AC103" s="25">
        <f>openDomain_trans_FST2_hull!V18</f>
        <v>-0.1736879308717186</v>
      </c>
      <c r="AD103" s="25">
        <f>openDomain_trans_FST2_hull!W18</f>
        <v>-0.17685786835972575</v>
      </c>
      <c r="AE103" s="35">
        <f>openDomain_trans_FST2_hull!X18</f>
        <v>-5.1685763482007971E-2</v>
      </c>
      <c r="AG103" s="26">
        <f>openDomain_trans_FST2_topside!P18</f>
        <v>60</v>
      </c>
      <c r="AH103" s="34">
        <f>openDomain_trans_FST2_topside!S18</f>
        <v>0.87269275020667891</v>
      </c>
      <c r="AI103" s="25">
        <f>openDomain_trans_FST2_topside!T18</f>
        <v>0.27220190416833201</v>
      </c>
      <c r="AJ103" s="25">
        <f>openDomain_trans_FST2_topside!U18</f>
        <v>0.43997428601705557</v>
      </c>
      <c r="AK103" s="25">
        <f>openDomain_trans_FST2_topside!V18</f>
        <v>-0.14577379609488564</v>
      </c>
      <c r="AL103" s="25">
        <f>openDomain_trans_FST2_topside!W18</f>
        <v>2.2185070744741564</v>
      </c>
      <c r="AM103" s="35">
        <f>openDomain_trans_FST2_topside!X18</f>
        <v>-2.1938557785465933E-3</v>
      </c>
    </row>
    <row r="104" spans="1:39" x14ac:dyDescent="0.25">
      <c r="A104" s="26">
        <f>openDomain_trans_FST1!P19</f>
        <v>75</v>
      </c>
      <c r="B104" s="34">
        <f>openDomain_trans_FST1!S19</f>
        <v>0.7794858219918509</v>
      </c>
      <c r="C104" s="25">
        <f>openDomain_trans_FST1!T19</f>
        <v>0.69022540880082273</v>
      </c>
      <c r="D104" s="25">
        <f>openDomain_trans_FST1!U19</f>
        <v>0.46279852761481222</v>
      </c>
      <c r="E104" s="25">
        <f>openDomain_trans_FST1!V19</f>
        <v>-0.29145136015301876</v>
      </c>
      <c r="F104" s="25">
        <f>openDomain_trans_FST1!W19</f>
        <v>1.8295737048137721</v>
      </c>
      <c r="G104" s="35">
        <f>openDomain_trans_FST1!X19</f>
        <v>-1.5729985823077362E-2</v>
      </c>
      <c r="H104" s="25"/>
      <c r="I104" s="26">
        <f>openDomain_trans_FST2!P19</f>
        <v>75</v>
      </c>
      <c r="J104" s="34">
        <f>openDomain_trans_FST2!S19</f>
        <v>0.18953372658392481</v>
      </c>
      <c r="K104" s="25">
        <f>openDomain_trans_FST2!T19</f>
        <v>0.91028890313274591</v>
      </c>
      <c r="L104" s="25">
        <f>openDomain_trans_FST2!U19</f>
        <v>0.5430651869556048</v>
      </c>
      <c r="M104" s="25">
        <f>openDomain_trans_FST2!V19</f>
        <v>-0.38020286797252062</v>
      </c>
      <c r="N104" s="25">
        <f>openDomain_trans_FST2!W19</f>
        <v>6.1163592773309822E-2</v>
      </c>
      <c r="O104" s="35">
        <f>openDomain_trans_FST2!X19</f>
        <v>-7.3834850787607639E-3</v>
      </c>
      <c r="Q104" s="26">
        <f>openDomain_trans_FST2_noApp!P19</f>
        <v>75</v>
      </c>
      <c r="R104" s="34">
        <f>openDomain_trans_FST2_noApp!S19</f>
        <v>0.17031345213566576</v>
      </c>
      <c r="S104" s="25">
        <f>openDomain_trans_FST2_noApp!T19</f>
        <v>0.87163082002036008</v>
      </c>
      <c r="T104" s="25">
        <f>openDomain_trans_FST2_noApp!U19</f>
        <v>0.50939899659449994</v>
      </c>
      <c r="U104" s="25">
        <f>openDomain_trans_FST2_noApp!V19</f>
        <v>-0.33746708082278681</v>
      </c>
      <c r="V104" s="25">
        <f>openDomain_trans_FST2_noApp!W19</f>
        <v>0.58062743218769941</v>
      </c>
      <c r="W104" s="35">
        <f>openDomain_trans_FST2_noApp!X19</f>
        <v>-1.8989871317276738E-2</v>
      </c>
      <c r="Y104" s="26">
        <f>openDomain_trans_FST2_hull!P19</f>
        <v>75</v>
      </c>
      <c r="Z104" s="34">
        <f>openDomain_trans_FST2_hull!S19</f>
        <v>-0.15045284094733882</v>
      </c>
      <c r="AA104" s="25">
        <f>openDomain_trans_FST2_hull!T19</f>
        <v>0.59532458484520734</v>
      </c>
      <c r="AB104" s="25">
        <f>openDomain_trans_FST2_hull!U19</f>
        <v>0.10132944319520969</v>
      </c>
      <c r="AC104" s="25">
        <f>openDomain_trans_FST2_hull!V19</f>
        <v>-0.1910486952182763</v>
      </c>
      <c r="AD104" s="25">
        <f>openDomain_trans_FST2_hull!W19</f>
        <v>-0.31935496820051157</v>
      </c>
      <c r="AE104" s="35">
        <f>openDomain_trans_FST2_hull!X19</f>
        <v>-2.4882934027179938E-2</v>
      </c>
      <c r="AG104" s="26">
        <f>openDomain_trans_FST2_topside!P19</f>
        <v>75</v>
      </c>
      <c r="AH104" s="34">
        <f>openDomain_trans_FST2_topside!S19</f>
        <v>0.32076629308300464</v>
      </c>
      <c r="AI104" s="25">
        <f>openDomain_trans_FST2_topside!T19</f>
        <v>0.27630623328479365</v>
      </c>
      <c r="AJ104" s="25">
        <f>openDomain_trans_FST2_topside!U19</f>
        <v>0.40806955257430438</v>
      </c>
      <c r="AK104" s="25">
        <f>openDomain_trans_FST2_topside!V19</f>
        <v>-0.14641838510937794</v>
      </c>
      <c r="AL104" s="25">
        <f>openDomain_trans_FST2_topside!W19</f>
        <v>0.89998240061395696</v>
      </c>
      <c r="AM104" s="35">
        <f>openDomain_trans_FST2_topside!X19</f>
        <v>5.8930628069205461E-3</v>
      </c>
    </row>
    <row r="105" spans="1:39" x14ac:dyDescent="0.25">
      <c r="A105" s="26">
        <f>openDomain_trans_FST1!P20</f>
        <v>90</v>
      </c>
      <c r="B105" s="34">
        <f>openDomain_trans_FST1!S20</f>
        <v>0.30586294482128396</v>
      </c>
      <c r="C105" s="25">
        <f>openDomain_trans_FST1!T20</f>
        <v>0.79595805179385881</v>
      </c>
      <c r="D105" s="25">
        <f>openDomain_trans_FST1!U20</f>
        <v>0.46150270836656487</v>
      </c>
      <c r="E105" s="25">
        <f>openDomain_trans_FST1!V20</f>
        <v>-0.31350132310255741</v>
      </c>
      <c r="F105" s="25">
        <f>openDomain_trans_FST1!W20</f>
        <v>5.5376627222514796E-2</v>
      </c>
      <c r="G105" s="35">
        <f>openDomain_trans_FST1!X20</f>
        <v>1.1745868110112509E-2</v>
      </c>
      <c r="H105" s="25"/>
      <c r="I105" s="26">
        <f>openDomain_trans_FST2!P20</f>
        <v>90</v>
      </c>
      <c r="J105" s="34">
        <f>openDomain_trans_FST2!S20</f>
        <v>-0.24215386754345097</v>
      </c>
      <c r="K105" s="25">
        <f>openDomain_trans_FST2!T20</f>
        <v>0.8451915096971413</v>
      </c>
      <c r="L105" s="25">
        <f>openDomain_trans_FST2!U20</f>
        <v>0.52310752192781373</v>
      </c>
      <c r="M105" s="25">
        <f>openDomain_trans_FST2!V20</f>
        <v>-0.35065995363442387</v>
      </c>
      <c r="N105" s="25">
        <f>openDomain_trans_FST2!W20</f>
        <v>-0.88566589231264348</v>
      </c>
      <c r="O105" s="35">
        <f>openDomain_trans_FST2!X20</f>
        <v>6.1241671554238741E-3</v>
      </c>
      <c r="Q105" s="26">
        <f>openDomain_trans_FST2_noApp!P20</f>
        <v>90</v>
      </c>
      <c r="R105" s="34">
        <f>openDomain_trans_FST2_noApp!S20</f>
        <v>-0.24920413172706879</v>
      </c>
      <c r="S105" s="25">
        <f>openDomain_trans_FST2_noApp!T20</f>
        <v>0.80644001353686268</v>
      </c>
      <c r="T105" s="25">
        <f>openDomain_trans_FST2_noApp!U20</f>
        <v>0.49240264455803684</v>
      </c>
      <c r="U105" s="25">
        <f>openDomain_trans_FST2_noApp!V20</f>
        <v>-0.31029254154504277</v>
      </c>
      <c r="V105" s="25">
        <f>openDomain_trans_FST2_noApp!W20</f>
        <v>-0.39407828935439532</v>
      </c>
      <c r="W105" s="35">
        <f>openDomain_trans_FST2_noApp!X20</f>
        <v>-5.0952171265562715E-3</v>
      </c>
      <c r="Y105" s="26">
        <f>openDomain_trans_FST2_hull!P20</f>
        <v>90</v>
      </c>
      <c r="Z105" s="34">
        <f>openDomain_trans_FST2_hull!S20</f>
        <v>-0.12090543110833048</v>
      </c>
      <c r="AA105" s="25">
        <f>openDomain_trans_FST2_hull!T20</f>
        <v>0.56325136310261636</v>
      </c>
      <c r="AB105" s="25">
        <f>openDomain_trans_FST2_hull!U20</f>
        <v>0.10419533420196092</v>
      </c>
      <c r="AC105" s="25">
        <f>openDomain_trans_FST2_hull!V20</f>
        <v>-0.18344713635029619</v>
      </c>
      <c r="AD105" s="25">
        <f>openDomain_trans_FST2_hull!W20</f>
        <v>-0.4849088473660676</v>
      </c>
      <c r="AE105" s="35">
        <f>openDomain_trans_FST2_hull!X20</f>
        <v>-1.0236950364144759E-2</v>
      </c>
      <c r="AG105" s="26">
        <f>openDomain_trans_FST2_topside!P20</f>
        <v>90</v>
      </c>
      <c r="AH105" s="34">
        <f>openDomain_trans_FST2_topside!S20</f>
        <v>-0.12829869621897785</v>
      </c>
      <c r="AI105" s="25">
        <f>openDomain_trans_FST2_topside!T20</f>
        <v>0.24318864948906663</v>
      </c>
      <c r="AJ105" s="25">
        <f>openDomain_trans_FST2_topside!U20</f>
        <v>0.38820731200604752</v>
      </c>
      <c r="AK105" s="25">
        <f>openDomain_trans_FST2_topside!V20</f>
        <v>-0.12684540403118499</v>
      </c>
      <c r="AL105" s="25">
        <f>openDomain_trans_FST2_topside!W20</f>
        <v>9.0830559817640558E-2</v>
      </c>
      <c r="AM105" s="35">
        <f>openDomain_trans_FST2_topside!X20</f>
        <v>5.1417332976468437E-3</v>
      </c>
    </row>
    <row r="106" spans="1:39" x14ac:dyDescent="0.25">
      <c r="A106" s="26">
        <f>openDomain_trans_FST1!P21</f>
        <v>105</v>
      </c>
      <c r="B106" s="34">
        <f>openDomain_trans_FST1!S21</f>
        <v>-0.19892391538204662</v>
      </c>
      <c r="C106" s="25">
        <f>openDomain_trans_FST1!T21</f>
        <v>0.90834527355128891</v>
      </c>
      <c r="D106" s="25">
        <f>openDomain_trans_FST1!U21</f>
        <v>0.54149778237624879</v>
      </c>
      <c r="E106" s="25">
        <f>openDomain_trans_FST1!V21</f>
        <v>-0.35991079723666752</v>
      </c>
      <c r="F106" s="25">
        <f>openDomain_trans_FST1!W21</f>
        <v>-0.1717282081941835</v>
      </c>
      <c r="G106" s="35">
        <f>openDomain_trans_FST1!X21</f>
        <v>9.8327898232340033E-3</v>
      </c>
      <c r="H106" s="25"/>
      <c r="I106" s="26">
        <f>openDomain_trans_FST2!P21</f>
        <v>105</v>
      </c>
      <c r="J106" s="34">
        <f>openDomain_trans_FST2!S21</f>
        <v>-0.66075814912636155</v>
      </c>
      <c r="K106" s="25">
        <f>openDomain_trans_FST2!T21</f>
        <v>0.69474163774771447</v>
      </c>
      <c r="L106" s="25">
        <f>openDomain_trans_FST2!U21</f>
        <v>0.45589096343947483</v>
      </c>
      <c r="M106" s="25">
        <f>openDomain_trans_FST2!V21</f>
        <v>-0.30764578143608956</v>
      </c>
      <c r="N106" s="25">
        <f>openDomain_trans_FST2!W21</f>
        <v>-1.8258214234244192</v>
      </c>
      <c r="O106" s="35">
        <f>openDomain_trans_FST2!X21</f>
        <v>1.8763166511262901E-2</v>
      </c>
      <c r="Q106" s="26">
        <f>openDomain_trans_FST2_noApp!P21</f>
        <v>105</v>
      </c>
      <c r="R106" s="34">
        <f>openDomain_trans_FST2_noApp!S21</f>
        <v>-0.64683915487640864</v>
      </c>
      <c r="S106" s="25">
        <f>openDomain_trans_FST2_noApp!T21</f>
        <v>0.65646175881199242</v>
      </c>
      <c r="T106" s="25">
        <f>openDomain_trans_FST2_noApp!U21</f>
        <v>0.42464521711791131</v>
      </c>
      <c r="U106" s="25">
        <f>openDomain_trans_FST2_noApp!V21</f>
        <v>-0.26688407480148574</v>
      </c>
      <c r="V106" s="25">
        <f>openDomain_trans_FST2_noApp!W21</f>
        <v>-1.3026482742799785</v>
      </c>
      <c r="W106" s="35">
        <f>openDomain_trans_FST2_noApp!X21</f>
        <v>7.9224023678137849E-3</v>
      </c>
      <c r="Y106" s="26">
        <f>openDomain_trans_FST2_hull!P21</f>
        <v>105</v>
      </c>
      <c r="Z106" s="34">
        <f>openDomain_trans_FST2_hull!S21</f>
        <v>-4.1808112366362782E-2</v>
      </c>
      <c r="AA106" s="25">
        <f>openDomain_trans_FST2_hull!T21</f>
        <v>0.4501340250535929</v>
      </c>
      <c r="AB106" s="25">
        <f>openDomain_trans_FST2_hull!U21</f>
        <v>9.473016219509918E-2</v>
      </c>
      <c r="AC106" s="25">
        <f>openDomain_trans_FST2_hull!V21</f>
        <v>-0.14978286754262179</v>
      </c>
      <c r="AD106" s="25">
        <f>openDomain_trans_FST2_hull!W21</f>
        <v>-0.45106635763841479</v>
      </c>
      <c r="AE106" s="35">
        <f>openDomain_trans_FST2_hull!X21</f>
        <v>5.8060033744461517E-3</v>
      </c>
      <c r="AG106" s="26">
        <f>openDomain_trans_FST2_topside!P21</f>
        <v>105</v>
      </c>
      <c r="AH106" s="34">
        <f>openDomain_trans_FST2_topside!S21</f>
        <v>-0.60503104690980625</v>
      </c>
      <c r="AI106" s="25">
        <f>openDomain_trans_FST2_topside!T21</f>
        <v>0.20632773375839952</v>
      </c>
      <c r="AJ106" s="25">
        <f>openDomain_trans_FST2_topside!U21</f>
        <v>0.32991505492281215</v>
      </c>
      <c r="AK106" s="25">
        <f>openDomain_trans_FST2_topside!V21</f>
        <v>-0.11710120812534593</v>
      </c>
      <c r="AL106" s="25">
        <f>openDomain_trans_FST2_topside!W21</f>
        <v>-0.85158191483559553</v>
      </c>
      <c r="AM106" s="35">
        <f>openDomain_trans_FST2_topside!X21</f>
        <v>2.1163989887477597E-3</v>
      </c>
    </row>
    <row r="107" spans="1:39" x14ac:dyDescent="0.25">
      <c r="A107" s="26">
        <f>openDomain_trans_FST1!P22</f>
        <v>120</v>
      </c>
      <c r="B107" s="34">
        <f>openDomain_trans_FST1!S22</f>
        <v>-1.1486271559376309</v>
      </c>
      <c r="C107" s="25">
        <f>openDomain_trans_FST1!T22</f>
        <v>0.82483572140055395</v>
      </c>
      <c r="D107" s="25">
        <f>openDomain_trans_FST1!U22</f>
        <v>0.58336234684705479</v>
      </c>
      <c r="E107" s="25">
        <f>openDomain_trans_FST1!V22</f>
        <v>-0.33398051067813128</v>
      </c>
      <c r="F107" s="25">
        <f>openDomain_trans_FST1!W22</f>
        <v>-1.431439288495477</v>
      </c>
      <c r="G107" s="35">
        <f>openDomain_trans_FST1!X22</f>
        <v>4.1783976943017095E-2</v>
      </c>
      <c r="H107" s="25"/>
      <c r="I107" s="26">
        <f>openDomain_trans_FST2!P22</f>
        <v>120</v>
      </c>
      <c r="J107" s="34">
        <f>openDomain_trans_FST2!S22</f>
        <v>-1.1273218481985843</v>
      </c>
      <c r="K107" s="25">
        <f>openDomain_trans_FST2!T22</f>
        <v>0.61567895820789031</v>
      </c>
      <c r="L107" s="25">
        <f>openDomain_trans_FST2!U22</f>
        <v>0.45179634680605302</v>
      </c>
      <c r="M107" s="25">
        <f>openDomain_trans_FST2!V22</f>
        <v>-0.29394923030619613</v>
      </c>
      <c r="N107" s="25">
        <f>openDomain_trans_FST2!W22</f>
        <v>-3.0383196673460722</v>
      </c>
      <c r="O107" s="35">
        <f>openDomain_trans_FST2!X22</f>
        <v>2.4069640478497044E-2</v>
      </c>
      <c r="Q107" s="26">
        <f>openDomain_trans_FST2_noApp!P22</f>
        <v>120</v>
      </c>
      <c r="R107" s="34">
        <f>openDomain_trans_FST2_noApp!S22</f>
        <v>-1.0925814494658912</v>
      </c>
      <c r="S107" s="25">
        <f>openDomain_trans_FST2_noApp!T22</f>
        <v>0.58363983854630619</v>
      </c>
      <c r="T107" s="25">
        <f>openDomain_trans_FST2_noApp!U22</f>
        <v>0.42163050691954795</v>
      </c>
      <c r="U107" s="25">
        <f>openDomain_trans_FST2_noApp!V22</f>
        <v>-0.25683262194850798</v>
      </c>
      <c r="V107" s="25">
        <f>openDomain_trans_FST2_noApp!W22</f>
        <v>-2.5065002690441154</v>
      </c>
      <c r="W107" s="35">
        <f>openDomain_trans_FST2_noApp!X22</f>
        <v>1.568285406770303E-2</v>
      </c>
      <c r="Y107" s="26">
        <f>openDomain_trans_FST2_hull!P22</f>
        <v>120</v>
      </c>
      <c r="Z107" s="34">
        <f>openDomain_trans_FST2_hull!S22</f>
        <v>-5.7064831790557331E-2</v>
      </c>
      <c r="AA107" s="25">
        <f>openDomain_trans_FST2_hull!T22</f>
        <v>0.37248182384129602</v>
      </c>
      <c r="AB107" s="25">
        <f>openDomain_trans_FST2_hull!U22</f>
        <v>9.4417229399805097E-2</v>
      </c>
      <c r="AC107" s="25">
        <f>openDomain_trans_FST2_hull!V22</f>
        <v>-0.12866311137957198</v>
      </c>
      <c r="AD107" s="25">
        <f>openDomain_trans_FST2_hull!W22</f>
        <v>-0.62558038220066625</v>
      </c>
      <c r="AE107" s="35">
        <f>openDomain_trans_FST2_hull!X22</f>
        <v>1.3276793006929273E-2</v>
      </c>
      <c r="AG107" s="26">
        <f>openDomain_trans_FST2_topside!P22</f>
        <v>120</v>
      </c>
      <c r="AH107" s="34">
        <f>openDomain_trans_FST2_topside!S22</f>
        <v>-1.0355166176753339</v>
      </c>
      <c r="AI107" s="25">
        <f>openDomain_trans_FST2_topside!T22</f>
        <v>0.21115801375983054</v>
      </c>
      <c r="AJ107" s="25">
        <f>openDomain_trans_FST2_topside!U22</f>
        <v>0.32721327669475708</v>
      </c>
      <c r="AK107" s="25">
        <f>openDomain_trans_FST2_topside!V22</f>
        <v>-0.12816951126212159</v>
      </c>
      <c r="AL107" s="25">
        <f>openDomain_trans_FST2_topside!W22</f>
        <v>-1.8809198981307507</v>
      </c>
      <c r="AM107" s="35">
        <f>openDomain_trans_FST2_topside!X22</f>
        <v>2.4060610515340081E-3</v>
      </c>
    </row>
    <row r="108" spans="1:39" x14ac:dyDescent="0.25">
      <c r="A108" s="26">
        <f>openDomain_trans_FST1!P23</f>
        <v>135</v>
      </c>
      <c r="B108" s="34">
        <f>openDomain_trans_FST1!S23</f>
        <v>-1.9726547010780735</v>
      </c>
      <c r="C108" s="25">
        <f>openDomain_trans_FST1!T23</f>
        <v>0.6992640510049174</v>
      </c>
      <c r="D108" s="25">
        <f>openDomain_trans_FST1!U23</f>
        <v>0.41752720896036905</v>
      </c>
      <c r="E108" s="25">
        <f>openDomain_trans_FST1!V23</f>
        <v>-0.31041843350858733</v>
      </c>
      <c r="F108" s="25">
        <f>openDomain_trans_FST1!W23</f>
        <v>-2.0819539564790555</v>
      </c>
      <c r="G108" s="35">
        <f>openDomain_trans_FST1!X23</f>
        <v>4.9142875304503841E-2</v>
      </c>
      <c r="H108" s="25"/>
      <c r="I108" s="26">
        <f>openDomain_trans_FST2!P23</f>
        <v>135</v>
      </c>
      <c r="J108" s="34">
        <f>openDomain_trans_FST2!S23</f>
        <v>-1.4621295280684921</v>
      </c>
      <c r="K108" s="25">
        <f>openDomain_trans_FST2!T23</f>
        <v>0.50820251740087519</v>
      </c>
      <c r="L108" s="25">
        <f>openDomain_trans_FST2!U23</f>
        <v>0.37402519366438947</v>
      </c>
      <c r="M108" s="25">
        <f>openDomain_trans_FST2!V23</f>
        <v>-0.25669858445990384</v>
      </c>
      <c r="N108" s="25">
        <f>openDomain_trans_FST2!W23</f>
        <v>-3.5871585419768417</v>
      </c>
      <c r="O108" s="35">
        <f>openDomain_trans_FST2!X23</f>
        <v>1.9739549258734508E-2</v>
      </c>
      <c r="Q108" s="26">
        <f>openDomain_trans_FST2_noApp!P23</f>
        <v>135</v>
      </c>
      <c r="R108" s="34">
        <f>openDomain_trans_FST2_noApp!S23</f>
        <v>-1.4076823337737494</v>
      </c>
      <c r="S108" s="25">
        <f>openDomain_trans_FST2_noApp!T23</f>
        <v>0.48858489549077955</v>
      </c>
      <c r="T108" s="25">
        <f>openDomain_trans_FST2_noApp!U23</f>
        <v>0.351296200804188</v>
      </c>
      <c r="U108" s="25">
        <f>openDomain_trans_FST2_noApp!V23</f>
        <v>-0.23058475869159903</v>
      </c>
      <c r="V108" s="25">
        <f>openDomain_trans_FST2_noApp!W23</f>
        <v>-3.1627351792766594</v>
      </c>
      <c r="W108" s="35">
        <f>openDomain_trans_FST2_noApp!X23</f>
        <v>1.5553889744669638E-2</v>
      </c>
      <c r="Y108" s="26">
        <f>openDomain_trans_FST2_hull!P23</f>
        <v>135</v>
      </c>
      <c r="Z108" s="34">
        <f>openDomain_trans_FST2_hull!S23</f>
        <v>-7.8470141685486661E-2</v>
      </c>
      <c r="AA108" s="25">
        <f>openDomain_trans_FST2_hull!T23</f>
        <v>0.28155799062183323</v>
      </c>
      <c r="AB108" s="25">
        <f>openDomain_trans_FST2_hull!U23</f>
        <v>7.3583001266229492E-2</v>
      </c>
      <c r="AC108" s="25">
        <f>openDomain_trans_FST2_hull!V23</f>
        <v>-9.5622496885879121E-2</v>
      </c>
      <c r="AD108" s="25">
        <f>openDomain_trans_FST2_hull!W23</f>
        <v>-0.61328680369089339</v>
      </c>
      <c r="AE108" s="35">
        <f>openDomain_trans_FST2_hull!X23</f>
        <v>1.7767401768278943E-2</v>
      </c>
      <c r="AG108" s="26">
        <f>openDomain_trans_FST2_topside!P23</f>
        <v>135</v>
      </c>
      <c r="AH108" s="34">
        <f>openDomain_trans_FST2_topside!S23</f>
        <v>-1.3292121920882629</v>
      </c>
      <c r="AI108" s="25">
        <f>openDomain_trans_FST2_topside!T23</f>
        <v>0.20702690486894634</v>
      </c>
      <c r="AJ108" s="25">
        <f>openDomain_trans_FST2_topside!U23</f>
        <v>0.27771319871297268</v>
      </c>
      <c r="AK108" s="25">
        <f>openDomain_trans_FST2_topside!V23</f>
        <v>-0.1349622617066934</v>
      </c>
      <c r="AL108" s="25">
        <f>openDomain_trans_FST2_topside!W23</f>
        <v>-2.5494483584290677</v>
      </c>
      <c r="AM108" s="35">
        <f>openDomain_trans_FST2_topside!X23</f>
        <v>-2.2135120189894324E-3</v>
      </c>
    </row>
    <row r="109" spans="1:39" x14ac:dyDescent="0.25">
      <c r="A109" s="26">
        <f>openDomain_trans_FST1!P24</f>
        <v>150</v>
      </c>
      <c r="B109" s="34">
        <f>openDomain_trans_FST1!S24</f>
        <v>-2.2783113279313074</v>
      </c>
      <c r="C109" s="25">
        <f>openDomain_trans_FST1!T24</f>
        <v>0.4239895814739878</v>
      </c>
      <c r="D109" s="25">
        <f>openDomain_trans_FST1!U24</f>
        <v>0.27477118791481581</v>
      </c>
      <c r="E109" s="25">
        <f>openDomain_trans_FST1!V24</f>
        <v>-0.1875430314245731</v>
      </c>
      <c r="F109" s="25">
        <f>openDomain_trans_FST1!W24</f>
        <v>-2.5342247890448526</v>
      </c>
      <c r="G109" s="35">
        <f>openDomain_trans_FST1!X24</f>
        <v>3.0238214380012837E-2</v>
      </c>
      <c r="H109" s="25"/>
      <c r="I109" s="26">
        <f>openDomain_trans_FST2!P24</f>
        <v>150</v>
      </c>
      <c r="J109" s="34">
        <f>openDomain_trans_FST2!S24</f>
        <v>-1.7078674316970186</v>
      </c>
      <c r="K109" s="25">
        <f>openDomain_trans_FST2!T24</f>
        <v>0.32900504106829115</v>
      </c>
      <c r="L109" s="25">
        <f>openDomain_trans_FST2!U24</f>
        <v>0.26229840471255</v>
      </c>
      <c r="M109" s="25">
        <f>openDomain_trans_FST2!V24</f>
        <v>-0.17487338847884795</v>
      </c>
      <c r="N109" s="25">
        <f>openDomain_trans_FST2!W24</f>
        <v>-2.6799134259469954</v>
      </c>
      <c r="O109" s="35">
        <f>openDomain_trans_FST2!X24</f>
        <v>1.6955247886949094E-2</v>
      </c>
      <c r="Q109" s="26">
        <f>openDomain_trans_FST2_noApp!P24</f>
        <v>150</v>
      </c>
      <c r="R109" s="34">
        <f>openDomain_trans_FST2_noApp!S24</f>
        <v>-1.6260016560698438</v>
      </c>
      <c r="S109" s="25">
        <f>openDomain_trans_FST2_noApp!T24</f>
        <v>0.32454310796517527</v>
      </c>
      <c r="T109" s="25">
        <f>openDomain_trans_FST2_noApp!U24</f>
        <v>0.24907178906960623</v>
      </c>
      <c r="U109" s="25">
        <f>openDomain_trans_FST2_noApp!V24</f>
        <v>-0.16238926977890789</v>
      </c>
      <c r="V109" s="25">
        <f>openDomain_trans_FST2_noApp!W24</f>
        <v>-2.4086555223528299</v>
      </c>
      <c r="W109" s="35">
        <f>openDomain_trans_FST2_noApp!X24</f>
        <v>1.8226145250631865E-2</v>
      </c>
      <c r="Y109" s="26">
        <f>openDomain_trans_FST2_hull!P24</f>
        <v>150</v>
      </c>
      <c r="Z109" s="34">
        <f>openDomain_trans_FST2_hull!S24</f>
        <v>-0.1281599101744901</v>
      </c>
      <c r="AA109" s="25">
        <f>openDomain_trans_FST2_hull!T24</f>
        <v>0.16951348721708354</v>
      </c>
      <c r="AB109" s="25">
        <f>openDomain_trans_FST2_hull!U24</f>
        <v>4.7165599114394233E-2</v>
      </c>
      <c r="AC109" s="25">
        <f>openDomain_trans_FST2_hull!V24</f>
        <v>-6.1246959460469381E-2</v>
      </c>
      <c r="AD109" s="25">
        <f>openDomain_trans_FST2_hull!W24</f>
        <v>-0.17218688777677366</v>
      </c>
      <c r="AE109" s="35">
        <f>openDomain_trans_FST2_hull!X24</f>
        <v>1.8499606147006686E-2</v>
      </c>
      <c r="AG109" s="26">
        <f>openDomain_trans_FST2_topside!P24</f>
        <v>150</v>
      </c>
      <c r="AH109" s="34">
        <f>openDomain_trans_FST2_topside!S24</f>
        <v>-1.4978417458953535</v>
      </c>
      <c r="AI109" s="25">
        <f>openDomain_trans_FST2_topside!T24</f>
        <v>0.15502962263845099</v>
      </c>
      <c r="AJ109" s="25">
        <f>openDomain_trans_FST2_topside!U24</f>
        <v>0.20190618913022615</v>
      </c>
      <c r="AK109" s="25">
        <f>openDomain_trans_FST2_topside!V24</f>
        <v>-0.10114231009562885</v>
      </c>
      <c r="AL109" s="25">
        <f>openDomain_trans_FST2_topside!W24</f>
        <v>-2.2364686226115169</v>
      </c>
      <c r="AM109" s="35">
        <f>openDomain_trans_FST2_topside!X24</f>
        <v>-2.7346087789532333E-4</v>
      </c>
    </row>
    <row r="110" spans="1:39" x14ac:dyDescent="0.25">
      <c r="A110" s="26">
        <f>openDomain_trans_FST1!P25</f>
        <v>165</v>
      </c>
      <c r="B110" s="34">
        <f>openDomain_trans_FST1!S25</f>
        <v>-1.8704800050685242</v>
      </c>
      <c r="C110" s="25">
        <f>openDomain_trans_FST1!T25</f>
        <v>0.15228603177155162</v>
      </c>
      <c r="D110" s="25">
        <f>openDomain_trans_FST1!U25</f>
        <v>0.16965264673393685</v>
      </c>
      <c r="E110" s="25">
        <f>openDomain_trans_FST1!V25</f>
        <v>-6.6718806379934284E-2</v>
      </c>
      <c r="F110" s="25">
        <f>openDomain_trans_FST1!W25</f>
        <v>-2.0866879931196221</v>
      </c>
      <c r="G110" s="35">
        <f>openDomain_trans_FST1!X25</f>
        <v>4.1681929273438218E-3</v>
      </c>
      <c r="H110" s="25"/>
      <c r="I110" s="26">
        <f>openDomain_trans_FST2!P25</f>
        <v>165</v>
      </c>
      <c r="J110" s="34">
        <f>openDomain_trans_FST2!S25</f>
        <v>-1.312824289845661</v>
      </c>
      <c r="K110" s="25">
        <f>openDomain_trans_FST2!T25</f>
        <v>0.15507703001309214</v>
      </c>
      <c r="L110" s="25">
        <f>openDomain_trans_FST2!U25</f>
        <v>0.13604761587142367</v>
      </c>
      <c r="M110" s="25">
        <f>openDomain_trans_FST2!V25</f>
        <v>-8.374092977616969E-2</v>
      </c>
      <c r="N110" s="25">
        <f>openDomain_trans_FST2!W25</f>
        <v>-1.8728679504482053</v>
      </c>
      <c r="O110" s="35">
        <f>openDomain_trans_FST2!X25</f>
        <v>1.0222322888341732E-2</v>
      </c>
      <c r="Q110" s="26">
        <f>openDomain_trans_FST2_noApp!P25</f>
        <v>165</v>
      </c>
      <c r="R110" s="34">
        <f>openDomain_trans_FST2_noApp!S25</f>
        <v>-1.2187863656702531</v>
      </c>
      <c r="S110" s="25">
        <f>openDomain_trans_FST2_noApp!T25</f>
        <v>0.15926377217692686</v>
      </c>
      <c r="T110" s="25">
        <f>openDomain_trans_FST2_noApp!U25</f>
        <v>0.13192619709876413</v>
      </c>
      <c r="U110" s="25">
        <f>openDomain_trans_FST2_noApp!V25</f>
        <v>-8.1901132508698682E-2</v>
      </c>
      <c r="V110" s="25">
        <f>openDomain_trans_FST2_noApp!W25</f>
        <v>-1.7600082246050166</v>
      </c>
      <c r="W110" s="35">
        <f>openDomain_trans_FST2_noApp!X25</f>
        <v>1.4260893705824014E-2</v>
      </c>
      <c r="Y110" s="26">
        <f>openDomain_trans_FST2_hull!P25</f>
        <v>165</v>
      </c>
      <c r="Z110" s="34">
        <f>openDomain_trans_FST2_hull!S25</f>
        <v>-0.11717796283170345</v>
      </c>
      <c r="AA110" s="25">
        <f>openDomain_trans_FST2_hull!T25</f>
        <v>7.2877715164353277E-2</v>
      </c>
      <c r="AB110" s="25">
        <f>openDomain_trans_FST2_hull!U25</f>
        <v>2.3656993006718977E-2</v>
      </c>
      <c r="AC110" s="25">
        <f>openDomain_trans_FST2_hull!V25</f>
        <v>-2.9193034125830776E-2</v>
      </c>
      <c r="AD110" s="25">
        <f>openDomain_trans_FST2_hull!W25</f>
        <v>-0.16190729387220537</v>
      </c>
      <c r="AE110" s="35">
        <f>openDomain_trans_FST2_hull!X25</f>
        <v>1.6044615539426637E-2</v>
      </c>
      <c r="AG110" s="26">
        <f>openDomain_trans_FST2_topside!P25</f>
        <v>165</v>
      </c>
      <c r="AH110" s="34">
        <f>openDomain_trans_FST2_topside!S25</f>
        <v>-1.101608398438789</v>
      </c>
      <c r="AI110" s="25">
        <f>openDomain_trans_FST2_topside!T25</f>
        <v>8.6386056067393954E-2</v>
      </c>
      <c r="AJ110" s="25">
        <f>openDomain_trans_FST2_topside!U25</f>
        <v>0.10826920409204517</v>
      </c>
      <c r="AK110" s="25">
        <f>openDomain_trans_FST2_topside!V25</f>
        <v>-5.2708098333354658E-2</v>
      </c>
      <c r="AL110" s="25">
        <f>openDomain_trans_FST2_topside!W25</f>
        <v>-1.5981009302813194</v>
      </c>
      <c r="AM110" s="35">
        <f>openDomain_trans_FST2_topside!X25</f>
        <v>-1.7837217920237602E-3</v>
      </c>
    </row>
    <row r="111" spans="1:39" x14ac:dyDescent="0.25">
      <c r="A111" s="26">
        <f>openDomain_trans_FST1!P26</f>
        <v>180</v>
      </c>
      <c r="B111" s="34">
        <f>openDomain_trans_FST1!S26</f>
        <v>-1.0595889215791094</v>
      </c>
      <c r="C111" s="25">
        <f>openDomain_trans_FST1!T26</f>
        <v>-3.313498455269303E-2</v>
      </c>
      <c r="D111" s="25">
        <f>openDomain_trans_FST1!U26</f>
        <v>0.14000023512095799</v>
      </c>
      <c r="E111" s="25">
        <f>openDomain_trans_FST1!V26</f>
        <v>1.5350215039482459E-2</v>
      </c>
      <c r="F111" s="25">
        <f>openDomain_trans_FST1!W26</f>
        <v>-2.0844095328213053</v>
      </c>
      <c r="G111" s="35">
        <f>openDomain_trans_FST1!X26</f>
        <v>1.7648584327498466E-3</v>
      </c>
      <c r="H111" s="25"/>
      <c r="I111" s="26">
        <f>openDomain_trans_FST2!P26</f>
        <v>180</v>
      </c>
      <c r="J111" s="34">
        <f>openDomain_trans_FST2!S26</f>
        <v>-0.36076843576635687</v>
      </c>
      <c r="K111" s="25">
        <f>openDomain_trans_FST2!T26</f>
        <v>1.5082188803506088E-2</v>
      </c>
      <c r="L111" s="25">
        <f>openDomain_trans_FST2!U26</f>
        <v>6.0180185977377822E-2</v>
      </c>
      <c r="M111" s="25">
        <f>openDomain_trans_FST2!V26</f>
        <v>-9.2473493031043023E-3</v>
      </c>
      <c r="N111" s="25">
        <f>openDomain_trans_FST2!W26</f>
        <v>-0.50114103216682238</v>
      </c>
      <c r="O111" s="35">
        <f>openDomain_trans_FST2!X26</f>
        <v>2.9094320775928605E-3</v>
      </c>
      <c r="Q111" s="26">
        <f>openDomain_trans_FST2_noApp!P26</f>
        <v>180</v>
      </c>
      <c r="R111" s="34">
        <f>openDomain_trans_FST2_noApp!S26</f>
        <v>-0.28423404789843243</v>
      </c>
      <c r="S111" s="25">
        <f>openDomain_trans_FST2_noApp!T26</f>
        <v>2.0218067118056102E-2</v>
      </c>
      <c r="T111" s="25">
        <f>openDomain_trans_FST2_noApp!U26</f>
        <v>5.9053054054184505E-2</v>
      </c>
      <c r="U111" s="25">
        <f>openDomain_trans_FST2_noApp!V26</f>
        <v>-1.0238231071528726E-2</v>
      </c>
      <c r="V111" s="25">
        <f>openDomain_trans_FST2_noApp!W26</f>
        <v>-0.44505880661439473</v>
      </c>
      <c r="W111" s="35">
        <f>openDomain_trans_FST2_noApp!X26</f>
        <v>6.8605184989173193E-3</v>
      </c>
      <c r="Y111" s="26">
        <f>openDomain_trans_FST2_hull!P26</f>
        <v>180</v>
      </c>
      <c r="Z111" s="34">
        <f>openDomain_trans_FST2_hull!S26</f>
        <v>-5.3346620609973999E-2</v>
      </c>
      <c r="AA111" s="25">
        <f>openDomain_trans_FST2_hull!T26</f>
        <v>1.1851330427756638E-2</v>
      </c>
      <c r="AB111" s="25">
        <f>openDomain_trans_FST2_hull!U26</f>
        <v>1.4729020414727798E-2</v>
      </c>
      <c r="AC111" s="25">
        <f>openDomain_trans_FST2_hull!V26</f>
        <v>-8.1042580615644996E-3</v>
      </c>
      <c r="AD111" s="25">
        <f>openDomain_trans_FST2_hull!W26</f>
        <v>-0.17618484450433036</v>
      </c>
      <c r="AE111" s="35">
        <f>openDomain_trans_FST2_hull!X26</f>
        <v>5.7354274981506487E-3</v>
      </c>
      <c r="AG111" s="26">
        <f>openDomain_trans_FST2_topside!P26</f>
        <v>180</v>
      </c>
      <c r="AH111" s="34">
        <f>openDomain_trans_FST2_topside!S26</f>
        <v>-0.23088742728845843</v>
      </c>
      <c r="AI111" s="25">
        <f>openDomain_trans_FST2_topside!T26</f>
        <v>8.3667366902994648E-3</v>
      </c>
      <c r="AJ111" s="25">
        <f>openDomain_trans_FST2_topside!U26</f>
        <v>4.4324033639456702E-2</v>
      </c>
      <c r="AK111" s="25">
        <f>openDomain_trans_FST2_topside!V26</f>
        <v>-2.1339730347208563E-3</v>
      </c>
      <c r="AL111" s="25">
        <f>openDomain_trans_FST2_topside!W26</f>
        <v>-0.26887396052984219</v>
      </c>
      <c r="AM111" s="35">
        <f>openDomain_trans_FST2_topside!X26</f>
        <v>1.125090982287177E-3</v>
      </c>
    </row>
    <row r="112" spans="1:39" x14ac:dyDescent="0.25">
      <c r="A112" s="27">
        <f>openDomain_trans_FST1!P27</f>
        <v>195</v>
      </c>
      <c r="B112" s="34">
        <f>openDomain_trans_FST1!S27</f>
        <v>-1.5136025810754865</v>
      </c>
      <c r="C112" s="25">
        <f>openDomain_trans_FST1!T27</f>
        <v>-0.2044131580535519</v>
      </c>
      <c r="D112" s="25">
        <f>openDomain_trans_FST1!U27</f>
        <v>0.22886606483126298</v>
      </c>
      <c r="E112" s="25">
        <f>openDomain_trans_FST1!V27</f>
        <v>0.10448191597888574</v>
      </c>
      <c r="F112" s="25">
        <f>openDomain_trans_FST1!W27</f>
        <v>-2.5413125819909572</v>
      </c>
      <c r="G112" s="35">
        <f>openDomain_trans_FST1!X27</f>
        <v>-2.3083241669730314E-2</v>
      </c>
      <c r="H112" s="25"/>
      <c r="I112" s="27">
        <f>openDomain_trans_FST2!P27</f>
        <v>195</v>
      </c>
      <c r="J112" s="34">
        <f>openDomain_trans_FST2!S27</f>
        <v>-0.56769555945374339</v>
      </c>
      <c r="K112" s="25">
        <f>openDomain_trans_FST2!T27</f>
        <v>-9.5262073500097993E-2</v>
      </c>
      <c r="L112" s="25">
        <f>openDomain_trans_FST2!U27</f>
        <v>0.15913893507778237</v>
      </c>
      <c r="M112" s="25">
        <f>openDomain_trans_FST2!V27</f>
        <v>6.2368416651489303E-2</v>
      </c>
      <c r="N112" s="25">
        <f>openDomain_trans_FST2!W27</f>
        <v>-1.3473346387774607</v>
      </c>
      <c r="O112" s="35">
        <f>openDomain_trans_FST2!X27</f>
        <v>-6.7881479172653509E-3</v>
      </c>
      <c r="Q112" s="27">
        <f>openDomain_trans_FST2_noApp!P27</f>
        <v>195</v>
      </c>
      <c r="R112" s="34">
        <f>openDomain_trans_FST2_noApp!S27</f>
        <v>-0.56542569222531536</v>
      </c>
      <c r="S112" s="25">
        <f>openDomain_trans_FST2_noApp!T27</f>
        <v>-8.8451814199046047E-2</v>
      </c>
      <c r="T112" s="25">
        <f>openDomain_trans_FST2_noApp!U27</f>
        <v>0.1585693401198317</v>
      </c>
      <c r="U112" s="25">
        <f>openDomain_trans_FST2_noApp!V27</f>
        <v>5.9812806142406798E-2</v>
      </c>
      <c r="V112" s="25">
        <f>openDomain_trans_FST2_noApp!W27</f>
        <v>-1.3402572423389023</v>
      </c>
      <c r="W112" s="35">
        <f>openDomain_trans_FST2_noApp!X27</f>
        <v>-4.6864738420725281E-3</v>
      </c>
      <c r="Y112" s="27">
        <f>openDomain_trans_FST2_hull!P27</f>
        <v>195</v>
      </c>
      <c r="Z112" s="34">
        <f>openDomain_trans_FST2_hull!S27</f>
        <v>-1.7331180090555873E-2</v>
      </c>
      <c r="AA112" s="25">
        <f>openDomain_trans_FST2_hull!T27</f>
        <v>-4.0877361100064326E-2</v>
      </c>
      <c r="AB112" s="25">
        <f>openDomain_trans_FST2_hull!U27</f>
        <v>3.0206658534781466E-2</v>
      </c>
      <c r="AC112" s="25">
        <f>openDomain_trans_FST2_hull!V27</f>
        <v>5.9615587607839181E-3</v>
      </c>
      <c r="AD112" s="25">
        <f>openDomain_trans_FST2_hull!W27</f>
        <v>-0.20491512807204226</v>
      </c>
      <c r="AE112" s="35">
        <f>openDomain_trans_FST2_hull!X27</f>
        <v>-9.1586249337194843E-3</v>
      </c>
      <c r="AG112" s="27">
        <f>openDomain_trans_FST2_topside!P27</f>
        <v>195</v>
      </c>
      <c r="AH112" s="34">
        <f>openDomain_trans_FST2_topside!S27</f>
        <v>-0.5480945165345199</v>
      </c>
      <c r="AI112" s="25">
        <f>openDomain_trans_FST2_topside!T27</f>
        <v>-4.7574453098981714E-2</v>
      </c>
      <c r="AJ112" s="25">
        <f>openDomain_trans_FST2_topside!U27</f>
        <v>0.12836268158505024</v>
      </c>
      <c r="AK112" s="25">
        <f>openDomain_trans_FST2_topside!V27</f>
        <v>5.3851247406379511E-2</v>
      </c>
      <c r="AL112" s="25">
        <f>openDomain_trans_FST2_topside!W27</f>
        <v>-1.1353421138153679</v>
      </c>
      <c r="AM112" s="35">
        <f>openDomain_trans_FST2_topside!X27</f>
        <v>4.4721510731674623E-3</v>
      </c>
    </row>
    <row r="113" spans="1:39" x14ac:dyDescent="0.25">
      <c r="A113" s="27">
        <f>openDomain_trans_FST1!P28</f>
        <v>210</v>
      </c>
      <c r="B113" s="34">
        <f>openDomain_trans_FST1!S28</f>
        <v>-1.6342100604043117</v>
      </c>
      <c r="C113" s="25">
        <f>openDomain_trans_FST1!T28</f>
        <v>-0.50885372537115903</v>
      </c>
      <c r="D113" s="25">
        <f>openDomain_trans_FST1!U28</f>
        <v>0.42793628271537987</v>
      </c>
      <c r="E113" s="25">
        <f>openDomain_trans_FST1!V28</f>
        <v>0.28010944160451873</v>
      </c>
      <c r="F113" s="25">
        <f>openDomain_trans_FST1!W28</f>
        <v>-2.7052394201415302</v>
      </c>
      <c r="G113" s="35">
        <f>openDomain_trans_FST1!X28</f>
        <v>-5.6001376826711032E-2</v>
      </c>
      <c r="H113" s="25"/>
      <c r="I113" s="27">
        <f>openDomain_trans_FST2!P28</f>
        <v>210</v>
      </c>
      <c r="J113" s="34">
        <f>openDomain_trans_FST2!S28</f>
        <v>-0.76972883396227909</v>
      </c>
      <c r="K113" s="25">
        <f>openDomain_trans_FST2!T28</f>
        <v>-0.29149872927687759</v>
      </c>
      <c r="L113" s="25">
        <f>openDomain_trans_FST2!U28</f>
        <v>0.31343014046909773</v>
      </c>
      <c r="M113" s="25">
        <f>openDomain_trans_FST2!V28</f>
        <v>0.18201408202850272</v>
      </c>
      <c r="N113" s="25">
        <f>openDomain_trans_FST2!W28</f>
        <v>-2.1961456005891793</v>
      </c>
      <c r="O113" s="35">
        <f>openDomain_trans_FST2!X28</f>
        <v>-1.9767098691641942E-2</v>
      </c>
      <c r="Q113" s="27">
        <f>openDomain_trans_FST2_noApp!P28</f>
        <v>210</v>
      </c>
      <c r="R113" s="34">
        <f>openDomain_trans_FST2_noApp!S28</f>
        <v>-0.76180918150815868</v>
      </c>
      <c r="S113" s="25">
        <f>openDomain_trans_FST2_noApp!T28</f>
        <v>-0.27949160205536877</v>
      </c>
      <c r="T113" s="25">
        <f>openDomain_trans_FST2_noApp!U28</f>
        <v>0.31124894479157789</v>
      </c>
      <c r="U113" s="25">
        <f>openDomain_trans_FST2_noApp!V28</f>
        <v>0.17833415377420347</v>
      </c>
      <c r="V113" s="25">
        <f>openDomain_trans_FST2_noApp!W28</f>
        <v>-2.162622807193388</v>
      </c>
      <c r="W113" s="35">
        <f>openDomain_trans_FST2_noApp!X28</f>
        <v>-1.5899859075101677E-2</v>
      </c>
      <c r="Y113" s="27">
        <f>openDomain_trans_FST2_hull!P28</f>
        <v>210</v>
      </c>
      <c r="Z113" s="34">
        <f>openDomain_trans_FST2_hull!S28</f>
        <v>-1.0290410590047479E-2</v>
      </c>
      <c r="AA113" s="25">
        <f>openDomain_trans_FST2_hull!T28</f>
        <v>-0.14007012949291728</v>
      </c>
      <c r="AB113" s="25">
        <f>openDomain_trans_FST2_hull!U28</f>
        <v>5.5629830678673352E-2</v>
      </c>
      <c r="AC113" s="25">
        <f>openDomain_trans_FST2_hull!V28</f>
        <v>2.9665505945932626E-2</v>
      </c>
      <c r="AD113" s="25">
        <f>openDomain_trans_FST2_hull!W28</f>
        <v>-0.2977012884770559</v>
      </c>
      <c r="AE113" s="35">
        <f>openDomain_trans_FST2_hull!X28</f>
        <v>-1.2741842955703334E-2</v>
      </c>
      <c r="AG113" s="27">
        <f>openDomain_trans_FST2_topside!P28</f>
        <v>210</v>
      </c>
      <c r="AH113" s="34">
        <f>openDomain_trans_FST2_topside!S28</f>
        <v>-0.7515187753178717</v>
      </c>
      <c r="AI113" s="25">
        <f>openDomain_trans_FST2_topside!T28</f>
        <v>-0.13942147350763109</v>
      </c>
      <c r="AJ113" s="25">
        <f>openDomain_trans_FST2_topside!U28</f>
        <v>0.25561911411290456</v>
      </c>
      <c r="AK113" s="25">
        <f>openDomain_trans_FST2_topside!V28</f>
        <v>0.14866864775400096</v>
      </c>
      <c r="AL113" s="25">
        <f>openDomain_trans_FST2_topside!W28</f>
        <v>-1.8649215221025226</v>
      </c>
      <c r="AM113" s="35">
        <f>openDomain_trans_FST2_topside!X28</f>
        <v>-3.1580160685797387E-3</v>
      </c>
    </row>
    <row r="114" spans="1:39" x14ac:dyDescent="0.25">
      <c r="A114" s="27">
        <f>openDomain_trans_FST1!P29</f>
        <v>225</v>
      </c>
      <c r="B114" s="34">
        <f>openDomain_trans_FST1!S29</f>
        <v>-1.2265654149788088</v>
      </c>
      <c r="C114" s="25">
        <f>openDomain_trans_FST1!T29</f>
        <v>-0.80004400472797754</v>
      </c>
      <c r="D114" s="25">
        <f>openDomain_trans_FST1!U29</f>
        <v>0.71503403004623101</v>
      </c>
      <c r="E114" s="25">
        <f>openDomain_trans_FST1!V29</f>
        <v>0.45610165012400877</v>
      </c>
      <c r="F114" s="25">
        <f>openDomain_trans_FST1!W29</f>
        <v>-3.0374171503049561</v>
      </c>
      <c r="G114" s="35">
        <f>openDomain_trans_FST1!X29</f>
        <v>-8.6311572416197829E-2</v>
      </c>
      <c r="H114" s="25"/>
      <c r="I114" s="27">
        <f>openDomain_trans_FST2!P29</f>
        <v>225</v>
      </c>
      <c r="J114" s="34">
        <f>openDomain_trans_FST2!S29</f>
        <v>-0.68608656264752954</v>
      </c>
      <c r="K114" s="25">
        <f>openDomain_trans_FST2!T29</f>
        <v>-0.48429310322746238</v>
      </c>
      <c r="L114" s="25">
        <f>openDomain_trans_FST2!U29</f>
        <v>0.48832071538150174</v>
      </c>
      <c r="M114" s="25">
        <f>openDomain_trans_FST2!V29</f>
        <v>0.30051246880301147</v>
      </c>
      <c r="N114" s="25">
        <f>openDomain_trans_FST2!W29</f>
        <v>-3.1361182591333234</v>
      </c>
      <c r="O114" s="35">
        <f>openDomain_trans_FST2!X29</f>
        <v>-2.4657546739789142E-2</v>
      </c>
      <c r="Q114" s="27">
        <f>openDomain_trans_FST2_noApp!P29</f>
        <v>225</v>
      </c>
      <c r="R114" s="34">
        <f>openDomain_trans_FST2_noApp!S29</f>
        <v>-0.66910254565741445</v>
      </c>
      <c r="S114" s="25">
        <f>openDomain_trans_FST2_noApp!T29</f>
        <v>-0.46756542946906571</v>
      </c>
      <c r="T114" s="25">
        <f>openDomain_trans_FST2_noApp!U29</f>
        <v>0.48608211059091638</v>
      </c>
      <c r="U114" s="25">
        <f>openDomain_trans_FST2_noApp!V29</f>
        <v>0.29484517250719178</v>
      </c>
      <c r="V114" s="25">
        <f>openDomain_trans_FST2_noApp!W29</f>
        <v>-3.0947511551875713</v>
      </c>
      <c r="W114" s="35">
        <f>openDomain_trans_FST2_noApp!X29</f>
        <v>-1.9344466002344938E-2</v>
      </c>
      <c r="Y114" s="27">
        <f>openDomain_trans_FST2_hull!P29</f>
        <v>225</v>
      </c>
      <c r="Z114" s="34">
        <f>openDomain_trans_FST2_hull!S29</f>
        <v>-1.0752033459298477E-2</v>
      </c>
      <c r="AA114" s="25">
        <f>openDomain_trans_FST2_hull!T29</f>
        <v>-0.26559072238141412</v>
      </c>
      <c r="AB114" s="25">
        <f>openDomain_trans_FST2_hull!U29</f>
        <v>8.5347374921940888E-2</v>
      </c>
      <c r="AC114" s="25">
        <f>openDomain_trans_FST2_hull!V29</f>
        <v>6.2531742643182453E-2</v>
      </c>
      <c r="AD114" s="25">
        <f>openDomain_trans_FST2_hull!W29</f>
        <v>-0.49926052148054723</v>
      </c>
      <c r="AE114" s="35">
        <f>openDomain_trans_FST2_hull!X29</f>
        <v>-1.403000625114159E-2</v>
      </c>
      <c r="AG114" s="27">
        <f>openDomain_trans_FST2_topside!P29</f>
        <v>225</v>
      </c>
      <c r="AH114" s="34">
        <f>openDomain_trans_FST2_topside!S29</f>
        <v>-0.65835051659787647</v>
      </c>
      <c r="AI114" s="25">
        <f>openDomain_trans_FST2_topside!T29</f>
        <v>-0.20197470614247193</v>
      </c>
      <c r="AJ114" s="25">
        <f>openDomain_trans_FST2_topside!U29</f>
        <v>0.4007347364939613</v>
      </c>
      <c r="AK114" s="25">
        <f>openDomain_trans_FST2_topside!V29</f>
        <v>0.23231343033438523</v>
      </c>
      <c r="AL114" s="25">
        <f>openDomain_trans_FST2_topside!W29</f>
        <v>-2.5954906321268023</v>
      </c>
      <c r="AM114" s="35">
        <f>openDomain_trans_FST2_topside!X29</f>
        <v>-5.3144597696828414E-3</v>
      </c>
    </row>
    <row r="115" spans="1:39" x14ac:dyDescent="0.25">
      <c r="A115" s="27">
        <f>openDomain_trans_FST1!P30</f>
        <v>240</v>
      </c>
      <c r="B115" s="34">
        <f>openDomain_trans_FST1!S30</f>
        <v>-0.43524053710516003</v>
      </c>
      <c r="C115" s="25">
        <f>openDomain_trans_FST1!T30</f>
        <v>-0.99266119436016986</v>
      </c>
      <c r="D115" s="25">
        <f>openDomain_trans_FST1!U30</f>
        <v>0.88069155096137475</v>
      </c>
      <c r="E115" s="25">
        <f>openDomain_trans_FST1!V30</f>
        <v>0.54726386235829283</v>
      </c>
      <c r="F115" s="25">
        <f>openDomain_trans_FST1!W30</f>
        <v>-1.7147273771327582</v>
      </c>
      <c r="G115" s="35">
        <f>openDomain_trans_FST1!X30</f>
        <v>-8.0952273360147098E-2</v>
      </c>
      <c r="H115" s="25"/>
      <c r="I115" s="27">
        <f>openDomain_trans_FST2!P30</f>
        <v>240</v>
      </c>
      <c r="J115" s="34">
        <f>openDomain_trans_FST2!S30</f>
        <v>-0.33329045326772411</v>
      </c>
      <c r="K115" s="25">
        <f>openDomain_trans_FST2!T30</f>
        <v>-0.63104189182617643</v>
      </c>
      <c r="L115" s="25">
        <f>openDomain_trans_FST2!U30</f>
        <v>0.54759087517836713</v>
      </c>
      <c r="M115" s="25">
        <f>openDomain_trans_FST2!V30</f>
        <v>0.37013025080129935</v>
      </c>
      <c r="N115" s="25">
        <f>openDomain_trans_FST2!W30</f>
        <v>-2.8529240711363659</v>
      </c>
      <c r="O115" s="35">
        <f>openDomain_trans_FST2!X30</f>
        <v>-2.5353054516261887E-2</v>
      </c>
      <c r="Q115" s="27">
        <f>openDomain_trans_FST2_noApp!P30</f>
        <v>240</v>
      </c>
      <c r="R115" s="34">
        <f>openDomain_trans_FST2_noApp!S30</f>
        <v>-0.32181107780492429</v>
      </c>
      <c r="S115" s="25">
        <f>openDomain_trans_FST2_noApp!T30</f>
        <v>-0.60771061851184405</v>
      </c>
      <c r="T115" s="25">
        <f>openDomain_trans_FST2_noApp!U30</f>
        <v>0.54433599098389507</v>
      </c>
      <c r="U115" s="25">
        <f>openDomain_trans_FST2_noApp!V30</f>
        <v>0.36251770293613678</v>
      </c>
      <c r="V115" s="25">
        <f>openDomain_trans_FST2_noApp!W30</f>
        <v>-2.8085298032614343</v>
      </c>
      <c r="W115" s="35">
        <f>openDomain_trans_FST2_noApp!X30</f>
        <v>-1.8229499121714465E-2</v>
      </c>
      <c r="Y115" s="27">
        <f>openDomain_trans_FST2_hull!P30</f>
        <v>240</v>
      </c>
      <c r="Z115" s="34">
        <f>openDomain_trans_FST2_hull!S30</f>
        <v>1.9166364183133874E-2</v>
      </c>
      <c r="AA115" s="25">
        <f>openDomain_trans_FST2_hull!T30</f>
        <v>-0.37735146301282912</v>
      </c>
      <c r="AB115" s="25">
        <f>openDomain_trans_FST2_hull!U30</f>
        <v>0.104163231528846</v>
      </c>
      <c r="AC115" s="25">
        <f>openDomain_trans_FST2_hull!V30</f>
        <v>9.5193661892047518E-2</v>
      </c>
      <c r="AD115" s="25">
        <f>openDomain_trans_FST2_hull!W30</f>
        <v>-0.62629253687245312</v>
      </c>
      <c r="AE115" s="35">
        <f>openDomain_trans_FST2_hull!X30</f>
        <v>-1.7228120590270114E-2</v>
      </c>
      <c r="AG115" s="27">
        <f>openDomain_trans_FST2_topside!P30</f>
        <v>240</v>
      </c>
      <c r="AH115" s="34">
        <f>openDomain_trans_FST2_topside!S30</f>
        <v>-0.34097744198805824</v>
      </c>
      <c r="AI115" s="25">
        <f>openDomain_trans_FST2_topside!T30</f>
        <v>-0.23035915549901492</v>
      </c>
      <c r="AJ115" s="25">
        <f>openDomain_trans_FST2_topside!U30</f>
        <v>0.44017275945504908</v>
      </c>
      <c r="AK115" s="25">
        <f>openDomain_trans_FST2_topside!V30</f>
        <v>0.2673240439901281</v>
      </c>
      <c r="AL115" s="25">
        <f>openDomain_trans_FST2_topside!W30</f>
        <v>-2.1822372722583778</v>
      </c>
      <c r="AM115" s="35">
        <f>openDomain_trans_FST2_topside!X30</f>
        <v>-1.0013785591635928E-3</v>
      </c>
    </row>
    <row r="116" spans="1:39" x14ac:dyDescent="0.25">
      <c r="A116" s="27">
        <f>openDomain_trans_FST1!P31</f>
        <v>255</v>
      </c>
      <c r="B116" s="34">
        <f>openDomain_trans_FST1!S31</f>
        <v>2.0231159015703187E-2</v>
      </c>
      <c r="C116" s="25">
        <f>openDomain_trans_FST1!T31</f>
        <v>-0.98223374679743614</v>
      </c>
      <c r="D116" s="25">
        <f>openDomain_trans_FST1!U31</f>
        <v>0.82446547745786081</v>
      </c>
      <c r="E116" s="25">
        <f>openDomain_trans_FST1!V31</f>
        <v>0.53669397428047438</v>
      </c>
      <c r="F116" s="25">
        <f>openDomain_trans_FST1!W31</f>
        <v>0.53802446716713659</v>
      </c>
      <c r="G116" s="35">
        <f>openDomain_trans_FST1!X31</f>
        <v>-2.4152812670873821E-2</v>
      </c>
      <c r="H116" s="25"/>
      <c r="I116" s="27">
        <f>openDomain_trans_FST2!P31</f>
        <v>255</v>
      </c>
      <c r="J116" s="34">
        <f>openDomain_trans_FST2!S31</f>
        <v>-6.5137815897302553E-2</v>
      </c>
      <c r="K116" s="25">
        <f>openDomain_trans_FST2!T31</f>
        <v>-0.74351561547805378</v>
      </c>
      <c r="L116" s="25">
        <f>openDomain_trans_FST2!U31</f>
        <v>0.60393155818660049</v>
      </c>
      <c r="M116" s="25">
        <f>openDomain_trans_FST2!V31</f>
        <v>0.42507318332437788</v>
      </c>
      <c r="N116" s="25">
        <f>openDomain_trans_FST2!W31</f>
        <v>-2.2172442861874493</v>
      </c>
      <c r="O116" s="35">
        <f>openDomain_trans_FST2!X31</f>
        <v>-2.0910625343794242E-2</v>
      </c>
      <c r="Q116" s="27">
        <f>openDomain_trans_FST2_noApp!P31</f>
        <v>255</v>
      </c>
      <c r="R116" s="34">
        <f>openDomain_trans_FST2_noApp!S31</f>
        <v>-7.5299599489803776E-2</v>
      </c>
      <c r="S116" s="25">
        <f>openDomain_trans_FST2_noApp!T31</f>
        <v>-0.72004170605112039</v>
      </c>
      <c r="T116" s="25">
        <f>openDomain_trans_FST2_noApp!U31</f>
        <v>0.6040250323796621</v>
      </c>
      <c r="U116" s="25">
        <f>openDomain_trans_FST2_noApp!V31</f>
        <v>0.41516703900945956</v>
      </c>
      <c r="V116" s="25">
        <f>openDomain_trans_FST2_noApp!W31</f>
        <v>-2.2293071346490172</v>
      </c>
      <c r="W116" s="35">
        <f>openDomain_trans_FST2_noApp!X31</f>
        <v>-1.4278763981711042E-2</v>
      </c>
      <c r="Y116" s="27">
        <f>openDomain_trans_FST2_hull!P31</f>
        <v>255</v>
      </c>
      <c r="Z116" s="34">
        <f>openDomain_trans_FST2_hull!S31</f>
        <v>2.711041770885993E-2</v>
      </c>
      <c r="AA116" s="25">
        <f>openDomain_trans_FST2_hull!T31</f>
        <v>-0.47191813005284172</v>
      </c>
      <c r="AB116" s="25">
        <f>openDomain_trans_FST2_hull!U31</f>
        <v>0.11867923648057586</v>
      </c>
      <c r="AC116" s="25">
        <f>openDomain_trans_FST2_hull!V31</f>
        <v>0.12374030387907843</v>
      </c>
      <c r="AD116" s="25">
        <f>openDomain_trans_FST2_hull!W31</f>
        <v>-0.57940670896424828</v>
      </c>
      <c r="AE116" s="35">
        <f>openDomain_trans_FST2_hull!X31</f>
        <v>-1.336284957574459E-2</v>
      </c>
      <c r="AG116" s="27">
        <f>openDomain_trans_FST2_topside!P31</f>
        <v>255</v>
      </c>
      <c r="AH116" s="34">
        <f>openDomain_trans_FST2_topside!S31</f>
        <v>-0.10241001719866372</v>
      </c>
      <c r="AI116" s="25">
        <f>openDomain_trans_FST2_topside!T31</f>
        <v>-0.24812357505309901</v>
      </c>
      <c r="AJ116" s="25">
        <f>openDomain_trans_FST2_topside!U31</f>
        <v>0.48534579507410053</v>
      </c>
      <c r="AK116" s="25">
        <f>openDomain_trans_FST2_topside!V31</f>
        <v>0.29142674092343229</v>
      </c>
      <c r="AL116" s="25">
        <f>openDomain_trans_FST2_topside!W31</f>
        <v>-1.649900426587753</v>
      </c>
      <c r="AM116" s="35">
        <f>openDomain_trans_FST2_topside!X31</f>
        <v>-9.159144152061984E-4</v>
      </c>
    </row>
    <row r="117" spans="1:39" x14ac:dyDescent="0.25">
      <c r="A117" s="27">
        <f>openDomain_trans_FST1!P32</f>
        <v>270</v>
      </c>
      <c r="B117" s="34">
        <f>openDomain_trans_FST1!S32</f>
        <v>0.18854650832808664</v>
      </c>
      <c r="C117" s="25">
        <f>openDomain_trans_FST1!T32</f>
        <v>-0.84495064390125918</v>
      </c>
      <c r="D117" s="25">
        <f>openDomain_trans_FST1!U32</f>
        <v>0.6831491234876309</v>
      </c>
      <c r="E117" s="25">
        <f>openDomain_trans_FST1!V32</f>
        <v>0.47861487371949979</v>
      </c>
      <c r="F117" s="25">
        <f>openDomain_trans_FST1!W32</f>
        <v>1.031042163307927</v>
      </c>
      <c r="G117" s="35">
        <f>openDomain_trans_FST1!X32</f>
        <v>-6.1262720344670068E-3</v>
      </c>
      <c r="H117" s="25"/>
      <c r="I117" s="27">
        <f>openDomain_trans_FST2!P32</f>
        <v>270</v>
      </c>
      <c r="J117" s="34">
        <f>openDomain_trans_FST2!S32</f>
        <v>-2.8721865181659513E-2</v>
      </c>
      <c r="K117" s="25">
        <f>openDomain_trans_FST2!T32</f>
        <v>-0.90183282239285556</v>
      </c>
      <c r="L117" s="25">
        <f>openDomain_trans_FST2!U32</f>
        <v>0.73336554985449121</v>
      </c>
      <c r="M117" s="25">
        <f>openDomain_trans_FST2!V32</f>
        <v>0.4988395844161651</v>
      </c>
      <c r="N117" s="25">
        <f>openDomain_trans_FST2!W32</f>
        <v>-2.089399342419882</v>
      </c>
      <c r="O117" s="35">
        <f>openDomain_trans_FST2!X32</f>
        <v>-1.6928012813333716E-2</v>
      </c>
      <c r="Q117" s="27">
        <f>openDomain_trans_FST2_noApp!P32</f>
        <v>270</v>
      </c>
      <c r="R117" s="34">
        <f>openDomain_trans_FST2_noApp!S32</f>
        <v>-2.9150494247093192E-2</v>
      </c>
      <c r="S117" s="25">
        <f>openDomain_trans_FST2_noApp!T32</f>
        <v>-0.87088551374695244</v>
      </c>
      <c r="T117" s="25">
        <f>openDomain_trans_FST2_noApp!U32</f>
        <v>0.73356224792300551</v>
      </c>
      <c r="U117" s="25">
        <f>openDomain_trans_FST2_noApp!V32</f>
        <v>0.4858064368435776</v>
      </c>
      <c r="V117" s="25">
        <f>openDomain_trans_FST2_noApp!W32</f>
        <v>-2.0976429383211288</v>
      </c>
      <c r="W117" s="35">
        <f>openDomain_trans_FST2_noApp!X32</f>
        <v>-7.8561411207329138E-3</v>
      </c>
      <c r="Y117" s="27">
        <f>openDomain_trans_FST2_hull!P32</f>
        <v>270</v>
      </c>
      <c r="Z117" s="34">
        <f>openDomain_trans_FST2_hull!S32</f>
        <v>-5.7777702981849678E-2</v>
      </c>
      <c r="AA117" s="25">
        <f>openDomain_trans_FST2_hull!T32</f>
        <v>-0.57407741843466065</v>
      </c>
      <c r="AB117" s="25">
        <f>openDomain_trans_FST2_hull!U32</f>
        <v>0.14271214747479474</v>
      </c>
      <c r="AC117" s="25">
        <f>openDomain_trans_FST2_hull!V32</f>
        <v>0.14880776748143396</v>
      </c>
      <c r="AD117" s="25">
        <f>openDomain_trans_FST2_hull!W32</f>
        <v>-0.53579074566802409</v>
      </c>
      <c r="AE117" s="35">
        <f>openDomain_trans_FST2_hull!X32</f>
        <v>-4.4867121244293595E-3</v>
      </c>
      <c r="AG117" s="27">
        <f>openDomain_trans_FST2_topside!P32</f>
        <v>270</v>
      </c>
      <c r="AH117" s="34">
        <f>openDomain_trans_FST2_topside!S32</f>
        <v>2.8627208734756483E-2</v>
      </c>
      <c r="AI117" s="25">
        <f>openDomain_trans_FST2_topside!T32</f>
        <v>-0.29680809531229185</v>
      </c>
      <c r="AJ117" s="25">
        <f>openDomain_trans_FST2_topside!U32</f>
        <v>0.59085009962322499</v>
      </c>
      <c r="AK117" s="25">
        <f>openDomain_trans_FST2_topside!V32</f>
        <v>0.33699867124364746</v>
      </c>
      <c r="AL117" s="25">
        <f>openDomain_trans_FST2_topside!W32</f>
        <v>-1.5618521944590729</v>
      </c>
      <c r="AM117" s="35">
        <f>openDomain_trans_FST2_topside!X32</f>
        <v>-3.3694290425022888E-3</v>
      </c>
    </row>
    <row r="118" spans="1:39" x14ac:dyDescent="0.25">
      <c r="A118" s="27">
        <f>openDomain_trans_FST1!P33</f>
        <v>285</v>
      </c>
      <c r="B118" s="34">
        <f>openDomain_trans_FST1!S33</f>
        <v>8.7620116760843553E-2</v>
      </c>
      <c r="C118" s="25">
        <f>openDomain_trans_FST1!T33</f>
        <v>-0.73833354245432625</v>
      </c>
      <c r="D118" s="25">
        <f>openDomain_trans_FST1!U33</f>
        <v>0.59215405240664665</v>
      </c>
      <c r="E118" s="25">
        <f>openDomain_trans_FST1!V33</f>
        <v>0.42239475146594369</v>
      </c>
      <c r="F118" s="25">
        <f>openDomain_trans_FST1!W33</f>
        <v>2.2044373354762956</v>
      </c>
      <c r="G118" s="35">
        <f>openDomain_trans_FST1!X33</f>
        <v>2.0133229413344524E-2</v>
      </c>
      <c r="H118" s="25"/>
      <c r="I118" s="27">
        <f>openDomain_trans_FST2!P33</f>
        <v>285</v>
      </c>
      <c r="J118" s="34">
        <f>openDomain_trans_FST2!S33</f>
        <v>-4.4630329924838896E-2</v>
      </c>
      <c r="K118" s="25">
        <f>openDomain_trans_FST2!T33</f>
        <v>-0.98369749072294377</v>
      </c>
      <c r="L118" s="25">
        <f>openDomain_trans_FST2!U33</f>
        <v>0.83553536732761657</v>
      </c>
      <c r="M118" s="25">
        <f>openDomain_trans_FST2!V33</f>
        <v>0.53322738914728929</v>
      </c>
      <c r="N118" s="25">
        <f>openDomain_trans_FST2!W33</f>
        <v>-0.64858228018296626</v>
      </c>
      <c r="O118" s="35">
        <f>openDomain_trans_FST2!X33</f>
        <v>2.5348189036430928E-2</v>
      </c>
      <c r="Q118" s="27">
        <f>openDomain_trans_FST2_noApp!P33</f>
        <v>285</v>
      </c>
      <c r="R118" s="34">
        <f>openDomain_trans_FST2_noApp!S33</f>
        <v>-3.9032945846428121E-2</v>
      </c>
      <c r="S118" s="25">
        <f>openDomain_trans_FST2_noApp!T33</f>
        <v>-0.95367166132663805</v>
      </c>
      <c r="T118" s="25">
        <f>openDomain_trans_FST2_noApp!U33</f>
        <v>0.83160280100834738</v>
      </c>
      <c r="U118" s="25">
        <f>openDomain_trans_FST2_noApp!V33</f>
        <v>0.52414680675972569</v>
      </c>
      <c r="V118" s="25">
        <f>openDomain_trans_FST2_noApp!W33</f>
        <v>-0.58479728932297137</v>
      </c>
      <c r="W118" s="35">
        <f>openDomain_trans_FST2_noApp!X33</f>
        <v>3.4632198330112177E-2</v>
      </c>
      <c r="Y118" s="27">
        <f>openDomain_trans_FST2_hull!P33</f>
        <v>285</v>
      </c>
      <c r="Z118" s="34">
        <f>openDomain_trans_FST2_hull!S33</f>
        <v>-0.16929212693660958</v>
      </c>
      <c r="AA118" s="25">
        <f>openDomain_trans_FST2_hull!T33</f>
        <v>-0.63600273138009134</v>
      </c>
      <c r="AB118" s="25">
        <f>openDomain_trans_FST2_hull!U33</f>
        <v>0.16670840847407284</v>
      </c>
      <c r="AC118" s="25">
        <f>openDomain_trans_FST2_hull!V33</f>
        <v>0.16640123733135992</v>
      </c>
      <c r="AD118" s="25">
        <f>openDomain_trans_FST2_hull!W33</f>
        <v>-0.1196077105181034</v>
      </c>
      <c r="AE118" s="35">
        <f>openDomain_trans_FST2_hull!X33</f>
        <v>2.6172767841155211E-2</v>
      </c>
      <c r="AG118" s="27">
        <f>openDomain_trans_FST2_topside!P33</f>
        <v>285</v>
      </c>
      <c r="AH118" s="34">
        <f>openDomain_trans_FST2_topside!S33</f>
        <v>0.13025918109018148</v>
      </c>
      <c r="AI118" s="25">
        <f>openDomain_trans_FST2_topside!T33</f>
        <v>-0.31766892522064866</v>
      </c>
      <c r="AJ118" s="25">
        <f>openDomain_trans_FST2_topside!U33</f>
        <v>0.66489439005931705</v>
      </c>
      <c r="AK118" s="25">
        <f>openDomain_trans_FST2_topside!V33</f>
        <v>0.35774557056717071</v>
      </c>
      <c r="AL118" s="25">
        <f>openDomain_trans_FST2_topside!W33</f>
        <v>-0.46518957857912202</v>
      </c>
      <c r="AM118" s="35">
        <f>openDomain_trans_FST2_topside!X33</f>
        <v>8.4594305120563283E-3</v>
      </c>
    </row>
    <row r="119" spans="1:39" x14ac:dyDescent="0.25">
      <c r="A119" s="27">
        <f>openDomain_trans_FST1!P34</f>
        <v>300</v>
      </c>
      <c r="B119" s="34">
        <f>openDomain_trans_FST1!S34</f>
        <v>0.31449098511077062</v>
      </c>
      <c r="C119" s="25">
        <f>openDomain_trans_FST1!T34</f>
        <v>-0.63501838256230547</v>
      </c>
      <c r="D119" s="25">
        <f>openDomain_trans_FST1!U34</f>
        <v>0.54987904429187984</v>
      </c>
      <c r="E119" s="25">
        <f>openDomain_trans_FST1!V34</f>
        <v>0.37612846397923183</v>
      </c>
      <c r="F119" s="25">
        <f>openDomain_trans_FST1!W34</f>
        <v>2.7893306600940262</v>
      </c>
      <c r="G119" s="35">
        <f>openDomain_trans_FST1!X34</f>
        <v>2.6598352564938105E-2</v>
      </c>
      <c r="H119" s="25"/>
      <c r="I119" s="27">
        <f>openDomain_trans_FST2!P34</f>
        <v>300</v>
      </c>
      <c r="J119" s="34">
        <f>openDomain_trans_FST2!S34</f>
        <v>0.48630468517293923</v>
      </c>
      <c r="K119" s="25">
        <f>openDomain_trans_FST2!T34</f>
        <v>-0.99232492685845597</v>
      </c>
      <c r="L119" s="25">
        <f>openDomain_trans_FST2!U34</f>
        <v>0.87943174894394605</v>
      </c>
      <c r="M119" s="25">
        <f>openDomain_trans_FST2!V34</f>
        <v>0.54492120527622934</v>
      </c>
      <c r="N119" s="25">
        <f>openDomain_trans_FST2!W34</f>
        <v>1.3701055694524811</v>
      </c>
      <c r="O119" s="35">
        <f>openDomain_trans_FST2!X34</f>
        <v>7.7985920971555114E-2</v>
      </c>
      <c r="Q119" s="27">
        <f>openDomain_trans_FST2_noApp!P34</f>
        <v>300</v>
      </c>
      <c r="R119" s="34">
        <f>openDomain_trans_FST2_noApp!S34</f>
        <v>0.47678591777463641</v>
      </c>
      <c r="S119" s="25">
        <f>openDomain_trans_FST2_noApp!T34</f>
        <v>-0.96787269791458874</v>
      </c>
      <c r="T119" s="25">
        <f>openDomain_trans_FST2_noApp!U34</f>
        <v>0.87805997242649914</v>
      </c>
      <c r="U119" s="25">
        <f>openDomain_trans_FST2_noApp!V34</f>
        <v>0.5351163009174924</v>
      </c>
      <c r="V119" s="25">
        <f>openDomain_trans_FST2_noApp!W34</f>
        <v>1.3851833337667658</v>
      </c>
      <c r="W119" s="35">
        <f>openDomain_trans_FST2_noApp!X34</f>
        <v>8.454650774305536E-2</v>
      </c>
      <c r="Y119" s="27">
        <f>openDomain_trans_FST2_hull!P34</f>
        <v>300</v>
      </c>
      <c r="Z119" s="34">
        <f>openDomain_trans_FST2_hull!S34</f>
        <v>3.3755565147033401E-2</v>
      </c>
      <c r="AA119" s="25">
        <f>openDomain_trans_FST2_hull!T34</f>
        <v>-0.61709566148845285</v>
      </c>
      <c r="AB119" s="25">
        <f>openDomain_trans_FST2_hull!U34</f>
        <v>0.1725532193194684</v>
      </c>
      <c r="AC119" s="25">
        <f>openDomain_trans_FST2_hull!V34</f>
        <v>0.1538467775970358</v>
      </c>
      <c r="AD119" s="25">
        <f>openDomain_trans_FST2_hull!W34</f>
        <v>8.3978450013328043E-2</v>
      </c>
      <c r="AE119" s="35">
        <f>openDomain_trans_FST2_hull!X34</f>
        <v>5.8760643709223556E-2</v>
      </c>
      <c r="AG119" s="27">
        <f>openDomain_trans_FST2_topside!P34</f>
        <v>300</v>
      </c>
      <c r="AH119" s="34">
        <f>openDomain_trans_FST2_topside!S34</f>
        <v>0.44303035262760304</v>
      </c>
      <c r="AI119" s="25">
        <f>openDomain_trans_FST2_topside!T34</f>
        <v>-0.35077703737131555</v>
      </c>
      <c r="AJ119" s="25">
        <f>openDomain_trans_FST2_topside!U34</f>
        <v>0.7055067514570591</v>
      </c>
      <c r="AK119" s="25">
        <f>openDomain_trans_FST2_topside!V34</f>
        <v>0.38126952242921797</v>
      </c>
      <c r="AL119" s="25">
        <f>openDomain_trans_FST2_topside!W34</f>
        <v>1.3012048855594061</v>
      </c>
      <c r="AM119" s="35">
        <f>openDomain_trans_FST2_topside!X34</f>
        <v>2.5785863747399655E-2</v>
      </c>
    </row>
    <row r="120" spans="1:39" x14ac:dyDescent="0.25">
      <c r="A120" s="27">
        <f>openDomain_trans_FST1!P35</f>
        <v>315</v>
      </c>
      <c r="B120" s="34">
        <f>openDomain_trans_FST1!S35</f>
        <v>0.6886749461359325</v>
      </c>
      <c r="C120" s="25">
        <f>openDomain_trans_FST1!T35</f>
        <v>-0.48682227158895425</v>
      </c>
      <c r="D120" s="25">
        <f>openDomain_trans_FST1!U35</f>
        <v>0.4743150491314117</v>
      </c>
      <c r="E120" s="25">
        <f>openDomain_trans_FST1!V35</f>
        <v>0.30276676789218976</v>
      </c>
      <c r="F120" s="25">
        <f>openDomain_trans_FST1!W35</f>
        <v>2.9704596509677463</v>
      </c>
      <c r="G120" s="35">
        <f>openDomain_trans_FST1!X35</f>
        <v>2.4308664412802251E-2</v>
      </c>
      <c r="H120" s="25"/>
      <c r="I120" s="27">
        <f>openDomain_trans_FST2!P35</f>
        <v>315</v>
      </c>
      <c r="J120" s="34">
        <f>openDomain_trans_FST2!S35</f>
        <v>1.2307269020274536</v>
      </c>
      <c r="K120" s="25">
        <f>openDomain_trans_FST2!T35</f>
        <v>-0.80561359761879003</v>
      </c>
      <c r="L120" s="25">
        <f>openDomain_trans_FST2!U35</f>
        <v>0.72637996429543894</v>
      </c>
      <c r="M120" s="25">
        <f>openDomain_trans_FST2!V35</f>
        <v>0.4514370277978631</v>
      </c>
      <c r="N120" s="25">
        <f>openDomain_trans_FST2!W35</f>
        <v>2.8683775971628962</v>
      </c>
      <c r="O120" s="35">
        <f>openDomain_trans_FST2!X35</f>
        <v>8.4798648958096537E-2</v>
      </c>
      <c r="Q120" s="27">
        <f>openDomain_trans_FST2_noApp!P35</f>
        <v>315</v>
      </c>
      <c r="R120" s="34">
        <f>openDomain_trans_FST2_noApp!S35</f>
        <v>1.2066086250264538</v>
      </c>
      <c r="S120" s="25">
        <f>openDomain_trans_FST2_noApp!T35</f>
        <v>-0.78769347011783886</v>
      </c>
      <c r="T120" s="25">
        <f>openDomain_trans_FST2_noApp!U35</f>
        <v>0.72179923549389291</v>
      </c>
      <c r="U120" s="25">
        <f>openDomain_trans_FST2_noApp!V35</f>
        <v>0.44659869875321345</v>
      </c>
      <c r="V120" s="25">
        <f>openDomain_trans_FST2_noApp!W35</f>
        <v>2.9333240716510671</v>
      </c>
      <c r="W120" s="35">
        <f>openDomain_trans_FST2_noApp!X35</f>
        <v>8.9056536992703356E-2</v>
      </c>
      <c r="Y120" s="27">
        <f>openDomain_trans_FST2_hull!P35</f>
        <v>315</v>
      </c>
      <c r="Z120" s="34">
        <f>openDomain_trans_FST2_hull!S35</f>
        <v>0.26792680646465611</v>
      </c>
      <c r="AA120" s="25">
        <f>openDomain_trans_FST2_hull!T35</f>
        <v>-0.47916903304201486</v>
      </c>
      <c r="AB120" s="25">
        <f>openDomain_trans_FST2_hull!U35</f>
        <v>0.13532404556050176</v>
      </c>
      <c r="AC120" s="25">
        <f>openDomain_trans_FST2_hull!V35</f>
        <v>0.11637629674835233</v>
      </c>
      <c r="AD120" s="25">
        <f>openDomain_trans_FST2_hull!W35</f>
        <v>0.21304406598574444</v>
      </c>
      <c r="AE120" s="35">
        <f>openDomain_trans_FST2_hull!X35</f>
        <v>5.8697615953181584E-2</v>
      </c>
      <c r="AG120" s="27">
        <f>openDomain_trans_FST2_topside!P35</f>
        <v>315</v>
      </c>
      <c r="AH120" s="34">
        <f>openDomain_trans_FST2_topside!S35</f>
        <v>0.93868181416203722</v>
      </c>
      <c r="AI120" s="25">
        <f>openDomain_trans_FST2_topside!T35</f>
        <v>-0.30852443707582405</v>
      </c>
      <c r="AJ120" s="25">
        <f>openDomain_trans_FST2_topside!U35</f>
        <v>0.58647518993339109</v>
      </c>
      <c r="AK120" s="25">
        <f>openDomain_trans_FST2_topside!V35</f>
        <v>0.33022240051946339</v>
      </c>
      <c r="AL120" s="25">
        <f>openDomain_trans_FST2_topside!W35</f>
        <v>2.7202799828649735</v>
      </c>
      <c r="AM120" s="35">
        <f>openDomain_trans_FST2_topside!X35</f>
        <v>3.0358920743849861E-2</v>
      </c>
    </row>
    <row r="121" spans="1:39" x14ac:dyDescent="0.25">
      <c r="A121" s="27">
        <f>openDomain_trans_FST1!P36</f>
        <v>330</v>
      </c>
      <c r="B121" s="34">
        <f>openDomain_trans_FST1!S36</f>
        <v>0.74719839091959839</v>
      </c>
      <c r="C121" s="25">
        <f>openDomain_trans_FST1!T36</f>
        <v>-0.29261238622931884</v>
      </c>
      <c r="D121" s="25">
        <f>openDomain_trans_FST1!U36</f>
        <v>0.30702067303085478</v>
      </c>
      <c r="E121" s="25">
        <f>openDomain_trans_FST1!V36</f>
        <v>0.1846811343291774</v>
      </c>
      <c r="F121" s="25">
        <f>openDomain_trans_FST1!W36</f>
        <v>2.1327568204195773</v>
      </c>
      <c r="G121" s="35">
        <f>openDomain_trans_FST1!X36</f>
        <v>2.1159148763619708E-2</v>
      </c>
      <c r="H121" s="25"/>
      <c r="I121" s="27">
        <f>openDomain_trans_FST2!P36</f>
        <v>330</v>
      </c>
      <c r="J121" s="34">
        <f>openDomain_trans_FST2!S36</f>
        <v>1.6519395376115726</v>
      </c>
      <c r="K121" s="25">
        <f>openDomain_trans_FST2!T36</f>
        <v>-0.50336271849540259</v>
      </c>
      <c r="L121" s="25">
        <f>openDomain_trans_FST2!U36</f>
        <v>0.43114551384468519</v>
      </c>
      <c r="M121" s="25">
        <f>openDomain_trans_FST2!V36</f>
        <v>0.27724646536767028</v>
      </c>
      <c r="N121" s="25">
        <f>openDomain_trans_FST2!W36</f>
        <v>2.5379361088175316</v>
      </c>
      <c r="O121" s="35">
        <f>openDomain_trans_FST2!X36</f>
        <v>5.6253368482587503E-2</v>
      </c>
      <c r="Q121" s="27">
        <f>openDomain_trans_FST2_noApp!P36</f>
        <v>330</v>
      </c>
      <c r="R121" s="34">
        <f>openDomain_trans_FST2_noApp!S36</f>
        <v>1.6475931154307961</v>
      </c>
      <c r="S121" s="25">
        <f>openDomain_trans_FST2_noApp!T36</f>
        <v>-0.49023444660843324</v>
      </c>
      <c r="T121" s="25">
        <f>openDomain_trans_FST2_noApp!U36</f>
        <v>0.42881224853143252</v>
      </c>
      <c r="U121" s="25">
        <f>openDomain_trans_FST2_noApp!V36</f>
        <v>0.27332516139295077</v>
      </c>
      <c r="V121" s="25">
        <f>openDomain_trans_FST2_noApp!W36</f>
        <v>2.5741491961816054</v>
      </c>
      <c r="W121" s="35">
        <f>openDomain_trans_FST2_noApp!X36</f>
        <v>5.9777108996574693E-2</v>
      </c>
      <c r="Y121" s="27">
        <f>openDomain_trans_FST2_hull!P36</f>
        <v>330</v>
      </c>
      <c r="Z121" s="34">
        <f>openDomain_trans_FST2_hull!S36</f>
        <v>0.45899045735950139</v>
      </c>
      <c r="AA121" s="25">
        <f>openDomain_trans_FST2_hull!T36</f>
        <v>-0.28672688406081681</v>
      </c>
      <c r="AB121" s="25">
        <f>openDomain_trans_FST2_hull!U36</f>
        <v>7.8935962167140411E-2</v>
      </c>
      <c r="AC121" s="25">
        <f>openDomain_trans_FST2_hull!V36</f>
        <v>6.516549534700089E-2</v>
      </c>
      <c r="AD121" s="25">
        <f>openDomain_trans_FST2_hull!W36</f>
        <v>0.31495573323573883</v>
      </c>
      <c r="AE121" s="35">
        <f>openDomain_trans_FST2_hull!X36</f>
        <v>4.3585862044883877E-2</v>
      </c>
      <c r="AG121" s="27">
        <f>openDomain_trans_FST2_topside!P36</f>
        <v>330</v>
      </c>
      <c r="AH121" s="34">
        <f>openDomain_trans_FST2_topside!S36</f>
        <v>1.1886026580712947</v>
      </c>
      <c r="AI121" s="25">
        <f>openDomain_trans_FST2_topside!T36</f>
        <v>-0.20350756443797563</v>
      </c>
      <c r="AJ121" s="25">
        <f>openDomain_trans_FST2_topside!U36</f>
        <v>0.34987628553930628</v>
      </c>
      <c r="AK121" s="25">
        <f>openDomain_trans_FST2_topside!V36</f>
        <v>0.20815966399114971</v>
      </c>
      <c r="AL121" s="25">
        <f>openDomain_trans_FST2_topside!W36</f>
        <v>2.2591934507555811</v>
      </c>
      <c r="AM121" s="35">
        <f>openDomain_trans_FST2_topside!X36</f>
        <v>1.6191246836193982E-2</v>
      </c>
    </row>
    <row r="122" spans="1:39" x14ac:dyDescent="0.25">
      <c r="A122" s="27">
        <f>openDomain_trans_FST1!P37</f>
        <v>345</v>
      </c>
      <c r="B122" s="34">
        <f>openDomain_trans_FST1!S37</f>
        <v>0.55235064243102605</v>
      </c>
      <c r="C122" s="25">
        <f>openDomain_trans_FST1!T37</f>
        <v>-9.5632997903260769E-2</v>
      </c>
      <c r="D122" s="25">
        <f>openDomain_trans_FST1!U37</f>
        <v>0.15486710241592561</v>
      </c>
      <c r="E122" s="25">
        <f>openDomain_trans_FST1!V37</f>
        <v>6.2663842578984191E-2</v>
      </c>
      <c r="F122" s="25">
        <f>openDomain_trans_FST1!W37</f>
        <v>1.2716384755027637</v>
      </c>
      <c r="G122" s="35">
        <f>openDomain_trans_FST1!X37</f>
        <v>7.6906414937077741E-3</v>
      </c>
      <c r="H122" s="25"/>
      <c r="I122" s="27">
        <f>openDomain_trans_FST2!P37</f>
        <v>345</v>
      </c>
      <c r="J122" s="34">
        <f>openDomain_trans_FST2!S37</f>
        <v>1.5041785889176194</v>
      </c>
      <c r="K122" s="25">
        <f>openDomain_trans_FST2!T37</f>
        <v>-0.21209209130869996</v>
      </c>
      <c r="L122" s="25">
        <f>openDomain_trans_FST2!U37</f>
        <v>0.229320834963196</v>
      </c>
      <c r="M122" s="25">
        <f>openDomain_trans_FST2!V37</f>
        <v>0.10634429963487625</v>
      </c>
      <c r="N122" s="25">
        <f>openDomain_trans_FST2!W37</f>
        <v>2.5835868409299581</v>
      </c>
      <c r="O122" s="35">
        <f>openDomain_trans_FST2!X37</f>
        <v>2.9533074647767193E-2</v>
      </c>
      <c r="Q122" s="27">
        <f>openDomain_trans_FST2_noApp!P37</f>
        <v>345</v>
      </c>
      <c r="R122" s="34">
        <f>openDomain_trans_FST2_noApp!S37</f>
        <v>1.4989455490043124</v>
      </c>
      <c r="S122" s="25">
        <f>openDomain_trans_FST2_noApp!T37</f>
        <v>-0.20473044823867903</v>
      </c>
      <c r="T122" s="25">
        <f>openDomain_trans_FST2_noApp!U37</f>
        <v>0.22837002973372639</v>
      </c>
      <c r="U122" s="25">
        <f>openDomain_trans_FST2_noApp!V37</f>
        <v>0.10373366598320423</v>
      </c>
      <c r="V122" s="25">
        <f>openDomain_trans_FST2_noApp!W37</f>
        <v>2.5941656456173847</v>
      </c>
      <c r="W122" s="35">
        <f>openDomain_trans_FST2_noApp!X37</f>
        <v>3.1433512960759885E-2</v>
      </c>
      <c r="Y122" s="27">
        <f>openDomain_trans_FST2_hull!P37</f>
        <v>345</v>
      </c>
      <c r="Z122" s="34">
        <f>openDomain_trans_FST2_hull!S37</f>
        <v>0.44865286373809815</v>
      </c>
      <c r="AA122" s="25">
        <f>openDomain_trans_FST2_hull!T37</f>
        <v>-0.12187015698819267</v>
      </c>
      <c r="AB122" s="25">
        <f>openDomain_trans_FST2_hull!U37</f>
        <v>3.8620224420066941E-2</v>
      </c>
      <c r="AC122" s="25">
        <f>openDomain_trans_FST2_hull!V37</f>
        <v>2.2455693522391539E-2</v>
      </c>
      <c r="AD122" s="25">
        <f>openDomain_trans_FST2_hull!W37</f>
        <v>0.33931527459927374</v>
      </c>
      <c r="AE122" s="35">
        <f>openDomain_trans_FST2_hull!X37</f>
        <v>2.6961341356874606E-2</v>
      </c>
      <c r="AG122" s="27">
        <f>openDomain_trans_FST2_topside!P37</f>
        <v>345</v>
      </c>
      <c r="AH122" s="34">
        <f>openDomain_trans_FST2_topside!S37</f>
        <v>1.0502926852662142</v>
      </c>
      <c r="AI122" s="25">
        <f>openDomain_trans_FST2_topside!T37</f>
        <v>-8.2860292195665985E-2</v>
      </c>
      <c r="AJ122" s="25">
        <f>openDomain_trans_FST2_topside!U37</f>
        <v>0.18974980448867362</v>
      </c>
      <c r="AK122" s="25">
        <f>openDomain_trans_FST2_topside!V37</f>
        <v>8.1277972485569325E-2</v>
      </c>
      <c r="AL122" s="25">
        <f>openDomain_trans_FST2_topside!W37</f>
        <v>2.2548503719210951</v>
      </c>
      <c r="AM122" s="35">
        <f>openDomain_trans_FST2_topside!X37</f>
        <v>4.472171608505153E-3</v>
      </c>
    </row>
    <row r="123" spans="1:39" x14ac:dyDescent="0.25">
      <c r="A123" s="29">
        <v>360</v>
      </c>
      <c r="B123" s="36">
        <f>openDomain_trans_FST1!S38</f>
        <v>0.23475679663999094</v>
      </c>
      <c r="C123" s="37">
        <f>openDomain_trans_FST1!T38</f>
        <v>-1.069471695154617E-3</v>
      </c>
      <c r="D123" s="37">
        <f>openDomain_trans_FST1!U38</f>
        <v>5.7846034629357189E-2</v>
      </c>
      <c r="E123" s="37">
        <f>openDomain_trans_FST1!V38</f>
        <v>1.4184142912542002E-3</v>
      </c>
      <c r="F123" s="37">
        <f>openDomain_trans_FST1!W38</f>
        <v>0.39064917107864705</v>
      </c>
      <c r="G123" s="38">
        <f>openDomain_trans_FST1!X38</f>
        <v>2.1598706909235272E-4</v>
      </c>
      <c r="H123" s="28"/>
      <c r="I123" s="29">
        <v>360</v>
      </c>
      <c r="J123" s="36">
        <f>openDomain_trans_FST2!S38</f>
        <v>1.1483789962474444</v>
      </c>
      <c r="K123" s="37">
        <f>openDomain_trans_FST2!T38</f>
        <v>-1.5221195426332487E-2</v>
      </c>
      <c r="L123" s="37">
        <f>openDomain_trans_FST2!U38</f>
        <v>0.13486795215131761</v>
      </c>
      <c r="M123" s="37">
        <f>openDomain_trans_FST2!V38</f>
        <v>7.0142254250863262E-3</v>
      </c>
      <c r="N123" s="37">
        <f>openDomain_trans_FST2!W38</f>
        <v>2.2109723901772669</v>
      </c>
      <c r="O123" s="38">
        <f>openDomain_trans_FST2!X38</f>
        <v>2.0311551388381617E-3</v>
      </c>
      <c r="Q123" s="29">
        <f>openDomain_trans_FST2_noApp!P38</f>
        <v>360</v>
      </c>
      <c r="R123" s="36">
        <f>openDomain_trans_FST2_noApp!S38</f>
        <v>1.0803787885787499</v>
      </c>
      <c r="S123" s="37">
        <f>openDomain_trans_FST2_noApp!T38</f>
        <v>-1.0514907869324569E-2</v>
      </c>
      <c r="T123" s="37">
        <f>openDomain_trans_FST2_noApp!U38</f>
        <v>0.1354228648366749</v>
      </c>
      <c r="U123" s="37">
        <f>openDomain_trans_FST2_noApp!V38</f>
        <v>4.7627119270326592E-3</v>
      </c>
      <c r="V123" s="37">
        <f>openDomain_trans_FST2_noApp!W38</f>
        <v>2.1662255688619294</v>
      </c>
      <c r="W123" s="38">
        <f>openDomain_trans_FST2_noApp!X38</f>
        <v>9.1443964070922294E-4</v>
      </c>
      <c r="Y123" s="29">
        <f>openDomain_trans_FST2_hull!P38</f>
        <v>360</v>
      </c>
      <c r="Z123" s="36">
        <f>openDomain_trans_FST2_hull!S38</f>
        <v>0.3924368557375737</v>
      </c>
      <c r="AA123" s="37">
        <f>openDomain_trans_FST2_hull!T38</f>
        <v>-1.506835326409987E-2</v>
      </c>
      <c r="AB123" s="37">
        <f>openDomain_trans_FST2_hull!U38</f>
        <v>1.8915253373150451E-2</v>
      </c>
      <c r="AC123" s="37">
        <f>openDomain_trans_FST2_hull!V38</f>
        <v>-5.4640446698213663E-3</v>
      </c>
      <c r="AD123" s="37">
        <f>openDomain_trans_FST2_hull!W38</f>
        <v>0.22970724735949388</v>
      </c>
      <c r="AE123" s="38">
        <f>openDomain_trans_FST2_hull!X38</f>
        <v>4.5801078196609874E-3</v>
      </c>
      <c r="AG123" s="29">
        <f>openDomain_trans_FST2_topside!P38</f>
        <v>360</v>
      </c>
      <c r="AH123" s="36">
        <f>openDomain_trans_FST2_topside!S38</f>
        <v>0.68794193284117622</v>
      </c>
      <c r="AI123" s="37">
        <f>openDomain_trans_FST2_topside!T38</f>
        <v>4.5534453947753024E-3</v>
      </c>
      <c r="AJ123" s="37">
        <f>openDomain_trans_FST2_topside!U38</f>
        <v>0.11650761146352444</v>
      </c>
      <c r="AK123" s="37">
        <f>openDomain_trans_FST2_topside!V38</f>
        <v>1.0226756572097397E-2</v>
      </c>
      <c r="AL123" s="37">
        <f>openDomain_trans_FST2_topside!W38</f>
        <v>1.9365183201479597</v>
      </c>
      <c r="AM123" s="38">
        <f>openDomain_trans_FST2_topside!X38</f>
        <v>-3.6656681743318913E-3</v>
      </c>
    </row>
    <row r="125" spans="1:39" ht="15.75" customHeight="1" x14ac:dyDescent="0.25">
      <c r="A125" s="221" t="s">
        <v>84</v>
      </c>
      <c r="B125" s="221"/>
      <c r="C125" s="221"/>
      <c r="D125" s="221"/>
      <c r="E125" s="221"/>
      <c r="F125" s="221"/>
      <c r="G125" s="221"/>
      <c r="H125" s="13"/>
      <c r="I125" s="221" t="s">
        <v>85</v>
      </c>
      <c r="J125" s="221"/>
      <c r="K125" s="221"/>
      <c r="L125" s="221"/>
      <c r="M125" s="221"/>
      <c r="N125" s="221"/>
      <c r="O125" s="221"/>
      <c r="Q125" s="221" t="s">
        <v>90</v>
      </c>
      <c r="R125" s="221"/>
      <c r="S125" s="221"/>
      <c r="T125" s="221"/>
      <c r="U125" s="221"/>
      <c r="V125" s="221"/>
      <c r="W125" s="221"/>
    </row>
    <row r="126" spans="1:39" x14ac:dyDescent="0.25">
      <c r="A126" s="14" t="s">
        <v>55</v>
      </c>
      <c r="B126" s="15">
        <f>openDomain_trans_LNGC_FST1!S5</f>
        <v>1678</v>
      </c>
      <c r="C126" s="15">
        <f>openDomain_trans_LNGC_FST1!T5</f>
        <v>7811</v>
      </c>
      <c r="D126" s="15">
        <f>openDomain_trans_LNGC_FST1!U5</f>
        <v>8949</v>
      </c>
      <c r="E126" s="15">
        <f>openDomain_trans_LNGC_FST1!V5</f>
        <v>298215</v>
      </c>
      <c r="F126" s="15">
        <f>openDomain_trans_LNGC_FST1!W5</f>
        <v>32704</v>
      </c>
      <c r="G126" s="15">
        <f>openDomain_trans_LNGC_FST1!X5</f>
        <v>1598052</v>
      </c>
      <c r="H126" s="16"/>
      <c r="I126" s="14" t="s">
        <v>55</v>
      </c>
      <c r="J126" s="15">
        <f t="shared" ref="J126:O126" si="19">B126</f>
        <v>1678</v>
      </c>
      <c r="K126" s="15">
        <f t="shared" si="19"/>
        <v>7811</v>
      </c>
      <c r="L126" s="15">
        <f t="shared" si="19"/>
        <v>8949</v>
      </c>
      <c r="M126" s="15">
        <f t="shared" si="19"/>
        <v>298215</v>
      </c>
      <c r="N126" s="15">
        <f t="shared" si="19"/>
        <v>32704</v>
      </c>
      <c r="O126" s="15">
        <f t="shared" si="19"/>
        <v>1598052</v>
      </c>
      <c r="Q126" s="14" t="s">
        <v>55</v>
      </c>
      <c r="R126" s="15">
        <f>openDomain_trans_LNGC_LNGC!S5</f>
        <v>1566</v>
      </c>
      <c r="S126" s="15">
        <f>openDomain_trans_LNGC_LNGC!T5</f>
        <v>7543</v>
      </c>
      <c r="T126" s="15">
        <f>openDomain_trans_LNGC_LNGC!U5</f>
        <v>13570</v>
      </c>
      <c r="U126" s="15">
        <f>openDomain_trans_LNGC_LNGC!V5</f>
        <v>192871</v>
      </c>
      <c r="V126" s="15">
        <f>openDomain_trans_LNGC_LNGC!W5</f>
        <v>26653</v>
      </c>
      <c r="W126" s="15">
        <f>openDomain_trans_LNGC_LNGC!X5</f>
        <v>2225185</v>
      </c>
    </row>
    <row r="127" spans="1:39" x14ac:dyDescent="0.25">
      <c r="A127" s="17"/>
      <c r="B127" s="18" t="s">
        <v>57</v>
      </c>
      <c r="C127" s="18" t="s">
        <v>57</v>
      </c>
      <c r="D127" s="18" t="s">
        <v>57</v>
      </c>
      <c r="E127" s="18" t="s">
        <v>58</v>
      </c>
      <c r="F127" s="18" t="s">
        <v>58</v>
      </c>
      <c r="G127" s="18" t="s">
        <v>58</v>
      </c>
      <c r="H127" s="19"/>
      <c r="I127" s="17"/>
      <c r="J127" s="18" t="s">
        <v>57</v>
      </c>
      <c r="K127" s="18" t="s">
        <v>57</v>
      </c>
      <c r="L127" s="18" t="s">
        <v>57</v>
      </c>
      <c r="M127" s="18" t="s">
        <v>58</v>
      </c>
      <c r="N127" s="18" t="s">
        <v>58</v>
      </c>
      <c r="O127" s="18" t="s">
        <v>58</v>
      </c>
      <c r="Q127" s="17"/>
      <c r="R127" s="18" t="s">
        <v>57</v>
      </c>
      <c r="S127" s="18" t="s">
        <v>57</v>
      </c>
      <c r="T127" s="18" t="s">
        <v>57</v>
      </c>
      <c r="U127" s="18" t="s">
        <v>58</v>
      </c>
      <c r="V127" s="18" t="s">
        <v>58</v>
      </c>
      <c r="W127" s="18" t="s">
        <v>58</v>
      </c>
    </row>
    <row r="128" spans="1:39" ht="27" x14ac:dyDescent="0.25">
      <c r="A128" s="20" t="s">
        <v>59</v>
      </c>
      <c r="B128" s="21" t="s">
        <v>60</v>
      </c>
      <c r="C128" s="21" t="s">
        <v>61</v>
      </c>
      <c r="D128" s="21" t="s">
        <v>62</v>
      </c>
      <c r="E128" s="21" t="s">
        <v>63</v>
      </c>
      <c r="F128" s="21" t="s">
        <v>64</v>
      </c>
      <c r="G128" s="21" t="s">
        <v>65</v>
      </c>
      <c r="H128" s="13"/>
      <c r="I128" s="20" t="s">
        <v>59</v>
      </c>
      <c r="J128" s="21" t="s">
        <v>60</v>
      </c>
      <c r="K128" s="21" t="s">
        <v>61</v>
      </c>
      <c r="L128" s="21" t="s">
        <v>62</v>
      </c>
      <c r="M128" s="21" t="s">
        <v>63</v>
      </c>
      <c r="N128" s="21" t="s">
        <v>64</v>
      </c>
      <c r="O128" s="21" t="s">
        <v>65</v>
      </c>
      <c r="Q128" s="20" t="s">
        <v>59</v>
      </c>
      <c r="R128" s="21" t="s">
        <v>60</v>
      </c>
      <c r="S128" s="21" t="s">
        <v>61</v>
      </c>
      <c r="T128" s="21" t="s">
        <v>62</v>
      </c>
      <c r="U128" s="21" t="s">
        <v>63</v>
      </c>
      <c r="V128" s="21" t="s">
        <v>64</v>
      </c>
      <c r="W128" s="21" t="s">
        <v>65</v>
      </c>
    </row>
    <row r="129" spans="1:23" ht="56.25" x14ac:dyDescent="0.25">
      <c r="A129" s="22"/>
      <c r="B129" s="23" t="str">
        <f t="shared" ref="B129:G129" si="20">CONCATENATE($A$125,"-",B128)</f>
        <v>openDomain-trans-LNGC-FST1-Cx [-]</v>
      </c>
      <c r="C129" s="23" t="str">
        <f t="shared" si="20"/>
        <v>openDomain-trans-LNGC-FST1-Cy [-]</v>
      </c>
      <c r="D129" s="23" t="str">
        <f t="shared" si="20"/>
        <v>openDomain-trans-LNGC-FST1-Cz [-]</v>
      </c>
      <c r="E129" s="23" t="str">
        <f t="shared" si="20"/>
        <v>openDomain-trans-LNGC-FST1-Cnx [-]</v>
      </c>
      <c r="F129" s="23" t="str">
        <f t="shared" si="20"/>
        <v>openDomain-trans-LNGC-FST1-Cny [-]</v>
      </c>
      <c r="G129" s="23" t="str">
        <f t="shared" si="20"/>
        <v>openDomain-trans-LNGC-FST1-Cnz [-]</v>
      </c>
      <c r="H129" s="24"/>
      <c r="I129" s="22"/>
      <c r="J129" s="23" t="str">
        <f t="shared" ref="J129:O129" si="21">CONCATENATE($I$125,"-",J128)</f>
        <v>openDomain-trans-LNGC-FST2-Cx [-]</v>
      </c>
      <c r="K129" s="23" t="str">
        <f t="shared" si="21"/>
        <v>openDomain-trans-LNGC-FST2-Cy [-]</v>
      </c>
      <c r="L129" s="23" t="str">
        <f t="shared" si="21"/>
        <v>openDomain-trans-LNGC-FST2-Cz [-]</v>
      </c>
      <c r="M129" s="23" t="str">
        <f t="shared" si="21"/>
        <v>openDomain-trans-LNGC-FST2-Cnx [-]</v>
      </c>
      <c r="N129" s="23" t="str">
        <f t="shared" si="21"/>
        <v>openDomain-trans-LNGC-FST2-Cny [-]</v>
      </c>
      <c r="O129" s="23" t="str">
        <f t="shared" si="21"/>
        <v>openDomain-trans-LNGC-FST2-Cnz [-]</v>
      </c>
      <c r="Q129" s="22"/>
      <c r="R129" s="23" t="str">
        <f t="shared" ref="R129:W129" si="22">CONCATENATE($Q$125,"-",R128)</f>
        <v>openDomain-trans-LNGC-full-LNGC-Cx [-]</v>
      </c>
      <c r="S129" s="23" t="str">
        <f t="shared" si="22"/>
        <v>openDomain-trans-LNGC-full-LNGC-Cy [-]</v>
      </c>
      <c r="T129" s="23" t="str">
        <f t="shared" si="22"/>
        <v>openDomain-trans-LNGC-full-LNGC-Cz [-]</v>
      </c>
      <c r="U129" s="23" t="str">
        <f t="shared" si="22"/>
        <v>openDomain-trans-LNGC-full-LNGC-Cnx [-]</v>
      </c>
      <c r="V129" s="23" t="str">
        <f t="shared" si="22"/>
        <v>openDomain-trans-LNGC-full-LNGC-Cny [-]</v>
      </c>
      <c r="W129" s="23" t="str">
        <f t="shared" si="22"/>
        <v>openDomain-trans-LNGC-full-LNGC-Cnz [-]</v>
      </c>
    </row>
    <row r="130" spans="1:23" x14ac:dyDescent="0.25">
      <c r="A130" s="26">
        <f>openDomain_trans_LNGC_FST1!P14</f>
        <v>0</v>
      </c>
      <c r="B130" s="31">
        <f>openDomain_trans_LNGC_FST1!S14</f>
        <v>0.23688725745770403</v>
      </c>
      <c r="C130" s="32">
        <f>openDomain_trans_LNGC_FST1!T14</f>
        <v>-8.6152820706655048E-3</v>
      </c>
      <c r="D130" s="32">
        <f>openDomain_trans_LNGC_FST1!U14</f>
        <v>6.70508584369299E-2</v>
      </c>
      <c r="E130" s="32">
        <f>openDomain_trans_LNGC_FST1!V14</f>
        <v>7.1079294881943901E-3</v>
      </c>
      <c r="F130" s="32">
        <f>openDomain_trans_LNGC_FST1!W14</f>
        <v>0.55473055428234797</v>
      </c>
      <c r="G130" s="33">
        <f>openDomain_trans_LNGC_FST1!X14</f>
        <v>-1.6079262317670955E-3</v>
      </c>
      <c r="H130" s="25">
        <f>G130*$G$126</f>
        <v>-2569.5497305278705</v>
      </c>
      <c r="I130" s="26">
        <f>openDomain_trans_LNGC_FST2!P14</f>
        <v>0</v>
      </c>
      <c r="J130" s="31">
        <f>openDomain_trans_LNGC_FST2!S14</f>
        <v>1.2360781459057371</v>
      </c>
      <c r="K130" s="32">
        <f>openDomain_trans_LNGC_FST2!T14</f>
        <v>9.6874683217140038E-3</v>
      </c>
      <c r="L130" s="32">
        <f>openDomain_trans_LNGC_FST2!U14</f>
        <v>0.17701710867963044</v>
      </c>
      <c r="M130" s="32">
        <f>openDomain_trans_LNGC_FST2!V14</f>
        <v>-5.4299641003505749E-3</v>
      </c>
      <c r="N130" s="32">
        <f>openDomain_trans_LNGC_FST2!W14</f>
        <v>2.3239427074190622</v>
      </c>
      <c r="O130" s="33">
        <f>openDomain_trans_LNGC_FST2!X14</f>
        <v>-1.5138903856124051E-2</v>
      </c>
      <c r="Q130" s="26">
        <f>openDomain_trans_LNGC_LNGC!P14</f>
        <v>0</v>
      </c>
      <c r="R130" s="31">
        <f>openDomain_trans_LNGC_LNGC!S14</f>
        <v>0.625799249179807</v>
      </c>
      <c r="S130" s="32">
        <f>openDomain_trans_LNGC_LNGC!T14</f>
        <v>-5.4827371672498376E-2</v>
      </c>
      <c r="T130" s="32">
        <f>openDomain_trans_LNGC_LNGC!U14</f>
        <v>0.16628440039792033</v>
      </c>
      <c r="U130" s="32">
        <f>openDomain_trans_LNGC_LNGC!V14</f>
        <v>-5.2548130377517002E-2</v>
      </c>
      <c r="V130" s="32">
        <f>openDomain_trans_LNGC_LNGC!W14</f>
        <v>4.5464879455039648</v>
      </c>
      <c r="W130" s="33">
        <f>openDomain_trans_LNGC_LNGC!X14</f>
        <v>1.283160290662076E-2</v>
      </c>
    </row>
    <row r="131" spans="1:23" x14ac:dyDescent="0.25">
      <c r="A131" s="26">
        <f>openDomain_trans_LNGC_FST1!P15</f>
        <v>15</v>
      </c>
      <c r="B131" s="34">
        <f>openDomain_trans_LNGC_FST1!S15</f>
        <v>0.92268945478608155</v>
      </c>
      <c r="C131" s="25">
        <f>openDomain_trans_LNGC_FST1!T15</f>
        <v>0.12478759001831712</v>
      </c>
      <c r="D131" s="25">
        <f>openDomain_trans_LNGC_FST1!U15</f>
        <v>7.1820776286079677E-2</v>
      </c>
      <c r="E131" s="25">
        <f>openDomain_trans_LNGC_FST1!V15</f>
        <v>-5.7146164182855758E-2</v>
      </c>
      <c r="F131" s="25">
        <f>openDomain_trans_LNGC_FST1!W15</f>
        <v>1.459665602635341</v>
      </c>
      <c r="G131" s="35">
        <f>openDomain_trans_LNGC_FST1!X15</f>
        <v>5.8853561464682373E-3</v>
      </c>
      <c r="H131" s="25">
        <f t="shared" ref="H131:H154" si="23">G131*$G$126</f>
        <v>9405.1051605758603</v>
      </c>
      <c r="I131" s="26">
        <f>openDomain_trans_LNGC_FST2!P15</f>
        <v>15</v>
      </c>
      <c r="J131" s="34">
        <f>openDomain_trans_LNGC_FST2!S15</f>
        <v>1.5029385648245313</v>
      </c>
      <c r="K131" s="25">
        <f>openDomain_trans_LNGC_FST2!T15</f>
        <v>8.7777746114260216E-2</v>
      </c>
      <c r="L131" s="25">
        <f>openDomain_trans_LNGC_FST2!U15</f>
        <v>0.2239902452026972</v>
      </c>
      <c r="M131" s="25">
        <f>openDomain_trans_LNGC_FST2!V15</f>
        <v>-4.5018586243371392E-2</v>
      </c>
      <c r="N131" s="25">
        <f>openDomain_trans_LNGC_FST2!W15</f>
        <v>2.2034511300936432</v>
      </c>
      <c r="O131" s="35">
        <f>openDomain_trans_LNGC_FST2!X15</f>
        <v>-3.4450243697726349E-3</v>
      </c>
      <c r="Q131" s="26">
        <f>openDomain_trans_LNGC_LNGC!P15</f>
        <v>15</v>
      </c>
      <c r="R131" s="34">
        <f>openDomain_trans_LNGC_LNGC!S15</f>
        <v>0.78326752931315002</v>
      </c>
      <c r="S131" s="25">
        <f>openDomain_trans_LNGC_LNGC!T15</f>
        <v>7.5932035192153163E-2</v>
      </c>
      <c r="T131" s="25">
        <f>openDomain_trans_LNGC_LNGC!U15</f>
        <v>0.18482992497782305</v>
      </c>
      <c r="U131" s="25">
        <f>openDomain_trans_LNGC_LNGC!V15</f>
        <v>-0.17593713943099418</v>
      </c>
      <c r="V131" s="25">
        <f>openDomain_trans_LNGC_LNGC!W15</f>
        <v>3.9186351737269787</v>
      </c>
      <c r="W131" s="35">
        <f>openDomain_trans_LNGC_LNGC!X15</f>
        <v>-4.4866364182412272E-2</v>
      </c>
    </row>
    <row r="132" spans="1:23" x14ac:dyDescent="0.25">
      <c r="A132" s="26">
        <f>openDomain_trans_LNGC_FST1!P16</f>
        <v>30</v>
      </c>
      <c r="B132" s="34">
        <f>openDomain_trans_LNGC_FST1!S16</f>
        <v>0.72864946272324937</v>
      </c>
      <c r="C132" s="25">
        <f>openDomain_trans_LNGC_FST1!T16</f>
        <v>0.16110896697112323</v>
      </c>
      <c r="D132" s="25">
        <f>openDomain_trans_LNGC_FST1!U16</f>
        <v>0.19069711672819209</v>
      </c>
      <c r="E132" s="25">
        <f>openDomain_trans_LNGC_FST1!V16</f>
        <v>-7.9211683777117875E-2</v>
      </c>
      <c r="F132" s="25">
        <f>openDomain_trans_LNGC_FST1!W16</f>
        <v>0.51474532755387392</v>
      </c>
      <c r="G132" s="35">
        <f>openDomain_trans_LNGC_FST1!X16</f>
        <v>1.7541704662931736E-2</v>
      </c>
      <c r="H132" s="25">
        <f t="shared" si="23"/>
        <v>28032.556220007387</v>
      </c>
      <c r="I132" s="26">
        <f>openDomain_trans_LNGC_FST2!P16</f>
        <v>30</v>
      </c>
      <c r="J132" s="34">
        <f>openDomain_trans_LNGC_FST2!S16</f>
        <v>1.8382932405159864</v>
      </c>
      <c r="K132" s="25">
        <f>openDomain_trans_LNGC_FST2!T16</f>
        <v>0.19107241356674923</v>
      </c>
      <c r="L132" s="25">
        <f>openDomain_trans_LNGC_FST2!U16</f>
        <v>0.23106150553889296</v>
      </c>
      <c r="M132" s="25">
        <f>openDomain_trans_LNGC_FST2!V16</f>
        <v>-9.5621583960432674E-2</v>
      </c>
      <c r="N132" s="25">
        <f>openDomain_trans_LNGC_FST2!W16</f>
        <v>3.281350421765818</v>
      </c>
      <c r="O132" s="35">
        <f>openDomain_trans_LNGC_FST2!X16</f>
        <v>-1.6310778005850769E-2</v>
      </c>
      <c r="Q132" s="26">
        <f>openDomain_trans_LNGC_LNGC!P16</f>
        <v>30</v>
      </c>
      <c r="R132" s="34">
        <f>openDomain_trans_LNGC_LNGC!S16</f>
        <v>0.93012270248125195</v>
      </c>
      <c r="S132" s="25">
        <f>openDomain_trans_LNGC_LNGC!T16</f>
        <v>0.33743390655969396</v>
      </c>
      <c r="T132" s="25">
        <f>openDomain_trans_LNGC_LNGC!U16</f>
        <v>0.23079962449467689</v>
      </c>
      <c r="U132" s="25">
        <f>openDomain_trans_LNGC_LNGC!V16</f>
        <v>-0.34433315172326051</v>
      </c>
      <c r="V132" s="25">
        <f>openDomain_trans_LNGC_LNGC!W16</f>
        <v>5.0868191941725627</v>
      </c>
      <c r="W132" s="35">
        <f>openDomain_trans_LNGC_LNGC!X16</f>
        <v>-8.9004472876238749E-2</v>
      </c>
    </row>
    <row r="133" spans="1:23" x14ac:dyDescent="0.25">
      <c r="A133" s="26">
        <f>openDomain_trans_LNGC_FST1!P17</f>
        <v>45</v>
      </c>
      <c r="B133" s="34">
        <f>openDomain_trans_LNGC_FST1!S17</f>
        <v>0.8510352900388104</v>
      </c>
      <c r="C133" s="25">
        <f>openDomain_trans_LNGC_FST1!T17</f>
        <v>0.32829764405943501</v>
      </c>
      <c r="D133" s="25">
        <f>openDomain_trans_LNGC_FST1!U17</f>
        <v>0.22878924627686997</v>
      </c>
      <c r="E133" s="25">
        <f>openDomain_trans_LNGC_FST1!V17</f>
        <v>-0.15530428104561875</v>
      </c>
      <c r="F133" s="25">
        <f>openDomain_trans_LNGC_FST1!W17</f>
        <v>1.55921811666952</v>
      </c>
      <c r="G133" s="35">
        <f>openDomain_trans_LNGC_FST1!X17</f>
        <v>2.0454180114529385E-2</v>
      </c>
      <c r="H133" s="25">
        <f t="shared" si="23"/>
        <v>32686.843440383913</v>
      </c>
      <c r="I133" s="26">
        <f>openDomain_trans_LNGC_FST2!P17</f>
        <v>45</v>
      </c>
      <c r="J133" s="34">
        <f>openDomain_trans_LNGC_FST2!S17</f>
        <v>1.4057110606898562</v>
      </c>
      <c r="K133" s="25">
        <f>openDomain_trans_LNGC_FST2!T17</f>
        <v>0.20438939056660638</v>
      </c>
      <c r="L133" s="25">
        <f>openDomain_trans_LNGC_FST2!U17</f>
        <v>0.29426956436335167</v>
      </c>
      <c r="M133" s="25">
        <f>openDomain_trans_LNGC_FST2!V17</f>
        <v>-0.11274471024337147</v>
      </c>
      <c r="N133" s="25">
        <f>openDomain_trans_LNGC_FST2!W17</f>
        <v>2.5779214955999392</v>
      </c>
      <c r="O133" s="35">
        <f>openDomain_trans_LNGC_FST2!X17</f>
        <v>-4.9341427724060617E-2</v>
      </c>
      <c r="Q133" s="26">
        <f>openDomain_trans_LNGC_LNGC!P17</f>
        <v>45</v>
      </c>
      <c r="R133" s="34">
        <f>openDomain_trans_LNGC_LNGC!S17</f>
        <v>0.60568159113913367</v>
      </c>
      <c r="S133" s="25">
        <f>openDomain_trans_LNGC_LNGC!T17</f>
        <v>0.59925771705737119</v>
      </c>
      <c r="T133" s="25">
        <f>openDomain_trans_LNGC_LNGC!U17</f>
        <v>0.26522289875202426</v>
      </c>
      <c r="U133" s="25">
        <f>openDomain_trans_LNGC_LNGC!V17</f>
        <v>-0.52448073223809455</v>
      </c>
      <c r="V133" s="25">
        <f>openDomain_trans_LNGC_LNGC!W17</f>
        <v>3.7189647917148907</v>
      </c>
      <c r="W133" s="35">
        <f>openDomain_trans_LNGC_LNGC!X17</f>
        <v>-0.13320795541702829</v>
      </c>
    </row>
    <row r="134" spans="1:23" x14ac:dyDescent="0.25">
      <c r="A134" s="26">
        <f>openDomain_trans_LNGC_FST1!P18</f>
        <v>60</v>
      </c>
      <c r="B134" s="34">
        <f>openDomain_trans_LNGC_FST1!S18</f>
        <v>0.55476492299759206</v>
      </c>
      <c r="C134" s="25">
        <f>openDomain_trans_LNGC_FST1!T18</f>
        <v>0.3441496826157695</v>
      </c>
      <c r="D134" s="25">
        <f>openDomain_trans_LNGC_FST1!U18</f>
        <v>0.26061250577026018</v>
      </c>
      <c r="E134" s="25">
        <f>openDomain_trans_LNGC_FST1!V18</f>
        <v>-0.14749666760611885</v>
      </c>
      <c r="F134" s="25">
        <f>openDomain_trans_LNGC_FST1!W18</f>
        <v>1.0469195615885731</v>
      </c>
      <c r="G134" s="35">
        <f>openDomain_trans_LNGC_FST1!X18</f>
        <v>4.9002969273081863E-2</v>
      </c>
      <c r="H134" s="25">
        <f t="shared" si="23"/>
        <v>78309.293052787019</v>
      </c>
      <c r="I134" s="26">
        <f>openDomain_trans_LNGC_FST2!P18</f>
        <v>60</v>
      </c>
      <c r="J134" s="34">
        <f>openDomain_trans_LNGC_FST2!S18</f>
        <v>0.98988594060939339</v>
      </c>
      <c r="K134" s="25">
        <f>openDomain_trans_LNGC_FST2!T18</f>
        <v>0.20646309954929581</v>
      </c>
      <c r="L134" s="25">
        <f>openDomain_trans_LNGC_FST2!U18</f>
        <v>0.42167495055550636</v>
      </c>
      <c r="M134" s="25">
        <f>openDomain_trans_LNGC_FST2!V18</f>
        <v>-0.11365589042176365</v>
      </c>
      <c r="N134" s="25">
        <f>openDomain_trans_LNGC_FST2!W18</f>
        <v>2.1855062828731366</v>
      </c>
      <c r="O134" s="35">
        <f>openDomain_trans_LNGC_FST2!X18</f>
        <v>-3.6561527742714102E-2</v>
      </c>
      <c r="Q134" s="26">
        <f>openDomain_trans_LNGC_LNGC!P18</f>
        <v>60</v>
      </c>
      <c r="R134" s="34">
        <f>openDomain_trans_LNGC_LNGC!S18</f>
        <v>0.10216221695148898</v>
      </c>
      <c r="S134" s="25">
        <f>openDomain_trans_LNGC_LNGC!T18</f>
        <v>0.85705067151114467</v>
      </c>
      <c r="T134" s="25">
        <f>openDomain_trans_LNGC_LNGC!U18</f>
        <v>0.38360225542577175</v>
      </c>
      <c r="U134" s="25">
        <f>openDomain_trans_LNGC_LNGC!V18</f>
        <v>-0.74511501278119474</v>
      </c>
      <c r="V134" s="25">
        <f>openDomain_trans_LNGC_LNGC!W18</f>
        <v>0.58780276829859801</v>
      </c>
      <c r="W134" s="35">
        <f>openDomain_trans_LNGC_LNGC!X18</f>
        <v>-0.12868145714161811</v>
      </c>
    </row>
    <row r="135" spans="1:23" x14ac:dyDescent="0.25">
      <c r="A135" s="26">
        <f>openDomain_trans_LNGC_FST1!P19</f>
        <v>75</v>
      </c>
      <c r="B135" s="34">
        <f>openDomain_trans_LNGC_FST1!S19</f>
        <v>0.12860039659440942</v>
      </c>
      <c r="C135" s="25">
        <f>openDomain_trans_LNGC_FST1!T19</f>
        <v>0.43884047631571249</v>
      </c>
      <c r="D135" s="25">
        <f>openDomain_trans_LNGC_FST1!U19</f>
        <v>0.28168426217042797</v>
      </c>
      <c r="E135" s="25">
        <f>openDomain_trans_LNGC_FST1!V19</f>
        <v>-0.17123664068712222</v>
      </c>
      <c r="F135" s="25">
        <f>openDomain_trans_LNGC_FST1!W19</f>
        <v>-1.6144505720946126E-2</v>
      </c>
      <c r="G135" s="35">
        <f>openDomain_trans_LNGC_FST1!X19</f>
        <v>5.6117164355798096E-2</v>
      </c>
      <c r="H135" s="25">
        <f t="shared" si="23"/>
        <v>89678.146733111862</v>
      </c>
      <c r="I135" s="26">
        <f>openDomain_trans_LNGC_FST2!P19</f>
        <v>75</v>
      </c>
      <c r="J135" s="34">
        <f>openDomain_trans_LNGC_FST2!S19</f>
        <v>0.36196284754257985</v>
      </c>
      <c r="K135" s="25">
        <f>openDomain_trans_LNGC_FST2!T19</f>
        <v>0.12594463922233645</v>
      </c>
      <c r="L135" s="25">
        <f>openDomain_trans_LNGC_FST2!U19</f>
        <v>0.43265408373548303</v>
      </c>
      <c r="M135" s="25">
        <f>openDomain_trans_LNGC_FST2!V19</f>
        <v>-8.0795035295742404E-2</v>
      </c>
      <c r="N135" s="25">
        <f>openDomain_trans_LNGC_FST2!W19</f>
        <v>0.95984634935263269</v>
      </c>
      <c r="O135" s="35">
        <f>openDomain_trans_LNGC_FST2!X19</f>
        <v>-3.708676736961581E-2</v>
      </c>
      <c r="Q135" s="26">
        <f>openDomain_trans_LNGC_LNGC!P19</f>
        <v>75</v>
      </c>
      <c r="R135" s="34">
        <f>openDomain_trans_LNGC_LNGC!S19</f>
        <v>-0.39187745592361117</v>
      </c>
      <c r="S135" s="25">
        <f>openDomain_trans_LNGC_LNGC!T19</f>
        <v>0.97624356519361599</v>
      </c>
      <c r="T135" s="25">
        <f>openDomain_trans_LNGC_LNGC!U19</f>
        <v>0.45208558061191267</v>
      </c>
      <c r="U135" s="25">
        <f>openDomain_trans_LNGC_LNGC!V19</f>
        <v>-0.81767387991237817</v>
      </c>
      <c r="V135" s="25">
        <f>openDomain_trans_LNGC_LNGC!W19</f>
        <v>-1.6513099677316632</v>
      </c>
      <c r="W135" s="35">
        <f>openDomain_trans_LNGC_LNGC!X19</f>
        <v>-7.7692038989349677E-2</v>
      </c>
    </row>
    <row r="136" spans="1:23" x14ac:dyDescent="0.25">
      <c r="A136" s="26">
        <f>openDomain_trans_LNGC_FST1!P20</f>
        <v>90</v>
      </c>
      <c r="B136" s="34">
        <f>openDomain_trans_LNGC_FST1!S20</f>
        <v>-0.17065865294293381</v>
      </c>
      <c r="C136" s="25">
        <f>openDomain_trans_LNGC_FST1!T20</f>
        <v>0.52909824239594716</v>
      </c>
      <c r="D136" s="25">
        <f>openDomain_trans_LNGC_FST1!U20</f>
        <v>0.31587488859082152</v>
      </c>
      <c r="E136" s="25">
        <f>openDomain_trans_LNGC_FST1!V20</f>
        <v>-0.19967349370937465</v>
      </c>
      <c r="F136" s="25">
        <f>openDomain_trans_LNGC_FST1!W20</f>
        <v>-1.2988874994220903</v>
      </c>
      <c r="G136" s="35">
        <f>openDomain_trans_LNGC_FST1!X20</f>
        <v>6.327208628443115E-2</v>
      </c>
      <c r="H136" s="25">
        <f t="shared" si="23"/>
        <v>101112.08403100776</v>
      </c>
      <c r="I136" s="26">
        <f>openDomain_trans_LNGC_FST2!P20</f>
        <v>90</v>
      </c>
      <c r="J136" s="34">
        <f>openDomain_trans_LNGC_FST2!S20</f>
        <v>-0.21697778692927958</v>
      </c>
      <c r="K136" s="25">
        <f>openDomain_trans_LNGC_FST2!T20</f>
        <v>-0.11888848293423833</v>
      </c>
      <c r="L136" s="25">
        <f>openDomain_trans_LNGC_FST2!U20</f>
        <v>0.43317687559803741</v>
      </c>
      <c r="M136" s="25">
        <f>openDomain_trans_LNGC_FST2!V20</f>
        <v>1.7852172784410293E-2</v>
      </c>
      <c r="N136" s="25">
        <f>openDomain_trans_LNGC_FST2!W20</f>
        <v>0.42138430127811982</v>
      </c>
      <c r="O136" s="35">
        <f>openDomain_trans_LNGC_FST2!X20</f>
        <v>4.3715437877472601E-3</v>
      </c>
      <c r="Q136" s="26">
        <f>openDomain_trans_LNGC_LNGC!P20</f>
        <v>90</v>
      </c>
      <c r="R136" s="34">
        <f>openDomain_trans_LNGC_LNGC!S20</f>
        <v>-0.41234203004317949</v>
      </c>
      <c r="S136" s="25">
        <f>openDomain_trans_LNGC_LNGC!T20</f>
        <v>1.0884299378285796</v>
      </c>
      <c r="T136" s="25">
        <f>openDomain_trans_LNGC_LNGC!U20</f>
        <v>0.57984101631261076</v>
      </c>
      <c r="U136" s="25">
        <f>openDomain_trans_LNGC_LNGC!V20</f>
        <v>-0.94619756441693825</v>
      </c>
      <c r="V136" s="25">
        <f>openDomain_trans_LNGC_LNGC!W20</f>
        <v>-7.7152656425786992</v>
      </c>
      <c r="W136" s="35">
        <f>openDomain_trans_LNGC_LNGC!X20</f>
        <v>-3.3919090289814623E-2</v>
      </c>
    </row>
    <row r="137" spans="1:23" x14ac:dyDescent="0.25">
      <c r="A137" s="26">
        <f>openDomain_trans_LNGC_FST1!P21</f>
        <v>105</v>
      </c>
      <c r="B137" s="34">
        <f>openDomain_trans_LNGC_FST1!S21</f>
        <v>-0.41589278399683921</v>
      </c>
      <c r="C137" s="25">
        <f>openDomain_trans_LNGC_FST1!T21</f>
        <v>0.62594160425054846</v>
      </c>
      <c r="D137" s="25">
        <f>openDomain_trans_LNGC_FST1!U21</f>
        <v>0.38946517695677674</v>
      </c>
      <c r="E137" s="25">
        <f>openDomain_trans_LNGC_FST1!V21</f>
        <v>-0.24374464193364323</v>
      </c>
      <c r="F137" s="25">
        <f>openDomain_trans_LNGC_FST1!W21</f>
        <v>-2.2823660321487624</v>
      </c>
      <c r="G137" s="35">
        <f>openDomain_trans_LNGC_FST1!X21</f>
        <v>6.5626581412149471E-2</v>
      </c>
      <c r="H137" s="25">
        <f t="shared" si="23"/>
        <v>104874.68967884828</v>
      </c>
      <c r="I137" s="26">
        <f>openDomain_trans_LNGC_FST2!P21</f>
        <v>105</v>
      </c>
      <c r="J137" s="34">
        <f>openDomain_trans_LNGC_FST2!S21</f>
        <v>-0.35438033113477307</v>
      </c>
      <c r="K137" s="25">
        <f>openDomain_trans_LNGC_FST2!T21</f>
        <v>-4.3745580517276964E-2</v>
      </c>
      <c r="L137" s="25">
        <f>openDomain_trans_LNGC_FST2!U21</f>
        <v>0.33524249818740309</v>
      </c>
      <c r="M137" s="25">
        <f>openDomain_trans_LNGC_FST2!V21</f>
        <v>-1.7638948420844888E-2</v>
      </c>
      <c r="N137" s="25">
        <f>openDomain_trans_LNGC_FST2!W21</f>
        <v>-0.12248515155504699</v>
      </c>
      <c r="O137" s="35">
        <f>openDomain_trans_LNGC_FST2!X21</f>
        <v>1.4474093729972647E-2</v>
      </c>
      <c r="Q137" s="26">
        <f>openDomain_trans_LNGC_LNGC!P21</f>
        <v>105</v>
      </c>
      <c r="R137" s="34">
        <f>openDomain_trans_LNGC_LNGC!S21</f>
        <v>-0.44650903968466116</v>
      </c>
      <c r="S137" s="25">
        <f>openDomain_trans_LNGC_LNGC!T21</f>
        <v>0.95925265000902682</v>
      </c>
      <c r="T137" s="25">
        <f>openDomain_trans_LNGC_LNGC!U21</f>
        <v>0.51063346910173879</v>
      </c>
      <c r="U137" s="25">
        <f>openDomain_trans_LNGC_LNGC!V21</f>
        <v>-0.84444725901874573</v>
      </c>
      <c r="V137" s="25">
        <f>openDomain_trans_LNGC_LNGC!W21</f>
        <v>-8.7698334582520054</v>
      </c>
      <c r="W137" s="35">
        <f>openDomain_trans_LNGC_LNGC!X21</f>
        <v>-6.0372473648677332E-3</v>
      </c>
    </row>
    <row r="138" spans="1:23" x14ac:dyDescent="0.25">
      <c r="A138" s="26">
        <f>openDomain_trans_LNGC_FST1!P22</f>
        <v>120</v>
      </c>
      <c r="B138" s="34">
        <f>openDomain_trans_LNGC_FST1!S22</f>
        <v>-1.1367756531334436</v>
      </c>
      <c r="C138" s="25">
        <f>openDomain_trans_LNGC_FST1!T22</f>
        <v>0.66843296637206839</v>
      </c>
      <c r="D138" s="25">
        <f>openDomain_trans_LNGC_FST1!U22</f>
        <v>0.49162567869005136</v>
      </c>
      <c r="E138" s="25">
        <f>openDomain_trans_LNGC_FST1!V22</f>
        <v>-0.27881348025922192</v>
      </c>
      <c r="F138" s="25">
        <f>openDomain_trans_LNGC_FST1!W22</f>
        <v>-2.8368815450545726</v>
      </c>
      <c r="G138" s="35">
        <f>openDomain_trans_LNGC_FST1!X22</f>
        <v>7.3702902238809834E-2</v>
      </c>
      <c r="H138" s="25">
        <f t="shared" si="23"/>
        <v>117781.07032853454</v>
      </c>
      <c r="I138" s="26">
        <f>openDomain_trans_LNGC_FST2!P22</f>
        <v>120</v>
      </c>
      <c r="J138" s="34">
        <f>openDomain_trans_LNGC_FST2!S22</f>
        <v>-0.71705712780996211</v>
      </c>
      <c r="K138" s="25">
        <f>openDomain_trans_LNGC_FST2!T22</f>
        <v>0.15469811695170685</v>
      </c>
      <c r="L138" s="25">
        <f>openDomain_trans_LNGC_FST2!U22</f>
        <v>0.25923272029049732</v>
      </c>
      <c r="M138" s="25">
        <f>openDomain_trans_LNGC_FST2!V22</f>
        <v>-0.10127388283901866</v>
      </c>
      <c r="N138" s="25">
        <f>openDomain_trans_LNGC_FST2!W22</f>
        <v>-1.0141223619770727</v>
      </c>
      <c r="O138" s="35">
        <f>openDomain_trans_LNGC_FST2!X22</f>
        <v>2.4527888687311799E-2</v>
      </c>
      <c r="Q138" s="26">
        <f>openDomain_trans_LNGC_LNGC!P22</f>
        <v>120</v>
      </c>
      <c r="R138" s="34">
        <f>openDomain_trans_LNGC_LNGC!S22</f>
        <v>-0.58630040727964639</v>
      </c>
      <c r="S138" s="25">
        <f>openDomain_trans_LNGC_LNGC!T22</f>
        <v>0.69925820839565</v>
      </c>
      <c r="T138" s="25">
        <f>openDomain_trans_LNGC_LNGC!U22</f>
        <v>0.40674829038171578</v>
      </c>
      <c r="U138" s="25">
        <f>openDomain_trans_LNGC_LNGC!V22</f>
        <v>-0.6855193415818478</v>
      </c>
      <c r="V138" s="25">
        <f>openDomain_trans_LNGC_LNGC!W22</f>
        <v>-4.3741881750942211</v>
      </c>
      <c r="W138" s="35">
        <f>openDomain_trans_LNGC_LNGC!X22</f>
        <v>6.2936291816842165E-3</v>
      </c>
    </row>
    <row r="139" spans="1:23" x14ac:dyDescent="0.25">
      <c r="A139" s="26">
        <f>openDomain_trans_LNGC_FST1!P23</f>
        <v>135</v>
      </c>
      <c r="B139" s="34">
        <f>openDomain_trans_LNGC_FST1!S23</f>
        <v>-1.9050519589713537</v>
      </c>
      <c r="C139" s="25">
        <f>openDomain_trans_LNGC_FST1!T23</f>
        <v>0.57919683928151411</v>
      </c>
      <c r="D139" s="25">
        <f>openDomain_trans_LNGC_FST1!U23</f>
        <v>0.37439075560492274</v>
      </c>
      <c r="E139" s="25">
        <f>openDomain_trans_LNGC_FST1!V23</f>
        <v>-0.25958603675875397</v>
      </c>
      <c r="F139" s="25">
        <f>openDomain_trans_LNGC_FST1!W23</f>
        <v>-2.5608326750579176</v>
      </c>
      <c r="G139" s="35">
        <f>openDomain_trans_LNGC_FST1!X23</f>
        <v>7.6399738871999148E-2</v>
      </c>
      <c r="H139" s="25">
        <f t="shared" si="23"/>
        <v>122090.75550387599</v>
      </c>
      <c r="I139" s="26">
        <f>openDomain_trans_LNGC_FST2!P23</f>
        <v>135</v>
      </c>
      <c r="J139" s="34">
        <f>openDomain_trans_LNGC_FST2!S23</f>
        <v>-1.2822172460931229</v>
      </c>
      <c r="K139" s="25">
        <f>openDomain_trans_LNGC_FST2!T23</f>
        <v>0.21760147436679936</v>
      </c>
      <c r="L139" s="25">
        <f>openDomain_trans_LNGC_FST2!U23</f>
        <v>0.21028224456036324</v>
      </c>
      <c r="M139" s="25">
        <f>openDomain_trans_LNGC_FST2!V23</f>
        <v>-0.12418258679749901</v>
      </c>
      <c r="N139" s="25">
        <f>openDomain_trans_LNGC_FST2!W23</f>
        <v>-1.5727020950676118</v>
      </c>
      <c r="O139" s="35">
        <f>openDomain_trans_LNGC_FST2!X23</f>
        <v>4.5068542328099155E-2</v>
      </c>
      <c r="Q139" s="26">
        <f>openDomain_trans_LNGC_LNGC!P23</f>
        <v>135</v>
      </c>
      <c r="R139" s="34">
        <f>openDomain_trans_LNGC_LNGC!S23</f>
        <v>-0.61166078541468372</v>
      </c>
      <c r="S139" s="25">
        <f>openDomain_trans_LNGC_LNGC!T23</f>
        <v>0.48334004029659028</v>
      </c>
      <c r="T139" s="25">
        <f>openDomain_trans_LNGC_LNGC!U23</f>
        <v>0.28918536889372015</v>
      </c>
      <c r="U139" s="25">
        <f>openDomain_trans_LNGC_LNGC!V23</f>
        <v>-0.5100841062929159</v>
      </c>
      <c r="V139" s="25">
        <f>openDomain_trans_LNGC_LNGC!W23</f>
        <v>-3.9635323850981936</v>
      </c>
      <c r="W139" s="35">
        <f>openDomain_trans_LNGC_LNGC!X23</f>
        <v>2.4289769462206703E-2</v>
      </c>
    </row>
    <row r="140" spans="1:23" x14ac:dyDescent="0.25">
      <c r="A140" s="26">
        <f>openDomain_trans_LNGC_FST1!P24</f>
        <v>150</v>
      </c>
      <c r="B140" s="34">
        <f>openDomain_trans_LNGC_FST1!S24</f>
        <v>-2.2558748901709795</v>
      </c>
      <c r="C140" s="25">
        <f>openDomain_trans_LNGC_FST1!T24</f>
        <v>0.38973067059218675</v>
      </c>
      <c r="D140" s="25">
        <f>openDomain_trans_LNGC_FST1!U24</f>
        <v>0.28059795467041182</v>
      </c>
      <c r="E140" s="25">
        <f>openDomain_trans_LNGC_FST1!V24</f>
        <v>-0.17914735501383969</v>
      </c>
      <c r="F140" s="25">
        <f>openDomain_trans_LNGC_FST1!W24</f>
        <v>-2.5131999898956079</v>
      </c>
      <c r="G140" s="35">
        <f>openDomain_trans_LNGC_FST1!X24</f>
        <v>5.7095145976808537E-2</v>
      </c>
      <c r="H140" s="25">
        <f t="shared" si="23"/>
        <v>91241.012218530843</v>
      </c>
      <c r="I140" s="26">
        <f>openDomain_trans_LNGC_FST2!P24</f>
        <v>150</v>
      </c>
      <c r="J140" s="34">
        <f>openDomain_trans_LNGC_FST2!S24</f>
        <v>-1.4105793736588981</v>
      </c>
      <c r="K140" s="25">
        <f>openDomain_trans_LNGC_FST2!T24</f>
        <v>0.18544310233663056</v>
      </c>
      <c r="L140" s="25">
        <f>openDomain_trans_LNGC_FST2!U24</f>
        <v>0.17642283427095037</v>
      </c>
      <c r="M140" s="25">
        <f>openDomain_trans_LNGC_FST2!V24</f>
        <v>-0.10064239389372302</v>
      </c>
      <c r="N140" s="25">
        <f>openDomain_trans_LNGC_FST2!W24</f>
        <v>-1.8817298579461519</v>
      </c>
      <c r="O140" s="35">
        <f>openDomain_trans_LNGC_FST2!X24</f>
        <v>2.6617231604062666E-2</v>
      </c>
      <c r="Q140" s="26">
        <f>openDomain_trans_LNGC_LNGC!P24</f>
        <v>150</v>
      </c>
      <c r="R140" s="34">
        <f>openDomain_trans_LNGC_LNGC!S24</f>
        <v>-0.64515247175231138</v>
      </c>
      <c r="S140" s="25">
        <f>openDomain_trans_LNGC_LNGC!T24</f>
        <v>0.2592619893513684</v>
      </c>
      <c r="T140" s="25">
        <f>openDomain_trans_LNGC_LNGC!U24</f>
        <v>0.19685483335251122</v>
      </c>
      <c r="U140" s="25">
        <f>openDomain_trans_LNGC_LNGC!V24</f>
        <v>-0.32342497534663694</v>
      </c>
      <c r="V140" s="25">
        <f>openDomain_trans_LNGC_LNGC!W24</f>
        <v>-3.5493191257197054</v>
      </c>
      <c r="W140" s="35">
        <f>openDomain_trans_LNGC_LNGC!X24</f>
        <v>2.6886161284603513E-2</v>
      </c>
    </row>
    <row r="141" spans="1:23" x14ac:dyDescent="0.25">
      <c r="A141" s="26">
        <f>openDomain_trans_LNGC_FST1!P25</f>
        <v>165</v>
      </c>
      <c r="B141" s="34">
        <f>openDomain_trans_LNGC_FST1!S25</f>
        <v>-1.9595621930342113</v>
      </c>
      <c r="C141" s="25">
        <f>openDomain_trans_LNGC_FST1!T25</f>
        <v>0.17712268039332141</v>
      </c>
      <c r="D141" s="25">
        <f>openDomain_trans_LNGC_FST1!U25</f>
        <v>0.17571062483972075</v>
      </c>
      <c r="E141" s="25">
        <f>openDomain_trans_LNGC_FST1!V25</f>
        <v>-7.6459261732446479E-2</v>
      </c>
      <c r="F141" s="25">
        <f>openDomain_trans_LNGC_FST1!W25</f>
        <v>-2.2182665420819494</v>
      </c>
      <c r="G141" s="35">
        <f>openDomain_trans_LNGC_FST1!X25</f>
        <v>2.5139983086292023E-2</v>
      </c>
      <c r="H141" s="25">
        <f t="shared" si="23"/>
        <v>40175.000251015139</v>
      </c>
      <c r="I141" s="26">
        <f>openDomain_trans_LNGC_FST2!P25</f>
        <v>165</v>
      </c>
      <c r="J141" s="34">
        <f>openDomain_trans_LNGC_FST2!S25</f>
        <v>-0.97437971516830635</v>
      </c>
      <c r="K141" s="25">
        <f>openDomain_trans_LNGC_FST2!T25</f>
        <v>0.10391740377681492</v>
      </c>
      <c r="L141" s="25">
        <f>openDomain_trans_LNGC_FST2!U25</f>
        <v>0.14979985225328998</v>
      </c>
      <c r="M141" s="25">
        <f>openDomain_trans_LNGC_FST2!V25</f>
        <v>-5.7908286530771715E-2</v>
      </c>
      <c r="N141" s="25">
        <f>openDomain_trans_LNGC_FST2!W25</f>
        <v>-1.7360487176180868</v>
      </c>
      <c r="O141" s="35">
        <f>openDomain_trans_LNGC_FST2!X25</f>
        <v>8.089149166648232E-3</v>
      </c>
      <c r="Q141" s="26">
        <f>openDomain_trans_LNGC_LNGC!P25</f>
        <v>165</v>
      </c>
      <c r="R141" s="34">
        <f>openDomain_trans_LNGC_LNGC!S25</f>
        <v>-0.6840950108596906</v>
      </c>
      <c r="S141" s="25">
        <f>openDomain_trans_LNGC_LNGC!T25</f>
        <v>7.4218008458163356E-2</v>
      </c>
      <c r="T141" s="25">
        <f>openDomain_trans_LNGC_LNGC!U25</f>
        <v>0.14489234036059287</v>
      </c>
      <c r="U141" s="25">
        <f>openDomain_trans_LNGC_LNGC!V25</f>
        <v>-0.15951587473170342</v>
      </c>
      <c r="V141" s="25">
        <f>openDomain_trans_LNGC_LNGC!W25</f>
        <v>-3.4818503281381323</v>
      </c>
      <c r="W141" s="35">
        <f>openDomain_trans_LNGC_LNGC!X25</f>
        <v>1.6043399964240201E-2</v>
      </c>
    </row>
    <row r="142" spans="1:23" x14ac:dyDescent="0.25">
      <c r="A142" s="26">
        <f>openDomain_trans_LNGC_FST1!P26</f>
        <v>180</v>
      </c>
      <c r="B142" s="34">
        <f>openDomain_trans_LNGC_FST1!S26</f>
        <v>-1.1652006004793101</v>
      </c>
      <c r="C142" s="25">
        <f>openDomain_trans_LNGC_FST1!T26</f>
        <v>-4.3417601295727857E-3</v>
      </c>
      <c r="D142" s="25">
        <f>openDomain_trans_LNGC_FST1!U26</f>
        <v>0.11458591259993002</v>
      </c>
      <c r="E142" s="25">
        <f>openDomain_trans_LNGC_FST1!V26</f>
        <v>-6.3248604328026894E-4</v>
      </c>
      <c r="F142" s="25">
        <f>openDomain_trans_LNGC_FST1!W26</f>
        <v>-1.9229276970690581</v>
      </c>
      <c r="G142" s="35">
        <f>openDomain_trans_LNGC_FST1!X26</f>
        <v>6.1137866138291372E-3</v>
      </c>
      <c r="H142" s="25">
        <f t="shared" si="23"/>
        <v>9770.1489258028796</v>
      </c>
      <c r="I142" s="26">
        <f>openDomain_trans_LNGC_FST2!P26</f>
        <v>180</v>
      </c>
      <c r="J142" s="34">
        <f>openDomain_trans_LNGC_FST2!S26</f>
        <v>-0.3861818834582646</v>
      </c>
      <c r="K142" s="25">
        <f>openDomain_trans_LNGC_FST2!T26</f>
        <v>1.5060106571838686E-2</v>
      </c>
      <c r="L142" s="25">
        <f>openDomain_trans_LNGC_FST2!U26</f>
        <v>8.7565600087877504E-2</v>
      </c>
      <c r="M142" s="25">
        <f>openDomain_trans_LNGC_FST2!V26</f>
        <v>-1.2729522002042335E-2</v>
      </c>
      <c r="N142" s="25">
        <f>openDomain_trans_LNGC_FST2!W26</f>
        <v>-0.53239098882358515</v>
      </c>
      <c r="O142" s="35">
        <f>openDomain_trans_LNGC_FST2!X26</f>
        <v>4.8711285087046424E-3</v>
      </c>
      <c r="Q142" s="26">
        <f>openDomain_trans_LNGC_LNGC!P26</f>
        <v>180</v>
      </c>
      <c r="R142" s="34">
        <f>openDomain_trans_LNGC_LNGC!S26</f>
        <v>-0.74575305719028429</v>
      </c>
      <c r="S142" s="25">
        <f>openDomain_trans_LNGC_LNGC!T26</f>
        <v>-2.5953937427874454E-2</v>
      </c>
      <c r="T142" s="25">
        <f>openDomain_trans_LNGC_LNGC!U26</f>
        <v>0.11685481594281787</v>
      </c>
      <c r="U142" s="25">
        <f>openDomain_trans_LNGC_LNGC!V26</f>
        <v>-6.0108916511404112E-2</v>
      </c>
      <c r="V142" s="25">
        <f>openDomain_trans_LNGC_LNGC!W26</f>
        <v>-2.2385133920447631</v>
      </c>
      <c r="W142" s="35">
        <f>openDomain_trans_LNGC_LNGC!X26</f>
        <v>-9.0480653247131341E-3</v>
      </c>
    </row>
    <row r="143" spans="1:23" x14ac:dyDescent="0.25">
      <c r="A143" s="27">
        <f>openDomain_trans_LNGC_FST1!P27</f>
        <v>195</v>
      </c>
      <c r="B143" s="34">
        <f>openDomain_trans_LNGC_FST1!S27</f>
        <v>-1.4551322941979041</v>
      </c>
      <c r="C143" s="25">
        <f>openDomain_trans_LNGC_FST1!T27</f>
        <v>-0.18360486122896322</v>
      </c>
      <c r="D143" s="25">
        <f>openDomain_trans_LNGC_FST1!U27</f>
        <v>0.19520495473282198</v>
      </c>
      <c r="E143" s="25">
        <f>openDomain_trans_LNGC_FST1!V27</f>
        <v>9.2689618524919956E-2</v>
      </c>
      <c r="F143" s="25">
        <f>openDomain_trans_LNGC_FST1!W27</f>
        <v>-2.5280302789986124</v>
      </c>
      <c r="G143" s="35">
        <f>openDomain_trans_LNGC_FST1!X27</f>
        <v>-2.7734196145712171E-2</v>
      </c>
      <c r="H143" s="25">
        <f t="shared" si="23"/>
        <v>-44320.687619047625</v>
      </c>
      <c r="I143" s="27">
        <f>openDomain_trans_LNGC_FST2!P27</f>
        <v>195</v>
      </c>
      <c r="J143" s="34">
        <f>openDomain_trans_LNGC_FST2!S27</f>
        <v>-0.57132915004107188</v>
      </c>
      <c r="K143" s="25">
        <f>openDomain_trans_LNGC_FST2!T27</f>
        <v>-8.6714354759657594E-2</v>
      </c>
      <c r="L143" s="25">
        <f>openDomain_trans_LNGC_FST2!U27</f>
        <v>0.15649480025876508</v>
      </c>
      <c r="M143" s="25">
        <f>openDomain_trans_LNGC_FST2!V27</f>
        <v>5.7719076121973363E-2</v>
      </c>
      <c r="N143" s="25">
        <f>openDomain_trans_LNGC_FST2!W27</f>
        <v>-1.1517337224923951</v>
      </c>
      <c r="O143" s="35">
        <f>openDomain_trans_LNGC_FST2!X27</f>
        <v>-5.584112361118599E-3</v>
      </c>
      <c r="Q143" s="27">
        <f>openDomain_trans_LNGC_LNGC!P27</f>
        <v>195</v>
      </c>
      <c r="R143" s="34">
        <f>openDomain_trans_LNGC_LNGC!S27</f>
        <v>-0.10582830892908414</v>
      </c>
      <c r="S143" s="25">
        <f>openDomain_trans_LNGC_LNGC!T27</f>
        <v>-3.6530938382215869E-2</v>
      </c>
      <c r="T143" s="25">
        <f>openDomain_trans_LNGC_LNGC!U27</f>
        <v>0.10763881088530196</v>
      </c>
      <c r="U143" s="25">
        <f>openDomain_trans_LNGC_LNGC!V27</f>
        <v>-4.3966709797456045E-2</v>
      </c>
      <c r="V143" s="25">
        <f>openDomain_trans_LNGC_LNGC!W27</f>
        <v>-0.40918842639964836</v>
      </c>
      <c r="W143" s="35">
        <f>openDomain_trans_LNGC_LNGC!X27</f>
        <v>-4.4242065661305903E-3</v>
      </c>
    </row>
    <row r="144" spans="1:23" x14ac:dyDescent="0.25">
      <c r="A144" s="27">
        <f>openDomain_trans_LNGC_FST1!P28</f>
        <v>210</v>
      </c>
      <c r="B144" s="34">
        <f>openDomain_trans_LNGC_FST1!S28</f>
        <v>-1.6366198796137541</v>
      </c>
      <c r="C144" s="25">
        <f>openDomain_trans_LNGC_FST1!T28</f>
        <v>-0.47958724289164661</v>
      </c>
      <c r="D144" s="25">
        <f>openDomain_trans_LNGC_FST1!U28</f>
        <v>0.38695469726506071</v>
      </c>
      <c r="E144" s="25">
        <f>openDomain_trans_LNGC_FST1!V28</f>
        <v>0.26491877521505203</v>
      </c>
      <c r="F144" s="25">
        <f>openDomain_trans_LNGC_FST1!W28</f>
        <v>-2.5111698055297302</v>
      </c>
      <c r="G144" s="35">
        <f>openDomain_trans_LNGC_FST1!X28</f>
        <v>-5.1623553110943958E-2</v>
      </c>
      <c r="H144" s="25">
        <f t="shared" si="23"/>
        <v>-82497.12229605022</v>
      </c>
      <c r="I144" s="27">
        <f>openDomain_trans_LNGC_FST2!P28</f>
        <v>210</v>
      </c>
      <c r="J144" s="34">
        <f>openDomain_trans_LNGC_FST2!S28</f>
        <v>-0.75464103454207965</v>
      </c>
      <c r="K144" s="25">
        <f>openDomain_trans_LNGC_FST2!T28</f>
        <v>-0.2848009718715015</v>
      </c>
      <c r="L144" s="25">
        <f>openDomain_trans_LNGC_FST2!U28</f>
        <v>0.30308399745722875</v>
      </c>
      <c r="M144" s="25">
        <f>openDomain_trans_LNGC_FST2!V28</f>
        <v>0.17661195529668292</v>
      </c>
      <c r="N144" s="25">
        <f>openDomain_trans_LNGC_FST2!W28</f>
        <v>-1.9866880400747962</v>
      </c>
      <c r="O144" s="35">
        <f>openDomain_trans_LNGC_FST2!X28</f>
        <v>-1.577731647786533E-2</v>
      </c>
      <c r="Q144" s="27">
        <f>openDomain_trans_LNGC_LNGC!P28</f>
        <v>210</v>
      </c>
      <c r="R144" s="34">
        <f>openDomain_trans_LNGC_LNGC!S28</f>
        <v>-4.9197552079134545E-2</v>
      </c>
      <c r="S144" s="25">
        <f>openDomain_trans_LNGC_LNGC!T28</f>
        <v>1.6353832465489972E-2</v>
      </c>
      <c r="T144" s="25">
        <f>openDomain_trans_LNGC_LNGC!U28</f>
        <v>0.19014283456466111</v>
      </c>
      <c r="U144" s="25">
        <f>openDomain_trans_LNGC_LNGC!V28</f>
        <v>-0.11901519438916226</v>
      </c>
      <c r="V144" s="25">
        <f>openDomain_trans_LNGC_LNGC!W28</f>
        <v>-0.85155774643474891</v>
      </c>
      <c r="W144" s="35">
        <f>openDomain_trans_LNGC_LNGC!X28</f>
        <v>7.3794722355854277E-3</v>
      </c>
    </row>
    <row r="145" spans="1:23" x14ac:dyDescent="0.25">
      <c r="A145" s="27">
        <f>openDomain_trans_LNGC_FST1!P29</f>
        <v>225</v>
      </c>
      <c r="B145" s="34">
        <f>openDomain_trans_LNGC_FST1!S29</f>
        <v>-1.3288848983061365</v>
      </c>
      <c r="C145" s="25">
        <f>openDomain_trans_LNGC_FST1!T29</f>
        <v>-0.76223360502049176</v>
      </c>
      <c r="D145" s="25">
        <f>openDomain_trans_LNGC_FST1!U29</f>
        <v>0.64707085361818784</v>
      </c>
      <c r="E145" s="25">
        <f>openDomain_trans_LNGC_FST1!V29</f>
        <v>0.43117739411315958</v>
      </c>
      <c r="F145" s="25">
        <f>openDomain_trans_LNGC_FST1!W29</f>
        <v>-2.4205046532125647</v>
      </c>
      <c r="G145" s="35">
        <f>openDomain_trans_LNGC_FST1!X29</f>
        <v>-6.9515339808091589E-2</v>
      </c>
      <c r="H145" s="25">
        <f t="shared" si="23"/>
        <v>-111089.12781100038</v>
      </c>
      <c r="I145" s="27">
        <f>openDomain_trans_LNGC_FST2!P29</f>
        <v>225</v>
      </c>
      <c r="J145" s="34">
        <f>openDomain_trans_LNGC_FST2!S29</f>
        <v>-0.63943688345606464</v>
      </c>
      <c r="K145" s="25">
        <f>openDomain_trans_LNGC_FST2!T29</f>
        <v>-0.49167415839669937</v>
      </c>
      <c r="L145" s="25">
        <f>openDomain_trans_LNGC_FST2!U29</f>
        <v>0.4893038204556967</v>
      </c>
      <c r="M145" s="25">
        <f>openDomain_trans_LNGC_FST2!V29</f>
        <v>0.29651261328269762</v>
      </c>
      <c r="N145" s="25">
        <f>openDomain_trans_LNGC_FST2!W29</f>
        <v>-2.3866803732882129</v>
      </c>
      <c r="O145" s="35">
        <f>openDomain_trans_LNGC_FST2!X29</f>
        <v>-1.5502314419411394E-2</v>
      </c>
      <c r="Q145" s="27">
        <f>openDomain_trans_LNGC_LNGC!P29</f>
        <v>225</v>
      </c>
      <c r="R145" s="34">
        <f>openDomain_trans_LNGC_LNGC!S29</f>
        <v>3.6263587577852932E-2</v>
      </c>
      <c r="S145" s="25">
        <f>openDomain_trans_LNGC_LNGC!T29</f>
        <v>3.8847430998169862E-2</v>
      </c>
      <c r="T145" s="25">
        <f>openDomain_trans_LNGC_LNGC!U29</f>
        <v>0.29192165311566864</v>
      </c>
      <c r="U145" s="25">
        <f>openDomain_trans_LNGC_LNGC!V29</f>
        <v>-0.18499899236831369</v>
      </c>
      <c r="V145" s="25">
        <f>openDomain_trans_LNGC_LNGC!W29</f>
        <v>-2.0591799169167224</v>
      </c>
      <c r="W145" s="35">
        <f>openDomain_trans_LNGC_LNGC!X29</f>
        <v>1.1762718276124139E-2</v>
      </c>
    </row>
    <row r="146" spans="1:23" x14ac:dyDescent="0.25">
      <c r="A146" s="27">
        <f>openDomain_trans_LNGC_FST1!P30</f>
        <v>240</v>
      </c>
      <c r="B146" s="34">
        <f>openDomain_trans_LNGC_FST1!S30</f>
        <v>-0.66213845958226047</v>
      </c>
      <c r="C146" s="25">
        <f>openDomain_trans_LNGC_FST1!T30</f>
        <v>-0.96444910607037371</v>
      </c>
      <c r="D146" s="25">
        <f>openDomain_trans_LNGC_FST1!U30</f>
        <v>0.85191933981664947</v>
      </c>
      <c r="E146" s="25">
        <f>openDomain_trans_LNGC_FST1!V30</f>
        <v>0.54125470075929261</v>
      </c>
      <c r="F146" s="25">
        <f>openDomain_trans_LNGC_FST1!W30</f>
        <v>-0.59116515899924804</v>
      </c>
      <c r="G146" s="35">
        <f>openDomain_trans_LNGC_FST1!X30</f>
        <v>-5.0620289500177801E-2</v>
      </c>
      <c r="H146" s="25">
        <f t="shared" si="23"/>
        <v>-80893.85487633814</v>
      </c>
      <c r="I146" s="27">
        <f>openDomain_trans_LNGC_FST2!P30</f>
        <v>240</v>
      </c>
      <c r="J146" s="34">
        <f>openDomain_trans_LNGC_FST2!S30</f>
        <v>-0.29120813462915085</v>
      </c>
      <c r="K146" s="25">
        <f>openDomain_trans_LNGC_FST2!T30</f>
        <v>-0.64883077546459245</v>
      </c>
      <c r="L146" s="25">
        <f>openDomain_trans_LNGC_FST2!U30</f>
        <v>0.60876645851861999</v>
      </c>
      <c r="M146" s="25">
        <f>openDomain_trans_LNGC_FST2!V30</f>
        <v>0.38115353348857345</v>
      </c>
      <c r="N146" s="25">
        <f>openDomain_trans_LNGC_FST2!W30</f>
        <v>-1.8566798897402224</v>
      </c>
      <c r="O146" s="35">
        <f>openDomain_trans_LNGC_FST2!X30</f>
        <v>-7.1691903663474409E-3</v>
      </c>
      <c r="Q146" s="27">
        <f>openDomain_trans_LNGC_LNGC!P30</f>
        <v>240</v>
      </c>
      <c r="R146" s="34">
        <f>openDomain_trans_LNGC_LNGC!S30</f>
        <v>0.12265950921836158</v>
      </c>
      <c r="S146" s="25">
        <f>openDomain_trans_LNGC_LNGC!T30</f>
        <v>8.4643932679412989E-2</v>
      </c>
      <c r="T146" s="25">
        <f>openDomain_trans_LNGC_LNGC!U30</f>
        <v>0.36304627850123222</v>
      </c>
      <c r="U146" s="25">
        <f>openDomain_trans_LNGC_LNGC!V30</f>
        <v>-0.25292763898815201</v>
      </c>
      <c r="V146" s="25">
        <f>openDomain_trans_LNGC_LNGC!W30</f>
        <v>-2.9176960581556082</v>
      </c>
      <c r="W146" s="35">
        <f>openDomain_trans_LNGC_LNGC!X30</f>
        <v>6.8489404242657263E-3</v>
      </c>
    </row>
    <row r="147" spans="1:23" x14ac:dyDescent="0.25">
      <c r="A147" s="27">
        <f>openDomain_trans_LNGC_FST1!P31</f>
        <v>255</v>
      </c>
      <c r="B147" s="34">
        <f>openDomain_trans_LNGC_FST1!S31</f>
        <v>-0.18094579451094686</v>
      </c>
      <c r="C147" s="25">
        <f>openDomain_trans_LNGC_FST1!T31</f>
        <v>-0.99968062663897117</v>
      </c>
      <c r="D147" s="25">
        <f>openDomain_trans_LNGC_FST1!U31</f>
        <v>0.83217478925015442</v>
      </c>
      <c r="E147" s="25">
        <f>openDomain_trans_LNGC_FST1!V31</f>
        <v>0.54504878497343434</v>
      </c>
      <c r="F147" s="25">
        <f>openDomain_trans_LNGC_FST1!W31</f>
        <v>1.3573006725786843</v>
      </c>
      <c r="G147" s="35">
        <f>openDomain_trans_LNGC_FST1!X31</f>
        <v>-7.175123725317192E-3</v>
      </c>
      <c r="H147" s="25">
        <f t="shared" si="23"/>
        <v>-11466.220819490589</v>
      </c>
      <c r="I147" s="27">
        <f>openDomain_trans_LNGC_FST2!P31</f>
        <v>255</v>
      </c>
      <c r="J147" s="34">
        <f>openDomain_trans_LNGC_FST2!S31</f>
        <v>-0.15923487285352186</v>
      </c>
      <c r="K147" s="25">
        <f>openDomain_trans_LNGC_FST2!T31</f>
        <v>-0.74731088881431429</v>
      </c>
      <c r="L147" s="25">
        <f>openDomain_trans_LNGC_FST2!U31</f>
        <v>0.63260246684784183</v>
      </c>
      <c r="M147" s="25">
        <f>openDomain_trans_LNGC_FST2!V31</f>
        <v>0.43315611117352876</v>
      </c>
      <c r="N147" s="25">
        <f>openDomain_trans_LNGC_FST2!W31</f>
        <v>-1.7662429115747393</v>
      </c>
      <c r="O147" s="35">
        <f>openDomain_trans_LNGC_FST2!X31</f>
        <v>-1.0250369073146852E-2</v>
      </c>
      <c r="Q147" s="27">
        <f>openDomain_trans_LNGC_LNGC!P31</f>
        <v>255</v>
      </c>
      <c r="R147" s="34">
        <f>openDomain_trans_LNGC_LNGC!S31</f>
        <v>0.16419859632547865</v>
      </c>
      <c r="S147" s="25">
        <f>openDomain_trans_LNGC_LNGC!T31</f>
        <v>0.11589890411499236</v>
      </c>
      <c r="T147" s="25">
        <f>openDomain_trans_LNGC_LNGC!U31</f>
        <v>0.38549672602556023</v>
      </c>
      <c r="U147" s="25">
        <f>openDomain_trans_LNGC_LNGC!V31</f>
        <v>-0.29284841084028229</v>
      </c>
      <c r="V147" s="25">
        <f>openDomain_trans_LNGC_LNGC!W31</f>
        <v>-3.7052670490304025</v>
      </c>
      <c r="W147" s="35">
        <f>openDomain_trans_LNGC_LNGC!X31</f>
        <v>7.1933656711325837E-3</v>
      </c>
    </row>
    <row r="148" spans="1:23" x14ac:dyDescent="0.25">
      <c r="A148" s="27">
        <f>openDomain_trans_LNGC_FST1!P32</f>
        <v>270</v>
      </c>
      <c r="B148" s="34">
        <f>openDomain_trans_LNGC_FST1!S32</f>
        <v>3.339626750719691E-2</v>
      </c>
      <c r="C148" s="25">
        <f>openDomain_trans_LNGC_FST1!T32</f>
        <v>-0.85597057353358108</v>
      </c>
      <c r="D148" s="25">
        <f>openDomain_trans_LNGC_FST1!U32</f>
        <v>0.66760610441655754</v>
      </c>
      <c r="E148" s="25">
        <f>openDomain_trans_LNGC_FST1!V32</f>
        <v>0.47364154402959951</v>
      </c>
      <c r="F148" s="25">
        <f>openDomain_trans_LNGC_FST1!W32</f>
        <v>1.6059259835664117</v>
      </c>
      <c r="G148" s="35">
        <f>openDomain_trans_LNGC_FST1!X32</f>
        <v>1.0052271835866038E-2</v>
      </c>
      <c r="H148" s="25">
        <f t="shared" si="23"/>
        <v>16064.053111849393</v>
      </c>
      <c r="I148" s="27">
        <f>openDomain_trans_LNGC_FST2!P32</f>
        <v>270</v>
      </c>
      <c r="J148" s="34">
        <f>openDomain_trans_LNGC_FST2!S32</f>
        <v>-5.2619604188747969E-2</v>
      </c>
      <c r="K148" s="25">
        <f>openDomain_trans_LNGC_FST2!T32</f>
        <v>-0.8834239349444204</v>
      </c>
      <c r="L148" s="25">
        <f>openDomain_trans_LNGC_FST2!U32</f>
        <v>0.72606159484360777</v>
      </c>
      <c r="M148" s="25">
        <f>openDomain_trans_LNGC_FST2!V32</f>
        <v>0.4982857837528149</v>
      </c>
      <c r="N148" s="25">
        <f>openDomain_trans_LNGC_FST2!W32</f>
        <v>-1.8001629879545531</v>
      </c>
      <c r="O148" s="35">
        <f>openDomain_trans_LNGC_FST2!X32</f>
        <v>-1.0051842802074058E-2</v>
      </c>
      <c r="Q148" s="27">
        <f>openDomain_trans_LNGC_LNGC!P32</f>
        <v>270</v>
      </c>
      <c r="R148" s="34">
        <f>openDomain_trans_LNGC_LNGC!S32</f>
        <v>-5.5675085225116418E-2</v>
      </c>
      <c r="S148" s="25">
        <f>openDomain_trans_LNGC_LNGC!T32</f>
        <v>6.8611707543907122E-2</v>
      </c>
      <c r="T148" s="25">
        <f>openDomain_trans_LNGC_LNGC!U32</f>
        <v>0.43030736323937818</v>
      </c>
      <c r="U148" s="25">
        <f>openDomain_trans_LNGC_LNGC!V32</f>
        <v>-0.28839472996503368</v>
      </c>
      <c r="V148" s="25">
        <f>openDomain_trans_LNGC_LNGC!W32</f>
        <v>-1.6664808962101385</v>
      </c>
      <c r="W148" s="35">
        <f>openDomain_trans_LNGC_LNGC!X32</f>
        <v>9.5992838942828302E-3</v>
      </c>
    </row>
    <row r="149" spans="1:23" x14ac:dyDescent="0.25">
      <c r="A149" s="27">
        <f>openDomain_trans_LNGC_FST1!P33</f>
        <v>285</v>
      </c>
      <c r="B149" s="34">
        <f>openDomain_trans_LNGC_FST1!S33</f>
        <v>7.2995458127259549E-2</v>
      </c>
      <c r="C149" s="25">
        <f>openDomain_trans_LNGC_FST1!T33</f>
        <v>-0.72642222998214701</v>
      </c>
      <c r="D149" s="25">
        <f>openDomain_trans_LNGC_FST1!U33</f>
        <v>0.58927400794321105</v>
      </c>
      <c r="E149" s="25">
        <f>openDomain_trans_LNGC_FST1!V33</f>
        <v>0.41767143926814904</v>
      </c>
      <c r="F149" s="25">
        <f>openDomain_trans_LNGC_FST1!W33</f>
        <v>2.1780215017673208</v>
      </c>
      <c r="G149" s="35">
        <f>openDomain_trans_LNGC_FST1!X33</f>
        <v>2.0276282558030646E-2</v>
      </c>
      <c r="H149" s="25">
        <f t="shared" si="23"/>
        <v>32402.55389442599</v>
      </c>
      <c r="I149" s="27">
        <f>openDomain_trans_LNGC_FST2!P33</f>
        <v>285</v>
      </c>
      <c r="J149" s="34">
        <f>openDomain_trans_LNGC_FST2!S33</f>
        <v>6.971807214815226E-2</v>
      </c>
      <c r="K149" s="25">
        <f>openDomain_trans_LNGC_FST2!T33</f>
        <v>-0.9327864694133492</v>
      </c>
      <c r="L149" s="25">
        <f>openDomain_trans_LNGC_FST2!U33</f>
        <v>0.80329549577130843</v>
      </c>
      <c r="M149" s="25">
        <f>openDomain_trans_LNGC_FST2!V33</f>
        <v>0.51689276986181476</v>
      </c>
      <c r="N149" s="25">
        <f>openDomain_trans_LNGC_FST2!W33</f>
        <v>-1.311776989653247</v>
      </c>
      <c r="O149" s="35">
        <f>openDomain_trans_LNGC_FST2!X33</f>
        <v>1.41084342677058E-2</v>
      </c>
      <c r="Q149" s="27">
        <f>openDomain_trans_LNGC_LNGC!P33</f>
        <v>285</v>
      </c>
      <c r="R149" s="34">
        <f>openDomain_trans_LNGC_LNGC!S33</f>
        <v>6.5488714360673744E-2</v>
      </c>
      <c r="S149" s="25">
        <f>openDomain_trans_LNGC_LNGC!T33</f>
        <v>-4.7824516086850802E-2</v>
      </c>
      <c r="T149" s="25">
        <f>openDomain_trans_LNGC_LNGC!U33</f>
        <v>0.43593435892748678</v>
      </c>
      <c r="U149" s="25">
        <f>openDomain_trans_LNGC_LNGC!V33</f>
        <v>-0.21180709620713081</v>
      </c>
      <c r="V149" s="25">
        <f>openDomain_trans_LNGC_LNGC!W33</f>
        <v>-0.73027263709639023</v>
      </c>
      <c r="W149" s="35">
        <f>openDomain_trans_LNGC_LNGC!X33</f>
        <v>2.3437645957862227E-2</v>
      </c>
    </row>
    <row r="150" spans="1:23" x14ac:dyDescent="0.25">
      <c r="A150" s="27">
        <f>openDomain_trans_LNGC_FST1!P34</f>
        <v>300</v>
      </c>
      <c r="B150" s="34">
        <f>openDomain_trans_LNGC_FST1!S34</f>
        <v>0.39690015755542274</v>
      </c>
      <c r="C150" s="25">
        <f>openDomain_trans_LNGC_FST1!T34</f>
        <v>-0.62967888798104388</v>
      </c>
      <c r="D150" s="25">
        <f>openDomain_trans_LNGC_FST1!U34</f>
        <v>0.54474858949081106</v>
      </c>
      <c r="E150" s="25">
        <f>openDomain_trans_LNGC_FST1!V34</f>
        <v>0.36670994127869982</v>
      </c>
      <c r="F150" s="25">
        <f>openDomain_trans_LNGC_FST1!W34</f>
        <v>2.3704396708640982</v>
      </c>
      <c r="G150" s="35">
        <f>openDomain_trans_LNGC_FST1!X34</f>
        <v>2.4533483118502241E-2</v>
      </c>
      <c r="H150" s="25">
        <f t="shared" si="23"/>
        <v>39205.78176448874</v>
      </c>
      <c r="I150" s="27">
        <f>openDomain_trans_LNGC_FST2!P34</f>
        <v>300</v>
      </c>
      <c r="J150" s="34">
        <f>openDomain_trans_LNGC_FST2!S34</f>
        <v>0.74368513818107751</v>
      </c>
      <c r="K150" s="25">
        <f>openDomain_trans_LNGC_FST2!T34</f>
        <v>-0.85197983137900901</v>
      </c>
      <c r="L150" s="25">
        <f>openDomain_trans_LNGC_FST2!U34</f>
        <v>0.76464374369324128</v>
      </c>
      <c r="M150" s="25">
        <f>openDomain_trans_LNGC_FST2!V34</f>
        <v>0.4841232209213418</v>
      </c>
      <c r="N150" s="25">
        <f>openDomain_trans_LNGC_FST2!W34</f>
        <v>1.2704542698596908</v>
      </c>
      <c r="O150" s="35">
        <f>openDomain_trans_LNGC_FST2!X34</f>
        <v>5.6787185902527737E-2</v>
      </c>
      <c r="Q150" s="27">
        <f>openDomain_trans_LNGC_LNGC!P34</f>
        <v>300</v>
      </c>
      <c r="R150" s="34">
        <f>openDomain_trans_LNGC_LNGC!S34</f>
        <v>0.34163155594591044</v>
      </c>
      <c r="S150" s="25">
        <f>openDomain_trans_LNGC_LNGC!T34</f>
        <v>-0.17057271593644452</v>
      </c>
      <c r="T150" s="25">
        <f>openDomain_trans_LNGC_LNGC!U34</f>
        <v>0.3859095191034661</v>
      </c>
      <c r="U150" s="25">
        <f>openDomain_trans_LNGC_LNGC!V34</f>
        <v>-9.7324693670828397E-2</v>
      </c>
      <c r="V150" s="25">
        <f>openDomain_trans_LNGC_LNGC!W34</f>
        <v>-0.33304580280671808</v>
      </c>
      <c r="W150" s="35">
        <f>openDomain_trans_LNGC_LNGC!X34</f>
        <v>6.5381504464654225E-2</v>
      </c>
    </row>
    <row r="151" spans="1:23" x14ac:dyDescent="0.25">
      <c r="A151" s="27">
        <f>openDomain_trans_LNGC_FST1!P35</f>
        <v>315</v>
      </c>
      <c r="B151" s="34">
        <f>openDomain_trans_LNGC_FST1!S35</f>
        <v>0.74087268369109982</v>
      </c>
      <c r="C151" s="25">
        <f>openDomain_trans_LNGC_FST1!T35</f>
        <v>-0.49676606506455884</v>
      </c>
      <c r="D151" s="25">
        <f>openDomain_trans_LNGC_FST1!U35</f>
        <v>0.49298543763909525</v>
      </c>
      <c r="E151" s="25">
        <f>openDomain_trans_LNGC_FST1!V35</f>
        <v>0.30251602391680976</v>
      </c>
      <c r="F151" s="25">
        <f>openDomain_trans_LNGC_FST1!W35</f>
        <v>2.825281812536526</v>
      </c>
      <c r="G151" s="35">
        <f>openDomain_trans_LNGC_FST1!X35</f>
        <v>2.7327480422068725E-2</v>
      </c>
      <c r="H151" s="25">
        <f t="shared" si="23"/>
        <v>43670.734743447771</v>
      </c>
      <c r="I151" s="27">
        <f>openDomain_trans_LNGC_FST2!P35</f>
        <v>315</v>
      </c>
      <c r="J151" s="34">
        <f>openDomain_trans_LNGC_FST2!S35</f>
        <v>1.4727289338368421</v>
      </c>
      <c r="K151" s="25">
        <f>openDomain_trans_LNGC_FST2!T35</f>
        <v>-0.66142036585162411</v>
      </c>
      <c r="L151" s="25">
        <f>openDomain_trans_LNGC_FST2!U35</f>
        <v>0.58795095261318597</v>
      </c>
      <c r="M151" s="25">
        <f>openDomain_trans_LNGC_FST2!V35</f>
        <v>0.39896134093339564</v>
      </c>
      <c r="N151" s="25">
        <f>openDomain_trans_LNGC_FST2!W35</f>
        <v>1.9596417667895447</v>
      </c>
      <c r="O151" s="35">
        <f>openDomain_trans_LNGC_FST2!X35</f>
        <v>6.2182841782997426E-2</v>
      </c>
      <c r="Q151" s="27">
        <f>openDomain_trans_LNGC_LNGC!P35</f>
        <v>315</v>
      </c>
      <c r="R151" s="34">
        <f>openDomain_trans_LNGC_LNGC!S35</f>
        <v>0.55079486711670622</v>
      </c>
      <c r="S151" s="25">
        <f>openDomain_trans_LNGC_LNGC!T35</f>
        <v>-0.16313402763738669</v>
      </c>
      <c r="T151" s="25">
        <f>openDomain_trans_LNGC_LNGC!U35</f>
        <v>0.3095574341702772</v>
      </c>
      <c r="U151" s="25">
        <f>openDomain_trans_LNGC_LNGC!V35</f>
        <v>-6.0162335967212419E-2</v>
      </c>
      <c r="V151" s="25">
        <f>openDomain_trans_LNGC_LNGC!W35</f>
        <v>2.1244296242798968</v>
      </c>
      <c r="W151" s="35">
        <f>openDomain_trans_LNGC_LNGC!X35</f>
        <v>7.6713723710255324E-2</v>
      </c>
    </row>
    <row r="152" spans="1:23" x14ac:dyDescent="0.25">
      <c r="A152" s="27">
        <f>openDomain_trans_LNGC_FST1!P36</f>
        <v>330</v>
      </c>
      <c r="B152" s="34">
        <f>openDomain_trans_LNGC_FST1!S36</f>
        <v>0.77555225573519793</v>
      </c>
      <c r="C152" s="25">
        <f>openDomain_trans_LNGC_FST1!T36</f>
        <v>-0.2914738738881793</v>
      </c>
      <c r="D152" s="25">
        <f>openDomain_trans_LNGC_FST1!U36</f>
        <v>0.30615159254643465</v>
      </c>
      <c r="E152" s="25">
        <f>openDomain_trans_LNGC_FST1!V36</f>
        <v>0.17967446451581942</v>
      </c>
      <c r="F152" s="25">
        <f>openDomain_trans_LNGC_FST1!W36</f>
        <v>2.0442621622026746</v>
      </c>
      <c r="G152" s="35">
        <f>openDomain_trans_LNGC_FST1!X36</f>
        <v>1.8292863754311908E-2</v>
      </c>
      <c r="H152" s="25">
        <f t="shared" si="23"/>
        <v>29232.947508305653</v>
      </c>
      <c r="I152" s="27">
        <f>openDomain_trans_LNGC_FST2!P36</f>
        <v>330</v>
      </c>
      <c r="J152" s="34">
        <f>openDomain_trans_LNGC_FST2!S36</f>
        <v>1.7493271138319233</v>
      </c>
      <c r="K152" s="25">
        <f>openDomain_trans_LNGC_FST2!T36</f>
        <v>-0.42740576878099101</v>
      </c>
      <c r="L152" s="25">
        <f>openDomain_trans_LNGC_FST2!U36</f>
        <v>0.39363564361124181</v>
      </c>
      <c r="M152" s="25">
        <f>openDomain_trans_LNGC_FST2!V36</f>
        <v>0.24818316115128894</v>
      </c>
      <c r="N152" s="25">
        <f>openDomain_trans_LNGC_FST2!W36</f>
        <v>1.6578393533929447</v>
      </c>
      <c r="O152" s="35">
        <f>openDomain_trans_LNGC_FST2!X36</f>
        <v>4.5054269252031778E-2</v>
      </c>
      <c r="Q152" s="27">
        <f>openDomain_trans_LNGC_LNGC!P36</f>
        <v>330</v>
      </c>
      <c r="R152" s="34">
        <f>openDomain_trans_LNGC_LNGC!S36</f>
        <v>0.63023220927168189</v>
      </c>
      <c r="S152" s="25">
        <f>openDomain_trans_LNGC_LNGC!T36</f>
        <v>-0.18450250653482358</v>
      </c>
      <c r="T152" s="25">
        <f>openDomain_trans_LNGC_LNGC!U36</f>
        <v>0.29758087958667212</v>
      </c>
      <c r="U152" s="25">
        <f>openDomain_trans_LNGC_LNGC!V36</f>
        <v>-6.9179191850544788E-2</v>
      </c>
      <c r="V152" s="25">
        <f>openDomain_trans_LNGC_LNGC!W36</f>
        <v>3.3162679339385139</v>
      </c>
      <c r="W152" s="35">
        <f>openDomain_trans_LNGC_LNGC!X36</f>
        <v>6.3211069751552745E-2</v>
      </c>
    </row>
    <row r="153" spans="1:23" x14ac:dyDescent="0.25">
      <c r="A153" s="27">
        <f>openDomain_trans_LNGC_FST1!P37</f>
        <v>345</v>
      </c>
      <c r="B153" s="34">
        <f>openDomain_trans_LNGC_FST1!S37</f>
        <v>0.56808700614338559</v>
      </c>
      <c r="C153" s="25">
        <f>openDomain_trans_LNGC_FST1!T37</f>
        <v>-9.385137400053753E-2</v>
      </c>
      <c r="D153" s="25">
        <f>openDomain_trans_LNGC_FST1!U37</f>
        <v>0.15513361738420017</v>
      </c>
      <c r="E153" s="25">
        <f>openDomain_trans_LNGC_FST1!V37</f>
        <v>6.1597990732195067E-2</v>
      </c>
      <c r="F153" s="25">
        <f>openDomain_trans_LNGC_FST1!W37</f>
        <v>1.3249320192927974</v>
      </c>
      <c r="G153" s="35">
        <f>openDomain_trans_LNGC_FST1!X37</f>
        <v>5.2028012479132073E-3</v>
      </c>
      <c r="H153" s="25">
        <f t="shared" si="23"/>
        <v>8314.3469398301968</v>
      </c>
      <c r="I153" s="27">
        <f>openDomain_trans_LNGC_FST2!P37</f>
        <v>345</v>
      </c>
      <c r="J153" s="34">
        <f>openDomain_trans_LNGC_FST2!S37</f>
        <v>1.6115532650402513</v>
      </c>
      <c r="K153" s="25">
        <f>openDomain_trans_LNGC_FST2!T37</f>
        <v>-0.17147469997517487</v>
      </c>
      <c r="L153" s="25">
        <f>openDomain_trans_LNGC_FST2!U37</f>
        <v>0.23460188350037034</v>
      </c>
      <c r="M153" s="25">
        <f>openDomain_trans_LNGC_FST2!V37</f>
        <v>9.5452706641306714E-2</v>
      </c>
      <c r="N153" s="25">
        <f>openDomain_trans_LNGC_FST2!W37</f>
        <v>2.4947318428406726</v>
      </c>
      <c r="O153" s="35">
        <f>openDomain_trans_LNGC_FST2!X37</f>
        <v>1.3544598226450709E-2</v>
      </c>
      <c r="Q153" s="27">
        <f>openDomain_trans_LNGC_LNGC!P37</f>
        <v>345</v>
      </c>
      <c r="R153" s="34">
        <f>openDomain_trans_LNGC_LNGC!S37</f>
        <v>0.56909698856326318</v>
      </c>
      <c r="S153" s="25">
        <f>openDomain_trans_LNGC_LNGC!T37</f>
        <v>-0.1239075457961288</v>
      </c>
      <c r="T153" s="25">
        <f>openDomain_trans_LNGC_LNGC!U37</f>
        <v>0.21741509904619363</v>
      </c>
      <c r="U153" s="25">
        <f>openDomain_trans_LNGC_LNGC!V37</f>
        <v>-4.2971708804714667E-2</v>
      </c>
      <c r="V153" s="25">
        <f>openDomain_trans_LNGC_LNGC!W37</f>
        <v>4.9124968836118779</v>
      </c>
      <c r="W153" s="35">
        <f>openDomain_trans_LNGC_LNGC!X37</f>
        <v>5.7503634312775088E-2</v>
      </c>
    </row>
    <row r="154" spans="1:23" x14ac:dyDescent="0.25">
      <c r="A154" s="29">
        <v>360</v>
      </c>
      <c r="B154" s="36">
        <f>openDomain_trans_LNGC_FST1!S38</f>
        <v>0.23688725745770403</v>
      </c>
      <c r="C154" s="37">
        <f>openDomain_trans_LNGC_FST1!T38</f>
        <v>-8.6152820706655048E-3</v>
      </c>
      <c r="D154" s="37">
        <f>openDomain_trans_LNGC_FST1!U38</f>
        <v>6.70508584369299E-2</v>
      </c>
      <c r="E154" s="37">
        <f>openDomain_trans_LNGC_FST1!V38</f>
        <v>7.1079294881943901E-3</v>
      </c>
      <c r="F154" s="37">
        <f>openDomain_trans_LNGC_FST1!W38</f>
        <v>0.55473055428234797</v>
      </c>
      <c r="G154" s="38">
        <f>openDomain_trans_LNGC_FST1!X38</f>
        <v>-1.6079262317670955E-3</v>
      </c>
      <c r="H154" s="25">
        <f t="shared" si="23"/>
        <v>-2569.5497305278705</v>
      </c>
      <c r="I154" s="29">
        <v>360</v>
      </c>
      <c r="J154" s="36">
        <f>openDomain_trans_LNGC_FST2!S38</f>
        <v>1.2360781459057371</v>
      </c>
      <c r="K154" s="37">
        <f>openDomain_trans_LNGC_FST2!T38</f>
        <v>9.6874683217140038E-3</v>
      </c>
      <c r="L154" s="37">
        <f>openDomain_trans_LNGC_FST2!U38</f>
        <v>0.17701710867963044</v>
      </c>
      <c r="M154" s="37">
        <f>openDomain_trans_LNGC_FST2!V38</f>
        <v>-5.4299641003505749E-3</v>
      </c>
      <c r="N154" s="37">
        <f>openDomain_trans_LNGC_FST2!W38</f>
        <v>2.3239427074190622</v>
      </c>
      <c r="O154" s="38">
        <f>openDomain_trans_LNGC_FST2!X38</f>
        <v>-1.5138903856124051E-2</v>
      </c>
      <c r="Q154" s="29">
        <v>360</v>
      </c>
      <c r="R154" s="36">
        <f>openDomain_trans_LNGC_LNGC!S38</f>
        <v>0.625799249179807</v>
      </c>
      <c r="S154" s="37">
        <f>openDomain_trans_LNGC_LNGC!T38</f>
        <v>-5.4827371672498376E-2</v>
      </c>
      <c r="T154" s="37">
        <f>openDomain_trans_LNGC_LNGC!U38</f>
        <v>0.16628440039792033</v>
      </c>
      <c r="U154" s="37">
        <f>openDomain_trans_LNGC_LNGC!V38</f>
        <v>-5.2548130377517002E-2</v>
      </c>
      <c r="V154" s="37">
        <f>openDomain_trans_LNGC_LNGC!W38</f>
        <v>4.5464879455039648</v>
      </c>
      <c r="W154" s="38">
        <f>openDomain_trans_LNGC_LNGC!X38</f>
        <v>1.283160290662076E-2</v>
      </c>
    </row>
    <row r="156" spans="1:23" ht="15.75" customHeight="1" x14ac:dyDescent="0.25">
      <c r="A156" s="221" t="s">
        <v>86</v>
      </c>
      <c r="B156" s="221"/>
      <c r="C156" s="221"/>
      <c r="D156" s="221"/>
      <c r="E156" s="221"/>
      <c r="F156" s="221"/>
      <c r="G156" s="221"/>
      <c r="H156" s="13"/>
      <c r="I156" s="221" t="s">
        <v>87</v>
      </c>
      <c r="J156" s="221"/>
      <c r="K156" s="221"/>
      <c r="L156" s="221"/>
      <c r="M156" s="221"/>
      <c r="N156" s="221"/>
      <c r="O156" s="221"/>
    </row>
    <row r="157" spans="1:23" x14ac:dyDescent="0.25">
      <c r="A157" s="14" t="s">
        <v>55</v>
      </c>
      <c r="B157" s="15">
        <f>openDomain_trans_full_FST1!S5</f>
        <v>1360</v>
      </c>
      <c r="C157" s="15">
        <f>openDomain_trans_full_FST1!T5</f>
        <v>6322</v>
      </c>
      <c r="D157" s="15">
        <f>openDomain_trans_full_FST1!U5</f>
        <v>8949</v>
      </c>
      <c r="E157" s="15">
        <f>openDomain_trans_full_FST1!V5</f>
        <v>195355</v>
      </c>
      <c r="F157" s="15">
        <f>openDomain_trans_full_FST1!W5</f>
        <v>21665</v>
      </c>
      <c r="G157" s="15">
        <f>openDomain_trans_full_FST1!X5</f>
        <v>1293418</v>
      </c>
      <c r="H157" s="16"/>
      <c r="I157" s="14" t="s">
        <v>55</v>
      </c>
      <c r="J157" s="15">
        <f t="shared" ref="J157:O157" si="24">B157</f>
        <v>1360</v>
      </c>
      <c r="K157" s="15">
        <f t="shared" si="24"/>
        <v>6322</v>
      </c>
      <c r="L157" s="15">
        <f t="shared" si="24"/>
        <v>8949</v>
      </c>
      <c r="M157" s="15">
        <f t="shared" si="24"/>
        <v>195355</v>
      </c>
      <c r="N157" s="15">
        <f t="shared" si="24"/>
        <v>21665</v>
      </c>
      <c r="O157" s="15">
        <f t="shared" si="24"/>
        <v>1293418</v>
      </c>
    </row>
    <row r="158" spans="1:23" x14ac:dyDescent="0.25">
      <c r="A158" s="17"/>
      <c r="B158" s="18" t="s">
        <v>57</v>
      </c>
      <c r="C158" s="18" t="s">
        <v>57</v>
      </c>
      <c r="D158" s="18" t="s">
        <v>57</v>
      </c>
      <c r="E158" s="18" t="s">
        <v>58</v>
      </c>
      <c r="F158" s="18" t="s">
        <v>58</v>
      </c>
      <c r="G158" s="18" t="s">
        <v>58</v>
      </c>
      <c r="H158" s="19"/>
      <c r="I158" s="17"/>
      <c r="J158" s="18" t="s">
        <v>57</v>
      </c>
      <c r="K158" s="18" t="s">
        <v>57</v>
      </c>
      <c r="L158" s="18" t="s">
        <v>57</v>
      </c>
      <c r="M158" s="18" t="s">
        <v>58</v>
      </c>
      <c r="N158" s="18" t="s">
        <v>58</v>
      </c>
      <c r="O158" s="18" t="s">
        <v>58</v>
      </c>
    </row>
    <row r="159" spans="1:23" ht="27" x14ac:dyDescent="0.25">
      <c r="A159" s="20" t="s">
        <v>59</v>
      </c>
      <c r="B159" s="21" t="s">
        <v>60</v>
      </c>
      <c r="C159" s="21" t="s">
        <v>61</v>
      </c>
      <c r="D159" s="21" t="s">
        <v>62</v>
      </c>
      <c r="E159" s="21" t="s">
        <v>63</v>
      </c>
      <c r="F159" s="21" t="s">
        <v>64</v>
      </c>
      <c r="G159" s="21" t="s">
        <v>65</v>
      </c>
      <c r="H159" s="13"/>
      <c r="I159" s="20" t="s">
        <v>59</v>
      </c>
      <c r="J159" s="21" t="s">
        <v>60</v>
      </c>
      <c r="K159" s="21" t="s">
        <v>61</v>
      </c>
      <c r="L159" s="21" t="s">
        <v>62</v>
      </c>
      <c r="M159" s="21" t="s">
        <v>63</v>
      </c>
      <c r="N159" s="21" t="s">
        <v>64</v>
      </c>
      <c r="O159" s="21" t="s">
        <v>65</v>
      </c>
    </row>
    <row r="160" spans="1:23" ht="33.75" x14ac:dyDescent="0.25">
      <c r="A160" s="22"/>
      <c r="B160" s="23" t="str">
        <f t="shared" ref="B160:G160" si="25">CONCATENATE($A$156,"-",B159)</f>
        <v>openDomain-trans-full-FST1-Cx [-]</v>
      </c>
      <c r="C160" s="23" t="str">
        <f t="shared" si="25"/>
        <v>openDomain-trans-full-FST1-Cy [-]</v>
      </c>
      <c r="D160" s="23" t="str">
        <f t="shared" si="25"/>
        <v>openDomain-trans-full-FST1-Cz [-]</v>
      </c>
      <c r="E160" s="23" t="str">
        <f t="shared" si="25"/>
        <v>openDomain-trans-full-FST1-Cnx [-]</v>
      </c>
      <c r="F160" s="23" t="str">
        <f t="shared" si="25"/>
        <v>openDomain-trans-full-FST1-Cny [-]</v>
      </c>
      <c r="G160" s="23" t="str">
        <f t="shared" si="25"/>
        <v>openDomain-trans-full-FST1-Cnz [-]</v>
      </c>
      <c r="H160" s="24"/>
      <c r="I160" s="22"/>
      <c r="J160" s="23" t="str">
        <f t="shared" ref="J160:O160" si="26">CONCATENATE($I$156,"-",J159)</f>
        <v>openDomain-trans-full-FST2-Cx [-]</v>
      </c>
      <c r="K160" s="23" t="str">
        <f t="shared" si="26"/>
        <v>openDomain-trans-full-FST2-Cy [-]</v>
      </c>
      <c r="L160" s="23" t="str">
        <f t="shared" si="26"/>
        <v>openDomain-trans-full-FST2-Cz [-]</v>
      </c>
      <c r="M160" s="23" t="str">
        <f t="shared" si="26"/>
        <v>openDomain-trans-full-FST2-Cnx [-]</v>
      </c>
      <c r="N160" s="23" t="str">
        <f t="shared" si="26"/>
        <v>openDomain-trans-full-FST2-Cny [-]</v>
      </c>
      <c r="O160" s="23" t="str">
        <f t="shared" si="26"/>
        <v>openDomain-trans-full-FST2-Cnz [-]</v>
      </c>
    </row>
    <row r="161" spans="1:15" x14ac:dyDescent="0.25">
      <c r="A161" s="26">
        <f>openDomain_trans_full_FST1!P14</f>
        <v>0</v>
      </c>
      <c r="B161" s="31">
        <f>openDomain_trans_full_FST1!S14</f>
        <v>0.24662048075043974</v>
      </c>
      <c r="C161" s="32">
        <f>openDomain_trans_full_FST1!T14</f>
        <v>3.296052655395813E-3</v>
      </c>
      <c r="D161" s="32">
        <f>openDomain_trans_full_FST1!U14</f>
        <v>5.1361805326364189E-2</v>
      </c>
      <c r="E161" s="32">
        <f>openDomain_trans_full_FST1!V14</f>
        <v>-1.1648627978374719E-3</v>
      </c>
      <c r="F161" s="32">
        <f>openDomain_trans_full_FST1!W14</f>
        <v>0.209658536984317</v>
      </c>
      <c r="G161" s="33">
        <f>openDomain_trans_full_FST1!X14</f>
        <v>-4.016012740831175E-4</v>
      </c>
      <c r="H161" s="25"/>
      <c r="I161" s="26">
        <f>openDomain_trans_full_FST2!P14</f>
        <v>0</v>
      </c>
      <c r="J161" s="31">
        <f>openDomain_trans_full_FST2!S14</f>
        <v>1.1365688825917966</v>
      </c>
      <c r="K161" s="32">
        <f>openDomain_trans_full_FST2!T14</f>
        <v>-1.7210341662862578E-2</v>
      </c>
      <c r="L161" s="32">
        <f>openDomain_trans_full_FST2!U14</f>
        <v>0.13216373031527123</v>
      </c>
      <c r="M161" s="32">
        <f>openDomain_trans_full_FST2!V14</f>
        <v>8.5347724716054174E-3</v>
      </c>
      <c r="N161" s="32">
        <f>openDomain_trans_full_FST2!W14</f>
        <v>2.2612990446407117</v>
      </c>
      <c r="O161" s="33">
        <f>openDomain_trans_full_FST2!X14</f>
        <v>1.3546954208619837E-3</v>
      </c>
    </row>
    <row r="162" spans="1:15" x14ac:dyDescent="0.25">
      <c r="A162" s="26">
        <f>openDomain_trans_full_FST1!P15</f>
        <v>15</v>
      </c>
      <c r="B162" s="34">
        <f>openDomain_trans_full_FST1!S15</f>
        <v>1.4211743751764274</v>
      </c>
      <c r="C162" s="25">
        <f>openDomain_trans_full_FST1!T15</f>
        <v>0.14685620792070769</v>
      </c>
      <c r="D162" s="25">
        <f>openDomain_trans_full_FST1!U15</f>
        <v>0.11878316406893072</v>
      </c>
      <c r="E162" s="25">
        <f>openDomain_trans_full_FST1!V15</f>
        <v>-6.6265104958565232E-2</v>
      </c>
      <c r="F162" s="25">
        <f>openDomain_trans_full_FST1!W15</f>
        <v>1.7123019310540715</v>
      </c>
      <c r="G162" s="35">
        <f>openDomain_trans_full_FST1!X15</f>
        <v>6.6716712995990978E-3</v>
      </c>
      <c r="H162" s="25"/>
      <c r="I162" s="26">
        <f>openDomain_trans_full_FST2!P15</f>
        <v>15</v>
      </c>
      <c r="J162" s="34">
        <f>openDomain_trans_full_FST2!S15</f>
        <v>1.9715899669945502</v>
      </c>
      <c r="K162" s="25">
        <f>openDomain_trans_full_FST2!T15</f>
        <v>0.13477063753065607</v>
      </c>
      <c r="L162" s="25">
        <f>openDomain_trans_full_FST2!U15</f>
        <v>0.13337434997820596</v>
      </c>
      <c r="M162" s="25">
        <f>openDomain_trans_full_FST2!V15</f>
        <v>-5.6436148107534667E-2</v>
      </c>
      <c r="N162" s="25">
        <f>openDomain_trans_full_FST2!W15</f>
        <v>1.8439571221808784</v>
      </c>
      <c r="O162" s="35">
        <f>openDomain_trans_full_FST2!X15</f>
        <v>-3.1052837294679937E-3</v>
      </c>
    </row>
    <row r="163" spans="1:15" x14ac:dyDescent="0.25">
      <c r="A163" s="26">
        <f>openDomain_trans_full_FST1!P16</f>
        <v>30</v>
      </c>
      <c r="B163" s="34">
        <f>openDomain_trans_full_FST1!S16</f>
        <v>2.0086139719453677</v>
      </c>
      <c r="C163" s="25">
        <f>openDomain_trans_full_FST1!T16</f>
        <v>0.32207644524228179</v>
      </c>
      <c r="D163" s="25">
        <f>openDomain_trans_full_FST1!U16</f>
        <v>0.22835846508253718</v>
      </c>
      <c r="E163" s="25">
        <f>openDomain_trans_full_FST1!V16</f>
        <v>-0.15009265238693956</v>
      </c>
      <c r="F163" s="25">
        <f>openDomain_trans_full_FST1!W16</f>
        <v>2.2287854755332148</v>
      </c>
      <c r="G163" s="35">
        <f>openDomain_trans_full_FST1!X16</f>
        <v>-7.6108271242105747E-3</v>
      </c>
      <c r="H163" s="25"/>
      <c r="I163" s="26">
        <f>openDomain_trans_full_FST2!P16</f>
        <v>30</v>
      </c>
      <c r="J163" s="34">
        <f>openDomain_trans_full_FST2!S16</f>
        <v>2.5568798503897687</v>
      </c>
      <c r="K163" s="25">
        <f>openDomain_trans_full_FST2!T16</f>
        <v>0.35463101716436329</v>
      </c>
      <c r="L163" s="25">
        <f>openDomain_trans_full_FST2!U16</f>
        <v>0.21220932068151585</v>
      </c>
      <c r="M163" s="25">
        <f>openDomain_trans_full_FST2!V16</f>
        <v>-0.14386305178826608</v>
      </c>
      <c r="N163" s="25">
        <f>openDomain_trans_full_FST2!W16</f>
        <v>2.0751889261095733</v>
      </c>
      <c r="O163" s="35">
        <f>openDomain_trans_full_FST2!X16</f>
        <v>-2.1390123025939459E-2</v>
      </c>
    </row>
    <row r="164" spans="1:15" x14ac:dyDescent="0.25">
      <c r="A164" s="26">
        <f>openDomain_trans_full_FST1!P17</f>
        <v>45</v>
      </c>
      <c r="B164" s="34">
        <f>openDomain_trans_full_FST1!S17</f>
        <v>1.8209368065055485</v>
      </c>
      <c r="C164" s="25">
        <f>openDomain_trans_full_FST1!T17</f>
        <v>0.48785606439873935</v>
      </c>
      <c r="D164" s="25">
        <f>openDomain_trans_full_FST1!U17</f>
        <v>0.3225878856360111</v>
      </c>
      <c r="E164" s="25">
        <f>openDomain_trans_full_FST1!V17</f>
        <v>-0.2064093284509855</v>
      </c>
      <c r="F164" s="25">
        <f>openDomain_trans_full_FST1!W17</f>
        <v>3.1268527503223056</v>
      </c>
      <c r="G164" s="35">
        <f>openDomain_trans_full_FST1!X17</f>
        <v>-1.1302335820361558E-2</v>
      </c>
      <c r="H164" s="25"/>
      <c r="I164" s="26">
        <f>openDomain_trans_full_FST2!P17</f>
        <v>45</v>
      </c>
      <c r="J164" s="34">
        <f>openDomain_trans_full_FST2!S17</f>
        <v>2.1531987818383169</v>
      </c>
      <c r="K164" s="25">
        <f>openDomain_trans_full_FST2!T17</f>
        <v>0.5982565222209727</v>
      </c>
      <c r="L164" s="25">
        <f>openDomain_trans_full_FST2!U17</f>
        <v>0.33381474555725549</v>
      </c>
      <c r="M164" s="25">
        <f>openDomain_trans_full_FST2!V17</f>
        <v>-0.24441990239933761</v>
      </c>
      <c r="N164" s="25">
        <f>openDomain_trans_full_FST2!W17</f>
        <v>1.4429876624805538</v>
      </c>
      <c r="O164" s="35">
        <f>openDomain_trans_full_FST2!X17</f>
        <v>-3.6557174850516017E-2</v>
      </c>
    </row>
    <row r="165" spans="1:15" x14ac:dyDescent="0.25">
      <c r="A165" s="26">
        <f>openDomain_trans_full_FST1!P18</f>
        <v>60</v>
      </c>
      <c r="B165" s="34">
        <f>openDomain_trans_full_FST1!S18</f>
        <v>1.4417051657872453</v>
      </c>
      <c r="C165" s="25">
        <f>openDomain_trans_full_FST1!T18</f>
        <v>0.58008601975745144</v>
      </c>
      <c r="D165" s="25">
        <f>openDomain_trans_full_FST1!U18</f>
        <v>0.39291451938326871</v>
      </c>
      <c r="E165" s="25">
        <f>openDomain_trans_full_FST1!V18</f>
        <v>-0.22505924092209528</v>
      </c>
      <c r="F165" s="25">
        <f>openDomain_trans_full_FST1!W18</f>
        <v>2.6438115503731145</v>
      </c>
      <c r="G165" s="35">
        <f>openDomain_trans_full_FST1!X18</f>
        <v>-1.6914420823660833E-2</v>
      </c>
      <c r="H165" s="25"/>
      <c r="I165" s="26">
        <f>openDomain_trans_full_FST2!P18</f>
        <v>60</v>
      </c>
      <c r="J165" s="34">
        <f>openDomain_trans_full_FST2!S18</f>
        <v>1.1860362299958744</v>
      </c>
      <c r="K165" s="25">
        <f>openDomain_trans_full_FST2!T18</f>
        <v>0.73367516319055071</v>
      </c>
      <c r="L165" s="25">
        <f>openDomain_trans_full_FST2!U18</f>
        <v>0.43814001255050927</v>
      </c>
      <c r="M165" s="25">
        <f>openDomain_trans_full_FST2!V18</f>
        <v>-0.25996990053384467</v>
      </c>
      <c r="N165" s="25">
        <f>openDomain_trans_full_FST2!W18</f>
        <v>1.6920431228332842</v>
      </c>
      <c r="O165" s="35">
        <f>openDomain_trans_full_FST2!X18</f>
        <v>-2.8396944343611633E-2</v>
      </c>
    </row>
    <row r="166" spans="1:15" x14ac:dyDescent="0.25">
      <c r="A166" s="26">
        <f>openDomain_trans_full_FST1!P19</f>
        <v>75</v>
      </c>
      <c r="B166" s="34">
        <f>openDomain_trans_full_FST1!S19</f>
        <v>0.71460548715610284</v>
      </c>
      <c r="C166" s="25">
        <f>openDomain_trans_full_FST1!T19</f>
        <v>0.64934443509040896</v>
      </c>
      <c r="D166" s="25">
        <f>openDomain_trans_full_FST1!U19</f>
        <v>0.32657535806137578</v>
      </c>
      <c r="E166" s="25">
        <f>openDomain_trans_full_FST1!V19</f>
        <v>-0.21574420319449675</v>
      </c>
      <c r="F166" s="25">
        <f>openDomain_trans_full_FST1!W19</f>
        <v>1.7506535981087907</v>
      </c>
      <c r="G166" s="35">
        <f>openDomain_trans_full_FST1!X19</f>
        <v>-1.2540359671092098E-2</v>
      </c>
      <c r="H166" s="25"/>
      <c r="I166" s="26">
        <f>openDomain_trans_full_FST2!P19</f>
        <v>75</v>
      </c>
      <c r="J166" s="34">
        <f>openDomain_trans_full_FST2!S19</f>
        <v>0.16890165135821772</v>
      </c>
      <c r="K166" s="25">
        <f>openDomain_trans_full_FST2!T19</f>
        <v>0.81905674419538887</v>
      </c>
      <c r="L166" s="25">
        <f>openDomain_trans_full_FST2!U19</f>
        <v>0.47634694712554532</v>
      </c>
      <c r="M166" s="25">
        <f>openDomain_trans_full_FST2!V19</f>
        <v>-0.26972576683356525</v>
      </c>
      <c r="N166" s="25">
        <f>openDomain_trans_full_FST2!W19</f>
        <v>0.729901338181138</v>
      </c>
      <c r="O166" s="35">
        <f>openDomain_trans_full_FST2!X19</f>
        <v>-1.6061631192744223E-2</v>
      </c>
    </row>
    <row r="167" spans="1:15" x14ac:dyDescent="0.25">
      <c r="A167" s="26">
        <f>openDomain_trans_full_FST1!P20</f>
        <v>90</v>
      </c>
      <c r="B167" s="34">
        <f>openDomain_trans_full_FST1!S20</f>
        <v>0.42495537749983725</v>
      </c>
      <c r="C167" s="25">
        <f>openDomain_trans_full_FST1!T20</f>
        <v>0.72159628426411837</v>
      </c>
      <c r="D167" s="25">
        <f>openDomain_trans_full_FST1!U20</f>
        <v>0.37077635661595937</v>
      </c>
      <c r="E167" s="25">
        <f>openDomain_trans_full_FST1!V20</f>
        <v>-0.22169988692439116</v>
      </c>
      <c r="F167" s="25">
        <f>openDomain_trans_full_FST1!W20</f>
        <v>-0.55887329027865429</v>
      </c>
      <c r="G167" s="35">
        <f>openDomain_trans_full_FST1!X20</f>
        <v>9.102421661575634E-3</v>
      </c>
      <c r="H167" s="25"/>
      <c r="I167" s="26">
        <f>openDomain_trans_full_FST2!P20</f>
        <v>90</v>
      </c>
      <c r="J167" s="34">
        <f>openDomain_trans_full_FST2!S20</f>
        <v>-0.40838980088159299</v>
      </c>
      <c r="K167" s="25">
        <f>openDomain_trans_full_FST2!T20</f>
        <v>0.76317252450004081</v>
      </c>
      <c r="L167" s="25">
        <f>openDomain_trans_full_FST2!U20</f>
        <v>0.41652047546737619</v>
      </c>
      <c r="M167" s="25">
        <f>openDomain_trans_full_FST2!V20</f>
        <v>-0.25885582003417335</v>
      </c>
      <c r="N167" s="25">
        <f>openDomain_trans_full_FST2!W20</f>
        <v>-0.37980247871524669</v>
      </c>
      <c r="O167" s="35">
        <f>openDomain_trans_full_FST2!X20</f>
        <v>1.4784496237733877E-3</v>
      </c>
    </row>
    <row r="168" spans="1:15" x14ac:dyDescent="0.25">
      <c r="A168" s="26">
        <f>openDomain_trans_full_FST1!P21</f>
        <v>105</v>
      </c>
      <c r="B168" s="34">
        <f>openDomain_trans_full_FST1!S21</f>
        <v>-0.16281764488741235</v>
      </c>
      <c r="C168" s="25">
        <f>openDomain_trans_full_FST1!T21</f>
        <v>0.82371865186510262</v>
      </c>
      <c r="D168" s="25">
        <f>openDomain_trans_full_FST1!U21</f>
        <v>0.48922256017766241</v>
      </c>
      <c r="E168" s="25">
        <f>openDomain_trans_full_FST1!V21</f>
        <v>-0.25022966809465452</v>
      </c>
      <c r="F168" s="25">
        <f>openDomain_trans_full_FST1!W21</f>
        <v>-1.0714585981015494</v>
      </c>
      <c r="G168" s="35">
        <f>openDomain_trans_full_FST1!X21</f>
        <v>1.7332291768245443E-2</v>
      </c>
      <c r="H168" s="25"/>
      <c r="I168" s="26">
        <f>openDomain_trans_full_FST2!P21</f>
        <v>105</v>
      </c>
      <c r="J168" s="34">
        <f>openDomain_trans_full_FST2!S21</f>
        <v>-0.64275061885219209</v>
      </c>
      <c r="K168" s="25">
        <f>openDomain_trans_full_FST2!T21</f>
        <v>0.6483689691724388</v>
      </c>
      <c r="L168" s="25">
        <f>openDomain_trans_full_FST2!U21</f>
        <v>0.3319443261621029</v>
      </c>
      <c r="M168" s="25">
        <f>openDomain_trans_full_FST2!V21</f>
        <v>-0.232362929895853</v>
      </c>
      <c r="N168" s="25">
        <f>openDomain_trans_full_FST2!W21</f>
        <v>-1.9293034327455296</v>
      </c>
      <c r="O168" s="35">
        <f>openDomain_trans_full_FST2!X21</f>
        <v>1.4761482485887271E-2</v>
      </c>
    </row>
    <row r="169" spans="1:15" x14ac:dyDescent="0.25">
      <c r="A169" s="26">
        <f>openDomain_trans_full_FST1!P22</f>
        <v>120</v>
      </c>
      <c r="B169" s="34">
        <f>openDomain_trans_full_FST1!S22</f>
        <v>-1.3122356904001913</v>
      </c>
      <c r="C169" s="25">
        <f>openDomain_trans_full_FST1!T22</f>
        <v>0.73272401893275485</v>
      </c>
      <c r="D169" s="25">
        <f>openDomain_trans_full_FST1!U22</f>
        <v>0.44503388938614913</v>
      </c>
      <c r="E169" s="25">
        <f>openDomain_trans_full_FST1!V22</f>
        <v>-0.2498482680709837</v>
      </c>
      <c r="F169" s="25">
        <f>openDomain_trans_full_FST1!W22</f>
        <v>-1.1519535382950066</v>
      </c>
      <c r="G169" s="35">
        <f>openDomain_trans_full_FST1!X22</f>
        <v>2.9790775264640131E-2</v>
      </c>
      <c r="H169" s="25"/>
      <c r="I169" s="26">
        <f>openDomain_trans_full_FST2!P22</f>
        <v>120</v>
      </c>
      <c r="J169" s="34">
        <f>openDomain_trans_full_FST2!S22</f>
        <v>-1.3296606464291145</v>
      </c>
      <c r="K169" s="25">
        <f>openDomain_trans_full_FST2!T22</f>
        <v>0.582829115784392</v>
      </c>
      <c r="L169" s="25">
        <f>openDomain_trans_full_FST2!U22</f>
        <v>0.37741416280377377</v>
      </c>
      <c r="M169" s="25">
        <f>openDomain_trans_full_FST2!V22</f>
        <v>-0.24057739059044614</v>
      </c>
      <c r="N169" s="25">
        <f>openDomain_trans_full_FST2!W22</f>
        <v>-2.4132695969372211</v>
      </c>
      <c r="O169" s="35">
        <f>openDomain_trans_full_FST2!X22</f>
        <v>1.7436080215367345E-2</v>
      </c>
    </row>
    <row r="170" spans="1:15" x14ac:dyDescent="0.25">
      <c r="A170" s="26">
        <f>openDomain_trans_full_FST1!P23</f>
        <v>135</v>
      </c>
      <c r="B170" s="34">
        <f>openDomain_trans_full_FST1!S23</f>
        <v>-2.1194204394936271</v>
      </c>
      <c r="C170" s="25">
        <f>openDomain_trans_full_FST1!T23</f>
        <v>0.60243020529013347</v>
      </c>
      <c r="D170" s="25">
        <f>openDomain_trans_full_FST1!U23</f>
        <v>0.32321762288504063</v>
      </c>
      <c r="E170" s="25">
        <f>openDomain_trans_full_FST1!V23</f>
        <v>-0.23679393292760731</v>
      </c>
      <c r="F170" s="25">
        <f>openDomain_trans_full_FST1!W23</f>
        <v>-1.7251033655625783</v>
      </c>
      <c r="G170" s="35">
        <f>openDomain_trans_full_FST1!X23</f>
        <v>3.4734906706262066E-2</v>
      </c>
      <c r="H170" s="25"/>
      <c r="I170" s="26">
        <f>openDomain_trans_full_FST2!P23</f>
        <v>135</v>
      </c>
      <c r="J170" s="34">
        <f>openDomain_trans_full_FST2!S23</f>
        <v>-1.8437184005385103</v>
      </c>
      <c r="K170" s="25">
        <f>openDomain_trans_full_FST2!T23</f>
        <v>0.46994191272392905</v>
      </c>
      <c r="L170" s="25">
        <f>openDomain_trans_full_FST2!U23</f>
        <v>0.32471043637171076</v>
      </c>
      <c r="M170" s="25">
        <f>openDomain_trans_full_FST2!V23</f>
        <v>-0.21377052158190138</v>
      </c>
      <c r="N170" s="25">
        <f>openDomain_trans_full_FST2!W23</f>
        <v>-3.0225466506197729</v>
      </c>
      <c r="O170" s="35">
        <f>openDomain_trans_full_FST2!X23</f>
        <v>8.8553434316082247E-3</v>
      </c>
    </row>
    <row r="171" spans="1:15" x14ac:dyDescent="0.25">
      <c r="A171" s="26">
        <f>openDomain_trans_full_FST1!P24</f>
        <v>150</v>
      </c>
      <c r="B171" s="34">
        <f>openDomain_trans_full_FST1!S24</f>
        <v>-2.461729420450351</v>
      </c>
      <c r="C171" s="25">
        <f>openDomain_trans_full_FST1!T24</f>
        <v>0.3579673365487393</v>
      </c>
      <c r="D171" s="25">
        <f>openDomain_trans_full_FST1!U24</f>
        <v>0.21094113845815352</v>
      </c>
      <c r="E171" s="25">
        <f>openDomain_trans_full_FST1!V24</f>
        <v>-0.1414156711363764</v>
      </c>
      <c r="F171" s="25">
        <f>openDomain_trans_full_FST1!W24</f>
        <v>-2.1691415254108057</v>
      </c>
      <c r="G171" s="35">
        <f>openDomain_trans_full_FST1!X24</f>
        <v>1.9458824315608147E-2</v>
      </c>
      <c r="H171" s="25"/>
      <c r="I171" s="26">
        <f>openDomain_trans_full_FST2!P24</f>
        <v>150</v>
      </c>
      <c r="J171" s="34">
        <f>openDomain_trans_full_FST2!S24</f>
        <v>-2.0470847013223898</v>
      </c>
      <c r="K171" s="25">
        <f>openDomain_trans_full_FST2!T24</f>
        <v>0.30677541638011907</v>
      </c>
      <c r="L171" s="25">
        <f>openDomain_trans_full_FST2!U24</f>
        <v>0.24392015935756048</v>
      </c>
      <c r="M171" s="25">
        <f>openDomain_trans_full_FST2!V24</f>
        <v>-0.15081433797170743</v>
      </c>
      <c r="N171" s="25">
        <f>openDomain_trans_full_FST2!W24</f>
        <v>-2.6663571650498374</v>
      </c>
      <c r="O171" s="35">
        <f>openDomain_trans_full_FST2!X24</f>
        <v>5.8859072212179122E-3</v>
      </c>
    </row>
    <row r="172" spans="1:15" x14ac:dyDescent="0.25">
      <c r="A172" s="26">
        <f>openDomain_trans_full_FST1!P25</f>
        <v>165</v>
      </c>
      <c r="B172" s="34">
        <f>openDomain_trans_full_FST1!S25</f>
        <v>-1.9441856285149721</v>
      </c>
      <c r="C172" s="25">
        <f>openDomain_trans_full_FST1!T25</f>
        <v>0.12834441862450369</v>
      </c>
      <c r="D172" s="25">
        <f>openDomain_trans_full_FST1!U25</f>
        <v>0.13207797221456019</v>
      </c>
      <c r="E172" s="25">
        <f>openDomain_trans_full_FST1!V25</f>
        <v>-5.2888786057665858E-2</v>
      </c>
      <c r="F172" s="25">
        <f>openDomain_trans_full_FST1!W25</f>
        <v>-1.7298811553525246</v>
      </c>
      <c r="G172" s="35">
        <f>openDomain_trans_full_FST1!X25</f>
        <v>3.6627136614119002E-3</v>
      </c>
      <c r="H172" s="25"/>
      <c r="I172" s="26">
        <f>openDomain_trans_full_FST2!P25</f>
        <v>165</v>
      </c>
      <c r="J172" s="34">
        <f>openDomain_trans_full_FST2!S25</f>
        <v>-1.4108225359911408</v>
      </c>
      <c r="K172" s="25">
        <f>openDomain_trans_full_FST2!T25</f>
        <v>0.14989057296562283</v>
      </c>
      <c r="L172" s="25">
        <f>openDomain_trans_full_FST2!U25</f>
        <v>0.12371839257618365</v>
      </c>
      <c r="M172" s="25">
        <f>openDomain_trans_full_FST2!V25</f>
        <v>-7.2524401445800968E-2</v>
      </c>
      <c r="N172" s="25">
        <f>openDomain_trans_full_FST2!W25</f>
        <v>-1.7388348009051213</v>
      </c>
      <c r="O172" s="35">
        <f>openDomain_trans_full_FST2!X25</f>
        <v>-4.3711988141183444E-4</v>
      </c>
    </row>
    <row r="173" spans="1:15" x14ac:dyDescent="0.25">
      <c r="A173" s="26">
        <f>openDomain_trans_full_FST1!P26</f>
        <v>180</v>
      </c>
      <c r="B173" s="34">
        <f>openDomain_trans_full_FST1!S26</f>
        <v>-1.1135644637700044</v>
      </c>
      <c r="C173" s="25">
        <f>openDomain_trans_full_FST1!T26</f>
        <v>-2.589228798891623E-2</v>
      </c>
      <c r="D173" s="25">
        <f>openDomain_trans_full_FST1!U26</f>
        <v>0.13111358936850681</v>
      </c>
      <c r="E173" s="25">
        <f>openDomain_trans_full_FST1!V26</f>
        <v>1.2315140965082367E-2</v>
      </c>
      <c r="F173" s="25">
        <f>openDomain_trans_full_FST1!W26</f>
        <v>-2.2646679351857464</v>
      </c>
      <c r="G173" s="35">
        <f>openDomain_trans_full_FST1!X26</f>
        <v>2.9935536163976429E-3</v>
      </c>
      <c r="H173" s="25"/>
      <c r="I173" s="26">
        <f>openDomain_trans_full_FST2!P26</f>
        <v>180</v>
      </c>
      <c r="J173" s="34">
        <f>openDomain_trans_full_FST2!S26</f>
        <v>-0.32797108223134219</v>
      </c>
      <c r="K173" s="25">
        <f>openDomain_trans_full_FST2!T26</f>
        <v>1.3063311172093353E-2</v>
      </c>
      <c r="L173" s="25">
        <f>openDomain_trans_full_FST2!U26</f>
        <v>5.464625123763342E-2</v>
      </c>
      <c r="M173" s="25">
        <f>openDomain_trans_full_FST2!V26</f>
        <v>-9.3887487052916972E-3</v>
      </c>
      <c r="N173" s="25">
        <f>openDomain_trans_full_FST2!W26</f>
        <v>-0.32260104512682086</v>
      </c>
      <c r="O173" s="35">
        <f>openDomain_trans_full_FST2!X26</f>
        <v>2.1571629587484602E-3</v>
      </c>
    </row>
    <row r="174" spans="1:15" x14ac:dyDescent="0.25">
      <c r="A174" s="27">
        <f>openDomain_trans_full_FST1!P27</f>
        <v>195</v>
      </c>
      <c r="B174" s="34">
        <f>openDomain_trans_full_FST1!S27</f>
        <v>-1.569449666688381</v>
      </c>
      <c r="C174" s="25">
        <f>openDomain_trans_full_FST1!T27</f>
        <v>-0.19099523201102772</v>
      </c>
      <c r="D174" s="25">
        <f>openDomain_trans_full_FST1!U27</f>
        <v>0.19577465611394312</v>
      </c>
      <c r="E174" s="25">
        <f>openDomain_trans_full_FST1!V27</f>
        <v>9.511254557077041E-2</v>
      </c>
      <c r="F174" s="25">
        <f>openDomain_trans_full_FST1!W27</f>
        <v>-2.632182622106463</v>
      </c>
      <c r="G174" s="35">
        <f>openDomain_trans_full_FST1!X27</f>
        <v>-2.4135241889192333E-2</v>
      </c>
      <c r="H174" s="25"/>
      <c r="I174" s="27">
        <f>openDomain_trans_full_FST2!P27</f>
        <v>195</v>
      </c>
      <c r="J174" s="34">
        <f>openDomain_trans_full_FST2!S27</f>
        <v>-0.55341834951034685</v>
      </c>
      <c r="K174" s="25">
        <f>openDomain_trans_full_FST2!T27</f>
        <v>-8.0067896751533821E-2</v>
      </c>
      <c r="L174" s="25">
        <f>openDomain_trans_full_FST2!U27</f>
        <v>0.13306282625868809</v>
      </c>
      <c r="M174" s="25">
        <f>openDomain_trans_full_FST2!V27</f>
        <v>4.949140703129179E-2</v>
      </c>
      <c r="N174" s="25">
        <f>openDomain_trans_full_FST2!W27</f>
        <v>-1.0826252459832291</v>
      </c>
      <c r="O174" s="35">
        <f>openDomain_trans_full_FST2!X27</f>
        <v>-5.0556048099603776E-4</v>
      </c>
    </row>
    <row r="175" spans="1:15" x14ac:dyDescent="0.25">
      <c r="A175" s="27">
        <f>openDomain_trans_full_FST1!P28</f>
        <v>210</v>
      </c>
      <c r="B175" s="34">
        <f>openDomain_trans_full_FST1!S28</f>
        <v>-1.722527614921938</v>
      </c>
      <c r="C175" s="25">
        <f>openDomain_trans_full_FST1!T28</f>
        <v>-0.45038280426978444</v>
      </c>
      <c r="D175" s="25">
        <f>openDomain_trans_full_FST1!U28</f>
        <v>0.34749138436373861</v>
      </c>
      <c r="E175" s="25">
        <f>openDomain_trans_full_FST1!V28</f>
        <v>0.25306537383519245</v>
      </c>
      <c r="F175" s="25">
        <f>openDomain_trans_full_FST1!W28</f>
        <v>-2.5263335935969864</v>
      </c>
      <c r="G175" s="35">
        <f>openDomain_trans_full_FST1!X28</f>
        <v>-4.2273450964351339E-2</v>
      </c>
      <c r="H175" s="25"/>
      <c r="I175" s="27">
        <f>openDomain_trans_full_FST2!P28</f>
        <v>210</v>
      </c>
      <c r="J175" s="34">
        <f>openDomain_trans_full_FST2!S28</f>
        <v>-0.88140560332660212</v>
      </c>
      <c r="K175" s="25">
        <f>openDomain_trans_full_FST2!T28</f>
        <v>-0.26077121045073492</v>
      </c>
      <c r="L175" s="25">
        <f>openDomain_trans_full_FST2!U28</f>
        <v>0.26456731948206902</v>
      </c>
      <c r="M175" s="25">
        <f>openDomain_trans_full_FST2!V28</f>
        <v>0.17068511302350359</v>
      </c>
      <c r="N175" s="25">
        <f>openDomain_trans_full_FST2!W28</f>
        <v>-1.9702097834086738</v>
      </c>
      <c r="O175" s="35">
        <f>openDomain_trans_full_FST2!X28</f>
        <v>-1.0602704787713486E-2</v>
      </c>
    </row>
    <row r="176" spans="1:15" x14ac:dyDescent="0.25">
      <c r="A176" s="27">
        <f>openDomain_trans_full_FST1!P29</f>
        <v>225</v>
      </c>
      <c r="B176" s="34">
        <f>openDomain_trans_full_FST1!S29</f>
        <v>-1.3735383851214906</v>
      </c>
      <c r="C176" s="25">
        <f>openDomain_trans_full_FST1!T29</f>
        <v>-0.67274170051227655</v>
      </c>
      <c r="D176" s="25">
        <f>openDomain_trans_full_FST1!U29</f>
        <v>0.57076274599994292</v>
      </c>
      <c r="E176" s="25">
        <f>openDomain_trans_full_FST1!V29</f>
        <v>0.41485247100906375</v>
      </c>
      <c r="F176" s="25">
        <f>openDomain_trans_full_FST1!W29</f>
        <v>-2.7653584907332087</v>
      </c>
      <c r="G176" s="35">
        <f>openDomain_trans_full_FST1!X29</f>
        <v>-6.1178287382736049E-2</v>
      </c>
      <c r="H176" s="25"/>
      <c r="I176" s="27">
        <f>openDomain_trans_full_FST2!P29</f>
        <v>225</v>
      </c>
      <c r="J176" s="34">
        <f>openDomain_trans_full_FST2!S29</f>
        <v>-0.9842598744924328</v>
      </c>
      <c r="K176" s="25">
        <f>openDomain_trans_full_FST2!T29</f>
        <v>-0.46114296037590846</v>
      </c>
      <c r="L176" s="25">
        <f>openDomain_trans_full_FST2!U29</f>
        <v>0.45952793569037559</v>
      </c>
      <c r="M176" s="25">
        <f>openDomain_trans_full_FST2!V29</f>
        <v>0.30093941790706363</v>
      </c>
      <c r="N176" s="25">
        <f>openDomain_trans_full_FST2!W29</f>
        <v>-3.1807872976343616</v>
      </c>
      <c r="O176" s="35">
        <f>openDomain_trans_full_FST2!X29</f>
        <v>-1.6197350156800738E-2</v>
      </c>
    </row>
    <row r="177" spans="1:23" x14ac:dyDescent="0.25">
      <c r="A177" s="27">
        <f>openDomain_trans_full_FST1!P30</f>
        <v>240</v>
      </c>
      <c r="B177" s="34">
        <f>openDomain_trans_full_FST1!S30</f>
        <v>-0.56243966191127615</v>
      </c>
      <c r="C177" s="25">
        <f>openDomain_trans_full_FST1!T30</f>
        <v>-0.83173316264846042</v>
      </c>
      <c r="D177" s="25">
        <f>openDomain_trans_full_FST1!U30</f>
        <v>0.73016286168770417</v>
      </c>
      <c r="E177" s="25">
        <f>openDomain_trans_full_FST1!V30</f>
        <v>0.4926925292105534</v>
      </c>
      <c r="F177" s="25">
        <f>openDomain_trans_full_FST1!W30</f>
        <v>-2.1815794038846335</v>
      </c>
      <c r="G177" s="35">
        <f>openDomain_trans_full_FST1!X30</f>
        <v>-6.96344093036423E-2</v>
      </c>
      <c r="H177" s="25"/>
      <c r="I177" s="27">
        <f>openDomain_trans_full_FST2!P30</f>
        <v>240</v>
      </c>
      <c r="J177" s="34">
        <f>openDomain_trans_full_FST2!S30</f>
        <v>-0.54425396282544036</v>
      </c>
      <c r="K177" s="25">
        <f>openDomain_trans_full_FST2!T30</f>
        <v>-0.58459493464378587</v>
      </c>
      <c r="L177" s="25">
        <f>openDomain_trans_full_FST2!U30</f>
        <v>0.5554678570882019</v>
      </c>
      <c r="M177" s="25">
        <f>openDomain_trans_full_FST2!V30</f>
        <v>0.37721703061540801</v>
      </c>
      <c r="N177" s="25">
        <f>openDomain_trans_full_FST2!W30</f>
        <v>-3.800021726179295</v>
      </c>
      <c r="O177" s="35">
        <f>openDomain_trans_full_FST2!X30</f>
        <v>-2.2039810929457823E-2</v>
      </c>
    </row>
    <row r="178" spans="1:23" x14ac:dyDescent="0.25">
      <c r="A178" s="27">
        <f>openDomain_trans_full_FST1!P31</f>
        <v>255</v>
      </c>
      <c r="B178" s="34">
        <f>openDomain_trans_full_FST1!S31</f>
        <v>-0.20088167980370444</v>
      </c>
      <c r="C178" s="25">
        <f>openDomain_trans_full_FST1!T31</f>
        <v>-0.84566631037250439</v>
      </c>
      <c r="D178" s="25">
        <f>openDomain_trans_full_FST1!U31</f>
        <v>0.72153863732390122</v>
      </c>
      <c r="E178" s="25">
        <f>openDomain_trans_full_FST1!V31</f>
        <v>0.49784791483193858</v>
      </c>
      <c r="F178" s="25">
        <f>openDomain_trans_full_FST1!W31</f>
        <v>1.0683007939021123</v>
      </c>
      <c r="G178" s="35">
        <f>openDomain_trans_full_FST1!X31</f>
        <v>-1.9047163693884317E-2</v>
      </c>
      <c r="H178" s="25"/>
      <c r="I178" s="27">
        <f>openDomain_trans_full_FST2!P31</f>
        <v>255</v>
      </c>
      <c r="J178" s="34">
        <f>openDomain_trans_full_FST2!S31</f>
        <v>-0.10979941589038718</v>
      </c>
      <c r="K178" s="25">
        <f>openDomain_trans_full_FST2!T31</f>
        <v>-0.66808475013105584</v>
      </c>
      <c r="L178" s="25">
        <f>openDomain_trans_full_FST2!U31</f>
        <v>0.5835660721447623</v>
      </c>
      <c r="M178" s="25">
        <f>openDomain_trans_full_FST2!V31</f>
        <v>0.41663391363721064</v>
      </c>
      <c r="N178" s="25">
        <f>openDomain_trans_full_FST2!W31</f>
        <v>-2.7790469228529977</v>
      </c>
      <c r="O178" s="35">
        <f>openDomain_trans_full_FST2!X31</f>
        <v>-1.790486491316853E-2</v>
      </c>
    </row>
    <row r="179" spans="1:23" x14ac:dyDescent="0.25">
      <c r="A179" s="27">
        <f>openDomain_trans_full_FST1!P32</f>
        <v>270</v>
      </c>
      <c r="B179" s="34">
        <f>openDomain_trans_full_FST1!S32</f>
        <v>0.27661415108679133</v>
      </c>
      <c r="C179" s="25">
        <f>openDomain_trans_full_FST1!T32</f>
        <v>-0.75297877568170313</v>
      </c>
      <c r="D179" s="25">
        <f>openDomain_trans_full_FST1!U32</f>
        <v>0.64557014336727292</v>
      </c>
      <c r="E179" s="25">
        <f>openDomain_trans_full_FST1!V32</f>
        <v>0.45224768383393504</v>
      </c>
      <c r="F179" s="25">
        <f>openDomain_trans_full_FST1!W32</f>
        <v>0.22105975951638501</v>
      </c>
      <c r="G179" s="35">
        <f>openDomain_trans_full_FST1!X32</f>
        <v>-8.4147999636522992E-3</v>
      </c>
      <c r="H179" s="25"/>
      <c r="I179" s="27">
        <f>openDomain_trans_full_FST2!P32</f>
        <v>270</v>
      </c>
      <c r="J179" s="34">
        <f>openDomain_trans_full_FST2!S32</f>
        <v>-2.1041707380626672E-2</v>
      </c>
      <c r="K179" s="25">
        <f>openDomain_trans_full_FST2!T32</f>
        <v>-0.77673315272220544</v>
      </c>
      <c r="L179" s="25">
        <f>openDomain_trans_full_FST2!U32</f>
        <v>0.66796226976862993</v>
      </c>
      <c r="M179" s="25">
        <f>openDomain_trans_full_FST2!V32</f>
        <v>0.46498445416579315</v>
      </c>
      <c r="N179" s="25">
        <f>openDomain_trans_full_FST2!W32</f>
        <v>-2.5189235093218265</v>
      </c>
      <c r="O179" s="35">
        <f>openDomain_trans_full_FST2!X32</f>
        <v>-1.3959936700402589E-2</v>
      </c>
    </row>
    <row r="180" spans="1:23" x14ac:dyDescent="0.25">
      <c r="A180" s="27">
        <f>openDomain_trans_full_FST1!P33</f>
        <v>285</v>
      </c>
      <c r="B180" s="34">
        <f>openDomain_trans_full_FST1!S33</f>
        <v>0.19248992465203138</v>
      </c>
      <c r="C180" s="25">
        <f>openDomain_trans_full_FST1!T33</f>
        <v>-0.66014440598896518</v>
      </c>
      <c r="D180" s="25">
        <f>openDomain_trans_full_FST1!U33</f>
        <v>0.57861097797902494</v>
      </c>
      <c r="E180" s="25">
        <f>openDomain_trans_full_FST1!V33</f>
        <v>0.41657237396866331</v>
      </c>
      <c r="F180" s="25">
        <f>openDomain_trans_full_FST1!W33</f>
        <v>2.5747302541459662</v>
      </c>
      <c r="G180" s="35">
        <f>openDomain_trans_full_FST1!X33</f>
        <v>1.5804476799440675E-2</v>
      </c>
      <c r="H180" s="25"/>
      <c r="I180" s="27">
        <f>openDomain_trans_full_FST2!P33</f>
        <v>285</v>
      </c>
      <c r="J180" s="34">
        <f>openDomain_trans_full_FST2!S33</f>
        <v>0.19175249712288017</v>
      </c>
      <c r="K180" s="25">
        <f>openDomain_trans_full_FST2!T33</f>
        <v>-0.84135157522075121</v>
      </c>
      <c r="L180" s="25">
        <f>openDomain_trans_full_FST2!U33</f>
        <v>0.70243387563363568</v>
      </c>
      <c r="M180" s="25">
        <f>openDomain_trans_full_FST2!V33</f>
        <v>0.4811500345052418</v>
      </c>
      <c r="N180" s="25">
        <f>openDomain_trans_full_FST2!W33</f>
        <v>-0.72425918306860138</v>
      </c>
      <c r="O180" s="35">
        <f>openDomain_trans_full_FST2!X33</f>
        <v>1.9947457219154165E-2</v>
      </c>
    </row>
    <row r="181" spans="1:23" x14ac:dyDescent="0.25">
      <c r="A181" s="27">
        <f>openDomain_trans_full_FST1!P34</f>
        <v>300</v>
      </c>
      <c r="B181" s="34">
        <f>openDomain_trans_full_FST1!S34</f>
        <v>0.52549818144311999</v>
      </c>
      <c r="C181" s="25">
        <f>openDomain_trans_full_FST1!T34</f>
        <v>-0.59676821342242214</v>
      </c>
      <c r="D181" s="25">
        <f>openDomain_trans_full_FST1!U34</f>
        <v>0.5553682021013957</v>
      </c>
      <c r="E181" s="25">
        <f>openDomain_trans_full_FST1!V34</f>
        <v>0.38733640577986683</v>
      </c>
      <c r="F181" s="25">
        <f>openDomain_trans_full_FST1!W34</f>
        <v>3.6141572522360317</v>
      </c>
      <c r="G181" s="35">
        <f>openDomain_trans_full_FST1!X34</f>
        <v>2.3800315852072571E-2</v>
      </c>
      <c r="H181" s="25"/>
      <c r="I181" s="27">
        <f>openDomain_trans_full_FST2!P34</f>
        <v>300</v>
      </c>
      <c r="J181" s="34">
        <f>openDomain_trans_full_FST2!S34</f>
        <v>0.56024558117820777</v>
      </c>
      <c r="K181" s="25">
        <f>openDomain_trans_full_FST2!T34</f>
        <v>-0.83575230560626712</v>
      </c>
      <c r="L181" s="25">
        <f>openDomain_trans_full_FST2!U34</f>
        <v>0.74138614859537311</v>
      </c>
      <c r="M181" s="25">
        <f>openDomain_trans_full_FST2!V34</f>
        <v>0.49223737437081427</v>
      </c>
      <c r="N181" s="25">
        <f>openDomain_trans_full_FST2!W34</f>
        <v>2.1188141273666425</v>
      </c>
      <c r="O181" s="35">
        <f>openDomain_trans_full_FST2!X34</f>
        <v>7.0766997745163082E-2</v>
      </c>
    </row>
    <row r="182" spans="1:23" x14ac:dyDescent="0.25">
      <c r="A182" s="27">
        <f>openDomain_trans_full_FST1!P35</f>
        <v>315</v>
      </c>
      <c r="B182" s="34">
        <f>openDomain_trans_full_FST1!S35</f>
        <v>0.93957072829131671</v>
      </c>
      <c r="C182" s="25">
        <f>openDomain_trans_full_FST1!T35</f>
        <v>-0.45494385184702502</v>
      </c>
      <c r="D182" s="25">
        <f>openDomain_trans_full_FST1!U35</f>
        <v>0.44496610360147154</v>
      </c>
      <c r="E182" s="25">
        <f>openDomain_trans_full_FST1!V35</f>
        <v>0.30318841558843873</v>
      </c>
      <c r="F182" s="25">
        <f>openDomain_trans_full_FST1!W35</f>
        <v>2.9830482750312939</v>
      </c>
      <c r="G182" s="35">
        <f>openDomain_trans_full_FST1!X35</f>
        <v>1.5380890755937951E-2</v>
      </c>
      <c r="H182" s="25"/>
      <c r="I182" s="27">
        <f>openDomain_trans_full_FST2!P35</f>
        <v>315</v>
      </c>
      <c r="J182" s="34">
        <f>openDomain_trans_full_FST2!S35</f>
        <v>1.3800480913295552</v>
      </c>
      <c r="K182" s="25">
        <f>openDomain_trans_full_FST2!T35</f>
        <v>-0.67187122868001026</v>
      </c>
      <c r="L182" s="25">
        <f>openDomain_trans_full_FST2!U35</f>
        <v>0.57579926544087801</v>
      </c>
      <c r="M182" s="25">
        <f>openDomain_trans_full_FST2!V35</f>
        <v>0.41376567721469942</v>
      </c>
      <c r="N182" s="25">
        <f>openDomain_trans_full_FST2!W35</f>
        <v>2.5840381135034072</v>
      </c>
      <c r="O182" s="35">
        <f>openDomain_trans_full_FST2!X35</f>
        <v>6.166444222014919E-2</v>
      </c>
    </row>
    <row r="183" spans="1:23" x14ac:dyDescent="0.25">
      <c r="A183" s="27">
        <f>openDomain_trans_full_FST1!P36</f>
        <v>330</v>
      </c>
      <c r="B183" s="34">
        <f>openDomain_trans_full_FST1!S36</f>
        <v>0.88743928734284416</v>
      </c>
      <c r="C183" s="25">
        <f>openDomain_trans_full_FST1!T36</f>
        <v>-0.25658111519488919</v>
      </c>
      <c r="D183" s="25">
        <f>openDomain_trans_full_FST1!U36</f>
        <v>0.26603912470489749</v>
      </c>
      <c r="E183" s="25">
        <f>openDomain_trans_full_FST1!V36</f>
        <v>0.17111663334808438</v>
      </c>
      <c r="F183" s="25">
        <f>openDomain_trans_full_FST1!W36</f>
        <v>1.8908320505444796</v>
      </c>
      <c r="G183" s="35">
        <f>openDomain_trans_full_FST1!X36</f>
        <v>8.7775543499272746E-3</v>
      </c>
      <c r="H183" s="25"/>
      <c r="I183" s="27">
        <f>openDomain_trans_full_FST2!P36</f>
        <v>330</v>
      </c>
      <c r="J183" s="34">
        <f>openDomain_trans_full_FST2!S36</f>
        <v>1.7335813030638614</v>
      </c>
      <c r="K183" s="25">
        <f>openDomain_trans_full_FST2!T36</f>
        <v>-0.44307149507733667</v>
      </c>
      <c r="L183" s="25">
        <f>openDomain_trans_full_FST2!U36</f>
        <v>0.3489562902301756</v>
      </c>
      <c r="M183" s="25">
        <f>openDomain_trans_full_FST2!V36</f>
        <v>0.25132837681925363</v>
      </c>
      <c r="N183" s="25">
        <f>openDomain_trans_full_FST2!W36</f>
        <v>2.5603771766411545</v>
      </c>
      <c r="O183" s="35">
        <f>openDomain_trans_full_FST2!X36</f>
        <v>4.2229745864594825E-2</v>
      </c>
    </row>
    <row r="184" spans="1:23" x14ac:dyDescent="0.25">
      <c r="A184" s="27">
        <f>openDomain_trans_full_FST1!P37</f>
        <v>345</v>
      </c>
      <c r="B184" s="34">
        <f>openDomain_trans_full_FST1!S37</f>
        <v>0.53721282001172566</v>
      </c>
      <c r="C184" s="25">
        <f>openDomain_trans_full_FST1!T37</f>
        <v>-7.9410021944030185E-2</v>
      </c>
      <c r="D184" s="25">
        <f>openDomain_trans_full_FST1!U37</f>
        <v>0.13331311870584808</v>
      </c>
      <c r="E184" s="25">
        <f>openDomain_trans_full_FST1!V37</f>
        <v>5.0155627308771891E-2</v>
      </c>
      <c r="F184" s="25">
        <f>openDomain_trans_full_FST1!W37</f>
        <v>1.0634153191952667</v>
      </c>
      <c r="G184" s="35">
        <f>openDomain_trans_full_FST1!X37</f>
        <v>1.0297440250285222E-3</v>
      </c>
      <c r="H184" s="25"/>
      <c r="I184" s="27">
        <f>openDomain_trans_full_FST2!P37</f>
        <v>345</v>
      </c>
      <c r="J184" s="34">
        <f>openDomain_trans_full_FST2!S37</f>
        <v>1.5746462825440255</v>
      </c>
      <c r="K184" s="25">
        <f>openDomain_trans_full_FST2!T37</f>
        <v>-0.19129115118748957</v>
      </c>
      <c r="L184" s="25">
        <f>openDomain_trans_full_FST2!U37</f>
        <v>0.19811309656322873</v>
      </c>
      <c r="M184" s="25">
        <f>openDomain_trans_full_FST2!V37</f>
        <v>9.349360053729977E-2</v>
      </c>
      <c r="N184" s="25">
        <f>openDomain_trans_full_FST2!W37</f>
        <v>2.5618818873280742</v>
      </c>
      <c r="O184" s="35">
        <f>openDomain_trans_full_FST2!X37</f>
        <v>2.3214700154680024E-2</v>
      </c>
    </row>
    <row r="185" spans="1:23" x14ac:dyDescent="0.25">
      <c r="A185" s="29">
        <f>openDomain_trans_full_FST1!P38</f>
        <v>360</v>
      </c>
      <c r="B185" s="36">
        <f>openDomain_trans_full_FST1!S38</f>
        <v>0.24662048075043974</v>
      </c>
      <c r="C185" s="37">
        <f>openDomain_trans_full_FST1!T38</f>
        <v>3.296052655395813E-3</v>
      </c>
      <c r="D185" s="37">
        <f>openDomain_trans_full_FST1!U38</f>
        <v>5.1361805326364189E-2</v>
      </c>
      <c r="E185" s="37">
        <f>openDomain_trans_full_FST1!V38</f>
        <v>-1.1648627978374719E-3</v>
      </c>
      <c r="F185" s="37">
        <f>openDomain_trans_full_FST1!W38</f>
        <v>0.209658536984317</v>
      </c>
      <c r="G185" s="38">
        <f>openDomain_trans_full_FST1!X38</f>
        <v>-4.016012740831175E-4</v>
      </c>
      <c r="H185" s="28"/>
      <c r="I185" s="29">
        <f>openDomain_trans_full_FST2!P38</f>
        <v>360</v>
      </c>
      <c r="J185" s="36">
        <f>openDomain_trans_full_FST2!S38</f>
        <v>1.1365688825917966</v>
      </c>
      <c r="K185" s="37">
        <f>openDomain_trans_full_FST2!T38</f>
        <v>-1.7210341662862578E-2</v>
      </c>
      <c r="L185" s="37">
        <f>openDomain_trans_full_FST2!U38</f>
        <v>0.13216373031527123</v>
      </c>
      <c r="M185" s="37">
        <f>openDomain_trans_full_FST2!V38</f>
        <v>8.5347724716054174E-3</v>
      </c>
      <c r="N185" s="37">
        <f>openDomain_trans_full_FST2!W38</f>
        <v>2.2612990446407117</v>
      </c>
      <c r="O185" s="38">
        <f>openDomain_trans_full_FST2!X38</f>
        <v>1.3546954208619837E-3</v>
      </c>
    </row>
    <row r="187" spans="1:23" ht="15.75" customHeight="1" x14ac:dyDescent="0.25">
      <c r="A187" s="221" t="s">
        <v>88</v>
      </c>
      <c r="B187" s="221"/>
      <c r="C187" s="221"/>
      <c r="D187" s="221"/>
      <c r="E187" s="221"/>
      <c r="F187" s="221"/>
      <c r="G187" s="221"/>
      <c r="H187" s="13"/>
      <c r="I187" s="221" t="s">
        <v>89</v>
      </c>
      <c r="J187" s="221"/>
      <c r="K187" s="221"/>
      <c r="L187" s="221"/>
      <c r="M187" s="221"/>
      <c r="N187" s="221"/>
      <c r="O187" s="221"/>
      <c r="Q187" s="221" t="s">
        <v>268</v>
      </c>
      <c r="R187" s="221"/>
      <c r="S187" s="221"/>
      <c r="T187" s="221"/>
      <c r="U187" s="221"/>
      <c r="V187" s="221"/>
      <c r="W187" s="221"/>
    </row>
    <row r="188" spans="1:23" x14ac:dyDescent="0.25">
      <c r="A188" s="14" t="s">
        <v>55</v>
      </c>
      <c r="B188" s="15">
        <f>openDomain_trans_full_LNGC_FST1!S5</f>
        <v>1360</v>
      </c>
      <c r="C188" s="15">
        <f>openDomain_trans_full_LNGC_FST1!T5</f>
        <v>6322</v>
      </c>
      <c r="D188" s="15">
        <f>openDomain_trans_full_LNGC_FST1!U5</f>
        <v>8949</v>
      </c>
      <c r="E188" s="15">
        <f>openDomain_trans_full_LNGC_FST1!V5</f>
        <v>195355</v>
      </c>
      <c r="F188" s="15">
        <f>openDomain_trans_full_LNGC_FST1!W5</f>
        <v>21665</v>
      </c>
      <c r="G188" s="15">
        <f>openDomain_trans_full_LNGC_FST1!X5</f>
        <v>1293418</v>
      </c>
      <c r="H188" s="16"/>
      <c r="I188" s="14" t="s">
        <v>55</v>
      </c>
      <c r="J188" s="15">
        <f t="shared" ref="J188:O188" si="27">B188</f>
        <v>1360</v>
      </c>
      <c r="K188" s="15">
        <f t="shared" si="27"/>
        <v>6322</v>
      </c>
      <c r="L188" s="15">
        <f t="shared" si="27"/>
        <v>8949</v>
      </c>
      <c r="M188" s="15">
        <f t="shared" si="27"/>
        <v>195355</v>
      </c>
      <c r="N188" s="15">
        <f t="shared" si="27"/>
        <v>21665</v>
      </c>
      <c r="O188" s="15">
        <f t="shared" si="27"/>
        <v>1293418</v>
      </c>
      <c r="Q188" s="14" t="s">
        <v>55</v>
      </c>
      <c r="R188" s="15">
        <f>openDomain_trans_full_LNGC_LNGC!S5</f>
        <v>1658</v>
      </c>
      <c r="S188" s="15">
        <f>openDomain_trans_full_LNGC_LNGC!T5</f>
        <v>8133</v>
      </c>
      <c r="T188" s="15">
        <f>openDomain_trans_full_LNGC_LNGC!U5</f>
        <v>13570</v>
      </c>
      <c r="U188" s="15">
        <f>openDomain_trans_full_LNGC_LNGC!V5</f>
        <v>224223</v>
      </c>
      <c r="V188" s="15">
        <f>openDomain_trans_full_LNGC_LNGC!W5</f>
        <v>29877</v>
      </c>
      <c r="W188" s="15">
        <f>openDomain_trans_full_LNGC_LNGC!X5</f>
        <v>2399235</v>
      </c>
    </row>
    <row r="189" spans="1:23" x14ac:dyDescent="0.25">
      <c r="A189" s="17"/>
      <c r="B189" s="18" t="s">
        <v>57</v>
      </c>
      <c r="C189" s="18" t="s">
        <v>57</v>
      </c>
      <c r="D189" s="18" t="s">
        <v>57</v>
      </c>
      <c r="E189" s="18" t="s">
        <v>58</v>
      </c>
      <c r="F189" s="18" t="s">
        <v>58</v>
      </c>
      <c r="G189" s="18" t="s">
        <v>58</v>
      </c>
      <c r="H189" s="19"/>
      <c r="I189" s="17"/>
      <c r="J189" s="18" t="s">
        <v>57</v>
      </c>
      <c r="K189" s="18" t="s">
        <v>57</v>
      </c>
      <c r="L189" s="18" t="s">
        <v>57</v>
      </c>
      <c r="M189" s="18" t="s">
        <v>58</v>
      </c>
      <c r="N189" s="18" t="s">
        <v>58</v>
      </c>
      <c r="O189" s="18" t="s">
        <v>58</v>
      </c>
      <c r="Q189" s="17"/>
      <c r="R189" s="18" t="s">
        <v>57</v>
      </c>
      <c r="S189" s="18" t="s">
        <v>57</v>
      </c>
      <c r="T189" s="18" t="s">
        <v>57</v>
      </c>
      <c r="U189" s="18" t="s">
        <v>58</v>
      </c>
      <c r="V189" s="18" t="s">
        <v>58</v>
      </c>
      <c r="W189" s="18" t="s">
        <v>58</v>
      </c>
    </row>
    <row r="190" spans="1:23" ht="27" x14ac:dyDescent="0.25">
      <c r="A190" s="20" t="s">
        <v>59</v>
      </c>
      <c r="B190" s="21" t="s">
        <v>60</v>
      </c>
      <c r="C190" s="21" t="s">
        <v>61</v>
      </c>
      <c r="D190" s="21" t="s">
        <v>62</v>
      </c>
      <c r="E190" s="21" t="s">
        <v>63</v>
      </c>
      <c r="F190" s="21" t="s">
        <v>64</v>
      </c>
      <c r="G190" s="21" t="s">
        <v>65</v>
      </c>
      <c r="H190" s="13"/>
      <c r="I190" s="20" t="s">
        <v>59</v>
      </c>
      <c r="J190" s="21" t="s">
        <v>60</v>
      </c>
      <c r="K190" s="21" t="s">
        <v>61</v>
      </c>
      <c r="L190" s="21" t="s">
        <v>62</v>
      </c>
      <c r="M190" s="21" t="s">
        <v>63</v>
      </c>
      <c r="N190" s="21" t="s">
        <v>64</v>
      </c>
      <c r="O190" s="21" t="s">
        <v>65</v>
      </c>
      <c r="Q190" s="20" t="s">
        <v>59</v>
      </c>
      <c r="R190" s="21" t="s">
        <v>60</v>
      </c>
      <c r="S190" s="21" t="s">
        <v>61</v>
      </c>
      <c r="T190" s="21" t="s">
        <v>62</v>
      </c>
      <c r="U190" s="21" t="s">
        <v>63</v>
      </c>
      <c r="V190" s="21" t="s">
        <v>64</v>
      </c>
      <c r="W190" s="21" t="s">
        <v>65</v>
      </c>
    </row>
    <row r="191" spans="1:23" ht="67.5" x14ac:dyDescent="0.25">
      <c r="A191" s="22"/>
      <c r="B191" s="23" t="str">
        <f t="shared" ref="B191:G191" si="28">CONCATENATE($A$187,"-",B190)</f>
        <v>openDomain-trans-full-LNGC-FST1-Cx [-]</v>
      </c>
      <c r="C191" s="23" t="str">
        <f t="shared" si="28"/>
        <v>openDomain-trans-full-LNGC-FST1-Cy [-]</v>
      </c>
      <c r="D191" s="23" t="str">
        <f t="shared" si="28"/>
        <v>openDomain-trans-full-LNGC-FST1-Cz [-]</v>
      </c>
      <c r="E191" s="23" t="str">
        <f t="shared" si="28"/>
        <v>openDomain-trans-full-LNGC-FST1-Cnx [-]</v>
      </c>
      <c r="F191" s="23" t="str">
        <f t="shared" si="28"/>
        <v>openDomain-trans-full-LNGC-FST1-Cny [-]</v>
      </c>
      <c r="G191" s="23" t="str">
        <f t="shared" si="28"/>
        <v>openDomain-trans-full-LNGC-FST1-Cnz [-]</v>
      </c>
      <c r="H191" s="24"/>
      <c r="I191" s="22"/>
      <c r="J191" s="23" t="str">
        <f t="shared" ref="J191:O191" si="29">CONCATENATE($I$187,"-",J190)</f>
        <v>openDomain-trans-LNGC-full-FST2-Cx [-]</v>
      </c>
      <c r="K191" s="23" t="str">
        <f t="shared" si="29"/>
        <v>openDomain-trans-LNGC-full-FST2-Cy [-]</v>
      </c>
      <c r="L191" s="23" t="str">
        <f t="shared" si="29"/>
        <v>openDomain-trans-LNGC-full-FST2-Cz [-]</v>
      </c>
      <c r="M191" s="23" t="str">
        <f t="shared" si="29"/>
        <v>openDomain-trans-LNGC-full-FST2-Cnx [-]</v>
      </c>
      <c r="N191" s="23" t="str">
        <f t="shared" si="29"/>
        <v>openDomain-trans-LNGC-full-FST2-Cny [-]</v>
      </c>
      <c r="O191" s="23" t="str">
        <f t="shared" si="29"/>
        <v>openDomain-trans-LNGC-full-FST2-Cnz [-]</v>
      </c>
      <c r="Q191" s="22"/>
      <c r="R191" s="23" t="str">
        <f t="shared" ref="R191:W191" si="30">CONCATENATE($Q$187,"-",R190)</f>
        <v>openDomain-trans-LNGC-light-LNGC-Cx [-]</v>
      </c>
      <c r="S191" s="23" t="str">
        <f t="shared" si="30"/>
        <v>openDomain-trans-LNGC-light-LNGC-Cy [-]</v>
      </c>
      <c r="T191" s="23" t="str">
        <f t="shared" si="30"/>
        <v>openDomain-trans-LNGC-light-LNGC-Cz [-]</v>
      </c>
      <c r="U191" s="23" t="str">
        <f t="shared" si="30"/>
        <v>openDomain-trans-LNGC-light-LNGC-Cnx [-]</v>
      </c>
      <c r="V191" s="23" t="str">
        <f t="shared" si="30"/>
        <v>openDomain-trans-LNGC-light-LNGC-Cny [-]</v>
      </c>
      <c r="W191" s="23" t="str">
        <f t="shared" si="30"/>
        <v>openDomain-trans-LNGC-light-LNGC-Cnz [-]</v>
      </c>
    </row>
    <row r="192" spans="1:23" x14ac:dyDescent="0.25">
      <c r="A192" s="26">
        <f>openDomain_trans_LNGC_FST1!P14</f>
        <v>0</v>
      </c>
      <c r="B192" s="31">
        <f>openDomain_trans_full_LNGC_FST1!S14</f>
        <v>0.22947171736911826</v>
      </c>
      <c r="C192" s="32">
        <f>openDomain_trans_full_LNGC_FST1!T14</f>
        <v>-8.5419744535567468E-3</v>
      </c>
      <c r="D192" s="32">
        <f>openDomain_trans_full_LNGC_FST1!U14</f>
        <v>6.4734996199496589E-2</v>
      </c>
      <c r="E192" s="32">
        <f>openDomain_trans_full_LNGC_FST1!V14</f>
        <v>4.6323297491588028E-3</v>
      </c>
      <c r="F192" s="32">
        <f>openDomain_trans_full_LNGC_FST1!W14</f>
        <v>0.66161034620858905</v>
      </c>
      <c r="G192" s="33">
        <f>openDomain_trans_full_LNGC_FST1!X14</f>
        <v>-3.0732806185026942E-4</v>
      </c>
      <c r="H192" s="25"/>
      <c r="I192" s="26">
        <f>openDomain_trans_LNGC_FST2!P14</f>
        <v>0</v>
      </c>
      <c r="J192" s="31">
        <f>openDomain_trans_full_LNGC_FST2!S14</f>
        <v>1.2670801305018133</v>
      </c>
      <c r="K192" s="32">
        <f>openDomain_trans_full_LNGC_FST2!T14</f>
        <v>1.3004696052818888E-2</v>
      </c>
      <c r="L192" s="32">
        <f>openDomain_trans_full_LNGC_FST2!U14</f>
        <v>0.15416231703206734</v>
      </c>
      <c r="M192" s="32">
        <f>openDomain_trans_full_LNGC_FST2!V14</f>
        <v>-3.5599991039587295E-3</v>
      </c>
      <c r="N192" s="32">
        <f>openDomain_trans_full_LNGC_FST2!W14</f>
        <v>1.9489497386160637</v>
      </c>
      <c r="O192" s="33">
        <f>openDomain_trans_full_LNGC_FST2!X14</f>
        <v>-1.4694895785329797E-2</v>
      </c>
      <c r="Q192" s="26">
        <f>openDomain_trans_LNGC_LNGC!P14</f>
        <v>0</v>
      </c>
      <c r="R192" s="31">
        <f>openDomain_trans_full_LNGC_LNGC!S14</f>
        <v>0.62632738746465022</v>
      </c>
      <c r="S192" s="32">
        <f>openDomain_trans_full_LNGC_LNGC!T14</f>
        <v>-5.496424725937564E-2</v>
      </c>
      <c r="T192" s="32">
        <f>openDomain_trans_full_LNGC_LNGC!U14</f>
        <v>0.15345827399756212</v>
      </c>
      <c r="U192" s="32">
        <f>openDomain_trans_full_LNGC_LNGC!V14</f>
        <v>-3.2326688026479838E-2</v>
      </c>
      <c r="V192" s="32">
        <f>openDomain_trans_full_LNGC_LNGC!W14</f>
        <v>3.9815105869094669</v>
      </c>
      <c r="W192" s="33">
        <f>openDomain_trans_full_LNGC_LNGC!X14</f>
        <v>1.4582584571417348E-2</v>
      </c>
    </row>
    <row r="193" spans="1:23" x14ac:dyDescent="0.25">
      <c r="A193" s="26">
        <f>openDomain_trans_LNGC_FST1!P15</f>
        <v>15</v>
      </c>
      <c r="B193" s="34">
        <f>openDomain_trans_full_LNGC_FST1!S15</f>
        <v>0.87894524786658856</v>
      </c>
      <c r="C193" s="25">
        <f>openDomain_trans_full_LNGC_FST1!T15</f>
        <v>9.197071427812363E-2</v>
      </c>
      <c r="D193" s="25">
        <f>openDomain_trans_full_LNGC_FST1!U15</f>
        <v>5.9622715835986398E-2</v>
      </c>
      <c r="E193" s="25">
        <f>openDomain_trans_full_LNGC_FST1!V15</f>
        <v>-4.1272759923040601E-2</v>
      </c>
      <c r="F193" s="25">
        <f>openDomain_trans_full_LNGC_FST1!W15</f>
        <v>1.6528669429124674</v>
      </c>
      <c r="G193" s="35">
        <f>openDomain_trans_full_LNGC_FST1!X15</f>
        <v>7.3256668180541606E-3</v>
      </c>
      <c r="H193" s="25"/>
      <c r="I193" s="26">
        <f>openDomain_trans_LNGC_FST2!P15</f>
        <v>15</v>
      </c>
      <c r="J193" s="34">
        <f>openDomain_trans_full_LNGC_FST2!S15</f>
        <v>1.4721002703406945</v>
      </c>
      <c r="K193" s="25">
        <f>openDomain_trans_full_LNGC_FST2!T15</f>
        <v>7.6787123521966053E-2</v>
      </c>
      <c r="L193" s="25">
        <f>openDomain_trans_full_LNGC_FST2!U15</f>
        <v>0.19781811133439356</v>
      </c>
      <c r="M193" s="25">
        <f>openDomain_trans_full_LNGC_FST2!V15</f>
        <v>-3.6577755091418654E-2</v>
      </c>
      <c r="N193" s="25">
        <f>openDomain_trans_full_LNGC_FST2!W15</f>
        <v>2.3775155928597287</v>
      </c>
      <c r="O193" s="35">
        <f>openDomain_trans_full_LNGC_FST2!X15</f>
        <v>-1.4115942419659194E-2</v>
      </c>
      <c r="Q193" s="26">
        <f>openDomain_trans_LNGC_LNGC!P15</f>
        <v>15</v>
      </c>
      <c r="R193" s="34">
        <f>openDomain_trans_full_LNGC_LNGC!S15</f>
        <v>0.75780435674143432</v>
      </c>
      <c r="S193" s="25">
        <f>openDomain_trans_full_LNGC_LNGC!T15</f>
        <v>0.10321089898161777</v>
      </c>
      <c r="T193" s="25">
        <f>openDomain_trans_full_LNGC_LNGC!U15</f>
        <v>0.1888687910300908</v>
      </c>
      <c r="U193" s="25">
        <f>openDomain_trans_full_LNGC_LNGC!V15</f>
        <v>-0.17614986956630332</v>
      </c>
      <c r="V193" s="25">
        <f>openDomain_trans_full_LNGC_LNGC!W15</f>
        <v>3.7340604750672544</v>
      </c>
      <c r="W193" s="35">
        <f>openDomain_trans_full_LNGC_LNGC!X15</f>
        <v>-4.7638181489594304E-2</v>
      </c>
    </row>
    <row r="194" spans="1:23" x14ac:dyDescent="0.25">
      <c r="A194" s="26">
        <f>openDomain_trans_LNGC_FST1!P16</f>
        <v>30</v>
      </c>
      <c r="B194" s="34">
        <f>openDomain_trans_full_LNGC_FST1!S16</f>
        <v>0.4947437680498557</v>
      </c>
      <c r="C194" s="25">
        <f>openDomain_trans_full_LNGC_FST1!T16</f>
        <v>6.4875403896393735E-2</v>
      </c>
      <c r="D194" s="25">
        <f>openDomain_trans_full_LNGC_FST1!U16</f>
        <v>0.17459928397005947</v>
      </c>
      <c r="E194" s="25">
        <f>openDomain_trans_full_LNGC_FST1!V16</f>
        <v>-3.5334230035959091E-2</v>
      </c>
      <c r="F194" s="25">
        <f>openDomain_trans_full_LNGC_FST1!W16</f>
        <v>0.79207286155498646</v>
      </c>
      <c r="G194" s="35">
        <f>openDomain_trans_full_LNGC_FST1!X16</f>
        <v>1.4979899904156302E-2</v>
      </c>
      <c r="H194" s="25"/>
      <c r="I194" s="26">
        <f>openDomain_trans_LNGC_FST2!P16</f>
        <v>30</v>
      </c>
      <c r="J194" s="34">
        <f>openDomain_trans_full_LNGC_FST2!S16</f>
        <v>1.8137450328968798</v>
      </c>
      <c r="K194" s="25">
        <f>openDomain_trans_full_LNGC_FST2!T16</f>
        <v>0.14678159051068715</v>
      </c>
      <c r="L194" s="25">
        <f>openDomain_trans_full_LNGC_FST2!U16</f>
        <v>0.225425377330982</v>
      </c>
      <c r="M194" s="25">
        <f>openDomain_trans_full_LNGC_FST2!V16</f>
        <v>-7.7699588483314957E-2</v>
      </c>
      <c r="N194" s="25">
        <f>openDomain_trans_full_LNGC_FST2!W16</f>
        <v>3.1833716855466441</v>
      </c>
      <c r="O194" s="35">
        <f>openDomain_trans_full_LNGC_FST2!X16</f>
        <v>-2.5990902768138077E-2</v>
      </c>
      <c r="Q194" s="26">
        <f>openDomain_trans_LNGC_LNGC!P16</f>
        <v>30</v>
      </c>
      <c r="R194" s="34">
        <f>openDomain_trans_full_LNGC_LNGC!S16</f>
        <v>0.86739085770925761</v>
      </c>
      <c r="S194" s="25">
        <f>openDomain_trans_full_LNGC_LNGC!T16</f>
        <v>0.42850390587962761</v>
      </c>
      <c r="T194" s="25">
        <f>openDomain_trans_full_LNGC_LNGC!U16</f>
        <v>0.27584860313053494</v>
      </c>
      <c r="U194" s="25">
        <f>openDomain_trans_full_LNGC_LNGC!V16</f>
        <v>-0.39523477068565338</v>
      </c>
      <c r="V194" s="25">
        <f>openDomain_trans_full_LNGC_LNGC!W16</f>
        <v>4.5390109746503056</v>
      </c>
      <c r="W194" s="35">
        <f>openDomain_trans_full_LNGC_LNGC!X16</f>
        <v>-8.8965701108110459E-2</v>
      </c>
    </row>
    <row r="195" spans="1:23" x14ac:dyDescent="0.25">
      <c r="A195" s="26">
        <f>openDomain_trans_LNGC_FST1!P17</f>
        <v>45</v>
      </c>
      <c r="B195" s="34">
        <f>openDomain_trans_full_LNGC_FST1!S17</f>
        <v>0.49284817492888633</v>
      </c>
      <c r="C195" s="25">
        <f>openDomain_trans_full_LNGC_FST1!T17</f>
        <v>0.15116365253016151</v>
      </c>
      <c r="D195" s="25">
        <f>openDomain_trans_full_LNGC_FST1!U17</f>
        <v>0.22737211368915056</v>
      </c>
      <c r="E195" s="25">
        <f>openDomain_trans_full_LNGC_FST1!V17</f>
        <v>-6.2735858890468316E-2</v>
      </c>
      <c r="F195" s="25">
        <f>openDomain_trans_full_LNGC_FST1!W17</f>
        <v>2.0330763543698782</v>
      </c>
      <c r="G195" s="35">
        <f>openDomain_trans_full_LNGC_FST1!X17</f>
        <v>3.7186576969190095E-2</v>
      </c>
      <c r="H195" s="25"/>
      <c r="I195" s="26">
        <f>openDomain_trans_LNGC_FST2!P17</f>
        <v>45</v>
      </c>
      <c r="J195" s="34">
        <f>openDomain_trans_full_LNGC_FST2!S17</f>
        <v>1.3710172030052332</v>
      </c>
      <c r="K195" s="25">
        <f>openDomain_trans_full_LNGC_FST2!T17</f>
        <v>0.1091261240461891</v>
      </c>
      <c r="L195" s="25">
        <f>openDomain_trans_full_LNGC_FST2!U17</f>
        <v>0.32236523103872194</v>
      </c>
      <c r="M195" s="25">
        <f>openDomain_trans_full_LNGC_FST2!V17</f>
        <v>-7.097718408146593E-2</v>
      </c>
      <c r="N195" s="25">
        <f>openDomain_trans_full_LNGC_FST2!W17</f>
        <v>2.0348928273467162</v>
      </c>
      <c r="O195" s="35">
        <f>openDomain_trans_full_LNGC_FST2!X17</f>
        <v>-4.5632320175525994E-2</v>
      </c>
      <c r="Q195" s="26">
        <f>openDomain_trans_LNGC_LNGC!P17</f>
        <v>45</v>
      </c>
      <c r="R195" s="34">
        <f>openDomain_trans_full_LNGC_LNGC!S17</f>
        <v>0.65960473532134545</v>
      </c>
      <c r="S195" s="25">
        <f>openDomain_trans_full_LNGC_LNGC!T17</f>
        <v>0.74940707180917188</v>
      </c>
      <c r="T195" s="25">
        <f>openDomain_trans_full_LNGC_LNGC!U17</f>
        <v>0.33992447511814788</v>
      </c>
      <c r="U195" s="25">
        <f>openDomain_trans_full_LNGC_LNGC!V17</f>
        <v>-0.59359472573402972</v>
      </c>
      <c r="V195" s="25">
        <f>openDomain_trans_full_LNGC_LNGC!W17</f>
        <v>4.5098710718622126</v>
      </c>
      <c r="W195" s="35">
        <f>openDomain_trans_full_LNGC_LNGC!X17</f>
        <v>-0.13415503211151447</v>
      </c>
    </row>
    <row r="196" spans="1:23" x14ac:dyDescent="0.25">
      <c r="A196" s="26">
        <f>openDomain_trans_LNGC_FST1!P18</f>
        <v>60</v>
      </c>
      <c r="B196" s="34">
        <f>openDomain_trans_full_LNGC_FST1!S18</f>
        <v>0.47717670944346741</v>
      </c>
      <c r="C196" s="25">
        <f>openDomain_trans_full_LNGC_FST1!T18</f>
        <v>0.2012115332805724</v>
      </c>
      <c r="D196" s="25">
        <f>openDomain_trans_full_LNGC_FST1!U18</f>
        <v>0.22324795596357708</v>
      </c>
      <c r="E196" s="25">
        <f>openDomain_trans_full_LNGC_FST1!V18</f>
        <v>-8.4932742078365472E-2</v>
      </c>
      <c r="F196" s="25">
        <f>openDomain_trans_full_LNGC_FST1!W18</f>
        <v>1.2260316294881533</v>
      </c>
      <c r="G196" s="35">
        <f>openDomain_trans_full_LNGC_FST1!X18</f>
        <v>3.9135231189592508E-2</v>
      </c>
      <c r="H196" s="25"/>
      <c r="I196" s="26">
        <f>openDomain_trans_LNGC_FST2!P18</f>
        <v>60</v>
      </c>
      <c r="J196" s="34">
        <f>openDomain_trans_full_LNGC_FST2!S18</f>
        <v>0.86802196925281749</v>
      </c>
      <c r="K196" s="25">
        <f>openDomain_trans_full_LNGC_FST2!T18</f>
        <v>0.10213720910380049</v>
      </c>
      <c r="L196" s="25">
        <f>openDomain_trans_full_LNGC_FST2!U18</f>
        <v>0.41831201301860627</v>
      </c>
      <c r="M196" s="25">
        <f>openDomain_trans_full_LNGC_FST2!V18</f>
        <v>-7.8987922480412309E-2</v>
      </c>
      <c r="N196" s="25">
        <f>openDomain_trans_full_LNGC_FST2!W18</f>
        <v>1.3672719129855548</v>
      </c>
      <c r="O196" s="35">
        <f>openDomain_trans_full_LNGC_FST2!X18</f>
        <v>-3.1990396615705789E-2</v>
      </c>
      <c r="Q196" s="26">
        <f>openDomain_trans_LNGC_LNGC!P18</f>
        <v>60</v>
      </c>
      <c r="R196" s="34">
        <f>openDomain_trans_full_LNGC_LNGC!S18</f>
        <v>0.29731514617984733</v>
      </c>
      <c r="S196" s="25">
        <f>openDomain_trans_full_LNGC_LNGC!T18</f>
        <v>0.86816241447725595</v>
      </c>
      <c r="T196" s="25">
        <f>openDomain_trans_full_LNGC_LNGC!U18</f>
        <v>0.40264623095100727</v>
      </c>
      <c r="U196" s="25">
        <f>openDomain_trans_full_LNGC_LNGC!V18</f>
        <v>-0.70737527873768591</v>
      </c>
      <c r="V196" s="25">
        <f>openDomain_trans_full_LNGC_LNGC!W18</f>
        <v>3.7683270316875546</v>
      </c>
      <c r="W196" s="35">
        <f>openDomain_trans_full_LNGC_LNGC!X18</f>
        <v>-0.16655030001899607</v>
      </c>
    </row>
    <row r="197" spans="1:23" x14ac:dyDescent="0.25">
      <c r="A197" s="26">
        <f>openDomain_trans_LNGC_FST1!P19</f>
        <v>75</v>
      </c>
      <c r="B197" s="34">
        <f>openDomain_trans_full_LNGC_FST1!S19</f>
        <v>0.22629421536056288</v>
      </c>
      <c r="C197" s="25">
        <f>openDomain_trans_full_LNGC_FST1!T19</f>
        <v>0.26643814209001854</v>
      </c>
      <c r="D197" s="25">
        <f>openDomain_trans_full_LNGC_FST1!U19</f>
        <v>0.27843990726994416</v>
      </c>
      <c r="E197" s="25">
        <f>openDomain_trans_full_LNGC_FST1!V19</f>
        <v>-9.4877460092221783E-2</v>
      </c>
      <c r="F197" s="25">
        <f>openDomain_trans_full_LNGC_FST1!W19</f>
        <v>0.59104287620046081</v>
      </c>
      <c r="G197" s="35">
        <f>openDomain_trans_full_LNGC_FST1!X19</f>
        <v>7.0424792081617574E-2</v>
      </c>
      <c r="H197" s="25"/>
      <c r="I197" s="26">
        <f>openDomain_trans_LNGC_FST2!P19</f>
        <v>75</v>
      </c>
      <c r="J197" s="34">
        <f>openDomain_trans_full_LNGC_FST2!S19</f>
        <v>0.29746269515558166</v>
      </c>
      <c r="K197" s="25">
        <f>openDomain_trans_full_LNGC_FST2!T19</f>
        <v>8.6665606309080934E-2</v>
      </c>
      <c r="L197" s="25">
        <f>openDomain_trans_full_LNGC_FST2!U19</f>
        <v>0.43468323287687283</v>
      </c>
      <c r="M197" s="25">
        <f>openDomain_trans_full_LNGC_FST2!V19</f>
        <v>-6.5038778302336064E-2</v>
      </c>
      <c r="N197" s="25">
        <f>openDomain_trans_full_LNGC_FST2!W19</f>
        <v>1.105272071955105</v>
      </c>
      <c r="O197" s="35">
        <f>openDomain_trans_full_LNGC_FST2!X19</f>
        <v>-2.1221949273119049E-2</v>
      </c>
      <c r="Q197" s="26">
        <f>openDomain_trans_LNGC_LNGC!P19</f>
        <v>75</v>
      </c>
      <c r="R197" s="34">
        <f>openDomain_trans_full_LNGC_LNGC!S19</f>
        <v>-0.14454899252413772</v>
      </c>
      <c r="S197" s="25">
        <f>openDomain_trans_full_LNGC_LNGC!T19</f>
        <v>0.92405340941073921</v>
      </c>
      <c r="T197" s="25">
        <f>openDomain_trans_full_LNGC_LNGC!U19</f>
        <v>0.47554183671720651</v>
      </c>
      <c r="U197" s="25">
        <f>openDomain_trans_full_LNGC_LNGC!V19</f>
        <v>-0.80089393082932636</v>
      </c>
      <c r="V197" s="25">
        <f>openDomain_trans_full_LNGC_LNGC!W19</f>
        <v>-1.5258106236060034</v>
      </c>
      <c r="W197" s="35">
        <f>openDomain_trans_full_LNGC_LNGC!X19</f>
        <v>-9.3171626409037117E-2</v>
      </c>
    </row>
    <row r="198" spans="1:23" x14ac:dyDescent="0.25">
      <c r="A198" s="26">
        <f>openDomain_trans_LNGC_FST1!P20</f>
        <v>90</v>
      </c>
      <c r="B198" s="34">
        <f>openDomain_trans_full_LNGC_FST1!S20</f>
        <v>5.4212613727661611E-2</v>
      </c>
      <c r="C198" s="25">
        <f>openDomain_trans_full_LNGC_FST1!T20</f>
        <v>0.37659322172252291</v>
      </c>
      <c r="D198" s="25">
        <f>openDomain_trans_full_LNGC_FST1!U20</f>
        <v>0.32975146518512422</v>
      </c>
      <c r="E198" s="25">
        <f>openDomain_trans_full_LNGC_FST1!V20</f>
        <v>-0.11676709817327287</v>
      </c>
      <c r="F198" s="25">
        <f>openDomain_trans_full_LNGC_FST1!W20</f>
        <v>-0.92268203031547635</v>
      </c>
      <c r="G198" s="35">
        <f>openDomain_trans_full_LNGC_FST1!X20</f>
        <v>7.822515169445407E-2</v>
      </c>
      <c r="H198" s="25"/>
      <c r="I198" s="26">
        <f>openDomain_trans_LNGC_FST2!P20</f>
        <v>90</v>
      </c>
      <c r="J198" s="34">
        <f>openDomain_trans_full_LNGC_FST2!S20</f>
        <v>-0.23790551647015398</v>
      </c>
      <c r="K198" s="25">
        <f>openDomain_trans_full_LNGC_FST2!T20</f>
        <v>-9.6627421758047199E-2</v>
      </c>
      <c r="L198" s="25">
        <f>openDomain_trans_full_LNGC_FST2!U20</f>
        <v>0.49652820970941486</v>
      </c>
      <c r="M198" s="25">
        <f>openDomain_trans_full_LNGC_FST2!V20</f>
        <v>2.9428412495565739E-2</v>
      </c>
      <c r="N198" s="25">
        <f>openDomain_trans_full_LNGC_FST2!W20</f>
        <v>0.36449043724889996</v>
      </c>
      <c r="O198" s="35">
        <f>openDomain_trans_full_LNGC_FST2!X20</f>
        <v>-8.9987486810873859E-4</v>
      </c>
      <c r="Q198" s="26">
        <f>openDomain_trans_LNGC_LNGC!P20</f>
        <v>90</v>
      </c>
      <c r="R198" s="34">
        <f>openDomain_trans_full_LNGC_LNGC!S20</f>
        <v>-0.32885339980523309</v>
      </c>
      <c r="S198" s="25">
        <f>openDomain_trans_full_LNGC_LNGC!T20</f>
        <v>1.0736948907324553</v>
      </c>
      <c r="T198" s="25">
        <f>openDomain_trans_full_LNGC_LNGC!U20</f>
        <v>0.49059707304971317</v>
      </c>
      <c r="U198" s="25">
        <f>openDomain_trans_full_LNGC_LNGC!V20</f>
        <v>-0.84084889534287344</v>
      </c>
      <c r="V198" s="25">
        <f>openDomain_trans_full_LNGC_LNGC!W20</f>
        <v>-5.4540416645863408</v>
      </c>
      <c r="W198" s="35">
        <f>openDomain_trans_full_LNGC_LNGC!X20</f>
        <v>-2.0085378041739422E-2</v>
      </c>
    </row>
    <row r="199" spans="1:23" x14ac:dyDescent="0.25">
      <c r="A199" s="26">
        <f>openDomain_trans_LNGC_FST1!P21</f>
        <v>105</v>
      </c>
      <c r="B199" s="34">
        <f>openDomain_trans_full_LNGC_FST1!S21</f>
        <v>-0.52758505960523749</v>
      </c>
      <c r="C199" s="25">
        <f>openDomain_trans_full_LNGC_FST1!T21</f>
        <v>0.50563748336038539</v>
      </c>
      <c r="D199" s="25">
        <f>openDomain_trans_full_LNGC_FST1!U21</f>
        <v>0.3667254493811184</v>
      </c>
      <c r="E199" s="25">
        <f>openDomain_trans_full_LNGC_FST1!V21</f>
        <v>-0.15544657641611251</v>
      </c>
      <c r="F199" s="25">
        <f>openDomain_trans_full_LNGC_FST1!W21</f>
        <v>-1.9629039020549925</v>
      </c>
      <c r="G199" s="35">
        <f>openDomain_trans_full_LNGC_FST1!X21</f>
        <v>7.4713826011644557E-2</v>
      </c>
      <c r="H199" s="25"/>
      <c r="I199" s="26">
        <f>openDomain_trans_LNGC_FST2!P21</f>
        <v>105</v>
      </c>
      <c r="J199" s="34">
        <f>openDomain_trans_full_LNGC_FST2!S21</f>
        <v>-0.16238510520487268</v>
      </c>
      <c r="K199" s="25">
        <f>openDomain_trans_full_LNGC_FST2!T21</f>
        <v>-6.5486805146097546E-2</v>
      </c>
      <c r="L199" s="25">
        <f>openDomain_trans_full_LNGC_FST2!U21</f>
        <v>0.39758620864609068</v>
      </c>
      <c r="M199" s="25">
        <f>openDomain_trans_full_LNGC_FST2!V21</f>
        <v>1.3202890396343224E-2</v>
      </c>
      <c r="N199" s="25">
        <f>openDomain_trans_full_LNGC_FST2!W21</f>
        <v>-0.23434926973256401</v>
      </c>
      <c r="O199" s="35">
        <f>openDomain_trans_full_LNGC_FST2!X21</f>
        <v>2.1020900150785929E-3</v>
      </c>
      <c r="Q199" s="26">
        <f>openDomain_trans_LNGC_LNGC!P21</f>
        <v>105</v>
      </c>
      <c r="R199" s="34">
        <f>openDomain_trans_full_LNGC_LNGC!S21</f>
        <v>-0.38086949145523502</v>
      </c>
      <c r="S199" s="25">
        <f>openDomain_trans_full_LNGC_LNGC!T21</f>
        <v>1.0166406516760373</v>
      </c>
      <c r="T199" s="25">
        <f>openDomain_trans_full_LNGC_LNGC!U21</f>
        <v>0.4629845562418784</v>
      </c>
      <c r="U199" s="25">
        <f>openDomain_trans_full_LNGC_LNGC!V21</f>
        <v>-0.79050024200137325</v>
      </c>
      <c r="V199" s="25">
        <f>openDomain_trans_full_LNGC_LNGC!W21</f>
        <v>-7.6714727918611754</v>
      </c>
      <c r="W199" s="35">
        <f>openDomain_trans_full_LNGC_LNGC!X21</f>
        <v>2.2468959282973981E-2</v>
      </c>
    </row>
    <row r="200" spans="1:23" x14ac:dyDescent="0.25">
      <c r="A200" s="26">
        <f>openDomain_trans_LNGC_FST1!P22</f>
        <v>120</v>
      </c>
      <c r="B200" s="34">
        <f>openDomain_trans_full_LNGC_FST1!S22</f>
        <v>-1.1663326330532215</v>
      </c>
      <c r="C200" s="25">
        <f>openDomain_trans_full_LNGC_FST1!T22</f>
        <v>0.57389705702890381</v>
      </c>
      <c r="D200" s="25">
        <f>openDomain_trans_full_LNGC_FST1!U22</f>
        <v>0.3581539770854415</v>
      </c>
      <c r="E200" s="25">
        <f>openDomain_trans_full_LNGC_FST1!V22</f>
        <v>-0.17948982289759396</v>
      </c>
      <c r="F200" s="25">
        <f>openDomain_trans_full_LNGC_FST1!W22</f>
        <v>-2.6257753654617102</v>
      </c>
      <c r="G200" s="35">
        <f>openDomain_trans_full_LNGC_FST1!X22</f>
        <v>9.8662806116342872E-2</v>
      </c>
      <c r="H200" s="25"/>
      <c r="I200" s="26">
        <f>openDomain_trans_LNGC_FST2!P22</f>
        <v>120</v>
      </c>
      <c r="J200" s="34">
        <f>openDomain_trans_full_LNGC_FST2!S22</f>
        <v>-0.459482883851215</v>
      </c>
      <c r="K200" s="25">
        <f>openDomain_trans_full_LNGC_FST2!T22</f>
        <v>-1.9742573672372164E-3</v>
      </c>
      <c r="L200" s="25">
        <f>openDomain_trans_full_LNGC_FST2!U22</f>
        <v>0.32404538477977896</v>
      </c>
      <c r="M200" s="25">
        <f>openDomain_trans_full_LNGC_FST2!V22</f>
        <v>-3.1853900300707637E-2</v>
      </c>
      <c r="N200" s="25">
        <f>openDomain_trans_full_LNGC_FST2!W22</f>
        <v>0.23199497363158617</v>
      </c>
      <c r="O200" s="35">
        <f>openDomain_trans_full_LNGC_FST2!X22</f>
        <v>1.0665784428295133E-2</v>
      </c>
      <c r="Q200" s="26">
        <f>openDomain_trans_LNGC_LNGC!P22</f>
        <v>120</v>
      </c>
      <c r="R200" s="34">
        <f>openDomain_trans_full_LNGC_LNGC!S22</f>
        <v>-0.47648112154410022</v>
      </c>
      <c r="S200" s="25">
        <f>openDomain_trans_full_LNGC_LNGC!T22</f>
        <v>0.80910469207999514</v>
      </c>
      <c r="T200" s="25">
        <f>openDomain_trans_full_LNGC_LNGC!U22</f>
        <v>0.46216774620366685</v>
      </c>
      <c r="U200" s="25">
        <f>openDomain_trans_full_LNGC_LNGC!V22</f>
        <v>-0.69834869819348933</v>
      </c>
      <c r="V200" s="25">
        <f>openDomain_trans_full_LNGC_LNGC!W22</f>
        <v>-7.6933521784091452</v>
      </c>
      <c r="W200" s="35">
        <f>openDomain_trans_full_LNGC_LNGC!X22</f>
        <v>3.6471115570450581E-2</v>
      </c>
    </row>
    <row r="201" spans="1:23" x14ac:dyDescent="0.25">
      <c r="A201" s="26">
        <f>openDomain_trans_LNGC_FST1!P23</f>
        <v>135</v>
      </c>
      <c r="B201" s="34">
        <f>openDomain_trans_full_LNGC_FST1!S23</f>
        <v>-2.0292843462966585</v>
      </c>
      <c r="C201" s="25">
        <f>openDomain_trans_full_LNGC_FST1!T23</f>
        <v>0.48300309734187746</v>
      </c>
      <c r="D201" s="25">
        <f>openDomain_trans_full_LNGC_FST1!U23</f>
        <v>0.31031175677801132</v>
      </c>
      <c r="E201" s="25">
        <f>openDomain_trans_full_LNGC_FST1!V23</f>
        <v>-0.18171584696510756</v>
      </c>
      <c r="F201" s="25">
        <f>openDomain_trans_full_LNGC_FST1!W23</f>
        <v>-2.5032894667679098</v>
      </c>
      <c r="G201" s="35">
        <f>openDomain_trans_full_LNGC_FST1!X23</f>
        <v>7.8975510645764774E-2</v>
      </c>
      <c r="H201" s="25"/>
      <c r="I201" s="26">
        <f>openDomain_trans_LNGC_FST2!P23</f>
        <v>135</v>
      </c>
      <c r="J201" s="34">
        <f>openDomain_trans_full_LNGC_FST2!S23</f>
        <v>-1.2547820446007862</v>
      </c>
      <c r="K201" s="25">
        <f>openDomain_trans_full_LNGC_FST2!T23</f>
        <v>0.14981499329277118</v>
      </c>
      <c r="L201" s="25">
        <f>openDomain_trans_full_LNGC_FST2!U23</f>
        <v>0.20400060537459289</v>
      </c>
      <c r="M201" s="25">
        <f>openDomain_trans_full_LNGC_FST2!V23</f>
        <v>-0.10133677547719844</v>
      </c>
      <c r="N201" s="25">
        <f>openDomain_trans_full_LNGC_FST2!W23</f>
        <v>-1.1818580064553907</v>
      </c>
      <c r="O201" s="35">
        <f>openDomain_trans_full_LNGC_FST2!X23</f>
        <v>3.3972195593518252E-2</v>
      </c>
      <c r="Q201" s="26">
        <f>openDomain_trans_LNGC_LNGC!P23</f>
        <v>135</v>
      </c>
      <c r="R201" s="34">
        <f>openDomain_trans_full_LNGC_LNGC!S23</f>
        <v>-0.66519958713327032</v>
      </c>
      <c r="S201" s="25">
        <f>openDomain_trans_full_LNGC_LNGC!T23</f>
        <v>0.50906049968371436</v>
      </c>
      <c r="T201" s="25">
        <f>openDomain_trans_full_LNGC_LNGC!U23</f>
        <v>0.38032311574753014</v>
      </c>
      <c r="U201" s="25">
        <f>openDomain_trans_full_LNGC_LNGC!V23</f>
        <v>-0.54172044225727289</v>
      </c>
      <c r="V201" s="25">
        <f>openDomain_trans_full_LNGC_LNGC!W23</f>
        <v>-5.858689420273917</v>
      </c>
      <c r="W201" s="35">
        <f>openDomain_trans_full_LNGC_LNGC!X23</f>
        <v>6.3561293852584091E-2</v>
      </c>
    </row>
    <row r="202" spans="1:23" x14ac:dyDescent="0.25">
      <c r="A202" s="26">
        <f>openDomain_trans_LNGC_FST1!P24</f>
        <v>150</v>
      </c>
      <c r="B202" s="34">
        <f>openDomain_trans_full_LNGC_FST1!S24</f>
        <v>-2.44477660521573</v>
      </c>
      <c r="C202" s="25">
        <f>openDomain_trans_full_LNGC_FST1!T24</f>
        <v>0.34892755807472237</v>
      </c>
      <c r="D202" s="25">
        <f>openDomain_trans_full_LNGC_FST1!U24</f>
        <v>0.23164119914823517</v>
      </c>
      <c r="E202" s="25">
        <f>openDomain_trans_full_LNGC_FST1!V24</f>
        <v>-0.14525873300350059</v>
      </c>
      <c r="F202" s="25">
        <f>openDomain_trans_full_LNGC_FST1!W24</f>
        <v>-1.7895887658791714</v>
      </c>
      <c r="G202" s="35">
        <f>openDomain_trans_full_LNGC_FST1!X24</f>
        <v>5.072069025386227E-2</v>
      </c>
      <c r="H202" s="25"/>
      <c r="I202" s="26">
        <f>openDomain_trans_LNGC_FST2!P24</f>
        <v>150</v>
      </c>
      <c r="J202" s="34">
        <f>openDomain_trans_full_LNGC_FST2!S24</f>
        <v>-1.3046603532886025</v>
      </c>
      <c r="K202" s="25">
        <f>openDomain_trans_full_LNGC_FST2!T24</f>
        <v>0.13757330510072874</v>
      </c>
      <c r="L202" s="25">
        <f>openDomain_trans_full_LNGC_FST2!U24</f>
        <v>0.14949039429825903</v>
      </c>
      <c r="M202" s="25">
        <f>openDomain_trans_full_LNGC_FST2!V24</f>
        <v>-7.734350054848517E-2</v>
      </c>
      <c r="N202" s="25">
        <f>openDomain_trans_full_LNGC_FST2!W24</f>
        <v>-1.8892247913780233</v>
      </c>
      <c r="O202" s="35">
        <f>openDomain_trans_full_LNGC_FST2!X24</f>
        <v>1.0321668956104191E-2</v>
      </c>
      <c r="Q202" s="26">
        <f>openDomain_trans_LNGC_LNGC!P24</f>
        <v>150</v>
      </c>
      <c r="R202" s="34">
        <f>openDomain_trans_full_LNGC_LNGC!S24</f>
        <v>-0.67973825353632911</v>
      </c>
      <c r="S202" s="25">
        <f>openDomain_trans_full_LNGC_LNGC!T24</f>
        <v>0.30464061917829088</v>
      </c>
      <c r="T202" s="25">
        <f>openDomain_trans_full_LNGC_LNGC!U24</f>
        <v>0.2609981309062045</v>
      </c>
      <c r="U202" s="25">
        <f>openDomain_trans_full_LNGC_LNGC!V24</f>
        <v>-0.36213435753123663</v>
      </c>
      <c r="V202" s="25">
        <f>openDomain_trans_full_LNGC_LNGC!W24</f>
        <v>-3.9372584542607223</v>
      </c>
      <c r="W202" s="35">
        <f>openDomain_trans_full_LNGC_LNGC!X24</f>
        <v>4.4806958288460166E-2</v>
      </c>
    </row>
    <row r="203" spans="1:23" x14ac:dyDescent="0.25">
      <c r="A203" s="26">
        <f>openDomain_trans_LNGC_FST1!P25</f>
        <v>165</v>
      </c>
      <c r="B203" s="34">
        <f>openDomain_trans_full_LNGC_FST1!S25</f>
        <v>-2.1914143975419629</v>
      </c>
      <c r="C203" s="25">
        <f>openDomain_trans_full_LNGC_FST1!T25</f>
        <v>0.17000765139086102</v>
      </c>
      <c r="D203" s="25">
        <f>openDomain_trans_full_LNGC_FST1!U25</f>
        <v>0.13048205777532429</v>
      </c>
      <c r="E203" s="25">
        <f>openDomain_trans_full_LNGC_FST1!V25</f>
        <v>-7.3580065534402703E-2</v>
      </c>
      <c r="F203" s="25">
        <f>openDomain_trans_full_LNGC_FST1!W25</f>
        <v>-1.7618847896724659</v>
      </c>
      <c r="G203" s="35">
        <f>openDomain_trans_full_LNGC_FST1!X25</f>
        <v>1.4786461761926842E-2</v>
      </c>
      <c r="H203" s="25"/>
      <c r="I203" s="26">
        <f>openDomain_trans_LNGC_FST2!P25</f>
        <v>165</v>
      </c>
      <c r="J203" s="34">
        <f>openDomain_trans_full_LNGC_FST2!S25</f>
        <v>-0.9346186947647277</v>
      </c>
      <c r="K203" s="25">
        <f>openDomain_trans_full_LNGC_FST2!T25</f>
        <v>7.4858822379477469E-2</v>
      </c>
      <c r="L203" s="25">
        <f>openDomain_trans_full_LNGC_FST2!U25</f>
        <v>0.13112633622437242</v>
      </c>
      <c r="M203" s="25">
        <f>openDomain_trans_full_LNGC_FST2!V25</f>
        <v>-3.8877357147623623E-2</v>
      </c>
      <c r="N203" s="25">
        <f>openDomain_trans_full_LNGC_FST2!W25</f>
        <v>-1.6704829677246664</v>
      </c>
      <c r="O203" s="35">
        <f>openDomain_trans_full_LNGC_FST2!X25</f>
        <v>-1.0383674230146711E-3</v>
      </c>
      <c r="Q203" s="26">
        <f>openDomain_trans_LNGC_LNGC!P25</f>
        <v>165</v>
      </c>
      <c r="R203" s="34">
        <f>openDomain_trans_full_LNGC_LNGC!S25</f>
        <v>-0.65976800737033015</v>
      </c>
      <c r="S203" s="25">
        <f>openDomain_trans_full_LNGC_LNGC!T25</f>
        <v>0.11332964511144708</v>
      </c>
      <c r="T203" s="25">
        <f>openDomain_trans_full_LNGC_LNGC!U25</f>
        <v>0.15079918598802597</v>
      </c>
      <c r="U203" s="25">
        <f>openDomain_trans_full_LNGC_LNGC!V25</f>
        <v>-0.16577110803478884</v>
      </c>
      <c r="V203" s="25">
        <f>openDomain_trans_full_LNGC_LNGC!W25</f>
        <v>-3.0624290507779328</v>
      </c>
      <c r="W203" s="35">
        <f>openDomain_trans_full_LNGC_LNGC!X25</f>
        <v>2.3777583448270339E-2</v>
      </c>
    </row>
    <row r="204" spans="1:23" x14ac:dyDescent="0.25">
      <c r="A204" s="26">
        <f>openDomain_trans_LNGC_FST1!P26</f>
        <v>180</v>
      </c>
      <c r="B204" s="34">
        <f>openDomain_trans_full_LNGC_FST1!S26</f>
        <v>-1.348732943565023</v>
      </c>
      <c r="C204" s="25">
        <f>openDomain_trans_full_LNGC_FST1!T26</f>
        <v>1.1289059667185519E-2</v>
      </c>
      <c r="D204" s="25">
        <f>openDomain_trans_full_LNGC_FST1!U26</f>
        <v>8.7172857339616272E-2</v>
      </c>
      <c r="E204" s="25">
        <f>openDomain_trans_full_LNGC_FST1!V26</f>
        <v>-1.0495613484000162E-2</v>
      </c>
      <c r="F204" s="25">
        <f>openDomain_trans_full_LNGC_FST1!W26</f>
        <v>-1.5828608719113502</v>
      </c>
      <c r="G204" s="35">
        <f>openDomain_trans_full_LNGC_FST1!X26</f>
        <v>-1.303632992011076E-3</v>
      </c>
      <c r="H204" s="25"/>
      <c r="I204" s="26">
        <f>openDomain_trans_LNGC_FST2!P26</f>
        <v>180</v>
      </c>
      <c r="J204" s="34">
        <f>openDomain_trans_full_LNGC_FST2!S26</f>
        <v>-0.32513584348468072</v>
      </c>
      <c r="K204" s="25">
        <f>openDomain_trans_full_LNGC_FST2!T26</f>
        <v>-5.7300182444565667E-4</v>
      </c>
      <c r="L204" s="25">
        <f>openDomain_trans_full_LNGC_FST2!U26</f>
        <v>9.223075298806771E-2</v>
      </c>
      <c r="M204" s="25">
        <f>openDomain_trans_full_LNGC_FST2!V26</f>
        <v>-8.0524722675273889E-3</v>
      </c>
      <c r="N204" s="25">
        <f>openDomain_trans_full_LNGC_FST2!W26</f>
        <v>-0.42205670476227969</v>
      </c>
      <c r="O204" s="35">
        <f>openDomain_trans_full_LNGC_FST2!X26</f>
        <v>-6.7380365421283652E-4</v>
      </c>
      <c r="Q204" s="26">
        <f>openDomain_trans_LNGC_LNGC!P26</f>
        <v>180</v>
      </c>
      <c r="R204" s="34">
        <f>openDomain_trans_full_LNGC_LNGC!S26</f>
        <v>-0.74547449617301231</v>
      </c>
      <c r="S204" s="25">
        <f>openDomain_trans_full_LNGC_LNGC!T26</f>
        <v>-6.2961242761024883E-3</v>
      </c>
      <c r="T204" s="25">
        <f>openDomain_trans_full_LNGC_LNGC!U26</f>
        <v>0.10693572694854593</v>
      </c>
      <c r="U204" s="25">
        <f>openDomain_trans_full_LNGC_LNGC!V26</f>
        <v>-5.3696075688189231E-2</v>
      </c>
      <c r="V204" s="25">
        <f>openDomain_trans_full_LNGC_LNGC!W26</f>
        <v>-2.1085764589165281</v>
      </c>
      <c r="W204" s="35">
        <f>openDomain_trans_full_LNGC_LNGC!X26</f>
        <v>-1.3173880905189447E-2</v>
      </c>
    </row>
    <row r="205" spans="1:23" x14ac:dyDescent="0.25">
      <c r="A205" s="27">
        <f>openDomain_trans_LNGC_FST1!P27</f>
        <v>195</v>
      </c>
      <c r="B205" s="34">
        <f>openDomain_trans_full_LNGC_FST1!S27</f>
        <v>-1.5874232460426034</v>
      </c>
      <c r="C205" s="25">
        <f>openDomain_trans_full_LNGC_FST1!T27</f>
        <v>-0.16322056990950412</v>
      </c>
      <c r="D205" s="25">
        <f>openDomain_trans_full_LNGC_FST1!U27</f>
        <v>0.15625363710466114</v>
      </c>
      <c r="E205" s="25">
        <f>openDomain_trans_full_LNGC_FST1!V27</f>
        <v>8.5709793376794366E-2</v>
      </c>
      <c r="F205" s="25">
        <f>openDomain_trans_full_LNGC_FST1!W27</f>
        <v>-2.1573267585026774</v>
      </c>
      <c r="G205" s="35">
        <f>openDomain_trans_full_LNGC_FST1!X27</f>
        <v>-2.009899720684849E-2</v>
      </c>
      <c r="H205" s="25"/>
      <c r="I205" s="27">
        <f>openDomain_trans_LNGC_FST2!P27</f>
        <v>195</v>
      </c>
      <c r="J205" s="34">
        <f>openDomain_trans_full_LNGC_FST2!S27</f>
        <v>-0.53768971076802818</v>
      </c>
      <c r="K205" s="25">
        <f>openDomain_trans_full_LNGC_FST2!T27</f>
        <v>-6.6479145697453126E-2</v>
      </c>
      <c r="L205" s="25">
        <f>openDomain_trans_full_LNGC_FST2!U27</f>
        <v>0.12427601121502223</v>
      </c>
      <c r="M205" s="25">
        <f>openDomain_trans_full_LNGC_FST2!V27</f>
        <v>4.257547963410338E-2</v>
      </c>
      <c r="N205" s="25">
        <f>openDomain_trans_full_LNGC_FST2!W27</f>
        <v>-0.82516126966747694</v>
      </c>
      <c r="O205" s="35">
        <f>openDomain_trans_full_LNGC_FST2!X27</f>
        <v>6.0968114940810399E-4</v>
      </c>
      <c r="Q205" s="27">
        <f>openDomain_trans_LNGC_LNGC!P27</f>
        <v>195</v>
      </c>
      <c r="R205" s="34">
        <f>openDomain_trans_full_LNGC_LNGC!S27</f>
        <v>-0.14322372238185632</v>
      </c>
      <c r="S205" s="25">
        <f>openDomain_trans_full_LNGC_LNGC!T27</f>
        <v>-7.0180445552272652E-2</v>
      </c>
      <c r="T205" s="25">
        <f>openDomain_trans_full_LNGC_LNGC!U27</f>
        <v>0.10175186290519363</v>
      </c>
      <c r="U205" s="25">
        <f>openDomain_trans_full_LNGC_LNGC!V27</f>
        <v>-1.4604362775893423E-2</v>
      </c>
      <c r="V205" s="25">
        <f>openDomain_trans_full_LNGC_LNGC!W27</f>
        <v>-0.56599845165597307</v>
      </c>
      <c r="W205" s="35">
        <f>openDomain_trans_full_LNGC_LNGC!X27</f>
        <v>-4.8440423496839006E-3</v>
      </c>
    </row>
    <row r="206" spans="1:23" x14ac:dyDescent="0.25">
      <c r="A206" s="27">
        <f>openDomain_trans_LNGC_FST1!P28</f>
        <v>210</v>
      </c>
      <c r="B206" s="34">
        <f>openDomain_trans_full_LNGC_FST1!S28</f>
        <v>-1.7146336177882007</v>
      </c>
      <c r="C206" s="25">
        <f>openDomain_trans_full_LNGC_FST1!T28</f>
        <v>-0.41383793041555161</v>
      </c>
      <c r="D206" s="25">
        <f>openDomain_trans_full_LNGC_FST1!U28</f>
        <v>0.30273969457622568</v>
      </c>
      <c r="E206" s="25">
        <f>openDomain_trans_full_LNGC_FST1!V28</f>
        <v>0.23526065121585027</v>
      </c>
      <c r="F206" s="25">
        <f>openDomain_trans_full_LNGC_FST1!W28</f>
        <v>-2.58626113278839</v>
      </c>
      <c r="G206" s="35">
        <f>openDomain_trans_full_LNGC_FST1!X28</f>
        <v>-4.3887235057252685E-2</v>
      </c>
      <c r="H206" s="25"/>
      <c r="I206" s="27">
        <f>openDomain_trans_LNGC_FST2!P28</f>
        <v>210</v>
      </c>
      <c r="J206" s="34">
        <f>openDomain_trans_full_LNGC_FST2!S28</f>
        <v>-0.82207062514928464</v>
      </c>
      <c r="K206" s="25">
        <f>openDomain_trans_full_LNGC_FST2!T28</f>
        <v>-0.22770129773521403</v>
      </c>
      <c r="L206" s="25">
        <f>openDomain_trans_full_LNGC_FST2!U28</f>
        <v>0.24107387001383218</v>
      </c>
      <c r="M206" s="25">
        <f>openDomain_trans_full_LNGC_FST2!V28</f>
        <v>0.1513567422131307</v>
      </c>
      <c r="N206" s="25">
        <f>openDomain_trans_full_LNGC_FST2!W28</f>
        <v>-1.7141582803413538</v>
      </c>
      <c r="O206" s="35">
        <f>openDomain_trans_full_LNGC_FST2!X28</f>
        <v>-5.513126017053829E-3</v>
      </c>
      <c r="Q206" s="27">
        <f>openDomain_trans_LNGC_LNGC!P28</f>
        <v>210</v>
      </c>
      <c r="R206" s="34">
        <f>openDomain_trans_full_LNGC_LNGC!S28</f>
        <v>-8.3047234322797495E-2</v>
      </c>
      <c r="S206" s="25">
        <f>openDomain_trans_full_LNGC_LNGC!T28</f>
        <v>-5.4535292439095211E-2</v>
      </c>
      <c r="T206" s="25">
        <f>openDomain_trans_full_LNGC_LNGC!U28</f>
        <v>0.1677628457014243</v>
      </c>
      <c r="U206" s="25">
        <f>openDomain_trans_full_LNGC_LNGC!V28</f>
        <v>-5.6415155977047694E-2</v>
      </c>
      <c r="V206" s="25">
        <f>openDomain_trans_full_LNGC_LNGC!W28</f>
        <v>-0.91687138505722621</v>
      </c>
      <c r="W206" s="35">
        <f>openDomain_trans_full_LNGC_LNGC!X28</f>
        <v>2.1373354346460455E-3</v>
      </c>
    </row>
    <row r="207" spans="1:23" x14ac:dyDescent="0.25">
      <c r="A207" s="27">
        <f>openDomain_trans_LNGC_FST1!P29</f>
        <v>225</v>
      </c>
      <c r="B207" s="34">
        <f>openDomain_trans_full_LNGC_FST1!S29</f>
        <v>-1.4197112620241896</v>
      </c>
      <c r="C207" s="25">
        <f>openDomain_trans_full_LNGC_FST1!T29</f>
        <v>-0.63499165902636989</v>
      </c>
      <c r="D207" s="25">
        <f>openDomain_trans_full_LNGC_FST1!U29</f>
        <v>0.51116255722668813</v>
      </c>
      <c r="E207" s="25">
        <f>openDomain_trans_full_LNGC_FST1!V29</f>
        <v>0.38866500687398009</v>
      </c>
      <c r="F207" s="25">
        <f>openDomain_trans_full_LNGC_FST1!W29</f>
        <v>-2.5665448080723823</v>
      </c>
      <c r="G207" s="35">
        <f>openDomain_trans_full_LNGC_FST1!X29</f>
        <v>-6.3469593790180814E-2</v>
      </c>
      <c r="H207" s="25"/>
      <c r="I207" s="27">
        <f>openDomain_trans_LNGC_FST2!P29</f>
        <v>225</v>
      </c>
      <c r="J207" s="34">
        <f>openDomain_trans_full_LNGC_FST2!S29</f>
        <v>-0.83633968471109399</v>
      </c>
      <c r="K207" s="25">
        <f>openDomain_trans_full_LNGC_FST2!T29</f>
        <v>-0.39424465929531299</v>
      </c>
      <c r="L207" s="25">
        <f>openDomain_trans_full_LNGC_FST2!U29</f>
        <v>0.36968295011298391</v>
      </c>
      <c r="M207" s="25">
        <f>openDomain_trans_full_LNGC_FST2!V29</f>
        <v>0.26099698717932551</v>
      </c>
      <c r="N207" s="25">
        <f>openDomain_trans_full_LNGC_FST2!W29</f>
        <v>-2.6730104997428463</v>
      </c>
      <c r="O207" s="35">
        <f>openDomain_trans_full_LNGC_FST2!X29</f>
        <v>-1.0250973900322029E-2</v>
      </c>
      <c r="Q207" s="27">
        <f>openDomain_trans_LNGC_LNGC!P29</f>
        <v>225</v>
      </c>
      <c r="R207" s="34">
        <f>openDomain_trans_full_LNGC_LNGC!S29</f>
        <v>3.3051322024026601E-2</v>
      </c>
      <c r="S207" s="25">
        <f>openDomain_trans_full_LNGC_LNGC!T29</f>
        <v>-8.0670096268219346E-2</v>
      </c>
      <c r="T207" s="25">
        <f>openDomain_trans_full_LNGC_LNGC!U29</f>
        <v>0.25024086310730931</v>
      </c>
      <c r="U207" s="25">
        <f>openDomain_trans_full_LNGC_LNGC!V29</f>
        <v>-7.713119908294376E-2</v>
      </c>
      <c r="V207" s="25">
        <f>openDomain_trans_full_LNGC_LNGC!W29</f>
        <v>-1.7173068591931981</v>
      </c>
      <c r="W207" s="35">
        <f>openDomain_trans_full_LNGC_LNGC!X29</f>
        <v>3.669915063511889E-3</v>
      </c>
    </row>
    <row r="208" spans="1:23" x14ac:dyDescent="0.25">
      <c r="A208" s="27">
        <f>openDomain_trans_LNGC_FST1!P30</f>
        <v>240</v>
      </c>
      <c r="B208" s="34">
        <f>openDomain_trans_full_LNGC_FST1!S30</f>
        <v>-0.83238998002301712</v>
      </c>
      <c r="C208" s="25">
        <f>openDomain_trans_full_LNGC_FST1!T30</f>
        <v>-0.8197742757950377</v>
      </c>
      <c r="D208" s="25">
        <f>openDomain_trans_full_LNGC_FST1!U30</f>
        <v>0.73411501317027994</v>
      </c>
      <c r="E208" s="25">
        <f>openDomain_trans_full_LNGC_FST1!V30</f>
        <v>0.49252995898022461</v>
      </c>
      <c r="F208" s="25">
        <f>openDomain_trans_full_LNGC_FST1!W30</f>
        <v>-0.52182724678455128</v>
      </c>
      <c r="G208" s="35">
        <f>openDomain_trans_full_LNGC_FST1!X30</f>
        <v>-5.2750170170299863E-2</v>
      </c>
      <c r="H208" s="25"/>
      <c r="I208" s="27">
        <f>openDomain_trans_LNGC_FST2!P30</f>
        <v>240</v>
      </c>
      <c r="J208" s="34">
        <f>openDomain_trans_full_LNGC_FST2!S30</f>
        <v>-0.39606838859574844</v>
      </c>
      <c r="K208" s="25">
        <f>openDomain_trans_full_LNGC_FST2!T30</f>
        <v>-0.51225821015142914</v>
      </c>
      <c r="L208" s="25">
        <f>openDomain_trans_full_LNGC_FST2!U30</f>
        <v>0.47394552313402544</v>
      </c>
      <c r="M208" s="25">
        <f>openDomain_trans_full_LNGC_FST2!V30</f>
        <v>0.33448130845532009</v>
      </c>
      <c r="N208" s="25">
        <f>openDomain_trans_full_LNGC_FST2!W30</f>
        <v>-2.9931109282876096</v>
      </c>
      <c r="O208" s="35">
        <f>openDomain_trans_full_LNGC_FST2!X30</f>
        <v>-7.5524883110639224E-3</v>
      </c>
      <c r="Q208" s="27">
        <f>openDomain_trans_LNGC_LNGC!P30</f>
        <v>240</v>
      </c>
      <c r="R208" s="34">
        <f>openDomain_trans_full_LNGC_LNGC!S30</f>
        <v>0.12823259019993669</v>
      </c>
      <c r="S208" s="25">
        <f>openDomain_trans_full_LNGC_LNGC!T30</f>
        <v>-1.5089160245071134E-2</v>
      </c>
      <c r="T208" s="25">
        <f>openDomain_trans_full_LNGC_LNGC!U30</f>
        <v>0.28852802076541179</v>
      </c>
      <c r="U208" s="25">
        <f>openDomain_trans_full_LNGC_LNGC!V30</f>
        <v>-0.13297712899056205</v>
      </c>
      <c r="V208" s="25">
        <f>openDomain_trans_full_LNGC_LNGC!W30</f>
        <v>-2.4414245558259275</v>
      </c>
      <c r="W208" s="35">
        <f>openDomain_trans_full_LNGC_LNGC!X30</f>
        <v>8.0264431494380221E-3</v>
      </c>
    </row>
    <row r="209" spans="1:23" x14ac:dyDescent="0.25">
      <c r="A209" s="27">
        <f>openDomain_trans_LNGC_FST1!P31</f>
        <v>255</v>
      </c>
      <c r="B209" s="34">
        <f>openDomain_trans_full_LNGC_FST1!S31</f>
        <v>-0.29052933576531392</v>
      </c>
      <c r="C209" s="25">
        <f>openDomain_trans_full_LNGC_FST1!T31</f>
        <v>-0.80572084872048833</v>
      </c>
      <c r="D209" s="25">
        <f>openDomain_trans_full_LNGC_FST1!U31</f>
        <v>0.73203634590516853</v>
      </c>
      <c r="E209" s="25">
        <f>openDomain_trans_full_LNGC_FST1!V31</f>
        <v>0.47561656991943541</v>
      </c>
      <c r="F209" s="25">
        <f>openDomain_trans_full_LNGC_FST1!W31</f>
        <v>1.6554726446714492</v>
      </c>
      <c r="G209" s="35">
        <f>openDomain_trans_full_LNGC_FST1!X31</f>
        <v>-2.4336572237763695E-2</v>
      </c>
      <c r="H209" s="25"/>
      <c r="I209" s="27">
        <f>openDomain_trans_LNGC_FST2!P31</f>
        <v>255</v>
      </c>
      <c r="J209" s="34">
        <f>openDomain_trans_full_LNGC_FST2!S31</f>
        <v>-0.18722450763251039</v>
      </c>
      <c r="K209" s="25">
        <f>openDomain_trans_full_LNGC_FST2!T31</f>
        <v>-0.66696100348131282</v>
      </c>
      <c r="L209" s="25">
        <f>openDomain_trans_full_LNGC_FST2!U31</f>
        <v>0.57695848106251257</v>
      </c>
      <c r="M209" s="25">
        <f>openDomain_trans_full_LNGC_FST2!V31</f>
        <v>0.40859309708662922</v>
      </c>
      <c r="N209" s="25">
        <f>openDomain_trans_full_LNGC_FST2!W31</f>
        <v>-2.7286805822102171</v>
      </c>
      <c r="O209" s="35">
        <f>openDomain_trans_full_LNGC_FST2!X31</f>
        <v>-1.3175584946365932E-2</v>
      </c>
      <c r="Q209" s="27">
        <f>openDomain_trans_LNGC_LNGC!P31</f>
        <v>255</v>
      </c>
      <c r="R209" s="34">
        <f>openDomain_trans_full_LNGC_LNGC!S31</f>
        <v>0.15045823665118419</v>
      </c>
      <c r="S209" s="25">
        <f>openDomain_trans_full_LNGC_LNGC!T31</f>
        <v>8.0368225791437015E-2</v>
      </c>
      <c r="T209" s="25">
        <f>openDomain_trans_full_LNGC_LNGC!U31</f>
        <v>0.29718170252111403</v>
      </c>
      <c r="U209" s="25">
        <f>openDomain_trans_full_LNGC_LNGC!V31</f>
        <v>-0.16930764647868335</v>
      </c>
      <c r="V209" s="25">
        <f>openDomain_trans_full_LNGC_LNGC!W31</f>
        <v>-1.9646218161868612</v>
      </c>
      <c r="W209" s="35">
        <f>openDomain_trans_full_LNGC_LNGC!X31</f>
        <v>1.562788722761662E-2</v>
      </c>
    </row>
    <row r="210" spans="1:23" x14ac:dyDescent="0.25">
      <c r="A210" s="27">
        <f>openDomain_trans_LNGC_FST1!P32</f>
        <v>270</v>
      </c>
      <c r="B210" s="34">
        <f>openDomain_trans_full_LNGC_FST1!S32</f>
        <v>3.3142477145897124E-2</v>
      </c>
      <c r="C210" s="25">
        <f>openDomain_trans_full_LNGC_FST1!T32</f>
        <v>-0.71462192354705034</v>
      </c>
      <c r="D210" s="25">
        <f>openDomain_trans_full_LNGC_FST1!U32</f>
        <v>0.6581237067058272</v>
      </c>
      <c r="E210" s="25">
        <f>openDomain_trans_full_LNGC_FST1!V32</f>
        <v>0.43789602722189264</v>
      </c>
      <c r="F210" s="25">
        <f>openDomain_trans_full_LNGC_FST1!W32</f>
        <v>2.2085090767268327</v>
      </c>
      <c r="G210" s="35">
        <f>openDomain_trans_full_LNGC_FST1!X32</f>
        <v>1.8114993312356262E-2</v>
      </c>
      <c r="H210" s="25"/>
      <c r="I210" s="27">
        <f>openDomain_trans_LNGC_FST2!P32</f>
        <v>270</v>
      </c>
      <c r="J210" s="34">
        <f>openDomain_trans_full_LNGC_FST2!S32</f>
        <v>-1.0178175146027405E-2</v>
      </c>
      <c r="K210" s="25">
        <f>openDomain_trans_full_LNGC_FST2!T32</f>
        <v>-0.66399794398065481</v>
      </c>
      <c r="L210" s="25">
        <f>openDomain_trans_full_LNGC_FST2!U32</f>
        <v>0.60841441232073423</v>
      </c>
      <c r="M210" s="25">
        <f>openDomain_trans_full_LNGC_FST2!V32</f>
        <v>0.41647398807023661</v>
      </c>
      <c r="N210" s="25">
        <f>openDomain_trans_full_LNGC_FST2!W32</f>
        <v>-1.8078758534709674</v>
      </c>
      <c r="O210" s="35">
        <f>openDomain_trans_full_LNGC_FST2!X32</f>
        <v>-1.4202039784838302E-2</v>
      </c>
      <c r="Q210" s="27">
        <f>openDomain_trans_LNGC_LNGC!P32</f>
        <v>270</v>
      </c>
      <c r="R210" s="34">
        <f>openDomain_trans_full_LNGC_LNGC!S32</f>
        <v>-1.1730397847322134E-2</v>
      </c>
      <c r="S210" s="25">
        <f>openDomain_trans_full_LNGC_LNGC!T32</f>
        <v>-5.2146346792619952E-2</v>
      </c>
      <c r="T210" s="25">
        <f>openDomain_trans_full_LNGC_LNGC!U32</f>
        <v>0.30286304528723684</v>
      </c>
      <c r="U210" s="25">
        <f>openDomain_trans_full_LNGC_LNGC!V32</f>
        <v>-8.6483635715404475E-2</v>
      </c>
      <c r="V210" s="25">
        <f>openDomain_trans_full_LNGC_LNGC!W32</f>
        <v>-2.1200866676296406</v>
      </c>
      <c r="W210" s="35">
        <f>openDomain_trans_full_LNGC_LNGC!X32</f>
        <v>4.1155297813131916E-2</v>
      </c>
    </row>
    <row r="211" spans="1:23" x14ac:dyDescent="0.25">
      <c r="A211" s="27">
        <f>openDomain_trans_LNGC_FST1!P33</f>
        <v>285</v>
      </c>
      <c r="B211" s="34">
        <f>openDomain_trans_full_LNGC_FST1!S33</f>
        <v>0.26343013484463557</v>
      </c>
      <c r="C211" s="25">
        <f>openDomain_trans_full_LNGC_FST1!T33</f>
        <v>-0.63703161885890347</v>
      </c>
      <c r="D211" s="25">
        <f>openDomain_trans_full_LNGC_FST1!U33</f>
        <v>0.54181808971976519</v>
      </c>
      <c r="E211" s="25">
        <f>openDomain_trans_full_LNGC_FST1!V33</f>
        <v>0.39926413753821588</v>
      </c>
      <c r="F211" s="25">
        <f>openDomain_trans_full_LNGC_FST1!W33</f>
        <v>2.5792994585067754</v>
      </c>
      <c r="G211" s="35">
        <f>openDomain_trans_full_LNGC_FST1!X33</f>
        <v>1.4245589171026861E-2</v>
      </c>
      <c r="H211" s="25"/>
      <c r="I211" s="27">
        <f>openDomain_trans_LNGC_FST2!P33</f>
        <v>285</v>
      </c>
      <c r="J211" s="34">
        <f>openDomain_trans_full_LNGC_FST2!S33</f>
        <v>0.22702823920265786</v>
      </c>
      <c r="K211" s="25">
        <f>openDomain_trans_full_LNGC_FST2!T33</f>
        <v>-0.68886518032093114</v>
      </c>
      <c r="L211" s="25">
        <f>openDomain_trans_full_LNGC_FST2!U33</f>
        <v>0.61810923810456053</v>
      </c>
      <c r="M211" s="25">
        <f>openDomain_trans_full_LNGC_FST2!V33</f>
        <v>0.42046020271526019</v>
      </c>
      <c r="N211" s="25">
        <f>openDomain_trans_full_LNGC_FST2!W33</f>
        <v>-1.231286180374894</v>
      </c>
      <c r="O211" s="35">
        <f>openDomain_trans_full_LNGC_FST2!X33</f>
        <v>2.5260510537264715E-2</v>
      </c>
      <c r="Q211" s="27">
        <f>openDomain_trans_LNGC_LNGC!P33</f>
        <v>285</v>
      </c>
      <c r="R211" s="34">
        <f>openDomain_trans_full_LNGC_LNGC!S33</f>
        <v>0.12282865362787938</v>
      </c>
      <c r="S211" s="25">
        <f>openDomain_trans_full_LNGC_LNGC!T33</f>
        <v>-0.16047680275914944</v>
      </c>
      <c r="T211" s="25">
        <f>openDomain_trans_full_LNGC_LNGC!U33</f>
        <v>0.33619548310946917</v>
      </c>
      <c r="U211" s="25">
        <f>openDomain_trans_full_LNGC_LNGC!V33</f>
        <v>-5.7837433195144464E-2</v>
      </c>
      <c r="V211" s="25">
        <f>openDomain_trans_full_LNGC_LNGC!W33</f>
        <v>-1.1914270687745192</v>
      </c>
      <c r="W211" s="35">
        <f>openDomain_trans_full_LNGC_LNGC!X33</f>
        <v>4.6616983560581422E-2</v>
      </c>
    </row>
    <row r="212" spans="1:23" x14ac:dyDescent="0.25">
      <c r="A212" s="27">
        <f>openDomain_trans_LNGC_FST1!P34</f>
        <v>300</v>
      </c>
      <c r="B212" s="34">
        <f>openDomain_trans_full_LNGC_FST1!S34</f>
        <v>0.65867372375306721</v>
      </c>
      <c r="C212" s="25">
        <f>openDomain_trans_full_LNGC_FST1!T34</f>
        <v>-0.52466151762628443</v>
      </c>
      <c r="D212" s="25">
        <f>openDomain_trans_full_LNGC_FST1!U34</f>
        <v>0.50406853718176026</v>
      </c>
      <c r="E212" s="25">
        <f>openDomain_trans_full_LNGC_FST1!V34</f>
        <v>0.35381886109998856</v>
      </c>
      <c r="F212" s="25">
        <f>openDomain_trans_full_LNGC_FST1!W34</f>
        <v>2.5536609567973416</v>
      </c>
      <c r="G212" s="35">
        <f>openDomain_trans_full_LNGC_FST1!X34</f>
        <v>9.5157347307516429E-3</v>
      </c>
      <c r="H212" s="25"/>
      <c r="I212" s="27">
        <f>openDomain_trans_LNGC_FST2!P34</f>
        <v>300</v>
      </c>
      <c r="J212" s="34">
        <f>openDomain_trans_full_LNGC_FST2!S34</f>
        <v>1.0188078518229</v>
      </c>
      <c r="K212" s="25">
        <f>openDomain_trans_full_LNGC_FST2!T34</f>
        <v>-0.64359197650303646</v>
      </c>
      <c r="L212" s="25">
        <f>openDomain_trans_full_LNGC_FST2!U34</f>
        <v>0.54052799174816191</v>
      </c>
      <c r="M212" s="25">
        <f>openDomain_trans_full_LNGC_FST2!V34</f>
        <v>0.41943190152003806</v>
      </c>
      <c r="N212" s="25">
        <f>openDomain_trans_full_LNGC_FST2!W34</f>
        <v>-0.36896555583072799</v>
      </c>
      <c r="O212" s="35">
        <f>openDomain_trans_full_LNGC_FST2!X34</f>
        <v>3.5301204520192954E-2</v>
      </c>
      <c r="Q212" s="27">
        <f>openDomain_trans_LNGC_LNGC!P34</f>
        <v>300</v>
      </c>
      <c r="R212" s="34">
        <f>openDomain_trans_full_LNGC_LNGC!S34</f>
        <v>0.45481888322043179</v>
      </c>
      <c r="S212" s="25">
        <f>openDomain_trans_full_LNGC_LNGC!T34</f>
        <v>-0.24167618201588334</v>
      </c>
      <c r="T212" s="25">
        <f>openDomain_trans_full_LNGC_LNGC!U34</f>
        <v>0.33613311125093276</v>
      </c>
      <c r="U212" s="25">
        <f>openDomain_trans_full_LNGC_LNGC!V34</f>
        <v>-9.5560978853141595E-5</v>
      </c>
      <c r="V212" s="25">
        <f>openDomain_trans_full_LNGC_LNGC!W34</f>
        <v>1.455738689819351</v>
      </c>
      <c r="W212" s="35">
        <f>openDomain_trans_full_LNGC_LNGC!X34</f>
        <v>7.1605648645282349E-2</v>
      </c>
    </row>
    <row r="213" spans="1:23" x14ac:dyDescent="0.25">
      <c r="A213" s="27">
        <f>openDomain_trans_LNGC_FST1!P35</f>
        <v>315</v>
      </c>
      <c r="B213" s="34">
        <f>openDomain_trans_full_LNGC_FST1!S35</f>
        <v>0.98869480815582067</v>
      </c>
      <c r="C213" s="25">
        <f>openDomain_trans_full_LNGC_FST1!T35</f>
        <v>-0.42226056325774552</v>
      </c>
      <c r="D213" s="25">
        <f>openDomain_trans_full_LNGC_FST1!U35</f>
        <v>0.39880025612509695</v>
      </c>
      <c r="E213" s="25">
        <f>openDomain_trans_full_LNGC_FST1!V35</f>
        <v>0.2832340603691651</v>
      </c>
      <c r="F213" s="25">
        <f>openDomain_trans_full_LNGC_FST1!W35</f>
        <v>2.4993184568162969</v>
      </c>
      <c r="G213" s="35">
        <f>openDomain_trans_full_LNGC_FST1!X35</f>
        <v>1.3563271283856732E-2</v>
      </c>
      <c r="H213" s="25"/>
      <c r="I213" s="27">
        <f>openDomain_trans_LNGC_FST2!P35</f>
        <v>315</v>
      </c>
      <c r="J213" s="34">
        <f>openDomain_trans_full_LNGC_FST2!S35</f>
        <v>1.5898889160315293</v>
      </c>
      <c r="K213" s="25">
        <f>openDomain_trans_full_LNGC_FST2!T35</f>
        <v>-0.45907912731636463</v>
      </c>
      <c r="L213" s="25">
        <f>openDomain_trans_full_LNGC_FST2!U35</f>
        <v>0.35062075274098448</v>
      </c>
      <c r="M213" s="25">
        <f>openDomain_trans_full_LNGC_FST2!V35</f>
        <v>0.31583847214041505</v>
      </c>
      <c r="N213" s="25">
        <f>openDomain_trans_full_LNGC_FST2!W35</f>
        <v>8.0275739415000588E-2</v>
      </c>
      <c r="O213" s="35">
        <f>openDomain_trans_full_LNGC_FST2!X35</f>
        <v>3.0084686034022295E-2</v>
      </c>
      <c r="Q213" s="27">
        <f>openDomain_trans_LNGC_LNGC!P35</f>
        <v>315</v>
      </c>
      <c r="R213" s="34">
        <f>openDomain_trans_full_LNGC_LNGC!S35</f>
        <v>0.57415235637273965</v>
      </c>
      <c r="S213" s="25">
        <f>openDomain_trans_full_LNGC_LNGC!T35</f>
        <v>-0.29038886685305676</v>
      </c>
      <c r="T213" s="25">
        <f>openDomain_trans_full_LNGC_LNGC!U35</f>
        <v>0.32379174307209824</v>
      </c>
      <c r="U213" s="25">
        <f>openDomain_trans_full_LNGC_LNGC!V35</f>
        <v>1.831745227360411E-2</v>
      </c>
      <c r="V213" s="25">
        <f>openDomain_trans_full_LNGC_LNGC!W35</f>
        <v>3.1659015533269281</v>
      </c>
      <c r="W213" s="35">
        <f>openDomain_trans_full_LNGC_LNGC!X35</f>
        <v>9.1428311966638212E-2</v>
      </c>
    </row>
    <row r="214" spans="1:23" x14ac:dyDescent="0.25">
      <c r="A214" s="27">
        <f>openDomain_trans_LNGC_FST1!P36</f>
        <v>330</v>
      </c>
      <c r="B214" s="34">
        <f>openDomain_trans_full_LNGC_FST1!S36</f>
        <v>0.84016065185764244</v>
      </c>
      <c r="C214" s="25">
        <f>openDomain_trans_full_LNGC_FST1!T36</f>
        <v>-0.24393186665326042</v>
      </c>
      <c r="D214" s="25">
        <f>openDomain_trans_full_LNGC_FST1!U36</f>
        <v>0.25948546954542173</v>
      </c>
      <c r="E214" s="25">
        <f>openDomain_trans_full_LNGC_FST1!V36</f>
        <v>0.16196049355548015</v>
      </c>
      <c r="F214" s="25">
        <f>openDomain_trans_full_LNGC_FST1!W36</f>
        <v>1.8198368348804754</v>
      </c>
      <c r="G214" s="35">
        <f>openDomain_trans_full_LNGC_FST1!X36</f>
        <v>6.6146322381068273E-3</v>
      </c>
      <c r="H214" s="25"/>
      <c r="I214" s="27">
        <f>openDomain_trans_LNGC_FST2!P36</f>
        <v>330</v>
      </c>
      <c r="J214" s="34">
        <f>openDomain_trans_full_LNGC_FST2!S36</f>
        <v>1.8686717531974033</v>
      </c>
      <c r="K214" s="25">
        <f>openDomain_trans_full_LNGC_FST2!T36</f>
        <v>-0.33642357385116151</v>
      </c>
      <c r="L214" s="25">
        <f>openDomain_trans_full_LNGC_FST2!U36</f>
        <v>0.27280165307358162</v>
      </c>
      <c r="M214" s="25">
        <f>openDomain_trans_full_LNGC_FST2!V36</f>
        <v>0.20433264989873384</v>
      </c>
      <c r="N214" s="25">
        <f>openDomain_trans_full_LNGC_FST2!W36</f>
        <v>0.78703114619005121</v>
      </c>
      <c r="O214" s="35">
        <f>openDomain_trans_full_LNGC_FST2!X36</f>
        <v>2.1850040127152436E-2</v>
      </c>
      <c r="Q214" s="27">
        <f>openDomain_trans_LNGC_LNGC!P36</f>
        <v>330</v>
      </c>
      <c r="R214" s="34">
        <f>openDomain_trans_full_LNGC_LNGC!S36</f>
        <v>0.61665369556243965</v>
      </c>
      <c r="S214" s="25">
        <f>openDomain_trans_full_LNGC_LNGC!T36</f>
        <v>-0.21476275215425794</v>
      </c>
      <c r="T214" s="25">
        <f>openDomain_trans_full_LNGC_LNGC!U36</f>
        <v>0.3003416412933988</v>
      </c>
      <c r="U214" s="25">
        <f>openDomain_trans_full_LNGC_LNGC!V36</f>
        <v>-2.0987085071913832E-2</v>
      </c>
      <c r="V214" s="25">
        <f>openDomain_trans_full_LNGC_LNGC!W36</f>
        <v>3.6801664748441421</v>
      </c>
      <c r="W214" s="35">
        <f>openDomain_trans_full_LNGC_LNGC!X36</f>
        <v>7.311964869926936E-2</v>
      </c>
    </row>
    <row r="215" spans="1:23" x14ac:dyDescent="0.25">
      <c r="A215" s="27">
        <f>openDomain_trans_LNGC_FST1!P37</f>
        <v>345</v>
      </c>
      <c r="B215" s="34">
        <f>openDomain_trans_full_LNGC_FST1!S37</f>
        <v>0.51382889279742916</v>
      </c>
      <c r="C215" s="25">
        <f>openDomain_trans_full_LNGC_FST1!T37</f>
        <v>-7.689551121906206E-2</v>
      </c>
      <c r="D215" s="25">
        <f>openDomain_trans_full_LNGC_FST1!U37</f>
        <v>0.13214855470115902</v>
      </c>
      <c r="E215" s="25">
        <f>openDomain_trans_full_LNGC_FST1!V37</f>
        <v>4.744085656632583E-2</v>
      </c>
      <c r="F215" s="25">
        <f>openDomain_trans_full_LNGC_FST1!W37</f>
        <v>1.1309819293536254</v>
      </c>
      <c r="G215" s="35">
        <f>openDomain_trans_full_LNGC_FST1!X37</f>
        <v>-2.7757975526942607E-4</v>
      </c>
      <c r="H215" s="25"/>
      <c r="I215" s="27">
        <f>openDomain_trans_LNGC_FST2!P37</f>
        <v>345</v>
      </c>
      <c r="J215" s="34">
        <f>openDomain_trans_full_LNGC_FST2!S37</f>
        <v>1.7486560538944262</v>
      </c>
      <c r="K215" s="25">
        <f>openDomain_trans_full_LNGC_FST2!T37</f>
        <v>-0.1296383993785464</v>
      </c>
      <c r="L215" s="25">
        <f>openDomain_trans_full_LNGC_FST2!U37</f>
        <v>0.18887146271346664</v>
      </c>
      <c r="M215" s="25">
        <f>openDomain_trans_full_LNGC_FST2!V37</f>
        <v>7.6575579801011387E-2</v>
      </c>
      <c r="N215" s="25">
        <f>openDomain_trans_full_LNGC_FST2!W37</f>
        <v>1.7479709257812408</v>
      </c>
      <c r="O215" s="35">
        <f>openDomain_trans_full_LNGC_FST2!X37</f>
        <v>1.6060638564412322E-3</v>
      </c>
      <c r="Q215" s="27">
        <f>openDomain_trans_LNGC_LNGC!P37</f>
        <v>345</v>
      </c>
      <c r="R215" s="34">
        <f>openDomain_trans_full_LNGC_LNGC!S37</f>
        <v>0.56850964995829922</v>
      </c>
      <c r="S215" s="25">
        <f>openDomain_trans_full_LNGC_LNGC!T37</f>
        <v>-0.17267708400989695</v>
      </c>
      <c r="T215" s="25">
        <f>openDomain_trans_full_LNGC_LNGC!U37</f>
        <v>0.21622021575506523</v>
      </c>
      <c r="U215" s="25">
        <f>openDomain_trans_full_LNGC_LNGC!V37</f>
        <v>4.6210519007399272E-3</v>
      </c>
      <c r="V215" s="25">
        <f>openDomain_trans_full_LNGC_LNGC!W37</f>
        <v>4.1288555811693701</v>
      </c>
      <c r="W215" s="35">
        <f>openDomain_trans_full_LNGC_LNGC!X37</f>
        <v>6.2829223941992599E-2</v>
      </c>
    </row>
    <row r="216" spans="1:23" x14ac:dyDescent="0.25">
      <c r="A216" s="29">
        <f>openDomain_trans_LNGC_FST1!P38</f>
        <v>360</v>
      </c>
      <c r="B216" s="36">
        <f>openDomain_trans_full_LNGC_FST1!S38</f>
        <v>0.22947171736911826</v>
      </c>
      <c r="C216" s="37">
        <f>openDomain_trans_full_LNGC_FST1!T38</f>
        <v>-8.5419744535567468E-3</v>
      </c>
      <c r="D216" s="37">
        <f>openDomain_trans_full_LNGC_FST1!U38</f>
        <v>6.4734996199496589E-2</v>
      </c>
      <c r="E216" s="37">
        <f>openDomain_trans_full_LNGC_FST1!V38</f>
        <v>4.6323297491588028E-3</v>
      </c>
      <c r="F216" s="37">
        <f>openDomain_trans_full_LNGC_FST1!W38</f>
        <v>0.66161034620858905</v>
      </c>
      <c r="G216" s="38">
        <f>openDomain_trans_full_LNGC_FST1!X38</f>
        <v>-3.0732806185026942E-4</v>
      </c>
      <c r="H216" s="28"/>
      <c r="I216" s="29">
        <f>openDomain_trans_LNGC_FST2!P38</f>
        <v>360</v>
      </c>
      <c r="J216" s="36">
        <f>openDomain_trans_full_LNGC_FST2!S38</f>
        <v>1.2670801305018133</v>
      </c>
      <c r="K216" s="37">
        <f>openDomain_trans_full_LNGC_FST2!T38</f>
        <v>1.3004696052818888E-2</v>
      </c>
      <c r="L216" s="37">
        <f>openDomain_trans_full_LNGC_FST2!U38</f>
        <v>0.15416231703206734</v>
      </c>
      <c r="M216" s="37">
        <f>openDomain_trans_full_LNGC_FST2!V38</f>
        <v>-3.5599991039587295E-3</v>
      </c>
      <c r="N216" s="37">
        <f>openDomain_trans_full_LNGC_FST2!W38</f>
        <v>1.9489497386160637</v>
      </c>
      <c r="O216" s="38">
        <f>openDomain_trans_full_LNGC_FST2!X38</f>
        <v>-1.4694895785329797E-2</v>
      </c>
      <c r="Q216" s="29">
        <f>openDomain_trans_LNGC_LNGC!P38</f>
        <v>360</v>
      </c>
      <c r="R216" s="36">
        <f>openDomain_trans_full_LNGC_LNGC!S38</f>
        <v>0.62632738746465022</v>
      </c>
      <c r="S216" s="37">
        <f>openDomain_trans_full_LNGC_LNGC!T38</f>
        <v>-5.496424725937564E-2</v>
      </c>
      <c r="T216" s="37">
        <f>openDomain_trans_full_LNGC_LNGC!U38</f>
        <v>0.15345827399756212</v>
      </c>
      <c r="U216" s="37">
        <f>openDomain_trans_full_LNGC_LNGC!V38</f>
        <v>-3.2326688026479838E-2</v>
      </c>
      <c r="V216" s="37">
        <f>openDomain_trans_full_LNGC_LNGC!W38</f>
        <v>3.9815105869094669</v>
      </c>
      <c r="W216" s="38">
        <f>openDomain_trans_full_LNGC_LNGC!X38</f>
        <v>1.4582584571417348E-2</v>
      </c>
    </row>
  </sheetData>
  <mergeCells count="20">
    <mergeCell ref="A156:G156"/>
    <mergeCell ref="I156:O156"/>
    <mergeCell ref="A187:G187"/>
    <mergeCell ref="I187:O187"/>
    <mergeCell ref="Q187:W187"/>
    <mergeCell ref="Y94:AE94"/>
    <mergeCell ref="AG94:AM94"/>
    <mergeCell ref="A125:G125"/>
    <mergeCell ref="I125:O125"/>
    <mergeCell ref="Q125:W125"/>
    <mergeCell ref="A63:G63"/>
    <mergeCell ref="I63:O63"/>
    <mergeCell ref="A94:G94"/>
    <mergeCell ref="I94:O94"/>
    <mergeCell ref="Q94:W94"/>
    <mergeCell ref="A1:G1"/>
    <mergeCell ref="I1:O1"/>
    <mergeCell ref="R1:X1"/>
    <mergeCell ref="A32:G32"/>
    <mergeCell ref="I32:O32"/>
  </mergeCells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zoomScaleNormal="100" workbookViewId="0">
      <selection activeCell="H21" sqref="H21"/>
    </sheetView>
  </sheetViews>
  <sheetFormatPr defaultColWidth="8.5703125" defaultRowHeight="15" x14ac:dyDescent="0.25"/>
  <cols>
    <col min="1" max="1" width="26.7109375" customWidth="1"/>
    <col min="2" max="2" width="6.85546875" customWidth="1"/>
    <col min="3" max="3" width="7.42578125" customWidth="1"/>
    <col min="4" max="4" width="21.5703125" customWidth="1"/>
    <col min="5" max="5" width="13.5703125" customWidth="1"/>
    <col min="6" max="6" width="9.5703125" customWidth="1"/>
  </cols>
  <sheetData>
    <row r="1" spans="1:7" x14ac:dyDescent="0.25">
      <c r="A1" s="42" t="s">
        <v>91</v>
      </c>
      <c r="B1" s="42" t="s">
        <v>92</v>
      </c>
      <c r="C1" s="42" t="s">
        <v>93</v>
      </c>
      <c r="D1" s="42" t="s">
        <v>94</v>
      </c>
      <c r="E1" s="42" t="s">
        <v>95</v>
      </c>
      <c r="F1" t="s">
        <v>96</v>
      </c>
    </row>
    <row r="2" spans="1:7" x14ac:dyDescent="0.25">
      <c r="A2" t="s">
        <v>97</v>
      </c>
      <c r="B2" t="s">
        <v>98</v>
      </c>
      <c r="C2" t="s">
        <v>99</v>
      </c>
      <c r="E2" s="43">
        <v>1.204</v>
      </c>
    </row>
    <row r="3" spans="1:7" x14ac:dyDescent="0.25">
      <c r="A3" t="s">
        <v>100</v>
      </c>
      <c r="B3" t="s">
        <v>101</v>
      </c>
      <c r="C3" t="s">
        <v>102</v>
      </c>
      <c r="E3" s="44">
        <v>204.59</v>
      </c>
    </row>
    <row r="4" spans="1:7" x14ac:dyDescent="0.25">
      <c r="A4" t="s">
        <v>103</v>
      </c>
      <c r="B4" t="s">
        <v>104</v>
      </c>
      <c r="C4" t="s">
        <v>102</v>
      </c>
      <c r="E4" s="44">
        <v>43.74</v>
      </c>
    </row>
    <row r="5" spans="1:7" x14ac:dyDescent="0.25">
      <c r="A5" t="s">
        <v>105</v>
      </c>
      <c r="B5" t="s">
        <v>106</v>
      </c>
      <c r="C5" t="s">
        <v>102</v>
      </c>
      <c r="D5" t="s">
        <v>107</v>
      </c>
      <c r="E5" s="45">
        <f>ROUND(F5, 2)</f>
        <v>19.489999999999998</v>
      </c>
      <c r="F5" s="46">
        <f>((2068*22.9-389.6*37.6)/Afx)</f>
        <v>19.49239570917759</v>
      </c>
      <c r="G5" t="s">
        <v>108</v>
      </c>
    </row>
    <row r="6" spans="1:7" x14ac:dyDescent="0.25">
      <c r="A6" t="s">
        <v>109</v>
      </c>
      <c r="B6" t="s">
        <v>110</v>
      </c>
      <c r="C6" t="s">
        <v>57</v>
      </c>
      <c r="D6" t="s">
        <v>111</v>
      </c>
      <c r="E6" s="47">
        <f t="shared" ref="E6:E10" si="0">ROUND(F6, 0)</f>
        <v>1678</v>
      </c>
      <c r="F6" s="46">
        <f>2068-389.6</f>
        <v>1678.4</v>
      </c>
      <c r="G6" t="s">
        <v>108</v>
      </c>
    </row>
    <row r="7" spans="1:7" x14ac:dyDescent="0.25">
      <c r="A7" t="s">
        <v>112</v>
      </c>
      <c r="B7" t="s">
        <v>113</v>
      </c>
      <c r="C7" t="s">
        <v>57</v>
      </c>
      <c r="D7" t="s">
        <v>114</v>
      </c>
      <c r="E7" s="47">
        <f t="shared" si="0"/>
        <v>7811</v>
      </c>
      <c r="F7" s="46">
        <f>7844.6-33.7</f>
        <v>7810.9000000000005</v>
      </c>
      <c r="G7" t="s">
        <v>108</v>
      </c>
    </row>
    <row r="8" spans="1:7" x14ac:dyDescent="0.25">
      <c r="A8" t="s">
        <v>115</v>
      </c>
      <c r="B8" t="s">
        <v>116</v>
      </c>
      <c r="C8" t="s">
        <v>57</v>
      </c>
      <c r="D8" t="s">
        <v>117</v>
      </c>
      <c r="E8" s="47">
        <f t="shared" si="0"/>
        <v>8949</v>
      </c>
      <c r="F8" s="48">
        <f>L*B</f>
        <v>8948.7666000000008</v>
      </c>
    </row>
    <row r="9" spans="1:7" x14ac:dyDescent="0.25">
      <c r="A9" t="s">
        <v>118</v>
      </c>
      <c r="B9" t="s">
        <v>119</v>
      </c>
      <c r="C9" t="s">
        <v>58</v>
      </c>
      <c r="D9" t="s">
        <v>120</v>
      </c>
      <c r="E9" s="47">
        <f t="shared" si="0"/>
        <v>298215</v>
      </c>
      <c r="F9" s="48">
        <f>Afy^2/L</f>
        <v>298214.58038027276</v>
      </c>
    </row>
    <row r="10" spans="1:7" x14ac:dyDescent="0.25">
      <c r="A10" t="s">
        <v>121</v>
      </c>
      <c r="B10" t="s">
        <v>122</v>
      </c>
      <c r="C10" t="s">
        <v>58</v>
      </c>
      <c r="D10" t="s">
        <v>123</v>
      </c>
      <c r="E10" s="47">
        <f t="shared" si="0"/>
        <v>32704</v>
      </c>
      <c r="F10" s="48">
        <f>Afx*h</f>
        <v>32704.219999999998</v>
      </c>
    </row>
    <row r="11" spans="1:7" x14ac:dyDescent="0.25">
      <c r="A11" t="s">
        <v>124</v>
      </c>
      <c r="B11" t="s">
        <v>125</v>
      </c>
      <c r="C11" t="s">
        <v>58</v>
      </c>
      <c r="D11" t="s">
        <v>126</v>
      </c>
      <c r="E11" s="47">
        <f>ROUND(F11, 0)</f>
        <v>1598052</v>
      </c>
      <c r="F11" s="48">
        <f>Afy*L</f>
        <v>1598052.49</v>
      </c>
    </row>
    <row r="12" spans="1:7" x14ac:dyDescent="0.25">
      <c r="A12" t="s">
        <v>127</v>
      </c>
      <c r="B12" t="s">
        <v>128</v>
      </c>
      <c r="C12" t="s">
        <v>129</v>
      </c>
      <c r="E12" s="44">
        <v>15</v>
      </c>
    </row>
    <row r="20" spans="4:7" x14ac:dyDescent="0.25">
      <c r="D20" s="49"/>
    </row>
    <row r="21" spans="4:7" x14ac:dyDescent="0.25">
      <c r="D21" s="50"/>
    </row>
    <row r="22" spans="4:7" x14ac:dyDescent="0.25">
      <c r="D22" s="50"/>
    </row>
    <row r="23" spans="4:7" x14ac:dyDescent="0.25">
      <c r="D23" s="50"/>
      <c r="E23" s="50"/>
      <c r="F23" s="50"/>
      <c r="G23" s="50"/>
    </row>
    <row r="24" spans="4:7" x14ac:dyDescent="0.25">
      <c r="D24" s="50"/>
      <c r="E24" s="50"/>
      <c r="F24" s="50"/>
      <c r="G24" s="50"/>
    </row>
    <row r="31" spans="4:7" x14ac:dyDescent="0.25">
      <c r="E31" s="51"/>
    </row>
  </sheetData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"/>
  <sheetViews>
    <sheetView zoomScaleNormal="100" workbookViewId="0"/>
  </sheetViews>
  <sheetFormatPr defaultColWidth="8.5703125" defaultRowHeight="15" x14ac:dyDescent="0.25"/>
  <cols>
    <col min="1" max="1" width="26.7109375" customWidth="1"/>
    <col min="2" max="2" width="6.85546875" customWidth="1"/>
    <col min="3" max="3" width="7.42578125" customWidth="1"/>
    <col min="4" max="4" width="21.5703125" customWidth="1"/>
    <col min="5" max="5" width="13.5703125" customWidth="1"/>
    <col min="6" max="6" width="9.5703125" customWidth="1"/>
  </cols>
  <sheetData>
    <row r="1" spans="1:17" x14ac:dyDescent="0.25">
      <c r="A1" s="42" t="s">
        <v>91</v>
      </c>
      <c r="B1" s="42" t="s">
        <v>92</v>
      </c>
      <c r="C1" s="42" t="s">
        <v>93</v>
      </c>
      <c r="D1" s="42" t="s">
        <v>94</v>
      </c>
      <c r="E1" s="42" t="s">
        <v>95</v>
      </c>
      <c r="F1" t="s">
        <v>96</v>
      </c>
    </row>
    <row r="2" spans="1:17" x14ac:dyDescent="0.25">
      <c r="A2" t="s">
        <v>97</v>
      </c>
      <c r="B2" t="s">
        <v>98</v>
      </c>
      <c r="C2" t="s">
        <v>99</v>
      </c>
      <c r="E2" s="43">
        <v>1.204</v>
      </c>
      <c r="F2" s="52"/>
    </row>
    <row r="3" spans="1:17" x14ac:dyDescent="0.25">
      <c r="A3" t="s">
        <v>100</v>
      </c>
      <c r="B3" t="s">
        <v>101</v>
      </c>
      <c r="C3" t="s">
        <v>102</v>
      </c>
      <c r="E3" s="44">
        <v>204.59</v>
      </c>
    </row>
    <row r="4" spans="1:17" x14ac:dyDescent="0.25">
      <c r="A4" t="s">
        <v>103</v>
      </c>
      <c r="B4" t="s">
        <v>104</v>
      </c>
      <c r="C4" t="s">
        <v>102</v>
      </c>
      <c r="E4" s="44">
        <v>43.74</v>
      </c>
    </row>
    <row r="5" spans="1:17" x14ac:dyDescent="0.25">
      <c r="A5" t="s">
        <v>105</v>
      </c>
      <c r="B5" t="s">
        <v>106</v>
      </c>
      <c r="C5" t="s">
        <v>102</v>
      </c>
      <c r="D5" t="s">
        <v>107</v>
      </c>
      <c r="E5" s="45">
        <f>ROUND(F5, 2)</f>
        <v>15.93</v>
      </c>
      <c r="F5" s="46">
        <f>(1750*19.13-389.6*30.31)/Afx</f>
        <v>15.932885294117648</v>
      </c>
      <c r="G5" t="s">
        <v>108</v>
      </c>
    </row>
    <row r="6" spans="1:17" x14ac:dyDescent="0.25">
      <c r="A6" t="s">
        <v>109</v>
      </c>
      <c r="B6" t="s">
        <v>110</v>
      </c>
      <c r="C6" t="s">
        <v>57</v>
      </c>
      <c r="D6" t="s">
        <v>111</v>
      </c>
      <c r="E6" s="47">
        <f t="shared" ref="E6:E11" si="0">ROUND(F6, 0)</f>
        <v>1360</v>
      </c>
      <c r="F6" s="46">
        <f>1750-389.6</f>
        <v>1360.4</v>
      </c>
      <c r="G6" t="s">
        <v>108</v>
      </c>
    </row>
    <row r="7" spans="1:17" x14ac:dyDescent="0.25">
      <c r="A7" t="s">
        <v>112</v>
      </c>
      <c r="B7" t="s">
        <v>113</v>
      </c>
      <c r="C7" t="s">
        <v>57</v>
      </c>
      <c r="D7" t="s">
        <v>114</v>
      </c>
      <c r="E7" s="47">
        <f t="shared" si="0"/>
        <v>6322</v>
      </c>
      <c r="F7" s="46">
        <f>7844.6-33.7-L*(11.85-4.574)</f>
        <v>6322.3031600000004</v>
      </c>
      <c r="G7" t="s">
        <v>108</v>
      </c>
    </row>
    <row r="8" spans="1:17" x14ac:dyDescent="0.25">
      <c r="A8" t="s">
        <v>115</v>
      </c>
      <c r="B8" t="s">
        <v>116</v>
      </c>
      <c r="C8" t="s">
        <v>57</v>
      </c>
      <c r="D8" t="s">
        <v>117</v>
      </c>
      <c r="E8" s="47">
        <f t="shared" si="0"/>
        <v>8949</v>
      </c>
      <c r="F8" s="48">
        <f>L*B</f>
        <v>8948.7666000000008</v>
      </c>
    </row>
    <row r="9" spans="1:17" x14ac:dyDescent="0.25">
      <c r="A9" t="s">
        <v>118</v>
      </c>
      <c r="B9" t="s">
        <v>119</v>
      </c>
      <c r="C9" t="s">
        <v>58</v>
      </c>
      <c r="D9" t="s">
        <v>120</v>
      </c>
      <c r="E9" s="47">
        <f t="shared" si="0"/>
        <v>195355</v>
      </c>
      <c r="F9" s="48">
        <f>Afy^2/L</f>
        <v>195355.02223960115</v>
      </c>
    </row>
    <row r="10" spans="1:17" x14ac:dyDescent="0.25">
      <c r="A10" t="s">
        <v>121</v>
      </c>
      <c r="B10" t="s">
        <v>122</v>
      </c>
      <c r="C10" t="s">
        <v>58</v>
      </c>
      <c r="D10" t="s">
        <v>123</v>
      </c>
      <c r="E10" s="47">
        <f t="shared" si="0"/>
        <v>21665</v>
      </c>
      <c r="F10" s="48">
        <f>Afx*h</f>
        <v>21664.799999999999</v>
      </c>
    </row>
    <row r="11" spans="1:17" x14ac:dyDescent="0.25">
      <c r="A11" t="s">
        <v>124</v>
      </c>
      <c r="B11" t="s">
        <v>125</v>
      </c>
      <c r="C11" t="s">
        <v>58</v>
      </c>
      <c r="D11" t="s">
        <v>126</v>
      </c>
      <c r="E11" s="47">
        <f t="shared" si="0"/>
        <v>1293418</v>
      </c>
      <c r="F11" s="48">
        <f>Afy*L</f>
        <v>1293417.98</v>
      </c>
    </row>
    <row r="12" spans="1:17" x14ac:dyDescent="0.25">
      <c r="A12" t="s">
        <v>127</v>
      </c>
      <c r="B12" t="s">
        <v>128</v>
      </c>
      <c r="C12" t="s">
        <v>129</v>
      </c>
      <c r="E12" s="44">
        <v>15</v>
      </c>
    </row>
    <row r="13" spans="1:17" x14ac:dyDescent="0.25">
      <c r="I13">
        <f>Afx/B/2</f>
        <v>15.546410608139002</v>
      </c>
    </row>
    <row r="14" spans="1:17" x14ac:dyDescent="0.25">
      <c r="Q14">
        <v>34456</v>
      </c>
    </row>
    <row r="20" spans="4:7" x14ac:dyDescent="0.25">
      <c r="D20" s="49"/>
    </row>
    <row r="21" spans="4:7" x14ac:dyDescent="0.25">
      <c r="D21" s="50"/>
    </row>
    <row r="22" spans="4:7" x14ac:dyDescent="0.25">
      <c r="D22" s="50"/>
    </row>
    <row r="23" spans="4:7" x14ac:dyDescent="0.25">
      <c r="D23" s="50"/>
      <c r="E23" s="50"/>
      <c r="F23" s="50"/>
      <c r="G23" s="50"/>
    </row>
    <row r="24" spans="4:7" x14ac:dyDescent="0.25">
      <c r="D24" s="50"/>
      <c r="E24" s="50"/>
      <c r="F24" s="50"/>
      <c r="G24" s="50"/>
    </row>
    <row r="31" spans="4:7" x14ac:dyDescent="0.25">
      <c r="E31" s="51"/>
    </row>
  </sheetData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9"/>
  <sheetViews>
    <sheetView zoomScale="115" zoomScaleNormal="115" workbookViewId="0"/>
  </sheetViews>
  <sheetFormatPr defaultColWidth="8.5703125" defaultRowHeight="15" x14ac:dyDescent="0.25"/>
  <cols>
    <col min="1" max="1" width="26.7109375" customWidth="1"/>
    <col min="2" max="2" width="6.85546875" customWidth="1"/>
    <col min="3" max="3" width="7.42578125" customWidth="1"/>
    <col min="4" max="4" width="21.5703125" customWidth="1"/>
    <col min="5" max="5" width="13.5703125" customWidth="1"/>
    <col min="6" max="6" width="9.5703125" customWidth="1"/>
  </cols>
  <sheetData>
    <row r="1" spans="1:17" x14ac:dyDescent="0.25">
      <c r="A1" s="42" t="s">
        <v>91</v>
      </c>
      <c r="B1" s="42" t="s">
        <v>92</v>
      </c>
      <c r="C1" s="42" t="s">
        <v>93</v>
      </c>
      <c r="D1" s="42" t="s">
        <v>94</v>
      </c>
      <c r="E1" s="42" t="s">
        <v>95</v>
      </c>
      <c r="F1" t="s">
        <v>96</v>
      </c>
    </row>
    <row r="2" spans="1:17" x14ac:dyDescent="0.25">
      <c r="A2" t="s">
        <v>100</v>
      </c>
      <c r="B2" t="s">
        <v>101</v>
      </c>
      <c r="C2" t="s">
        <v>102</v>
      </c>
      <c r="E2" s="44">
        <v>295</v>
      </c>
    </row>
    <row r="3" spans="1:17" x14ac:dyDescent="0.25">
      <c r="A3" t="s">
        <v>103</v>
      </c>
      <c r="B3" t="s">
        <v>104</v>
      </c>
      <c r="C3" t="s">
        <v>102</v>
      </c>
      <c r="E3" s="44">
        <v>46</v>
      </c>
    </row>
    <row r="4" spans="1:17" x14ac:dyDescent="0.25">
      <c r="A4" t="s">
        <v>105</v>
      </c>
      <c r="B4" t="s">
        <v>106</v>
      </c>
      <c r="C4" t="s">
        <v>102</v>
      </c>
      <c r="D4" t="s">
        <v>107</v>
      </c>
      <c r="E4" s="45">
        <f>ROUND(F4,2)</f>
        <v>18.02</v>
      </c>
      <c r="F4" s="46">
        <f>Afx/B/2</f>
        <v>18.021739130434781</v>
      </c>
    </row>
    <row r="5" spans="1:17" x14ac:dyDescent="0.25">
      <c r="A5" t="s">
        <v>109</v>
      </c>
      <c r="B5" t="s">
        <v>110</v>
      </c>
      <c r="C5" t="s">
        <v>57</v>
      </c>
      <c r="D5" t="s">
        <v>111</v>
      </c>
      <c r="E5" s="47">
        <f t="shared" ref="E5:E10" si="0">ROUND(F5, 0)</f>
        <v>1658</v>
      </c>
      <c r="F5" s="46">
        <f>1658.16</f>
        <v>1658.16</v>
      </c>
      <c r="G5" t="s">
        <v>108</v>
      </c>
    </row>
    <row r="6" spans="1:17" x14ac:dyDescent="0.25">
      <c r="A6" t="s">
        <v>112</v>
      </c>
      <c r="B6" t="s">
        <v>113</v>
      </c>
      <c r="C6" t="s">
        <v>57</v>
      </c>
      <c r="D6" t="s">
        <v>114</v>
      </c>
      <c r="E6" s="47">
        <f t="shared" si="0"/>
        <v>8133</v>
      </c>
      <c r="F6" s="46">
        <f>8132.66</f>
        <v>8132.66</v>
      </c>
      <c r="G6" t="s">
        <v>108</v>
      </c>
    </row>
    <row r="7" spans="1:17" x14ac:dyDescent="0.25">
      <c r="A7" t="s">
        <v>115</v>
      </c>
      <c r="B7" t="s">
        <v>116</v>
      </c>
      <c r="C7" t="s">
        <v>57</v>
      </c>
      <c r="D7" t="s">
        <v>117</v>
      </c>
      <c r="E7" s="47">
        <f t="shared" si="0"/>
        <v>13570</v>
      </c>
      <c r="F7" s="48">
        <f>L*B</f>
        <v>13570</v>
      </c>
    </row>
    <row r="8" spans="1:17" x14ac:dyDescent="0.25">
      <c r="A8" t="s">
        <v>118</v>
      </c>
      <c r="B8" t="s">
        <v>119</v>
      </c>
      <c r="C8" t="s">
        <v>58</v>
      </c>
      <c r="D8" t="s">
        <v>120</v>
      </c>
      <c r="E8" s="47">
        <f t="shared" si="0"/>
        <v>224223</v>
      </c>
      <c r="F8" s="48">
        <f>Afy^2/L</f>
        <v>224222.67457627118</v>
      </c>
    </row>
    <row r="9" spans="1:17" x14ac:dyDescent="0.25">
      <c r="A9" t="s">
        <v>121</v>
      </c>
      <c r="B9" t="s">
        <v>122</v>
      </c>
      <c r="C9" t="s">
        <v>58</v>
      </c>
      <c r="D9" t="s">
        <v>123</v>
      </c>
      <c r="E9" s="47">
        <f t="shared" si="0"/>
        <v>29877</v>
      </c>
      <c r="F9" s="48">
        <f>Afx*h</f>
        <v>29877.16</v>
      </c>
    </row>
    <row r="10" spans="1:17" x14ac:dyDescent="0.25">
      <c r="A10" t="s">
        <v>124</v>
      </c>
      <c r="B10" t="s">
        <v>125</v>
      </c>
      <c r="C10" t="s">
        <v>58</v>
      </c>
      <c r="D10" t="s">
        <v>126</v>
      </c>
      <c r="E10" s="47">
        <f t="shared" si="0"/>
        <v>2399235</v>
      </c>
      <c r="F10" s="48">
        <f>Afy*L</f>
        <v>2399235</v>
      </c>
    </row>
    <row r="12" spans="1:17" x14ac:dyDescent="0.25">
      <c r="Q12">
        <v>34456</v>
      </c>
    </row>
    <row r="18" spans="4:7" x14ac:dyDescent="0.25">
      <c r="D18" s="49"/>
    </row>
    <row r="19" spans="4:7" x14ac:dyDescent="0.25">
      <c r="D19" s="50"/>
    </row>
    <row r="20" spans="4:7" x14ac:dyDescent="0.25">
      <c r="D20" s="50"/>
    </row>
    <row r="21" spans="4:7" x14ac:dyDescent="0.25">
      <c r="D21" s="50"/>
      <c r="E21" s="50"/>
      <c r="F21" s="50"/>
      <c r="G21" s="50"/>
    </row>
    <row r="22" spans="4:7" x14ac:dyDescent="0.25">
      <c r="D22" s="50"/>
      <c r="E22" s="50"/>
      <c r="F22" s="50"/>
      <c r="G22" s="50"/>
    </row>
    <row r="29" spans="4:7" x14ac:dyDescent="0.25">
      <c r="E29" s="51"/>
    </row>
  </sheetData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zoomScale="115" zoomScaleNormal="115" workbookViewId="0"/>
  </sheetViews>
  <sheetFormatPr defaultColWidth="8.5703125" defaultRowHeight="15" x14ac:dyDescent="0.25"/>
  <cols>
    <col min="1" max="1" width="26.7109375" customWidth="1"/>
    <col min="2" max="2" width="6.85546875" customWidth="1"/>
    <col min="3" max="3" width="7.42578125" customWidth="1"/>
    <col min="4" max="4" width="21.5703125" customWidth="1"/>
    <col min="5" max="5" width="13.5703125" customWidth="1"/>
    <col min="6" max="6" width="9.5703125" customWidth="1"/>
  </cols>
  <sheetData>
    <row r="1" spans="1:17" x14ac:dyDescent="0.25">
      <c r="A1" s="42" t="s">
        <v>91</v>
      </c>
      <c r="B1" s="42" t="s">
        <v>92</v>
      </c>
      <c r="C1" s="42" t="s">
        <v>93</v>
      </c>
      <c r="D1" s="42" t="s">
        <v>94</v>
      </c>
      <c r="E1" s="42" t="s">
        <v>95</v>
      </c>
      <c r="F1" t="s">
        <v>96</v>
      </c>
    </row>
    <row r="2" spans="1:17" x14ac:dyDescent="0.25">
      <c r="A2" t="s">
        <v>100</v>
      </c>
      <c r="B2" t="s">
        <v>101</v>
      </c>
      <c r="C2" t="s">
        <v>102</v>
      </c>
      <c r="E2" s="44">
        <v>295</v>
      </c>
    </row>
    <row r="3" spans="1:17" x14ac:dyDescent="0.25">
      <c r="A3" t="s">
        <v>103</v>
      </c>
      <c r="B3" t="s">
        <v>104</v>
      </c>
      <c r="C3" t="s">
        <v>102</v>
      </c>
      <c r="E3" s="44">
        <v>46</v>
      </c>
    </row>
    <row r="4" spans="1:17" x14ac:dyDescent="0.25">
      <c r="A4" t="s">
        <v>105</v>
      </c>
      <c r="B4" t="s">
        <v>106</v>
      </c>
      <c r="C4" t="s">
        <v>102</v>
      </c>
      <c r="D4" t="s">
        <v>107</v>
      </c>
      <c r="E4" s="45">
        <f>ROUND(F4,2)</f>
        <v>17.02</v>
      </c>
      <c r="F4" s="46">
        <f>Afx/B/2</f>
        <v>17.021739130434781</v>
      </c>
    </row>
    <row r="5" spans="1:17" x14ac:dyDescent="0.25">
      <c r="A5" t="s">
        <v>109</v>
      </c>
      <c r="B5" t="s">
        <v>110</v>
      </c>
      <c r="C5" t="s">
        <v>57</v>
      </c>
      <c r="D5" t="s">
        <v>111</v>
      </c>
      <c r="E5" s="47">
        <f t="shared" ref="E5:E10" si="0">ROUND(F5, 0)</f>
        <v>1566</v>
      </c>
      <c r="F5" s="46">
        <f>1658.16-2*B</f>
        <v>1566.16</v>
      </c>
      <c r="G5" t="s">
        <v>108</v>
      </c>
    </row>
    <row r="6" spans="1:17" x14ac:dyDescent="0.25">
      <c r="A6" t="s">
        <v>112</v>
      </c>
      <c r="B6" t="s">
        <v>113</v>
      </c>
      <c r="C6" t="s">
        <v>57</v>
      </c>
      <c r="D6" t="s">
        <v>114</v>
      </c>
      <c r="E6" s="47">
        <f t="shared" si="0"/>
        <v>7543</v>
      </c>
      <c r="F6" s="46">
        <f>8132.66-2*L</f>
        <v>7542.66</v>
      </c>
      <c r="G6" t="s">
        <v>108</v>
      </c>
    </row>
    <row r="7" spans="1:17" x14ac:dyDescent="0.25">
      <c r="A7" t="s">
        <v>115</v>
      </c>
      <c r="B7" t="s">
        <v>116</v>
      </c>
      <c r="C7" t="s">
        <v>57</v>
      </c>
      <c r="D7" t="s">
        <v>117</v>
      </c>
      <c r="E7" s="47">
        <f t="shared" si="0"/>
        <v>13570</v>
      </c>
      <c r="F7" s="48">
        <f>L*B</f>
        <v>13570</v>
      </c>
    </row>
    <row r="8" spans="1:17" x14ac:dyDescent="0.25">
      <c r="A8" t="s">
        <v>118</v>
      </c>
      <c r="B8" t="s">
        <v>119</v>
      </c>
      <c r="C8" t="s">
        <v>58</v>
      </c>
      <c r="D8" t="s">
        <v>120</v>
      </c>
      <c r="E8" s="47">
        <f t="shared" si="0"/>
        <v>192871</v>
      </c>
      <c r="F8" s="48">
        <f>Afy^2/L</f>
        <v>192870.67457627118</v>
      </c>
    </row>
    <row r="9" spans="1:17" x14ac:dyDescent="0.25">
      <c r="A9" t="s">
        <v>121</v>
      </c>
      <c r="B9" t="s">
        <v>122</v>
      </c>
      <c r="C9" t="s">
        <v>58</v>
      </c>
      <c r="D9" t="s">
        <v>123</v>
      </c>
      <c r="E9" s="47">
        <f t="shared" si="0"/>
        <v>26653</v>
      </c>
      <c r="F9" s="48">
        <f>Afx*h</f>
        <v>26653.32</v>
      </c>
    </row>
    <row r="10" spans="1:17" x14ac:dyDescent="0.25">
      <c r="A10" t="s">
        <v>124</v>
      </c>
      <c r="B10" t="s">
        <v>125</v>
      </c>
      <c r="C10" t="s">
        <v>58</v>
      </c>
      <c r="D10" t="s">
        <v>126</v>
      </c>
      <c r="E10" s="47">
        <f t="shared" si="0"/>
        <v>2225185</v>
      </c>
      <c r="F10" s="48">
        <f>Afy*L</f>
        <v>2225185</v>
      </c>
    </row>
    <row r="12" spans="1:17" x14ac:dyDescent="0.25">
      <c r="Q12">
        <v>34456</v>
      </c>
    </row>
    <row r="18" spans="4:7" x14ac:dyDescent="0.25">
      <c r="D18" s="49"/>
    </row>
    <row r="19" spans="4:7" x14ac:dyDescent="0.25">
      <c r="D19" s="50"/>
    </row>
    <row r="20" spans="4:7" x14ac:dyDescent="0.25">
      <c r="D20" s="50"/>
    </row>
    <row r="21" spans="4:7" x14ac:dyDescent="0.25">
      <c r="D21" s="50"/>
      <c r="E21" s="50"/>
      <c r="F21" s="50"/>
      <c r="G21" s="50"/>
    </row>
    <row r="22" spans="4:7" x14ac:dyDescent="0.25">
      <c r="D22" s="50"/>
      <c r="E22" s="50"/>
      <c r="F22" s="50"/>
      <c r="G22" s="50"/>
    </row>
    <row r="29" spans="4:7" x14ac:dyDescent="0.25">
      <c r="E29" s="51"/>
    </row>
  </sheetData>
  <pageMargins left="0.7" right="0.7" top="0.75" bottom="0.75" header="0.511811023622047" footer="0.511811023622047"/>
  <pageSetup orientation="portrait" horizontalDpi="300" verticalDpi="300" r:id="rId1"/>
  <headerFooter>
    <oddFooter>&amp;C_x000D_&amp;1#&amp;"Trebuchet MS"&amp;8&amp;K22505F Saipem Classification - General Use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MJ67"/>
  <sheetViews>
    <sheetView topLeftCell="B1" zoomScale="85" zoomScaleNormal="85" workbookViewId="0">
      <selection activeCell="S14" sqref="S14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40850.728999999999</v>
      </c>
      <c r="E14" s="46">
        <v>10170.380999999999</v>
      </c>
      <c r="F14" s="46">
        <v>69726.442999999999</v>
      </c>
      <c r="G14" s="46" t="s">
        <v>154</v>
      </c>
      <c r="H14" s="82">
        <v>0</v>
      </c>
      <c r="I14" s="46">
        <v>-130414.94100000001</v>
      </c>
      <c r="J14" s="46">
        <v>476567.87699999998</v>
      </c>
      <c r="K14" s="46">
        <v>-968498.66500000004</v>
      </c>
      <c r="L14" s="46" t="s">
        <v>154</v>
      </c>
      <c r="N14" s="64"/>
      <c r="P14" s="83">
        <f t="shared" ref="P14:P46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46" si="5">D14*(1-2*$N14*S$11)/S$9</f>
        <v>0.17973342291245667</v>
      </c>
      <c r="T14" s="85">
        <f t="shared" ref="T14:T46" si="6">E14*(1-2*$N14*T$11)/T$9</f>
        <v>9.6128369382248082E-3</v>
      </c>
      <c r="U14" s="85">
        <f t="shared" ref="U14:U46" si="7">F14*(1-2*$N14*U$11)/U$9</f>
        <v>5.752332657711199E-2</v>
      </c>
      <c r="V14" s="85">
        <f t="shared" ref="V14:V46" si="8">(I14+F14*dy-E14*dz)*(1-2*$N14*V$11)/V$9</f>
        <v>-3.2286342943169668E-3</v>
      </c>
      <c r="W14" s="85">
        <f t="shared" ref="W14:W46" si="9">(J14+D14*dz-F14*dx)*(1-2*$N14*W$11)/W$9</f>
        <v>0.1075833050247815</v>
      </c>
      <c r="X14" s="85">
        <f t="shared" ref="X14:X46" si="10">(K14+E14*dx-D14*dy)*(1-2*$N14*X$11)/X$9</f>
        <v>-4.4743413136131855E-3</v>
      </c>
      <c r="Y14" s="1">
        <f t="shared" ref="Y14:Y46" si="11">B14</f>
        <v>0</v>
      </c>
      <c r="Z14" s="1"/>
    </row>
    <row r="15" spans="1:26" x14ac:dyDescent="0.25">
      <c r="C15" s="82">
        <v>30</v>
      </c>
      <c r="D15" s="46">
        <v>114653.77800000001</v>
      </c>
      <c r="E15" s="46">
        <v>379208.86599999998</v>
      </c>
      <c r="F15" s="46">
        <v>345659.97600000002</v>
      </c>
      <c r="G15" s="46" t="s">
        <v>155</v>
      </c>
      <c r="H15" s="82">
        <v>30</v>
      </c>
      <c r="I15" s="46">
        <v>-6492571.0530000003</v>
      </c>
      <c r="J15" s="46">
        <v>4954979.2939999998</v>
      </c>
      <c r="K15" s="46">
        <v>-5352913.9570000004</v>
      </c>
      <c r="L15" s="46" t="s">
        <v>155</v>
      </c>
      <c r="N15" s="64"/>
      <c r="P15" s="83">
        <f t="shared" si="2"/>
        <v>30</v>
      </c>
      <c r="Q15" s="84">
        <f t="shared" si="3"/>
        <v>12.99038105676658</v>
      </c>
      <c r="R15" s="84">
        <f t="shared" si="4"/>
        <v>7.4999999999999991</v>
      </c>
      <c r="S15" s="85">
        <f t="shared" si="5"/>
        <v>0.50444916098767589</v>
      </c>
      <c r="T15" s="85">
        <f t="shared" si="6"/>
        <v>0.35842049519945629</v>
      </c>
      <c r="U15" s="85">
        <f t="shared" si="7"/>
        <v>0.28516457786445087</v>
      </c>
      <c r="V15" s="85">
        <f t="shared" si="8"/>
        <v>-0.16073417201488763</v>
      </c>
      <c r="W15" s="85">
        <f t="shared" si="9"/>
        <v>1.1185668915277696</v>
      </c>
      <c r="X15" s="85">
        <f t="shared" si="10"/>
        <v>-2.47297853177957E-2</v>
      </c>
      <c r="Y15" s="1">
        <f t="shared" si="11"/>
        <v>0</v>
      </c>
    </row>
    <row r="16" spans="1:26" x14ac:dyDescent="0.25">
      <c r="C16" s="82">
        <v>45</v>
      </c>
      <c r="D16" s="46">
        <v>73363.035999999993</v>
      </c>
      <c r="E16" s="46">
        <v>639888.93200000003</v>
      </c>
      <c r="F16" s="46">
        <v>470980.15100000001</v>
      </c>
      <c r="G16" s="46" t="s">
        <v>156</v>
      </c>
      <c r="H16" s="82">
        <v>45</v>
      </c>
      <c r="I16" s="46">
        <v>-10348190.184</v>
      </c>
      <c r="J16" s="46">
        <v>7900936.0939999996</v>
      </c>
      <c r="K16" s="46">
        <v>-9381390.3929999992</v>
      </c>
      <c r="L16" s="46" t="s">
        <v>156</v>
      </c>
      <c r="N16" s="64"/>
      <c r="P16" s="83">
        <f t="shared" si="2"/>
        <v>45</v>
      </c>
      <c r="Q16" s="84">
        <f t="shared" si="3"/>
        <v>10.606601717798213</v>
      </c>
      <c r="R16" s="84">
        <f t="shared" si="4"/>
        <v>10.606601717798211</v>
      </c>
      <c r="S16" s="85">
        <f t="shared" si="5"/>
        <v>0.32277978626843556</v>
      </c>
      <c r="T16" s="85">
        <f t="shared" si="6"/>
        <v>0.60480998321408241</v>
      </c>
      <c r="U16" s="85">
        <f t="shared" si="7"/>
        <v>0.38855194488137762</v>
      </c>
      <c r="V16" s="85">
        <f t="shared" si="8"/>
        <v>-0.25618630393105496</v>
      </c>
      <c r="W16" s="85">
        <f t="shared" si="9"/>
        <v>1.7836049360542772</v>
      </c>
      <c r="X16" s="85">
        <f t="shared" si="10"/>
        <v>-4.3340836834848642E-2</v>
      </c>
      <c r="Y16" s="1">
        <f t="shared" si="11"/>
        <v>0</v>
      </c>
    </row>
    <row r="17" spans="1:26" x14ac:dyDescent="0.25">
      <c r="C17" s="82">
        <v>60</v>
      </c>
      <c r="D17" s="46">
        <v>31692.605</v>
      </c>
      <c r="E17" s="46">
        <v>841610.86399999994</v>
      </c>
      <c r="F17" s="46">
        <v>441551.946</v>
      </c>
      <c r="G17" s="46" t="s">
        <v>157</v>
      </c>
      <c r="H17" s="82">
        <v>60</v>
      </c>
      <c r="I17" s="46">
        <v>-13062151.869000001</v>
      </c>
      <c r="J17" s="46">
        <v>7249229.5619999999</v>
      </c>
      <c r="K17" s="46">
        <v>-11076979.304</v>
      </c>
      <c r="L17" s="46" t="s">
        <v>157</v>
      </c>
      <c r="N17" s="64"/>
      <c r="P17" s="83">
        <f t="shared" si="2"/>
        <v>60</v>
      </c>
      <c r="Q17" s="84">
        <f t="shared" si="3"/>
        <v>7.5000000000000018</v>
      </c>
      <c r="R17" s="84">
        <f t="shared" si="4"/>
        <v>12.990381056766578</v>
      </c>
      <c r="S17" s="85">
        <f t="shared" si="5"/>
        <v>0.13943987089342857</v>
      </c>
      <c r="T17" s="85">
        <f t="shared" si="6"/>
        <v>0.79547344402048414</v>
      </c>
      <c r="U17" s="85">
        <f t="shared" si="7"/>
        <v>0.36427409312299663</v>
      </c>
      <c r="V17" s="85">
        <f t="shared" si="8"/>
        <v>-0.32337484615225082</v>
      </c>
      <c r="W17" s="85">
        <f t="shared" si="9"/>
        <v>1.6364847754170162</v>
      </c>
      <c r="X17" s="85">
        <f t="shared" si="10"/>
        <v>-5.1174243105358778E-2</v>
      </c>
      <c r="Y17" s="1">
        <f t="shared" si="11"/>
        <v>0</v>
      </c>
    </row>
    <row r="18" spans="1:26" x14ac:dyDescent="0.25">
      <c r="C18" s="82">
        <v>90</v>
      </c>
      <c r="D18" s="46">
        <v>63825.249000000003</v>
      </c>
      <c r="E18" s="46">
        <v>1083255.402</v>
      </c>
      <c r="F18" s="46">
        <v>402137.82199999999</v>
      </c>
      <c r="G18" s="46" t="s">
        <v>158</v>
      </c>
      <c r="H18" s="86">
        <v>90</v>
      </c>
      <c r="I18" s="46">
        <v>-16629831.501</v>
      </c>
      <c r="J18" s="46">
        <v>-419511.23100000003</v>
      </c>
      <c r="K18" s="46">
        <v>1386778.852</v>
      </c>
      <c r="L18" s="46" t="s">
        <v>158</v>
      </c>
      <c r="N18" s="64"/>
      <c r="P18" s="83">
        <f t="shared" si="2"/>
        <v>90</v>
      </c>
      <c r="Q18" s="84">
        <f t="shared" si="3"/>
        <v>9.1886134118146501E-16</v>
      </c>
      <c r="R18" s="84">
        <f t="shared" si="4"/>
        <v>15</v>
      </c>
      <c r="S18" s="85">
        <f t="shared" si="5"/>
        <v>0.28081580798741324</v>
      </c>
      <c r="T18" s="85">
        <f t="shared" si="6"/>
        <v>1.0238709387462637</v>
      </c>
      <c r="U18" s="85">
        <f t="shared" si="7"/>
        <v>0.3317579998152857</v>
      </c>
      <c r="V18" s="85">
        <f t="shared" si="8"/>
        <v>-0.41169856675272504</v>
      </c>
      <c r="W18" s="85">
        <f t="shared" si="9"/>
        <v>-9.4702993852845391E-2</v>
      </c>
      <c r="X18" s="85">
        <f t="shared" si="10"/>
        <v>6.4067428635522852E-3</v>
      </c>
      <c r="Y18" s="1">
        <f t="shared" si="11"/>
        <v>0</v>
      </c>
    </row>
    <row r="19" spans="1:26" x14ac:dyDescent="0.25">
      <c r="C19" s="82">
        <v>270</v>
      </c>
      <c r="D19" s="46">
        <v>32300.007000000001</v>
      </c>
      <c r="E19" s="46">
        <v>-1011370.687</v>
      </c>
      <c r="F19" s="46">
        <v>552469.14599999995</v>
      </c>
      <c r="G19" s="46" t="s">
        <v>159</v>
      </c>
      <c r="H19" s="86">
        <v>270</v>
      </c>
      <c r="I19" s="46">
        <v>18225508.671</v>
      </c>
      <c r="J19" s="46">
        <v>4556677.4510000004</v>
      </c>
      <c r="K19" s="46">
        <v>-3650263.5269999998</v>
      </c>
      <c r="L19" s="46" t="s">
        <v>159</v>
      </c>
      <c r="N19" s="64"/>
      <c r="P19" s="83">
        <f t="shared" si="2"/>
        <v>270</v>
      </c>
      <c r="Q19" s="84">
        <f t="shared" si="3"/>
        <v>-2.756584023544395E-15</v>
      </c>
      <c r="R19" s="84">
        <f t="shared" si="4"/>
        <v>-15</v>
      </c>
      <c r="S19" s="85">
        <f t="shared" si="5"/>
        <v>0.1421122942067034</v>
      </c>
      <c r="T19" s="85">
        <f t="shared" si="6"/>
        <v>-0.95592697050694575</v>
      </c>
      <c r="U19" s="85">
        <f t="shared" si="7"/>
        <v>0.45577921003565552</v>
      </c>
      <c r="V19" s="85">
        <f t="shared" si="8"/>
        <v>0.45120215425747762</v>
      </c>
      <c r="W19" s="85">
        <f t="shared" si="9"/>
        <v>1.028651832759758</v>
      </c>
      <c r="X19" s="85">
        <f t="shared" si="10"/>
        <v>-1.6863755722814011E-2</v>
      </c>
      <c r="Y19" s="1">
        <f t="shared" si="11"/>
        <v>0</v>
      </c>
    </row>
    <row r="20" spans="1:26" x14ac:dyDescent="0.25">
      <c r="C20" s="82"/>
      <c r="D20" s="46"/>
      <c r="E20" s="46"/>
      <c r="F20" s="46"/>
      <c r="G20" s="46"/>
      <c r="H20" s="86"/>
      <c r="I20" s="46"/>
      <c r="J20" s="46"/>
      <c r="K20" s="46"/>
      <c r="L20" s="46"/>
      <c r="N20" s="64"/>
      <c r="P20" s="83">
        <f t="shared" si="2"/>
        <v>0</v>
      </c>
      <c r="Q20" s="84">
        <f t="shared" si="3"/>
        <v>15</v>
      </c>
      <c r="R20" s="84">
        <f t="shared" si="4"/>
        <v>0</v>
      </c>
      <c r="S20" s="85">
        <f t="shared" si="5"/>
        <v>0</v>
      </c>
      <c r="T20" s="85">
        <f t="shared" si="6"/>
        <v>0</v>
      </c>
      <c r="U20" s="85">
        <f t="shared" si="7"/>
        <v>0</v>
      </c>
      <c r="V20" s="85">
        <f t="shared" si="8"/>
        <v>0</v>
      </c>
      <c r="W20" s="85">
        <f t="shared" si="9"/>
        <v>0</v>
      </c>
      <c r="X20" s="85">
        <f t="shared" si="10"/>
        <v>0</v>
      </c>
      <c r="Y20" s="1">
        <f t="shared" si="11"/>
        <v>0</v>
      </c>
    </row>
    <row r="21" spans="1:26" x14ac:dyDescent="0.25">
      <c r="C21" s="82"/>
      <c r="D21" s="46"/>
      <c r="E21" s="46"/>
      <c r="F21" s="46"/>
      <c r="G21" s="46"/>
      <c r="H21" s="86"/>
      <c r="I21" s="46"/>
      <c r="J21" s="46"/>
      <c r="K21" s="46"/>
      <c r="L21" s="46"/>
      <c r="N21" s="64"/>
      <c r="P21" s="83">
        <f t="shared" si="2"/>
        <v>0</v>
      </c>
      <c r="Q21" s="84">
        <f t="shared" si="3"/>
        <v>15</v>
      </c>
      <c r="R21" s="84">
        <f t="shared" si="4"/>
        <v>0</v>
      </c>
      <c r="S21" s="85">
        <f t="shared" si="5"/>
        <v>0</v>
      </c>
      <c r="T21" s="85">
        <f t="shared" si="6"/>
        <v>0</v>
      </c>
      <c r="U21" s="85">
        <f t="shared" si="7"/>
        <v>0</v>
      </c>
      <c r="V21" s="85">
        <f t="shared" si="8"/>
        <v>0</v>
      </c>
      <c r="W21" s="85">
        <f t="shared" si="9"/>
        <v>0</v>
      </c>
      <c r="X21" s="85">
        <f t="shared" si="10"/>
        <v>0</v>
      </c>
      <c r="Y21" s="1">
        <f t="shared" si="11"/>
        <v>0</v>
      </c>
    </row>
    <row r="22" spans="1:26" x14ac:dyDescent="0.25">
      <c r="C22" s="82"/>
      <c r="D22" s="46"/>
      <c r="E22" s="46"/>
      <c r="F22" s="46"/>
      <c r="G22" s="46"/>
      <c r="H22" s="86"/>
      <c r="I22" s="46"/>
      <c r="J22" s="46"/>
      <c r="K22" s="46"/>
      <c r="L22" s="46"/>
      <c r="N22" s="64"/>
      <c r="P22" s="83">
        <f t="shared" si="2"/>
        <v>0</v>
      </c>
      <c r="Q22" s="84">
        <f t="shared" si="3"/>
        <v>15</v>
      </c>
      <c r="R22" s="84">
        <f t="shared" si="4"/>
        <v>0</v>
      </c>
      <c r="S22" s="85">
        <f t="shared" si="5"/>
        <v>0</v>
      </c>
      <c r="T22" s="85">
        <f t="shared" si="6"/>
        <v>0</v>
      </c>
      <c r="U22" s="85">
        <f t="shared" si="7"/>
        <v>0</v>
      </c>
      <c r="V22" s="85">
        <f t="shared" si="8"/>
        <v>0</v>
      </c>
      <c r="W22" s="85">
        <f t="shared" si="9"/>
        <v>0</v>
      </c>
      <c r="X22" s="85">
        <f t="shared" si="10"/>
        <v>0</v>
      </c>
      <c r="Y22" s="1">
        <f t="shared" si="11"/>
        <v>0</v>
      </c>
    </row>
    <row r="23" spans="1:26" x14ac:dyDescent="0.25">
      <c r="C23" s="82"/>
      <c r="D23" s="46"/>
      <c r="E23" s="46"/>
      <c r="F23" s="46"/>
      <c r="G23" s="46"/>
      <c r="H23" s="86"/>
      <c r="I23" s="46"/>
      <c r="J23" s="46"/>
      <c r="K23" s="46"/>
      <c r="L23" s="46"/>
      <c r="N23" s="64"/>
      <c r="P23" s="83">
        <f t="shared" si="2"/>
        <v>0</v>
      </c>
      <c r="Q23" s="84">
        <f t="shared" si="3"/>
        <v>15</v>
      </c>
      <c r="R23" s="84">
        <f t="shared" si="4"/>
        <v>0</v>
      </c>
      <c r="S23" s="85">
        <f t="shared" si="5"/>
        <v>0</v>
      </c>
      <c r="T23" s="85">
        <f t="shared" si="6"/>
        <v>0</v>
      </c>
      <c r="U23" s="85">
        <f t="shared" si="7"/>
        <v>0</v>
      </c>
      <c r="V23" s="85">
        <f t="shared" si="8"/>
        <v>0</v>
      </c>
      <c r="W23" s="85">
        <f t="shared" si="9"/>
        <v>0</v>
      </c>
      <c r="X23" s="85">
        <f t="shared" si="10"/>
        <v>0</v>
      </c>
      <c r="Y23" s="1">
        <f t="shared" si="11"/>
        <v>0</v>
      </c>
    </row>
    <row r="24" spans="1:26" x14ac:dyDescent="0.25">
      <c r="C24" s="82"/>
      <c r="D24" s="46"/>
      <c r="E24" s="46"/>
      <c r="F24" s="46"/>
      <c r="G24" s="46"/>
      <c r="H24" s="86"/>
      <c r="I24" s="46"/>
      <c r="J24" s="46"/>
      <c r="K24" s="46"/>
      <c r="L24" s="46"/>
      <c r="N24" s="64"/>
      <c r="P24" s="83">
        <f t="shared" si="2"/>
        <v>0</v>
      </c>
      <c r="Q24" s="84">
        <f t="shared" si="3"/>
        <v>15</v>
      </c>
      <c r="R24" s="84">
        <f t="shared" si="4"/>
        <v>0</v>
      </c>
      <c r="S24" s="85">
        <f t="shared" si="5"/>
        <v>0</v>
      </c>
      <c r="T24" s="85">
        <f t="shared" si="6"/>
        <v>0</v>
      </c>
      <c r="U24" s="85">
        <f t="shared" si="7"/>
        <v>0</v>
      </c>
      <c r="V24" s="85">
        <f t="shared" si="8"/>
        <v>0</v>
      </c>
      <c r="W24" s="85">
        <f t="shared" si="9"/>
        <v>0</v>
      </c>
      <c r="X24" s="85">
        <f t="shared" si="10"/>
        <v>0</v>
      </c>
      <c r="Y24" s="1">
        <f t="shared" si="11"/>
        <v>0</v>
      </c>
    </row>
    <row r="25" spans="1:26" x14ac:dyDescent="0.25">
      <c r="C25" s="82"/>
      <c r="D25" s="46"/>
      <c r="E25" s="46"/>
      <c r="F25" s="46"/>
      <c r="G25" s="46"/>
      <c r="H25" s="86"/>
      <c r="I25" s="46"/>
      <c r="J25" s="46"/>
      <c r="K25" s="46"/>
      <c r="L25" s="46"/>
      <c r="N25" s="64"/>
      <c r="P25" s="83">
        <f t="shared" si="2"/>
        <v>0</v>
      </c>
      <c r="Q25" s="84">
        <f t="shared" si="3"/>
        <v>15</v>
      </c>
      <c r="R25" s="84">
        <f t="shared" si="4"/>
        <v>0</v>
      </c>
      <c r="S25" s="85">
        <f t="shared" si="5"/>
        <v>0</v>
      </c>
      <c r="T25" s="85">
        <f t="shared" si="6"/>
        <v>0</v>
      </c>
      <c r="U25" s="85">
        <f t="shared" si="7"/>
        <v>0</v>
      </c>
      <c r="V25" s="85">
        <f t="shared" si="8"/>
        <v>0</v>
      </c>
      <c r="W25" s="85">
        <f t="shared" si="9"/>
        <v>0</v>
      </c>
      <c r="X25" s="85">
        <f t="shared" si="10"/>
        <v>0</v>
      </c>
      <c r="Y25" s="1">
        <f t="shared" si="11"/>
        <v>0</v>
      </c>
    </row>
    <row r="26" spans="1:26" x14ac:dyDescent="0.25">
      <c r="C26" s="82"/>
      <c r="D26" s="46"/>
      <c r="E26" s="46"/>
      <c r="F26" s="46"/>
      <c r="G26" s="46"/>
      <c r="H26" s="86"/>
      <c r="I26" s="46"/>
      <c r="J26" s="46"/>
      <c r="K26" s="46"/>
      <c r="L26" s="46"/>
      <c r="N26" s="64"/>
      <c r="P26" s="83">
        <f t="shared" si="2"/>
        <v>0</v>
      </c>
      <c r="Q26" s="84">
        <f t="shared" si="3"/>
        <v>15</v>
      </c>
      <c r="R26" s="84">
        <f t="shared" si="4"/>
        <v>0</v>
      </c>
      <c r="S26" s="85">
        <f t="shared" si="5"/>
        <v>0</v>
      </c>
      <c r="T26" s="85">
        <f t="shared" si="6"/>
        <v>0</v>
      </c>
      <c r="U26" s="85">
        <f t="shared" si="7"/>
        <v>0</v>
      </c>
      <c r="V26" s="85">
        <f t="shared" si="8"/>
        <v>0</v>
      </c>
      <c r="W26" s="85">
        <f t="shared" si="9"/>
        <v>0</v>
      </c>
      <c r="X26" s="85">
        <f t="shared" si="10"/>
        <v>0</v>
      </c>
      <c r="Y26" s="1">
        <f t="shared" si="11"/>
        <v>0</v>
      </c>
    </row>
    <row r="27" spans="1:26" x14ac:dyDescent="0.25">
      <c r="C27" s="82"/>
      <c r="D27" s="46"/>
      <c r="E27" s="46"/>
      <c r="F27" s="46"/>
      <c r="G27" s="46"/>
      <c r="H27" s="86"/>
      <c r="I27" s="46"/>
      <c r="J27" s="46"/>
      <c r="K27" s="46"/>
      <c r="L27" s="46"/>
      <c r="N27" s="64"/>
      <c r="P27" s="83">
        <f t="shared" si="2"/>
        <v>0</v>
      </c>
      <c r="Q27" s="84">
        <f t="shared" si="3"/>
        <v>15</v>
      </c>
      <c r="R27" s="84">
        <f t="shared" si="4"/>
        <v>0</v>
      </c>
      <c r="S27" s="85">
        <f t="shared" si="5"/>
        <v>0</v>
      </c>
      <c r="T27" s="85">
        <f t="shared" si="6"/>
        <v>0</v>
      </c>
      <c r="U27" s="85">
        <f t="shared" si="7"/>
        <v>0</v>
      </c>
      <c r="V27" s="85">
        <f t="shared" si="8"/>
        <v>0</v>
      </c>
      <c r="W27" s="85">
        <f t="shared" si="9"/>
        <v>0</v>
      </c>
      <c r="X27" s="85">
        <f t="shared" si="10"/>
        <v>0</v>
      </c>
      <c r="Y27" s="1">
        <f t="shared" si="11"/>
        <v>0</v>
      </c>
    </row>
    <row r="28" spans="1:26" x14ac:dyDescent="0.25">
      <c r="C28" s="82"/>
      <c r="D28" s="46"/>
      <c r="E28" s="46"/>
      <c r="F28" s="46"/>
      <c r="G28" s="46"/>
      <c r="H28" s="86"/>
      <c r="I28" s="46"/>
      <c r="J28" s="46"/>
      <c r="K28" s="46"/>
      <c r="L28" s="46"/>
      <c r="N28" s="64"/>
      <c r="P28" s="83">
        <f t="shared" si="2"/>
        <v>0</v>
      </c>
      <c r="Q28" s="84">
        <f t="shared" si="3"/>
        <v>15</v>
      </c>
      <c r="R28" s="84">
        <f t="shared" si="4"/>
        <v>0</v>
      </c>
      <c r="S28" s="85">
        <f t="shared" si="5"/>
        <v>0</v>
      </c>
      <c r="T28" s="85">
        <f t="shared" si="6"/>
        <v>0</v>
      </c>
      <c r="U28" s="85">
        <f t="shared" si="7"/>
        <v>0</v>
      </c>
      <c r="V28" s="85">
        <f t="shared" si="8"/>
        <v>0</v>
      </c>
      <c r="W28" s="85">
        <f t="shared" si="9"/>
        <v>0</v>
      </c>
      <c r="X28" s="85">
        <f t="shared" si="10"/>
        <v>0</v>
      </c>
      <c r="Y28" s="1">
        <f t="shared" si="11"/>
        <v>0</v>
      </c>
    </row>
    <row r="29" spans="1:26" x14ac:dyDescent="0.25">
      <c r="C29" s="82"/>
      <c r="D29" s="46"/>
      <c r="E29" s="46"/>
      <c r="F29" s="46"/>
      <c r="G29" s="46"/>
      <c r="H29" s="86"/>
      <c r="I29" s="46"/>
      <c r="J29" s="46"/>
      <c r="K29" s="46"/>
      <c r="L29" s="46"/>
      <c r="N29" s="64"/>
      <c r="P29" s="83">
        <f t="shared" si="2"/>
        <v>0</v>
      </c>
      <c r="Q29" s="84">
        <f t="shared" si="3"/>
        <v>15</v>
      </c>
      <c r="R29" s="84">
        <f t="shared" si="4"/>
        <v>0</v>
      </c>
      <c r="S29" s="85">
        <f t="shared" si="5"/>
        <v>0</v>
      </c>
      <c r="T29" s="85">
        <f t="shared" si="6"/>
        <v>0</v>
      </c>
      <c r="U29" s="85">
        <f t="shared" si="7"/>
        <v>0</v>
      </c>
      <c r="V29" s="85">
        <f t="shared" si="8"/>
        <v>0</v>
      </c>
      <c r="W29" s="85">
        <f t="shared" si="9"/>
        <v>0</v>
      </c>
      <c r="X29" s="85">
        <f t="shared" si="10"/>
        <v>0</v>
      </c>
      <c r="Y29" s="1">
        <f t="shared" si="11"/>
        <v>0</v>
      </c>
    </row>
    <row r="30" spans="1:26" x14ac:dyDescent="0.25">
      <c r="C30" s="82"/>
      <c r="D30" s="46"/>
      <c r="E30" s="46"/>
      <c r="F30" s="46"/>
      <c r="G30" s="46"/>
      <c r="H30" s="86"/>
      <c r="I30" s="46"/>
      <c r="J30" s="46"/>
      <c r="K30" s="46"/>
      <c r="L30" s="46"/>
      <c r="N30" s="64"/>
      <c r="P30" s="83">
        <f t="shared" si="2"/>
        <v>0</v>
      </c>
      <c r="Q30" s="84">
        <f t="shared" si="3"/>
        <v>15</v>
      </c>
      <c r="R30" s="84">
        <f t="shared" si="4"/>
        <v>0</v>
      </c>
      <c r="S30" s="85">
        <f t="shared" si="5"/>
        <v>0</v>
      </c>
      <c r="T30" s="85">
        <f t="shared" si="6"/>
        <v>0</v>
      </c>
      <c r="U30" s="85">
        <f t="shared" si="7"/>
        <v>0</v>
      </c>
      <c r="V30" s="85">
        <f t="shared" si="8"/>
        <v>0</v>
      </c>
      <c r="W30" s="85">
        <f t="shared" si="9"/>
        <v>0</v>
      </c>
      <c r="X30" s="85">
        <f t="shared" si="10"/>
        <v>0</v>
      </c>
      <c r="Y30" s="1">
        <f t="shared" si="11"/>
        <v>0</v>
      </c>
    </row>
    <row r="31" spans="1:26" x14ac:dyDescent="0.25">
      <c r="C31" s="87"/>
      <c r="D31" s="46"/>
      <c r="E31" s="46"/>
      <c r="F31" s="46"/>
      <c r="G31" s="46"/>
      <c r="H31" s="86"/>
      <c r="I31" s="46"/>
      <c r="J31" s="46"/>
      <c r="K31" s="46"/>
      <c r="L31" s="46"/>
      <c r="N31" s="64"/>
      <c r="P31" s="83">
        <f t="shared" si="2"/>
        <v>0</v>
      </c>
      <c r="Q31" s="84">
        <f t="shared" si="3"/>
        <v>15</v>
      </c>
      <c r="R31" s="84">
        <f t="shared" si="4"/>
        <v>0</v>
      </c>
      <c r="S31" s="85">
        <f t="shared" si="5"/>
        <v>0</v>
      </c>
      <c r="T31" s="85">
        <f t="shared" si="6"/>
        <v>0</v>
      </c>
      <c r="U31" s="85">
        <f t="shared" si="7"/>
        <v>0</v>
      </c>
      <c r="V31" s="85">
        <f t="shared" si="8"/>
        <v>0</v>
      </c>
      <c r="W31" s="85">
        <f t="shared" si="9"/>
        <v>0</v>
      </c>
      <c r="X31" s="85">
        <f t="shared" si="10"/>
        <v>0</v>
      </c>
      <c r="Y31" s="1">
        <f t="shared" si="11"/>
        <v>0</v>
      </c>
    </row>
    <row r="32" spans="1:26" s="1" customFormat="1" x14ac:dyDescent="0.25">
      <c r="A32" s="53"/>
      <c r="B32" s="53"/>
      <c r="C32" s="87"/>
      <c r="D32" s="46"/>
      <c r="E32" s="46"/>
      <c r="F32" s="46"/>
      <c r="G32" s="46"/>
      <c r="H32" s="86"/>
      <c r="I32" s="46"/>
      <c r="J32" s="46"/>
      <c r="K32" s="46"/>
      <c r="L32" s="46"/>
      <c r="M32" s="57"/>
      <c r="N32" s="64"/>
      <c r="O32" s="53"/>
      <c r="P32" s="83">
        <f t="shared" si="2"/>
        <v>0</v>
      </c>
      <c r="Q32" s="84">
        <f t="shared" si="3"/>
        <v>15</v>
      </c>
      <c r="R32" s="84">
        <f t="shared" si="4"/>
        <v>0</v>
      </c>
      <c r="S32" s="85">
        <f t="shared" si="5"/>
        <v>0</v>
      </c>
      <c r="T32" s="85">
        <f t="shared" si="6"/>
        <v>0</v>
      </c>
      <c r="U32" s="85">
        <f t="shared" si="7"/>
        <v>0</v>
      </c>
      <c r="V32" s="85">
        <f t="shared" si="8"/>
        <v>0</v>
      </c>
      <c r="W32" s="85">
        <f t="shared" si="9"/>
        <v>0</v>
      </c>
      <c r="X32" s="85">
        <f t="shared" si="10"/>
        <v>0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/>
      <c r="D33" s="46"/>
      <c r="E33" s="46"/>
      <c r="F33" s="46"/>
      <c r="G33" s="46"/>
      <c r="H33" s="86"/>
      <c r="I33" s="46"/>
      <c r="J33" s="46"/>
      <c r="K33" s="46"/>
      <c r="L33" s="46"/>
      <c r="M33" s="57"/>
      <c r="N33" s="64"/>
      <c r="O33" s="53"/>
      <c r="P33" s="83">
        <f t="shared" si="2"/>
        <v>0</v>
      </c>
      <c r="Q33" s="84">
        <f t="shared" si="3"/>
        <v>15</v>
      </c>
      <c r="R33" s="84">
        <f t="shared" si="4"/>
        <v>0</v>
      </c>
      <c r="S33" s="85">
        <f t="shared" si="5"/>
        <v>0</v>
      </c>
      <c r="T33" s="85">
        <f t="shared" si="6"/>
        <v>0</v>
      </c>
      <c r="U33" s="85">
        <f t="shared" si="7"/>
        <v>0</v>
      </c>
      <c r="V33" s="85">
        <f t="shared" si="8"/>
        <v>0</v>
      </c>
      <c r="W33" s="85">
        <f t="shared" si="9"/>
        <v>0</v>
      </c>
      <c r="X33" s="85">
        <f t="shared" si="10"/>
        <v>0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/>
      <c r="D34" s="46"/>
      <c r="E34" s="46"/>
      <c r="F34" s="46"/>
      <c r="G34" s="46"/>
      <c r="H34" s="86"/>
      <c r="I34" s="46"/>
      <c r="J34" s="46"/>
      <c r="K34" s="46"/>
      <c r="L34" s="46"/>
      <c r="M34" s="57"/>
      <c r="N34" s="64"/>
      <c r="O34" s="53"/>
      <c r="P34" s="83">
        <f t="shared" si="2"/>
        <v>0</v>
      </c>
      <c r="Q34" s="84">
        <f t="shared" si="3"/>
        <v>15</v>
      </c>
      <c r="R34" s="84">
        <f t="shared" si="4"/>
        <v>0</v>
      </c>
      <c r="S34" s="85">
        <f t="shared" si="5"/>
        <v>0</v>
      </c>
      <c r="T34" s="85">
        <f t="shared" si="6"/>
        <v>0</v>
      </c>
      <c r="U34" s="85">
        <f t="shared" si="7"/>
        <v>0</v>
      </c>
      <c r="V34" s="85">
        <f t="shared" si="8"/>
        <v>0</v>
      </c>
      <c r="W34" s="85">
        <f t="shared" si="9"/>
        <v>0</v>
      </c>
      <c r="X34" s="85">
        <f t="shared" si="10"/>
        <v>0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/>
      <c r="D35" s="46"/>
      <c r="E35" s="46"/>
      <c r="F35" s="46"/>
      <c r="G35" s="46"/>
      <c r="H35" s="86"/>
      <c r="I35" s="46"/>
      <c r="J35" s="46"/>
      <c r="K35" s="46"/>
      <c r="L35" s="46"/>
      <c r="M35" s="57"/>
      <c r="N35" s="64"/>
      <c r="O35" s="53"/>
      <c r="P35" s="83">
        <f t="shared" si="2"/>
        <v>0</v>
      </c>
      <c r="Q35" s="84">
        <f t="shared" si="3"/>
        <v>15</v>
      </c>
      <c r="R35" s="84">
        <f t="shared" si="4"/>
        <v>0</v>
      </c>
      <c r="S35" s="85">
        <f t="shared" si="5"/>
        <v>0</v>
      </c>
      <c r="T35" s="85">
        <f t="shared" si="6"/>
        <v>0</v>
      </c>
      <c r="U35" s="85">
        <f t="shared" si="7"/>
        <v>0</v>
      </c>
      <c r="V35" s="85">
        <f t="shared" si="8"/>
        <v>0</v>
      </c>
      <c r="W35" s="85">
        <f t="shared" si="9"/>
        <v>0</v>
      </c>
      <c r="X35" s="85">
        <f t="shared" si="10"/>
        <v>0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/>
      <c r="D36" s="46"/>
      <c r="E36" s="46"/>
      <c r="F36" s="46"/>
      <c r="G36" s="46"/>
      <c r="H36" s="86"/>
      <c r="I36" s="46"/>
      <c r="J36" s="46"/>
      <c r="K36" s="46"/>
      <c r="L36" s="46"/>
      <c r="M36" s="57"/>
      <c r="N36" s="64"/>
      <c r="O36" s="53"/>
      <c r="P36" s="83">
        <f t="shared" si="2"/>
        <v>0</v>
      </c>
      <c r="Q36" s="84">
        <f t="shared" si="3"/>
        <v>15</v>
      </c>
      <c r="R36" s="84">
        <f t="shared" si="4"/>
        <v>0</v>
      </c>
      <c r="S36" s="85">
        <f t="shared" si="5"/>
        <v>0</v>
      </c>
      <c r="T36" s="85">
        <f t="shared" si="6"/>
        <v>0</v>
      </c>
      <c r="U36" s="85">
        <f t="shared" si="7"/>
        <v>0</v>
      </c>
      <c r="V36" s="85">
        <f t="shared" si="8"/>
        <v>0</v>
      </c>
      <c r="W36" s="85">
        <f t="shared" si="9"/>
        <v>0</v>
      </c>
      <c r="X36" s="85">
        <f t="shared" si="10"/>
        <v>0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/>
      <c r="D37" s="46"/>
      <c r="E37" s="46"/>
      <c r="F37" s="46"/>
      <c r="G37" s="46"/>
      <c r="H37" s="86"/>
      <c r="I37" s="46"/>
      <c r="J37" s="46"/>
      <c r="K37" s="46"/>
      <c r="L37" s="46"/>
      <c r="M37" s="57"/>
      <c r="N37" s="64"/>
      <c r="O37" s="53"/>
      <c r="P37" s="83">
        <f t="shared" si="2"/>
        <v>0</v>
      </c>
      <c r="Q37" s="84">
        <f t="shared" si="3"/>
        <v>15</v>
      </c>
      <c r="R37" s="84">
        <f t="shared" si="4"/>
        <v>0</v>
      </c>
      <c r="S37" s="85">
        <f t="shared" si="5"/>
        <v>0</v>
      </c>
      <c r="T37" s="85">
        <f t="shared" si="6"/>
        <v>0</v>
      </c>
      <c r="U37" s="85">
        <f t="shared" si="7"/>
        <v>0</v>
      </c>
      <c r="V37" s="85">
        <f t="shared" si="8"/>
        <v>0</v>
      </c>
      <c r="W37" s="85">
        <f t="shared" si="9"/>
        <v>0</v>
      </c>
      <c r="X37" s="85">
        <f t="shared" si="10"/>
        <v>0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si="5"/>
        <v>0</v>
      </c>
      <c r="T38" s="85">
        <f t="shared" si="6"/>
        <v>0</v>
      </c>
      <c r="U38" s="85">
        <f t="shared" si="7"/>
        <v>0</v>
      </c>
      <c r="V38" s="85">
        <f t="shared" si="8"/>
        <v>0</v>
      </c>
      <c r="W38" s="85">
        <f t="shared" si="9"/>
        <v>0</v>
      </c>
      <c r="X38" s="85">
        <f t="shared" si="10"/>
        <v>0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si="5"/>
        <v>0</v>
      </c>
      <c r="T39" s="85">
        <f t="shared" si="6"/>
        <v>0</v>
      </c>
      <c r="U39" s="85">
        <f t="shared" si="7"/>
        <v>0</v>
      </c>
      <c r="V39" s="85">
        <f t="shared" si="8"/>
        <v>0</v>
      </c>
      <c r="W39" s="85">
        <f t="shared" si="9"/>
        <v>0</v>
      </c>
      <c r="X39" s="85">
        <f t="shared" si="10"/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5"/>
        <v>0</v>
      </c>
      <c r="T40" s="85">
        <f t="shared" si="6"/>
        <v>0</v>
      </c>
      <c r="U40" s="85">
        <f t="shared" si="7"/>
        <v>0</v>
      </c>
      <c r="V40" s="85">
        <f t="shared" si="8"/>
        <v>0</v>
      </c>
      <c r="W40" s="85">
        <f t="shared" si="9"/>
        <v>0</v>
      </c>
      <c r="X40" s="85">
        <f t="shared" si="10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5"/>
        <v>0</v>
      </c>
      <c r="T41" s="85">
        <f t="shared" si="6"/>
        <v>0</v>
      </c>
      <c r="U41" s="85">
        <f t="shared" si="7"/>
        <v>0</v>
      </c>
      <c r="V41" s="85">
        <f t="shared" si="8"/>
        <v>0</v>
      </c>
      <c r="W41" s="85">
        <f t="shared" si="9"/>
        <v>0</v>
      </c>
      <c r="X41" s="85">
        <f t="shared" si="10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5"/>
        <v>0</v>
      </c>
      <c r="T42" s="85">
        <f t="shared" si="6"/>
        <v>0</v>
      </c>
      <c r="U42" s="85">
        <f t="shared" si="7"/>
        <v>0</v>
      </c>
      <c r="V42" s="85">
        <f t="shared" si="8"/>
        <v>0</v>
      </c>
      <c r="W42" s="85">
        <f t="shared" si="9"/>
        <v>0</v>
      </c>
      <c r="X42" s="85">
        <f t="shared" si="10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5"/>
        <v>0</v>
      </c>
      <c r="T43" s="85">
        <f t="shared" si="6"/>
        <v>0</v>
      </c>
      <c r="U43" s="85">
        <f t="shared" si="7"/>
        <v>0</v>
      </c>
      <c r="V43" s="85">
        <f t="shared" si="8"/>
        <v>0</v>
      </c>
      <c r="W43" s="85">
        <f t="shared" si="9"/>
        <v>0</v>
      </c>
      <c r="X43" s="85">
        <f t="shared" si="10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5"/>
        <v>0</v>
      </c>
      <c r="T44" s="85">
        <f t="shared" si="6"/>
        <v>0</v>
      </c>
      <c r="U44" s="85">
        <f t="shared" si="7"/>
        <v>0</v>
      </c>
      <c r="V44" s="85">
        <f t="shared" si="8"/>
        <v>0</v>
      </c>
      <c r="W44" s="85">
        <f t="shared" si="9"/>
        <v>0</v>
      </c>
      <c r="X44" s="85">
        <f t="shared" si="10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5"/>
        <v>0</v>
      </c>
      <c r="T45" s="85">
        <f t="shared" si="6"/>
        <v>0</v>
      </c>
      <c r="U45" s="85">
        <f t="shared" si="7"/>
        <v>0</v>
      </c>
      <c r="V45" s="85">
        <f t="shared" si="8"/>
        <v>0</v>
      </c>
      <c r="W45" s="85">
        <f t="shared" si="9"/>
        <v>0</v>
      </c>
      <c r="X45" s="85">
        <f t="shared" si="10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5"/>
        <v>0</v>
      </c>
      <c r="T46" s="85">
        <f t="shared" si="6"/>
        <v>0</v>
      </c>
      <c r="U46" s="85">
        <f t="shared" si="7"/>
        <v>0</v>
      </c>
      <c r="V46" s="85">
        <f t="shared" si="8"/>
        <v>0</v>
      </c>
      <c r="W46" s="85">
        <f t="shared" si="9"/>
        <v>0</v>
      </c>
      <c r="X46" s="85">
        <f t="shared" si="10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MJ67"/>
  <sheetViews>
    <sheetView zoomScale="70" zoomScaleNormal="70" workbookViewId="0"/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157363.861</v>
      </c>
      <c r="E14" s="46">
        <v>-22633.433000000001</v>
      </c>
      <c r="F14" s="46">
        <v>138765.92000000001</v>
      </c>
      <c r="G14" s="46" t="s">
        <v>154</v>
      </c>
      <c r="H14" s="82">
        <v>0</v>
      </c>
      <c r="I14" s="46">
        <v>367473.58199999999</v>
      </c>
      <c r="J14" s="46">
        <v>8192790.7379999999</v>
      </c>
      <c r="K14" s="46">
        <v>27916.331999999999</v>
      </c>
      <c r="L14" s="46" t="s">
        <v>154</v>
      </c>
      <c r="N14" s="64"/>
      <c r="P14" s="83">
        <f t="shared" ref="P14:P46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46" si="5">D14*(1-2*$N14*S$11)/S$9</f>
        <v>0.69236329614215808</v>
      </c>
      <c r="T14" s="85">
        <f t="shared" ref="T14:T46" si="6">E14*(1-2*$N14*T$11)/T$9</f>
        <v>-2.1392659801165399E-2</v>
      </c>
      <c r="U14" s="85">
        <f t="shared" ref="U14:U46" si="7">F14*(1-2*$N14*U$11)/U$9</f>
        <v>0.114479915947145</v>
      </c>
      <c r="V14" s="85">
        <f t="shared" ref="V14:V46" si="8">(I14+F14*dy-E14*dz)*(1-2*$N14*V$11)/V$9</f>
        <v>9.0974070915747149E-3</v>
      </c>
      <c r="W14" s="85">
        <f t="shared" ref="W14:W46" si="9">(J14+D14*dz-F14*dx)*(1-2*$N14*W$11)/W$9</f>
        <v>1.8494899625189356</v>
      </c>
      <c r="X14" s="85">
        <f t="shared" ref="X14:X46" si="10">(K14+E14*dx-D14*dy)*(1-2*$N14*X$11)/X$9</f>
        <v>1.2896992232007033E-4</v>
      </c>
      <c r="Y14" s="1">
        <f t="shared" ref="Y14:Y46" si="11">B14</f>
        <v>0</v>
      </c>
      <c r="Z14" s="1"/>
    </row>
    <row r="15" spans="1:26" x14ac:dyDescent="0.25">
      <c r="C15" s="82">
        <v>30</v>
      </c>
      <c r="D15" s="46">
        <v>206365.81700000001</v>
      </c>
      <c r="E15" s="46">
        <v>539848.46499999997</v>
      </c>
      <c r="F15" s="46">
        <v>492804.68199999997</v>
      </c>
      <c r="G15" s="46" t="s">
        <v>155</v>
      </c>
      <c r="H15" s="82">
        <v>30</v>
      </c>
      <c r="I15" s="46">
        <v>-8778793.8920000009</v>
      </c>
      <c r="J15" s="46">
        <v>9463385.8350000009</v>
      </c>
      <c r="K15" s="46">
        <v>-11518894.754000001</v>
      </c>
      <c r="L15" s="46" t="s">
        <v>155</v>
      </c>
      <c r="N15" s="64"/>
      <c r="P15" s="83">
        <f t="shared" si="2"/>
        <v>30</v>
      </c>
      <c r="Q15" s="84">
        <f t="shared" si="3"/>
        <v>12.99038105676658</v>
      </c>
      <c r="R15" s="84">
        <f t="shared" si="4"/>
        <v>7.4999999999999991</v>
      </c>
      <c r="S15" s="85">
        <f t="shared" si="5"/>
        <v>0.90796016544859315</v>
      </c>
      <c r="T15" s="85">
        <f t="shared" si="6"/>
        <v>0.51025377175112341</v>
      </c>
      <c r="U15" s="85">
        <f t="shared" si="7"/>
        <v>0.4065568734291497</v>
      </c>
      <c r="V15" s="85">
        <f t="shared" si="8"/>
        <v>-0.21733334236950289</v>
      </c>
      <c r="W15" s="85">
        <f t="shared" si="9"/>
        <v>2.1363217581154799</v>
      </c>
      <c r="X15" s="85">
        <f t="shared" si="10"/>
        <v>-5.3215836580409119E-2</v>
      </c>
      <c r="Y15" s="1">
        <f t="shared" si="11"/>
        <v>0</v>
      </c>
    </row>
    <row r="16" spans="1:26" x14ac:dyDescent="0.25">
      <c r="C16" s="82">
        <v>45</v>
      </c>
      <c r="D16" s="46">
        <v>159603.26500000001</v>
      </c>
      <c r="E16" s="46">
        <v>924389.97600000002</v>
      </c>
      <c r="F16" s="46">
        <v>618651.88199999998</v>
      </c>
      <c r="G16" s="46" t="s">
        <v>156</v>
      </c>
      <c r="H16" s="82">
        <v>45</v>
      </c>
      <c r="I16" s="46">
        <v>-13974565.59</v>
      </c>
      <c r="J16" s="46">
        <v>6412430.2489999998</v>
      </c>
      <c r="K16" s="46">
        <v>-17036001.984999999</v>
      </c>
      <c r="L16" s="46" t="s">
        <v>156</v>
      </c>
      <c r="N16" s="64"/>
      <c r="P16" s="83">
        <f t="shared" si="2"/>
        <v>45</v>
      </c>
      <c r="Q16" s="84">
        <f t="shared" si="3"/>
        <v>10.606601717798213</v>
      </c>
      <c r="R16" s="84">
        <f t="shared" si="4"/>
        <v>10.606601717798211</v>
      </c>
      <c r="S16" s="85">
        <f t="shared" si="5"/>
        <v>0.70221613735348265</v>
      </c>
      <c r="T16" s="85">
        <f t="shared" si="6"/>
        <v>0.87371457437214439</v>
      </c>
      <c r="U16" s="85">
        <f t="shared" si="7"/>
        <v>0.51037902859652473</v>
      </c>
      <c r="V16" s="85">
        <f t="shared" si="8"/>
        <v>-0.34596313402507933</v>
      </c>
      <c r="W16" s="85">
        <f t="shared" si="9"/>
        <v>1.4475806547664196</v>
      </c>
      <c r="X16" s="85">
        <f t="shared" si="10"/>
        <v>-7.8704174053024364E-2</v>
      </c>
      <c r="Y16" s="1">
        <f t="shared" si="11"/>
        <v>0</v>
      </c>
    </row>
    <row r="17" spans="1:26" x14ac:dyDescent="0.25">
      <c r="C17" s="82">
        <v>60</v>
      </c>
      <c r="D17" s="46">
        <v>19082.366999999998</v>
      </c>
      <c r="E17" s="46">
        <v>1196286.4839999999</v>
      </c>
      <c r="F17" s="46">
        <v>656499.424</v>
      </c>
      <c r="G17" s="46" t="s">
        <v>157</v>
      </c>
      <c r="H17" s="82">
        <v>60</v>
      </c>
      <c r="I17" s="46">
        <v>-18200837.798999999</v>
      </c>
      <c r="J17" s="46">
        <v>1283507.828</v>
      </c>
      <c r="K17" s="46">
        <v>-16663632.073000001</v>
      </c>
      <c r="L17" s="46" t="s">
        <v>157</v>
      </c>
      <c r="N17" s="64"/>
      <c r="P17" s="83">
        <f t="shared" si="2"/>
        <v>60</v>
      </c>
      <c r="Q17" s="84">
        <f t="shared" si="3"/>
        <v>7.5000000000000018</v>
      </c>
      <c r="R17" s="84">
        <f t="shared" si="4"/>
        <v>12.990381056766578</v>
      </c>
      <c r="S17" s="85">
        <f t="shared" si="5"/>
        <v>8.3957844134965293E-2</v>
      </c>
      <c r="T17" s="85">
        <f t="shared" si="6"/>
        <v>1.1307056148726662</v>
      </c>
      <c r="U17" s="85">
        <f t="shared" si="7"/>
        <v>0.5416027139723435</v>
      </c>
      <c r="V17" s="85">
        <f t="shared" si="8"/>
        <v>-0.4505913866353084</v>
      </c>
      <c r="W17" s="85">
        <f t="shared" si="9"/>
        <v>0.28974679332282982</v>
      </c>
      <c r="X17" s="85">
        <f t="shared" si="10"/>
        <v>-7.6983872165764564E-2</v>
      </c>
      <c r="Y17" s="1">
        <f t="shared" si="11"/>
        <v>0</v>
      </c>
    </row>
    <row r="18" spans="1:26" x14ac:dyDescent="0.25">
      <c r="C18" s="82">
        <v>90</v>
      </c>
      <c r="D18" s="46">
        <v>-50715.228999999999</v>
      </c>
      <c r="E18" s="46">
        <v>1126632.138</v>
      </c>
      <c r="F18" s="46">
        <v>436177.37400000001</v>
      </c>
      <c r="G18" s="46" t="s">
        <v>158</v>
      </c>
      <c r="H18" s="86">
        <v>90</v>
      </c>
      <c r="I18" s="46">
        <v>-17742865.182</v>
      </c>
      <c r="J18" s="46">
        <v>-3592560.9339999999</v>
      </c>
      <c r="K18" s="46">
        <v>2062401.8770000001</v>
      </c>
      <c r="L18" s="46" t="s">
        <v>158</v>
      </c>
      <c r="N18" s="64"/>
      <c r="P18" s="83">
        <f t="shared" si="2"/>
        <v>90</v>
      </c>
      <c r="Q18" s="84">
        <f t="shared" si="3"/>
        <v>9.1886134118146501E-16</v>
      </c>
      <c r="R18" s="84">
        <f t="shared" si="4"/>
        <v>15</v>
      </c>
      <c r="S18" s="85">
        <f t="shared" si="5"/>
        <v>-0.2231348601382141</v>
      </c>
      <c r="T18" s="85">
        <f t="shared" si="6"/>
        <v>1.0648697459768313</v>
      </c>
      <c r="U18" s="85">
        <f t="shared" si="7"/>
        <v>0.35984014744806525</v>
      </c>
      <c r="V18" s="85">
        <f t="shared" si="8"/>
        <v>-0.43925352852053701</v>
      </c>
      <c r="W18" s="85">
        <f t="shared" si="9"/>
        <v>-0.81100635908499541</v>
      </c>
      <c r="X18" s="85">
        <f t="shared" si="10"/>
        <v>9.5280357702242982E-3</v>
      </c>
      <c r="Y18" s="1">
        <f t="shared" si="11"/>
        <v>0</v>
      </c>
    </row>
    <row r="19" spans="1:26" x14ac:dyDescent="0.25">
      <c r="C19" s="82">
        <v>270</v>
      </c>
      <c r="D19" s="46">
        <v>-15487.329</v>
      </c>
      <c r="E19" s="46">
        <v>-1066452.175</v>
      </c>
      <c r="F19" s="46">
        <v>570879.46600000001</v>
      </c>
      <c r="G19" s="46" t="s">
        <v>159</v>
      </c>
      <c r="H19" s="86">
        <v>270</v>
      </c>
      <c r="I19" s="46">
        <v>18944926.002</v>
      </c>
      <c r="J19" s="46">
        <v>-11480099.376</v>
      </c>
      <c r="K19" s="46">
        <v>-3314948.74</v>
      </c>
      <c r="L19" s="46" t="s">
        <v>159</v>
      </c>
      <c r="N19" s="64"/>
      <c r="P19" s="83">
        <f t="shared" si="2"/>
        <v>270</v>
      </c>
      <c r="Q19" s="84">
        <f t="shared" si="3"/>
        <v>-2.756584023544395E-15</v>
      </c>
      <c r="R19" s="84">
        <f t="shared" si="4"/>
        <v>-15</v>
      </c>
      <c r="S19" s="85">
        <f t="shared" si="5"/>
        <v>-6.8140538029109701E-2</v>
      </c>
      <c r="T19" s="85">
        <f t="shared" si="6"/>
        <v>-1.007988870887943</v>
      </c>
      <c r="U19" s="85">
        <f t="shared" si="7"/>
        <v>0.47096746293060299</v>
      </c>
      <c r="V19" s="85">
        <f t="shared" si="8"/>
        <v>0.46901250212852852</v>
      </c>
      <c r="W19" s="85">
        <f t="shared" si="9"/>
        <v>-2.5915868284236283</v>
      </c>
      <c r="X19" s="85">
        <f t="shared" si="10"/>
        <v>-1.5314643825442936E-2</v>
      </c>
      <c r="Y19" s="1">
        <f t="shared" si="11"/>
        <v>0</v>
      </c>
    </row>
    <row r="20" spans="1:26" x14ac:dyDescent="0.25">
      <c r="C20" s="82"/>
      <c r="D20" s="46"/>
      <c r="E20" s="46"/>
      <c r="F20" s="46"/>
      <c r="G20" s="46"/>
      <c r="H20" s="86"/>
      <c r="I20" s="46"/>
      <c r="J20" s="46"/>
      <c r="K20" s="46"/>
      <c r="L20" s="46"/>
      <c r="N20" s="64"/>
      <c r="P20" s="83">
        <f t="shared" si="2"/>
        <v>0</v>
      </c>
      <c r="Q20" s="84">
        <f t="shared" si="3"/>
        <v>15</v>
      </c>
      <c r="R20" s="84">
        <f t="shared" si="4"/>
        <v>0</v>
      </c>
      <c r="S20" s="85">
        <f t="shared" si="5"/>
        <v>0</v>
      </c>
      <c r="T20" s="85">
        <f t="shared" si="6"/>
        <v>0</v>
      </c>
      <c r="U20" s="85">
        <f t="shared" si="7"/>
        <v>0</v>
      </c>
      <c r="V20" s="85">
        <f t="shared" si="8"/>
        <v>0</v>
      </c>
      <c r="W20" s="85">
        <f t="shared" si="9"/>
        <v>0</v>
      </c>
      <c r="X20" s="85">
        <f t="shared" si="10"/>
        <v>0</v>
      </c>
      <c r="Y20" s="1">
        <f t="shared" si="11"/>
        <v>0</v>
      </c>
    </row>
    <row r="21" spans="1:26" x14ac:dyDescent="0.25">
      <c r="C21" s="82"/>
      <c r="D21" s="46"/>
      <c r="E21" s="46"/>
      <c r="F21" s="46"/>
      <c r="G21" s="46"/>
      <c r="H21" s="86"/>
      <c r="I21" s="46"/>
      <c r="J21" s="46"/>
      <c r="K21" s="46"/>
      <c r="L21" s="46"/>
      <c r="N21" s="64"/>
      <c r="P21" s="83">
        <f t="shared" si="2"/>
        <v>0</v>
      </c>
      <c r="Q21" s="84">
        <f t="shared" si="3"/>
        <v>15</v>
      </c>
      <c r="R21" s="84">
        <f t="shared" si="4"/>
        <v>0</v>
      </c>
      <c r="S21" s="85">
        <f t="shared" si="5"/>
        <v>0</v>
      </c>
      <c r="T21" s="85">
        <f t="shared" si="6"/>
        <v>0</v>
      </c>
      <c r="U21" s="85">
        <f t="shared" si="7"/>
        <v>0</v>
      </c>
      <c r="V21" s="85">
        <f t="shared" si="8"/>
        <v>0</v>
      </c>
      <c r="W21" s="85">
        <f t="shared" si="9"/>
        <v>0</v>
      </c>
      <c r="X21" s="85">
        <f t="shared" si="10"/>
        <v>0</v>
      </c>
      <c r="Y21" s="1">
        <f t="shared" si="11"/>
        <v>0</v>
      </c>
    </row>
    <row r="22" spans="1:26" x14ac:dyDescent="0.25">
      <c r="C22" s="82"/>
      <c r="D22" s="46"/>
      <c r="E22" s="46"/>
      <c r="F22" s="46"/>
      <c r="G22" s="46"/>
      <c r="H22" s="86"/>
      <c r="I22" s="46"/>
      <c r="J22" s="46"/>
      <c r="K22" s="46"/>
      <c r="L22" s="46"/>
      <c r="N22" s="64"/>
      <c r="P22" s="83">
        <f t="shared" si="2"/>
        <v>0</v>
      </c>
      <c r="Q22" s="84">
        <f t="shared" si="3"/>
        <v>15</v>
      </c>
      <c r="R22" s="84">
        <f t="shared" si="4"/>
        <v>0</v>
      </c>
      <c r="S22" s="85">
        <f t="shared" si="5"/>
        <v>0</v>
      </c>
      <c r="T22" s="85">
        <f t="shared" si="6"/>
        <v>0</v>
      </c>
      <c r="U22" s="85">
        <f t="shared" si="7"/>
        <v>0</v>
      </c>
      <c r="V22" s="85">
        <f t="shared" si="8"/>
        <v>0</v>
      </c>
      <c r="W22" s="85">
        <f t="shared" si="9"/>
        <v>0</v>
      </c>
      <c r="X22" s="85">
        <f t="shared" si="10"/>
        <v>0</v>
      </c>
      <c r="Y22" s="1">
        <f t="shared" si="11"/>
        <v>0</v>
      </c>
    </row>
    <row r="23" spans="1:26" x14ac:dyDescent="0.25">
      <c r="C23" s="82"/>
      <c r="D23" s="46"/>
      <c r="E23" s="46"/>
      <c r="F23" s="46"/>
      <c r="G23" s="46"/>
      <c r="H23" s="86"/>
      <c r="I23" s="46"/>
      <c r="J23" s="46"/>
      <c r="K23" s="46"/>
      <c r="L23" s="46"/>
      <c r="N23" s="64"/>
      <c r="P23" s="83">
        <f t="shared" si="2"/>
        <v>0</v>
      </c>
      <c r="Q23" s="84">
        <f t="shared" si="3"/>
        <v>15</v>
      </c>
      <c r="R23" s="84">
        <f t="shared" si="4"/>
        <v>0</v>
      </c>
      <c r="S23" s="85">
        <f t="shared" si="5"/>
        <v>0</v>
      </c>
      <c r="T23" s="85">
        <f t="shared" si="6"/>
        <v>0</v>
      </c>
      <c r="U23" s="85">
        <f t="shared" si="7"/>
        <v>0</v>
      </c>
      <c r="V23" s="85">
        <f t="shared" si="8"/>
        <v>0</v>
      </c>
      <c r="W23" s="85">
        <f t="shared" si="9"/>
        <v>0</v>
      </c>
      <c r="X23" s="85">
        <f t="shared" si="10"/>
        <v>0</v>
      </c>
      <c r="Y23" s="1">
        <f t="shared" si="11"/>
        <v>0</v>
      </c>
    </row>
    <row r="24" spans="1:26" x14ac:dyDescent="0.25">
      <c r="C24" s="82"/>
      <c r="D24" s="46"/>
      <c r="E24" s="46"/>
      <c r="F24" s="46"/>
      <c r="G24" s="46"/>
      <c r="H24" s="86"/>
      <c r="I24" s="46"/>
      <c r="J24" s="46"/>
      <c r="K24" s="46"/>
      <c r="L24" s="46"/>
      <c r="N24" s="64"/>
      <c r="P24" s="83">
        <f t="shared" si="2"/>
        <v>0</v>
      </c>
      <c r="Q24" s="84">
        <f t="shared" si="3"/>
        <v>15</v>
      </c>
      <c r="R24" s="84">
        <f t="shared" si="4"/>
        <v>0</v>
      </c>
      <c r="S24" s="85">
        <f t="shared" si="5"/>
        <v>0</v>
      </c>
      <c r="T24" s="85">
        <f t="shared" si="6"/>
        <v>0</v>
      </c>
      <c r="U24" s="85">
        <f t="shared" si="7"/>
        <v>0</v>
      </c>
      <c r="V24" s="85">
        <f t="shared" si="8"/>
        <v>0</v>
      </c>
      <c r="W24" s="85">
        <f t="shared" si="9"/>
        <v>0</v>
      </c>
      <c r="X24" s="85">
        <f t="shared" si="10"/>
        <v>0</v>
      </c>
      <c r="Y24" s="1">
        <f t="shared" si="11"/>
        <v>0</v>
      </c>
    </row>
    <row r="25" spans="1:26" x14ac:dyDescent="0.25">
      <c r="C25" s="82"/>
      <c r="D25" s="46"/>
      <c r="E25" s="46"/>
      <c r="F25" s="46"/>
      <c r="G25" s="46"/>
      <c r="H25" s="86"/>
      <c r="I25" s="46"/>
      <c r="J25" s="46"/>
      <c r="K25" s="46"/>
      <c r="L25" s="46"/>
      <c r="N25" s="64"/>
      <c r="P25" s="83">
        <f t="shared" si="2"/>
        <v>0</v>
      </c>
      <c r="Q25" s="84">
        <f t="shared" si="3"/>
        <v>15</v>
      </c>
      <c r="R25" s="84">
        <f t="shared" si="4"/>
        <v>0</v>
      </c>
      <c r="S25" s="85">
        <f t="shared" si="5"/>
        <v>0</v>
      </c>
      <c r="T25" s="85">
        <f t="shared" si="6"/>
        <v>0</v>
      </c>
      <c r="U25" s="85">
        <f t="shared" si="7"/>
        <v>0</v>
      </c>
      <c r="V25" s="85">
        <f t="shared" si="8"/>
        <v>0</v>
      </c>
      <c r="W25" s="85">
        <f t="shared" si="9"/>
        <v>0</v>
      </c>
      <c r="X25" s="85">
        <f t="shared" si="10"/>
        <v>0</v>
      </c>
      <c r="Y25" s="1">
        <f t="shared" si="11"/>
        <v>0</v>
      </c>
    </row>
    <row r="26" spans="1:26" x14ac:dyDescent="0.25">
      <c r="C26" s="82"/>
      <c r="D26" s="46"/>
      <c r="E26" s="46"/>
      <c r="F26" s="46"/>
      <c r="G26" s="46"/>
      <c r="H26" s="86"/>
      <c r="I26" s="46"/>
      <c r="J26" s="46"/>
      <c r="K26" s="46"/>
      <c r="L26" s="46"/>
      <c r="N26" s="64"/>
      <c r="P26" s="83">
        <f t="shared" si="2"/>
        <v>0</v>
      </c>
      <c r="Q26" s="84">
        <f t="shared" si="3"/>
        <v>15</v>
      </c>
      <c r="R26" s="84">
        <f t="shared" si="4"/>
        <v>0</v>
      </c>
      <c r="S26" s="85">
        <f t="shared" si="5"/>
        <v>0</v>
      </c>
      <c r="T26" s="85">
        <f t="shared" si="6"/>
        <v>0</v>
      </c>
      <c r="U26" s="85">
        <f t="shared" si="7"/>
        <v>0</v>
      </c>
      <c r="V26" s="85">
        <f t="shared" si="8"/>
        <v>0</v>
      </c>
      <c r="W26" s="85">
        <f t="shared" si="9"/>
        <v>0</v>
      </c>
      <c r="X26" s="85">
        <f t="shared" si="10"/>
        <v>0</v>
      </c>
      <c r="Y26" s="1">
        <f t="shared" si="11"/>
        <v>0</v>
      </c>
    </row>
    <row r="27" spans="1:26" x14ac:dyDescent="0.25">
      <c r="C27" s="82"/>
      <c r="D27" s="46"/>
      <c r="E27" s="46"/>
      <c r="F27" s="46"/>
      <c r="G27" s="46"/>
      <c r="H27" s="86"/>
      <c r="I27" s="46"/>
      <c r="J27" s="46"/>
      <c r="K27" s="46"/>
      <c r="L27" s="46"/>
      <c r="N27" s="64"/>
      <c r="P27" s="83">
        <f t="shared" si="2"/>
        <v>0</v>
      </c>
      <c r="Q27" s="84">
        <f t="shared" si="3"/>
        <v>15</v>
      </c>
      <c r="R27" s="84">
        <f t="shared" si="4"/>
        <v>0</v>
      </c>
      <c r="S27" s="85">
        <f t="shared" si="5"/>
        <v>0</v>
      </c>
      <c r="T27" s="85">
        <f t="shared" si="6"/>
        <v>0</v>
      </c>
      <c r="U27" s="85">
        <f t="shared" si="7"/>
        <v>0</v>
      </c>
      <c r="V27" s="85">
        <f t="shared" si="8"/>
        <v>0</v>
      </c>
      <c r="W27" s="85">
        <f t="shared" si="9"/>
        <v>0</v>
      </c>
      <c r="X27" s="85">
        <f t="shared" si="10"/>
        <v>0</v>
      </c>
      <c r="Y27" s="1">
        <f t="shared" si="11"/>
        <v>0</v>
      </c>
    </row>
    <row r="28" spans="1:26" x14ac:dyDescent="0.25">
      <c r="C28" s="82"/>
      <c r="D28" s="46"/>
      <c r="E28" s="46"/>
      <c r="F28" s="46"/>
      <c r="G28" s="46"/>
      <c r="H28" s="86"/>
      <c r="I28" s="46"/>
      <c r="J28" s="46"/>
      <c r="K28" s="46"/>
      <c r="L28" s="46"/>
      <c r="N28" s="64"/>
      <c r="P28" s="83">
        <f t="shared" si="2"/>
        <v>0</v>
      </c>
      <c r="Q28" s="84">
        <f t="shared" si="3"/>
        <v>15</v>
      </c>
      <c r="R28" s="84">
        <f t="shared" si="4"/>
        <v>0</v>
      </c>
      <c r="S28" s="85">
        <f t="shared" si="5"/>
        <v>0</v>
      </c>
      <c r="T28" s="85">
        <f t="shared" si="6"/>
        <v>0</v>
      </c>
      <c r="U28" s="85">
        <f t="shared" si="7"/>
        <v>0</v>
      </c>
      <c r="V28" s="85">
        <f t="shared" si="8"/>
        <v>0</v>
      </c>
      <c r="W28" s="85">
        <f t="shared" si="9"/>
        <v>0</v>
      </c>
      <c r="X28" s="85">
        <f t="shared" si="10"/>
        <v>0</v>
      </c>
      <c r="Y28" s="1">
        <f t="shared" si="11"/>
        <v>0</v>
      </c>
    </row>
    <row r="29" spans="1:26" x14ac:dyDescent="0.25">
      <c r="C29" s="82"/>
      <c r="D29" s="46"/>
      <c r="E29" s="46"/>
      <c r="F29" s="46"/>
      <c r="G29" s="46"/>
      <c r="H29" s="86"/>
      <c r="I29" s="46"/>
      <c r="J29" s="46"/>
      <c r="K29" s="46"/>
      <c r="L29" s="46"/>
      <c r="N29" s="64"/>
      <c r="P29" s="83">
        <f t="shared" si="2"/>
        <v>0</v>
      </c>
      <c r="Q29" s="84">
        <f t="shared" si="3"/>
        <v>15</v>
      </c>
      <c r="R29" s="84">
        <f t="shared" si="4"/>
        <v>0</v>
      </c>
      <c r="S29" s="85">
        <f t="shared" si="5"/>
        <v>0</v>
      </c>
      <c r="T29" s="85">
        <f t="shared" si="6"/>
        <v>0</v>
      </c>
      <c r="U29" s="85">
        <f t="shared" si="7"/>
        <v>0</v>
      </c>
      <c r="V29" s="85">
        <f t="shared" si="8"/>
        <v>0</v>
      </c>
      <c r="W29" s="85">
        <f t="shared" si="9"/>
        <v>0</v>
      </c>
      <c r="X29" s="85">
        <f t="shared" si="10"/>
        <v>0</v>
      </c>
      <c r="Y29" s="1">
        <f t="shared" si="11"/>
        <v>0</v>
      </c>
    </row>
    <row r="30" spans="1:26" x14ac:dyDescent="0.25">
      <c r="C30" s="82"/>
      <c r="D30" s="46"/>
      <c r="E30" s="46"/>
      <c r="F30" s="46"/>
      <c r="G30" s="46"/>
      <c r="H30" s="86"/>
      <c r="I30" s="46"/>
      <c r="J30" s="46"/>
      <c r="K30" s="46"/>
      <c r="L30" s="46"/>
      <c r="N30" s="64"/>
      <c r="P30" s="83">
        <f t="shared" si="2"/>
        <v>0</v>
      </c>
      <c r="Q30" s="84">
        <f t="shared" si="3"/>
        <v>15</v>
      </c>
      <c r="R30" s="84">
        <f t="shared" si="4"/>
        <v>0</v>
      </c>
      <c r="S30" s="85">
        <f t="shared" si="5"/>
        <v>0</v>
      </c>
      <c r="T30" s="85">
        <f t="shared" si="6"/>
        <v>0</v>
      </c>
      <c r="U30" s="85">
        <f t="shared" si="7"/>
        <v>0</v>
      </c>
      <c r="V30" s="85">
        <f t="shared" si="8"/>
        <v>0</v>
      </c>
      <c r="W30" s="85">
        <f t="shared" si="9"/>
        <v>0</v>
      </c>
      <c r="X30" s="85">
        <f t="shared" si="10"/>
        <v>0</v>
      </c>
      <c r="Y30" s="1">
        <f t="shared" si="11"/>
        <v>0</v>
      </c>
    </row>
    <row r="31" spans="1:26" x14ac:dyDescent="0.25">
      <c r="C31" s="87"/>
      <c r="D31" s="46"/>
      <c r="E31" s="46"/>
      <c r="F31" s="46"/>
      <c r="G31" s="46"/>
      <c r="H31" s="86"/>
      <c r="I31" s="46"/>
      <c r="J31" s="46"/>
      <c r="K31" s="46"/>
      <c r="L31" s="46"/>
      <c r="N31" s="64"/>
      <c r="P31" s="83">
        <f t="shared" si="2"/>
        <v>0</v>
      </c>
      <c r="Q31" s="84">
        <f t="shared" si="3"/>
        <v>15</v>
      </c>
      <c r="R31" s="84">
        <f t="shared" si="4"/>
        <v>0</v>
      </c>
      <c r="S31" s="85">
        <f t="shared" si="5"/>
        <v>0</v>
      </c>
      <c r="T31" s="85">
        <f t="shared" si="6"/>
        <v>0</v>
      </c>
      <c r="U31" s="85">
        <f t="shared" si="7"/>
        <v>0</v>
      </c>
      <c r="V31" s="85">
        <f t="shared" si="8"/>
        <v>0</v>
      </c>
      <c r="W31" s="85">
        <f t="shared" si="9"/>
        <v>0</v>
      </c>
      <c r="X31" s="85">
        <f t="shared" si="10"/>
        <v>0</v>
      </c>
      <c r="Y31" s="1">
        <f t="shared" si="11"/>
        <v>0</v>
      </c>
    </row>
    <row r="32" spans="1:26" s="1" customFormat="1" x14ac:dyDescent="0.25">
      <c r="A32" s="53"/>
      <c r="B32" s="53"/>
      <c r="C32" s="87"/>
      <c r="D32" s="46"/>
      <c r="E32" s="46"/>
      <c r="F32" s="46"/>
      <c r="G32" s="46"/>
      <c r="H32" s="86"/>
      <c r="I32" s="46"/>
      <c r="J32" s="46"/>
      <c r="K32" s="46"/>
      <c r="L32" s="46"/>
      <c r="M32" s="57"/>
      <c r="N32" s="64"/>
      <c r="O32" s="53"/>
      <c r="P32" s="83">
        <f t="shared" si="2"/>
        <v>0</v>
      </c>
      <c r="Q32" s="84">
        <f t="shared" si="3"/>
        <v>15</v>
      </c>
      <c r="R32" s="84">
        <f t="shared" si="4"/>
        <v>0</v>
      </c>
      <c r="S32" s="85">
        <f t="shared" si="5"/>
        <v>0</v>
      </c>
      <c r="T32" s="85">
        <f t="shared" si="6"/>
        <v>0</v>
      </c>
      <c r="U32" s="85">
        <f t="shared" si="7"/>
        <v>0</v>
      </c>
      <c r="V32" s="85">
        <f t="shared" si="8"/>
        <v>0</v>
      </c>
      <c r="W32" s="85">
        <f t="shared" si="9"/>
        <v>0</v>
      </c>
      <c r="X32" s="85">
        <f t="shared" si="10"/>
        <v>0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/>
      <c r="D33" s="46"/>
      <c r="E33" s="46"/>
      <c r="F33" s="46"/>
      <c r="G33" s="46"/>
      <c r="H33" s="86"/>
      <c r="I33" s="46"/>
      <c r="J33" s="46"/>
      <c r="K33" s="46"/>
      <c r="L33" s="46"/>
      <c r="M33" s="57"/>
      <c r="N33" s="64"/>
      <c r="O33" s="53"/>
      <c r="P33" s="83">
        <f t="shared" si="2"/>
        <v>0</v>
      </c>
      <c r="Q33" s="84">
        <f t="shared" si="3"/>
        <v>15</v>
      </c>
      <c r="R33" s="84">
        <f t="shared" si="4"/>
        <v>0</v>
      </c>
      <c r="S33" s="85">
        <f t="shared" si="5"/>
        <v>0</v>
      </c>
      <c r="T33" s="85">
        <f t="shared" si="6"/>
        <v>0</v>
      </c>
      <c r="U33" s="85">
        <f t="shared" si="7"/>
        <v>0</v>
      </c>
      <c r="V33" s="85">
        <f t="shared" si="8"/>
        <v>0</v>
      </c>
      <c r="W33" s="85">
        <f t="shared" si="9"/>
        <v>0</v>
      </c>
      <c r="X33" s="85">
        <f t="shared" si="10"/>
        <v>0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/>
      <c r="D34" s="46"/>
      <c r="E34" s="46"/>
      <c r="F34" s="46"/>
      <c r="G34" s="46"/>
      <c r="H34" s="86"/>
      <c r="I34" s="46"/>
      <c r="J34" s="46"/>
      <c r="K34" s="46"/>
      <c r="L34" s="46"/>
      <c r="M34" s="57"/>
      <c r="N34" s="64"/>
      <c r="O34" s="53"/>
      <c r="P34" s="83">
        <f t="shared" si="2"/>
        <v>0</v>
      </c>
      <c r="Q34" s="84">
        <f t="shared" si="3"/>
        <v>15</v>
      </c>
      <c r="R34" s="84">
        <f t="shared" si="4"/>
        <v>0</v>
      </c>
      <c r="S34" s="85">
        <f t="shared" si="5"/>
        <v>0</v>
      </c>
      <c r="T34" s="85">
        <f t="shared" si="6"/>
        <v>0</v>
      </c>
      <c r="U34" s="85">
        <f t="shared" si="7"/>
        <v>0</v>
      </c>
      <c r="V34" s="85">
        <f t="shared" si="8"/>
        <v>0</v>
      </c>
      <c r="W34" s="85">
        <f t="shared" si="9"/>
        <v>0</v>
      </c>
      <c r="X34" s="85">
        <f t="shared" si="10"/>
        <v>0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/>
      <c r="D35" s="46"/>
      <c r="E35" s="46"/>
      <c r="F35" s="46"/>
      <c r="G35" s="46"/>
      <c r="H35" s="86"/>
      <c r="I35" s="46"/>
      <c r="J35" s="46"/>
      <c r="K35" s="46"/>
      <c r="L35" s="46"/>
      <c r="M35" s="57"/>
      <c r="N35" s="64"/>
      <c r="O35" s="53"/>
      <c r="P35" s="83">
        <f t="shared" si="2"/>
        <v>0</v>
      </c>
      <c r="Q35" s="84">
        <f t="shared" si="3"/>
        <v>15</v>
      </c>
      <c r="R35" s="84">
        <f t="shared" si="4"/>
        <v>0</v>
      </c>
      <c r="S35" s="85">
        <f t="shared" si="5"/>
        <v>0</v>
      </c>
      <c r="T35" s="85">
        <f t="shared" si="6"/>
        <v>0</v>
      </c>
      <c r="U35" s="85">
        <f t="shared" si="7"/>
        <v>0</v>
      </c>
      <c r="V35" s="85">
        <f t="shared" si="8"/>
        <v>0</v>
      </c>
      <c r="W35" s="85">
        <f t="shared" si="9"/>
        <v>0</v>
      </c>
      <c r="X35" s="85">
        <f t="shared" si="10"/>
        <v>0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/>
      <c r="D36" s="46"/>
      <c r="E36" s="46"/>
      <c r="F36" s="46"/>
      <c r="G36" s="46"/>
      <c r="H36" s="86"/>
      <c r="I36" s="46"/>
      <c r="J36" s="46"/>
      <c r="K36" s="46"/>
      <c r="L36" s="46"/>
      <c r="M36" s="57"/>
      <c r="N36" s="64"/>
      <c r="O36" s="53"/>
      <c r="P36" s="83">
        <f t="shared" si="2"/>
        <v>0</v>
      </c>
      <c r="Q36" s="84">
        <f t="shared" si="3"/>
        <v>15</v>
      </c>
      <c r="R36" s="84">
        <f t="shared" si="4"/>
        <v>0</v>
      </c>
      <c r="S36" s="85">
        <f t="shared" si="5"/>
        <v>0</v>
      </c>
      <c r="T36" s="85">
        <f t="shared" si="6"/>
        <v>0</v>
      </c>
      <c r="U36" s="85">
        <f t="shared" si="7"/>
        <v>0</v>
      </c>
      <c r="V36" s="85">
        <f t="shared" si="8"/>
        <v>0</v>
      </c>
      <c r="W36" s="85">
        <f t="shared" si="9"/>
        <v>0</v>
      </c>
      <c r="X36" s="85">
        <f t="shared" si="10"/>
        <v>0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/>
      <c r="D37" s="46"/>
      <c r="E37" s="46"/>
      <c r="F37" s="46"/>
      <c r="G37" s="46"/>
      <c r="H37" s="86"/>
      <c r="I37" s="46"/>
      <c r="J37" s="46"/>
      <c r="K37" s="46"/>
      <c r="L37" s="46"/>
      <c r="M37" s="57"/>
      <c r="N37" s="64"/>
      <c r="O37" s="53"/>
      <c r="P37" s="83">
        <f t="shared" si="2"/>
        <v>0</v>
      </c>
      <c r="Q37" s="84">
        <f t="shared" si="3"/>
        <v>15</v>
      </c>
      <c r="R37" s="84">
        <f t="shared" si="4"/>
        <v>0</v>
      </c>
      <c r="S37" s="85">
        <f t="shared" si="5"/>
        <v>0</v>
      </c>
      <c r="T37" s="85">
        <f t="shared" si="6"/>
        <v>0</v>
      </c>
      <c r="U37" s="85">
        <f t="shared" si="7"/>
        <v>0</v>
      </c>
      <c r="V37" s="85">
        <f t="shared" si="8"/>
        <v>0</v>
      </c>
      <c r="W37" s="85">
        <f t="shared" si="9"/>
        <v>0</v>
      </c>
      <c r="X37" s="85">
        <f t="shared" si="10"/>
        <v>0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si="5"/>
        <v>0</v>
      </c>
      <c r="T38" s="85">
        <f t="shared" si="6"/>
        <v>0</v>
      </c>
      <c r="U38" s="85">
        <f t="shared" si="7"/>
        <v>0</v>
      </c>
      <c r="V38" s="85">
        <f t="shared" si="8"/>
        <v>0</v>
      </c>
      <c r="W38" s="85">
        <f t="shared" si="9"/>
        <v>0</v>
      </c>
      <c r="X38" s="85">
        <f t="shared" si="10"/>
        <v>0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si="5"/>
        <v>0</v>
      </c>
      <c r="T39" s="85">
        <f t="shared" si="6"/>
        <v>0</v>
      </c>
      <c r="U39" s="85">
        <f t="shared" si="7"/>
        <v>0</v>
      </c>
      <c r="V39" s="85">
        <f t="shared" si="8"/>
        <v>0</v>
      </c>
      <c r="W39" s="85">
        <f t="shared" si="9"/>
        <v>0</v>
      </c>
      <c r="X39" s="85">
        <f t="shared" si="10"/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5"/>
        <v>0</v>
      </c>
      <c r="T40" s="85">
        <f t="shared" si="6"/>
        <v>0</v>
      </c>
      <c r="U40" s="85">
        <f t="shared" si="7"/>
        <v>0</v>
      </c>
      <c r="V40" s="85">
        <f t="shared" si="8"/>
        <v>0</v>
      </c>
      <c r="W40" s="85">
        <f t="shared" si="9"/>
        <v>0</v>
      </c>
      <c r="X40" s="85">
        <f t="shared" si="10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5"/>
        <v>0</v>
      </c>
      <c r="T41" s="85">
        <f t="shared" si="6"/>
        <v>0</v>
      </c>
      <c r="U41" s="85">
        <f t="shared" si="7"/>
        <v>0</v>
      </c>
      <c r="V41" s="85">
        <f t="shared" si="8"/>
        <v>0</v>
      </c>
      <c r="W41" s="85">
        <f t="shared" si="9"/>
        <v>0</v>
      </c>
      <c r="X41" s="85">
        <f t="shared" si="10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5"/>
        <v>0</v>
      </c>
      <c r="T42" s="85">
        <f t="shared" si="6"/>
        <v>0</v>
      </c>
      <c r="U42" s="85">
        <f t="shared" si="7"/>
        <v>0</v>
      </c>
      <c r="V42" s="85">
        <f t="shared" si="8"/>
        <v>0</v>
      </c>
      <c r="W42" s="85">
        <f t="shared" si="9"/>
        <v>0</v>
      </c>
      <c r="X42" s="85">
        <f t="shared" si="10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5"/>
        <v>0</v>
      </c>
      <c r="T43" s="85">
        <f t="shared" si="6"/>
        <v>0</v>
      </c>
      <c r="U43" s="85">
        <f t="shared" si="7"/>
        <v>0</v>
      </c>
      <c r="V43" s="85">
        <f t="shared" si="8"/>
        <v>0</v>
      </c>
      <c r="W43" s="85">
        <f t="shared" si="9"/>
        <v>0</v>
      </c>
      <c r="X43" s="85">
        <f t="shared" si="10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5"/>
        <v>0</v>
      </c>
      <c r="T44" s="85">
        <f t="shared" si="6"/>
        <v>0</v>
      </c>
      <c r="U44" s="85">
        <f t="shared" si="7"/>
        <v>0</v>
      </c>
      <c r="V44" s="85">
        <f t="shared" si="8"/>
        <v>0</v>
      </c>
      <c r="W44" s="85">
        <f t="shared" si="9"/>
        <v>0</v>
      </c>
      <c r="X44" s="85">
        <f t="shared" si="10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5"/>
        <v>0</v>
      </c>
      <c r="T45" s="85">
        <f t="shared" si="6"/>
        <v>0</v>
      </c>
      <c r="U45" s="85">
        <f t="shared" si="7"/>
        <v>0</v>
      </c>
      <c r="V45" s="85">
        <f t="shared" si="8"/>
        <v>0</v>
      </c>
      <c r="W45" s="85">
        <f t="shared" si="9"/>
        <v>0</v>
      </c>
      <c r="X45" s="85">
        <f t="shared" si="10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5"/>
        <v>0</v>
      </c>
      <c r="T46" s="85">
        <f t="shared" si="6"/>
        <v>0</v>
      </c>
      <c r="U46" s="85">
        <f t="shared" si="7"/>
        <v>0</v>
      </c>
      <c r="V46" s="85">
        <f t="shared" si="8"/>
        <v>0</v>
      </c>
      <c r="W46" s="85">
        <f t="shared" si="9"/>
        <v>0</v>
      </c>
      <c r="X46" s="85">
        <f t="shared" si="10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MJ67"/>
  <sheetViews>
    <sheetView zoomScale="70" zoomScaleNormal="70" workbookViewId="0"/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84809.108999999997</v>
      </c>
      <c r="E14" s="46">
        <v>30326.800999999999</v>
      </c>
      <c r="F14" s="46">
        <v>253253.36</v>
      </c>
      <c r="G14" s="46" t="s">
        <v>154</v>
      </c>
      <c r="H14" s="82">
        <v>0</v>
      </c>
      <c r="I14" s="46">
        <v>-130945.65700000001</v>
      </c>
      <c r="J14" s="46">
        <v>-181982.92499999999</v>
      </c>
      <c r="K14" s="46">
        <v>73675.240999999995</v>
      </c>
      <c r="L14" s="46" t="s">
        <v>154</v>
      </c>
      <c r="N14" s="64"/>
      <c r="P14" s="83">
        <f t="shared" ref="P14:P46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46" si="5">D14*(1-2*$N14*S$11)/S$9</f>
        <v>0.373139765871146</v>
      </c>
      <c r="T14" s="85">
        <f t="shared" ref="T14:T46" si="6">E14*(1-2*$N14*T$11)/T$9</f>
        <v>2.8664274511544165E-2</v>
      </c>
      <c r="U14" s="85">
        <f t="shared" ref="U14:U46" si="7">F14*(1-2*$N14*U$11)/U$9</f>
        <v>0.20893043022474142</v>
      </c>
      <c r="V14" s="85">
        <f t="shared" ref="V14:V46" si="8">(I14+F14*dy-E14*dz)*(1-2*$N14*V$11)/V$9</f>
        <v>-3.2417730333679068E-3</v>
      </c>
      <c r="W14" s="85">
        <f t="shared" ref="W14:W46" si="9">(J14+D14*dz-F14*dx)*(1-2*$N14*W$11)/W$9</f>
        <v>-4.1081922375512801E-2</v>
      </c>
      <c r="X14" s="85">
        <f t="shared" ref="X14:X46" si="10">(K14+E14*dx-D14*dy)*(1-2*$N14*X$11)/X$9</f>
        <v>3.4037029322772275E-4</v>
      </c>
      <c r="Y14" s="1">
        <f t="shared" ref="Y14:Y46" si="11">B14</f>
        <v>0</v>
      </c>
      <c r="Z14" s="1"/>
    </row>
    <row r="15" spans="1:26" x14ac:dyDescent="0.25">
      <c r="C15" s="82">
        <v>30</v>
      </c>
      <c r="D15" s="46">
        <v>184929.61300000001</v>
      </c>
      <c r="E15" s="46">
        <v>106356.01</v>
      </c>
      <c r="F15" s="46">
        <v>-148854.171</v>
      </c>
      <c r="G15" s="46" t="s">
        <v>155</v>
      </c>
      <c r="H15" s="82">
        <v>30</v>
      </c>
      <c r="I15" s="46">
        <v>-1963729.764</v>
      </c>
      <c r="J15" s="46">
        <v>-110409.21</v>
      </c>
      <c r="K15" s="46">
        <v>-75672.384999999995</v>
      </c>
      <c r="L15" s="46" t="s">
        <v>155</v>
      </c>
      <c r="N15" s="64"/>
      <c r="P15" s="83">
        <f t="shared" si="2"/>
        <v>30</v>
      </c>
      <c r="Q15" s="84">
        <f t="shared" si="3"/>
        <v>12.99038105676658</v>
      </c>
      <c r="R15" s="84">
        <f t="shared" si="4"/>
        <v>7.4999999999999991</v>
      </c>
      <c r="S15" s="85">
        <f t="shared" si="5"/>
        <v>0.81364600231163431</v>
      </c>
      <c r="T15" s="85">
        <f t="shared" si="6"/>
        <v>0.10052553405130123</v>
      </c>
      <c r="U15" s="85">
        <f t="shared" si="7"/>
        <v>-0.12280257994514754</v>
      </c>
      <c r="V15" s="85">
        <f t="shared" si="8"/>
        <v>-4.8615328981526464E-2</v>
      </c>
      <c r="W15" s="85">
        <f t="shared" si="9"/>
        <v>-2.4924440547165031E-2</v>
      </c>
      <c r="X15" s="85">
        <f t="shared" si="10"/>
        <v>-3.4959684586157141E-4</v>
      </c>
      <c r="Y15" s="1">
        <f t="shared" si="11"/>
        <v>0</v>
      </c>
    </row>
    <row r="16" spans="1:26" x14ac:dyDescent="0.25">
      <c r="C16" s="82">
        <v>45</v>
      </c>
      <c r="D16" s="46">
        <v>153307.09899999999</v>
      </c>
      <c r="E16" s="46">
        <v>175926.09400000001</v>
      </c>
      <c r="F16" s="46">
        <v>-383485.87099999998</v>
      </c>
      <c r="G16" s="46" t="s">
        <v>156</v>
      </c>
      <c r="H16" s="82">
        <v>45</v>
      </c>
      <c r="I16" s="46">
        <v>-3146669.3659999999</v>
      </c>
      <c r="J16" s="46">
        <v>3215387.736</v>
      </c>
      <c r="K16" s="46">
        <v>-2586270.6770000001</v>
      </c>
      <c r="L16" s="46" t="s">
        <v>156</v>
      </c>
      <c r="N16" s="64"/>
      <c r="P16" s="83">
        <f t="shared" si="2"/>
        <v>45</v>
      </c>
      <c r="Q16" s="84">
        <f t="shared" si="3"/>
        <v>10.606601717798213</v>
      </c>
      <c r="R16" s="84">
        <f t="shared" si="4"/>
        <v>10.606601717798211</v>
      </c>
      <c r="S16" s="85">
        <f t="shared" si="5"/>
        <v>0.67451451502980175</v>
      </c>
      <c r="T16" s="85">
        <f t="shared" si="6"/>
        <v>0.16628176022125524</v>
      </c>
      <c r="U16" s="85">
        <f t="shared" si="7"/>
        <v>-0.31637040477227901</v>
      </c>
      <c r="V16" s="85">
        <f t="shared" si="8"/>
        <v>-7.7900925691821055E-2</v>
      </c>
      <c r="W16" s="85">
        <f t="shared" si="9"/>
        <v>0.72586100799032582</v>
      </c>
      <c r="X16" s="85">
        <f t="shared" si="10"/>
        <v>-1.1948243354870752E-2</v>
      </c>
      <c r="Y16" s="1">
        <f t="shared" si="11"/>
        <v>0</v>
      </c>
    </row>
    <row r="17" spans="1:26" x14ac:dyDescent="0.25">
      <c r="C17" s="82">
        <v>60</v>
      </c>
      <c r="D17" s="46">
        <v>74528.085000000006</v>
      </c>
      <c r="E17" s="46">
        <v>267489.70400000003</v>
      </c>
      <c r="F17" s="46">
        <v>-659128.75699999998</v>
      </c>
      <c r="G17" s="46" t="s">
        <v>157</v>
      </c>
      <c r="H17" s="82">
        <v>60</v>
      </c>
      <c r="I17" s="46">
        <v>-4422400.8130000001</v>
      </c>
      <c r="J17" s="46">
        <v>5041397.699</v>
      </c>
      <c r="K17" s="46">
        <v>-3422527.7230000002</v>
      </c>
      <c r="L17" s="46" t="s">
        <v>157</v>
      </c>
      <c r="N17" s="64"/>
      <c r="P17" s="83">
        <f t="shared" si="2"/>
        <v>60</v>
      </c>
      <c r="Q17" s="84">
        <f t="shared" si="3"/>
        <v>7.5000000000000018</v>
      </c>
      <c r="R17" s="84">
        <f t="shared" si="4"/>
        <v>12.990381056766578</v>
      </c>
      <c r="S17" s="85">
        <f t="shared" si="5"/>
        <v>0.32790572281245017</v>
      </c>
      <c r="T17" s="85">
        <f t="shared" si="6"/>
        <v>0.25282581913165503</v>
      </c>
      <c r="U17" s="85">
        <f t="shared" si="7"/>
        <v>-0.54377187640672975</v>
      </c>
      <c r="V17" s="85">
        <f t="shared" si="8"/>
        <v>-0.10948373567156723</v>
      </c>
      <c r="W17" s="85">
        <f t="shared" si="9"/>
        <v>1.1380755031517757</v>
      </c>
      <c r="X17" s="85">
        <f t="shared" si="10"/>
        <v>-1.5811645117761071E-2</v>
      </c>
      <c r="Y17" s="1">
        <f t="shared" si="11"/>
        <v>0</v>
      </c>
    </row>
    <row r="18" spans="1:26" x14ac:dyDescent="0.25">
      <c r="C18" s="82">
        <v>90</v>
      </c>
      <c r="D18" s="46">
        <v>58032.036999999997</v>
      </c>
      <c r="E18" s="46">
        <v>482540.27600000001</v>
      </c>
      <c r="F18" s="46">
        <v>-802942.90500000003</v>
      </c>
      <c r="G18" s="46" t="s">
        <v>158</v>
      </c>
      <c r="H18" s="86">
        <v>90</v>
      </c>
      <c r="I18" s="46">
        <v>-7369655.4100000001</v>
      </c>
      <c r="J18" s="46">
        <v>-44958.347000000002</v>
      </c>
      <c r="K18" s="46">
        <v>5807239.0029999996</v>
      </c>
      <c r="L18" s="46" t="s">
        <v>158</v>
      </c>
      <c r="N18" s="64"/>
      <c r="P18" s="83">
        <f t="shared" si="2"/>
        <v>90</v>
      </c>
      <c r="Q18" s="84">
        <f t="shared" si="3"/>
        <v>9.1886134118146501E-16</v>
      </c>
      <c r="R18" s="84">
        <f t="shared" si="4"/>
        <v>15</v>
      </c>
      <c r="S18" s="85">
        <f t="shared" si="5"/>
        <v>0.25532706279470146</v>
      </c>
      <c r="T18" s="85">
        <f t="shared" si="6"/>
        <v>0.45608723894552172</v>
      </c>
      <c r="U18" s="85">
        <f t="shared" si="7"/>
        <v>-0.66241650885719228</v>
      </c>
      <c r="V18" s="85">
        <f t="shared" si="8"/>
        <v>-0.18244782393471748</v>
      </c>
      <c r="W18" s="85">
        <f t="shared" si="9"/>
        <v>-1.0149168234247082E-2</v>
      </c>
      <c r="X18" s="85">
        <f t="shared" si="10"/>
        <v>2.6828709556505941E-2</v>
      </c>
      <c r="Y18" s="1">
        <f t="shared" si="11"/>
        <v>0</v>
      </c>
    </row>
    <row r="19" spans="1:26" x14ac:dyDescent="0.25">
      <c r="C19" s="82"/>
      <c r="D19" s="46"/>
      <c r="E19" s="46"/>
      <c r="F19" s="46"/>
      <c r="G19" s="46"/>
      <c r="H19" s="86"/>
      <c r="I19" s="46"/>
      <c r="J19" s="46"/>
      <c r="K19" s="46"/>
      <c r="L19" s="46"/>
      <c r="N19" s="64"/>
      <c r="P19" s="83">
        <f t="shared" si="2"/>
        <v>0</v>
      </c>
      <c r="Q19" s="84">
        <f t="shared" si="3"/>
        <v>15</v>
      </c>
      <c r="R19" s="84">
        <f t="shared" si="4"/>
        <v>0</v>
      </c>
      <c r="S19" s="85">
        <f t="shared" si="5"/>
        <v>0</v>
      </c>
      <c r="T19" s="85">
        <f t="shared" si="6"/>
        <v>0</v>
      </c>
      <c r="U19" s="85">
        <f t="shared" si="7"/>
        <v>0</v>
      </c>
      <c r="V19" s="85">
        <f t="shared" si="8"/>
        <v>0</v>
      </c>
      <c r="W19" s="85">
        <f t="shared" si="9"/>
        <v>0</v>
      </c>
      <c r="X19" s="85">
        <f t="shared" si="10"/>
        <v>0</v>
      </c>
      <c r="Y19" s="1">
        <f t="shared" si="11"/>
        <v>0</v>
      </c>
    </row>
    <row r="20" spans="1:26" x14ac:dyDescent="0.25">
      <c r="C20" s="82"/>
      <c r="D20" s="46"/>
      <c r="E20" s="46"/>
      <c r="F20" s="46"/>
      <c r="G20" s="46"/>
      <c r="H20" s="86"/>
      <c r="I20" s="46"/>
      <c r="J20" s="46"/>
      <c r="K20" s="46"/>
      <c r="L20" s="46"/>
      <c r="N20" s="64"/>
      <c r="P20" s="83">
        <f t="shared" si="2"/>
        <v>0</v>
      </c>
      <c r="Q20" s="84">
        <f t="shared" si="3"/>
        <v>15</v>
      </c>
      <c r="R20" s="84">
        <f t="shared" si="4"/>
        <v>0</v>
      </c>
      <c r="S20" s="85">
        <f t="shared" si="5"/>
        <v>0</v>
      </c>
      <c r="T20" s="85">
        <f t="shared" si="6"/>
        <v>0</v>
      </c>
      <c r="U20" s="85">
        <f t="shared" si="7"/>
        <v>0</v>
      </c>
      <c r="V20" s="85">
        <f t="shared" si="8"/>
        <v>0</v>
      </c>
      <c r="W20" s="85">
        <f t="shared" si="9"/>
        <v>0</v>
      </c>
      <c r="X20" s="85">
        <f t="shared" si="10"/>
        <v>0</v>
      </c>
      <c r="Y20" s="1">
        <f t="shared" si="11"/>
        <v>0</v>
      </c>
    </row>
    <row r="21" spans="1:26" x14ac:dyDescent="0.25">
      <c r="C21" s="82"/>
      <c r="D21" s="46"/>
      <c r="E21" s="46"/>
      <c r="F21" s="46"/>
      <c r="G21" s="46"/>
      <c r="H21" s="86"/>
      <c r="I21" s="46"/>
      <c r="J21" s="46"/>
      <c r="K21" s="46"/>
      <c r="L21" s="46"/>
      <c r="N21" s="64"/>
      <c r="P21" s="83">
        <f t="shared" si="2"/>
        <v>0</v>
      </c>
      <c r="Q21" s="84">
        <f t="shared" si="3"/>
        <v>15</v>
      </c>
      <c r="R21" s="84">
        <f t="shared" si="4"/>
        <v>0</v>
      </c>
      <c r="S21" s="85">
        <f t="shared" si="5"/>
        <v>0</v>
      </c>
      <c r="T21" s="85">
        <f t="shared" si="6"/>
        <v>0</v>
      </c>
      <c r="U21" s="85">
        <f t="shared" si="7"/>
        <v>0</v>
      </c>
      <c r="V21" s="85">
        <f t="shared" si="8"/>
        <v>0</v>
      </c>
      <c r="W21" s="85">
        <f t="shared" si="9"/>
        <v>0</v>
      </c>
      <c r="X21" s="85">
        <f t="shared" si="10"/>
        <v>0</v>
      </c>
      <c r="Y21" s="1">
        <f t="shared" si="11"/>
        <v>0</v>
      </c>
    </row>
    <row r="22" spans="1:26" x14ac:dyDescent="0.25">
      <c r="C22" s="82"/>
      <c r="D22" s="46"/>
      <c r="E22" s="46"/>
      <c r="F22" s="46"/>
      <c r="G22" s="46"/>
      <c r="H22" s="86"/>
      <c r="I22" s="46"/>
      <c r="J22" s="46"/>
      <c r="K22" s="46"/>
      <c r="L22" s="46"/>
      <c r="N22" s="64"/>
      <c r="P22" s="83">
        <f t="shared" si="2"/>
        <v>0</v>
      </c>
      <c r="Q22" s="84">
        <f t="shared" si="3"/>
        <v>15</v>
      </c>
      <c r="R22" s="84">
        <f t="shared" si="4"/>
        <v>0</v>
      </c>
      <c r="S22" s="85">
        <f t="shared" si="5"/>
        <v>0</v>
      </c>
      <c r="T22" s="85">
        <f t="shared" si="6"/>
        <v>0</v>
      </c>
      <c r="U22" s="85">
        <f t="shared" si="7"/>
        <v>0</v>
      </c>
      <c r="V22" s="85">
        <f t="shared" si="8"/>
        <v>0</v>
      </c>
      <c r="W22" s="85">
        <f t="shared" si="9"/>
        <v>0</v>
      </c>
      <c r="X22" s="85">
        <f t="shared" si="10"/>
        <v>0</v>
      </c>
      <c r="Y22" s="1">
        <f t="shared" si="11"/>
        <v>0</v>
      </c>
    </row>
    <row r="23" spans="1:26" x14ac:dyDescent="0.25">
      <c r="C23" s="82"/>
      <c r="D23" s="46"/>
      <c r="E23" s="46"/>
      <c r="F23" s="46"/>
      <c r="G23" s="46"/>
      <c r="H23" s="86"/>
      <c r="I23" s="46"/>
      <c r="J23" s="46"/>
      <c r="K23" s="46"/>
      <c r="L23" s="46"/>
      <c r="N23" s="64"/>
      <c r="P23" s="83">
        <f t="shared" si="2"/>
        <v>0</v>
      </c>
      <c r="Q23" s="84">
        <f t="shared" si="3"/>
        <v>15</v>
      </c>
      <c r="R23" s="84">
        <f t="shared" si="4"/>
        <v>0</v>
      </c>
      <c r="S23" s="85">
        <f t="shared" si="5"/>
        <v>0</v>
      </c>
      <c r="T23" s="85">
        <f t="shared" si="6"/>
        <v>0</v>
      </c>
      <c r="U23" s="85">
        <f t="shared" si="7"/>
        <v>0</v>
      </c>
      <c r="V23" s="85">
        <f t="shared" si="8"/>
        <v>0</v>
      </c>
      <c r="W23" s="85">
        <f t="shared" si="9"/>
        <v>0</v>
      </c>
      <c r="X23" s="85">
        <f t="shared" si="10"/>
        <v>0</v>
      </c>
      <c r="Y23" s="1">
        <f t="shared" si="11"/>
        <v>0</v>
      </c>
    </row>
    <row r="24" spans="1:26" x14ac:dyDescent="0.25">
      <c r="C24" s="82"/>
      <c r="D24" s="46"/>
      <c r="E24" s="46"/>
      <c r="F24" s="46"/>
      <c r="G24" s="46"/>
      <c r="H24" s="86"/>
      <c r="I24" s="46"/>
      <c r="J24" s="46"/>
      <c r="K24" s="46"/>
      <c r="L24" s="46"/>
      <c r="N24" s="64"/>
      <c r="P24" s="83">
        <f t="shared" si="2"/>
        <v>0</v>
      </c>
      <c r="Q24" s="84">
        <f t="shared" si="3"/>
        <v>15</v>
      </c>
      <c r="R24" s="84">
        <f t="shared" si="4"/>
        <v>0</v>
      </c>
      <c r="S24" s="85">
        <f t="shared" si="5"/>
        <v>0</v>
      </c>
      <c r="T24" s="85">
        <f t="shared" si="6"/>
        <v>0</v>
      </c>
      <c r="U24" s="85">
        <f t="shared" si="7"/>
        <v>0</v>
      </c>
      <c r="V24" s="85">
        <f t="shared" si="8"/>
        <v>0</v>
      </c>
      <c r="W24" s="85">
        <f t="shared" si="9"/>
        <v>0</v>
      </c>
      <c r="X24" s="85">
        <f t="shared" si="10"/>
        <v>0</v>
      </c>
      <c r="Y24" s="1">
        <f t="shared" si="11"/>
        <v>0</v>
      </c>
    </row>
    <row r="25" spans="1:26" x14ac:dyDescent="0.25">
      <c r="C25" s="82"/>
      <c r="D25" s="46"/>
      <c r="E25" s="46"/>
      <c r="F25" s="46"/>
      <c r="G25" s="46"/>
      <c r="H25" s="86"/>
      <c r="I25" s="46"/>
      <c r="J25" s="46"/>
      <c r="K25" s="46"/>
      <c r="L25" s="46"/>
      <c r="N25" s="64"/>
      <c r="P25" s="83">
        <f t="shared" si="2"/>
        <v>0</v>
      </c>
      <c r="Q25" s="84">
        <f t="shared" si="3"/>
        <v>15</v>
      </c>
      <c r="R25" s="84">
        <f t="shared" si="4"/>
        <v>0</v>
      </c>
      <c r="S25" s="85">
        <f t="shared" si="5"/>
        <v>0</v>
      </c>
      <c r="T25" s="85">
        <f t="shared" si="6"/>
        <v>0</v>
      </c>
      <c r="U25" s="85">
        <f t="shared" si="7"/>
        <v>0</v>
      </c>
      <c r="V25" s="85">
        <f t="shared" si="8"/>
        <v>0</v>
      </c>
      <c r="W25" s="85">
        <f t="shared" si="9"/>
        <v>0</v>
      </c>
      <c r="X25" s="85">
        <f t="shared" si="10"/>
        <v>0</v>
      </c>
      <c r="Y25" s="1">
        <f t="shared" si="11"/>
        <v>0</v>
      </c>
    </row>
    <row r="26" spans="1:26" x14ac:dyDescent="0.25">
      <c r="C26" s="82"/>
      <c r="D26" s="46"/>
      <c r="E26" s="46"/>
      <c r="F26" s="46"/>
      <c r="G26" s="46"/>
      <c r="H26" s="86"/>
      <c r="I26" s="46"/>
      <c r="J26" s="46"/>
      <c r="K26" s="46"/>
      <c r="L26" s="46"/>
      <c r="N26" s="64"/>
      <c r="P26" s="83">
        <f t="shared" si="2"/>
        <v>0</v>
      </c>
      <c r="Q26" s="84">
        <f t="shared" si="3"/>
        <v>15</v>
      </c>
      <c r="R26" s="84">
        <f t="shared" si="4"/>
        <v>0</v>
      </c>
      <c r="S26" s="85">
        <f t="shared" si="5"/>
        <v>0</v>
      </c>
      <c r="T26" s="85">
        <f t="shared" si="6"/>
        <v>0</v>
      </c>
      <c r="U26" s="85">
        <f t="shared" si="7"/>
        <v>0</v>
      </c>
      <c r="V26" s="85">
        <f t="shared" si="8"/>
        <v>0</v>
      </c>
      <c r="W26" s="85">
        <f t="shared" si="9"/>
        <v>0</v>
      </c>
      <c r="X26" s="85">
        <f t="shared" si="10"/>
        <v>0</v>
      </c>
      <c r="Y26" s="1">
        <f t="shared" si="11"/>
        <v>0</v>
      </c>
    </row>
    <row r="27" spans="1:26" x14ac:dyDescent="0.25">
      <c r="C27" s="82"/>
      <c r="D27" s="46"/>
      <c r="E27" s="46"/>
      <c r="F27" s="46"/>
      <c r="G27" s="46"/>
      <c r="H27" s="86"/>
      <c r="I27" s="46"/>
      <c r="J27" s="46"/>
      <c r="K27" s="46"/>
      <c r="L27" s="46"/>
      <c r="N27" s="64"/>
      <c r="P27" s="83">
        <f t="shared" si="2"/>
        <v>0</v>
      </c>
      <c r="Q27" s="84">
        <f t="shared" si="3"/>
        <v>15</v>
      </c>
      <c r="R27" s="84">
        <f t="shared" si="4"/>
        <v>0</v>
      </c>
      <c r="S27" s="85">
        <f t="shared" si="5"/>
        <v>0</v>
      </c>
      <c r="T27" s="85">
        <f t="shared" si="6"/>
        <v>0</v>
      </c>
      <c r="U27" s="85">
        <f t="shared" si="7"/>
        <v>0</v>
      </c>
      <c r="V27" s="85">
        <f t="shared" si="8"/>
        <v>0</v>
      </c>
      <c r="W27" s="85">
        <f t="shared" si="9"/>
        <v>0</v>
      </c>
      <c r="X27" s="85">
        <f t="shared" si="10"/>
        <v>0</v>
      </c>
      <c r="Y27" s="1">
        <f t="shared" si="11"/>
        <v>0</v>
      </c>
    </row>
    <row r="28" spans="1:26" x14ac:dyDescent="0.25">
      <c r="C28" s="82"/>
      <c r="D28" s="46"/>
      <c r="E28" s="46"/>
      <c r="F28" s="46"/>
      <c r="G28" s="46"/>
      <c r="H28" s="86"/>
      <c r="I28" s="46"/>
      <c r="J28" s="46"/>
      <c r="K28" s="46"/>
      <c r="L28" s="46"/>
      <c r="N28" s="64"/>
      <c r="P28" s="83">
        <f t="shared" si="2"/>
        <v>0</v>
      </c>
      <c r="Q28" s="84">
        <f t="shared" si="3"/>
        <v>15</v>
      </c>
      <c r="R28" s="84">
        <f t="shared" si="4"/>
        <v>0</v>
      </c>
      <c r="S28" s="85">
        <f t="shared" si="5"/>
        <v>0</v>
      </c>
      <c r="T28" s="85">
        <f t="shared" si="6"/>
        <v>0</v>
      </c>
      <c r="U28" s="85">
        <f t="shared" si="7"/>
        <v>0</v>
      </c>
      <c r="V28" s="85">
        <f t="shared" si="8"/>
        <v>0</v>
      </c>
      <c r="W28" s="85">
        <f t="shared" si="9"/>
        <v>0</v>
      </c>
      <c r="X28" s="85">
        <f t="shared" si="10"/>
        <v>0</v>
      </c>
      <c r="Y28" s="1">
        <f t="shared" si="11"/>
        <v>0</v>
      </c>
    </row>
    <row r="29" spans="1:26" x14ac:dyDescent="0.25">
      <c r="C29" s="82"/>
      <c r="D29" s="46"/>
      <c r="E29" s="46"/>
      <c r="F29" s="46"/>
      <c r="G29" s="46"/>
      <c r="H29" s="86"/>
      <c r="I29" s="46"/>
      <c r="J29" s="46"/>
      <c r="K29" s="46"/>
      <c r="L29" s="46"/>
      <c r="N29" s="64"/>
      <c r="P29" s="83">
        <f t="shared" si="2"/>
        <v>0</v>
      </c>
      <c r="Q29" s="84">
        <f t="shared" si="3"/>
        <v>15</v>
      </c>
      <c r="R29" s="84">
        <f t="shared" si="4"/>
        <v>0</v>
      </c>
      <c r="S29" s="85">
        <f t="shared" si="5"/>
        <v>0</v>
      </c>
      <c r="T29" s="85">
        <f t="shared" si="6"/>
        <v>0</v>
      </c>
      <c r="U29" s="85">
        <f t="shared" si="7"/>
        <v>0</v>
      </c>
      <c r="V29" s="85">
        <f t="shared" si="8"/>
        <v>0</v>
      </c>
      <c r="W29" s="85">
        <f t="shared" si="9"/>
        <v>0</v>
      </c>
      <c r="X29" s="85">
        <f t="shared" si="10"/>
        <v>0</v>
      </c>
      <c r="Y29" s="1">
        <f t="shared" si="11"/>
        <v>0</v>
      </c>
    </row>
    <row r="30" spans="1:26" x14ac:dyDescent="0.25">
      <c r="C30" s="82"/>
      <c r="D30" s="46"/>
      <c r="E30" s="46"/>
      <c r="F30" s="46"/>
      <c r="G30" s="46"/>
      <c r="H30" s="86"/>
      <c r="I30" s="46"/>
      <c r="J30" s="46"/>
      <c r="K30" s="46"/>
      <c r="L30" s="46"/>
      <c r="N30" s="64"/>
      <c r="P30" s="83">
        <f t="shared" si="2"/>
        <v>0</v>
      </c>
      <c r="Q30" s="84">
        <f t="shared" si="3"/>
        <v>15</v>
      </c>
      <c r="R30" s="84">
        <f t="shared" si="4"/>
        <v>0</v>
      </c>
      <c r="S30" s="85">
        <f t="shared" si="5"/>
        <v>0</v>
      </c>
      <c r="T30" s="85">
        <f t="shared" si="6"/>
        <v>0</v>
      </c>
      <c r="U30" s="85">
        <f t="shared" si="7"/>
        <v>0</v>
      </c>
      <c r="V30" s="85">
        <f t="shared" si="8"/>
        <v>0</v>
      </c>
      <c r="W30" s="85">
        <f t="shared" si="9"/>
        <v>0</v>
      </c>
      <c r="X30" s="85">
        <f t="shared" si="10"/>
        <v>0</v>
      </c>
      <c r="Y30" s="1">
        <f t="shared" si="11"/>
        <v>0</v>
      </c>
    </row>
    <row r="31" spans="1:26" x14ac:dyDescent="0.25">
      <c r="C31" s="87"/>
      <c r="D31" s="46"/>
      <c r="E31" s="46"/>
      <c r="F31" s="46"/>
      <c r="G31" s="46"/>
      <c r="H31" s="86"/>
      <c r="I31" s="46"/>
      <c r="J31" s="46"/>
      <c r="K31" s="46"/>
      <c r="L31" s="46"/>
      <c r="N31" s="64"/>
      <c r="P31" s="83">
        <f t="shared" si="2"/>
        <v>0</v>
      </c>
      <c r="Q31" s="84">
        <f t="shared" si="3"/>
        <v>15</v>
      </c>
      <c r="R31" s="84">
        <f t="shared" si="4"/>
        <v>0</v>
      </c>
      <c r="S31" s="85">
        <f t="shared" si="5"/>
        <v>0</v>
      </c>
      <c r="T31" s="85">
        <f t="shared" si="6"/>
        <v>0</v>
      </c>
      <c r="U31" s="85">
        <f t="shared" si="7"/>
        <v>0</v>
      </c>
      <c r="V31" s="85">
        <f t="shared" si="8"/>
        <v>0</v>
      </c>
      <c r="W31" s="85">
        <f t="shared" si="9"/>
        <v>0</v>
      </c>
      <c r="X31" s="85">
        <f t="shared" si="10"/>
        <v>0</v>
      </c>
      <c r="Y31" s="1">
        <f t="shared" si="11"/>
        <v>0</v>
      </c>
    </row>
    <row r="32" spans="1:26" s="1" customFormat="1" x14ac:dyDescent="0.25">
      <c r="A32" s="53"/>
      <c r="B32" s="53"/>
      <c r="C32" s="87"/>
      <c r="D32" s="46"/>
      <c r="E32" s="46"/>
      <c r="F32" s="46"/>
      <c r="G32" s="46"/>
      <c r="H32" s="86"/>
      <c r="I32" s="46"/>
      <c r="J32" s="46"/>
      <c r="K32" s="46"/>
      <c r="L32" s="46"/>
      <c r="M32" s="57"/>
      <c r="N32" s="64"/>
      <c r="O32" s="53"/>
      <c r="P32" s="83">
        <f t="shared" si="2"/>
        <v>0</v>
      </c>
      <c r="Q32" s="84">
        <f t="shared" si="3"/>
        <v>15</v>
      </c>
      <c r="R32" s="84">
        <f t="shared" si="4"/>
        <v>0</v>
      </c>
      <c r="S32" s="85">
        <f t="shared" si="5"/>
        <v>0</v>
      </c>
      <c r="T32" s="85">
        <f t="shared" si="6"/>
        <v>0</v>
      </c>
      <c r="U32" s="85">
        <f t="shared" si="7"/>
        <v>0</v>
      </c>
      <c r="V32" s="85">
        <f t="shared" si="8"/>
        <v>0</v>
      </c>
      <c r="W32" s="85">
        <f t="shared" si="9"/>
        <v>0</v>
      </c>
      <c r="X32" s="85">
        <f t="shared" si="10"/>
        <v>0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/>
      <c r="D33" s="46"/>
      <c r="E33" s="46"/>
      <c r="F33" s="46"/>
      <c r="G33" s="46"/>
      <c r="H33" s="86"/>
      <c r="I33" s="46"/>
      <c r="J33" s="46"/>
      <c r="K33" s="46"/>
      <c r="L33" s="46"/>
      <c r="M33" s="57"/>
      <c r="N33" s="64"/>
      <c r="O33" s="53"/>
      <c r="P33" s="83">
        <f t="shared" si="2"/>
        <v>0</v>
      </c>
      <c r="Q33" s="84">
        <f t="shared" si="3"/>
        <v>15</v>
      </c>
      <c r="R33" s="84">
        <f t="shared" si="4"/>
        <v>0</v>
      </c>
      <c r="S33" s="85">
        <f t="shared" si="5"/>
        <v>0</v>
      </c>
      <c r="T33" s="85">
        <f t="shared" si="6"/>
        <v>0</v>
      </c>
      <c r="U33" s="85">
        <f t="shared" si="7"/>
        <v>0</v>
      </c>
      <c r="V33" s="85">
        <f t="shared" si="8"/>
        <v>0</v>
      </c>
      <c r="W33" s="85">
        <f t="shared" si="9"/>
        <v>0</v>
      </c>
      <c r="X33" s="85">
        <f t="shared" si="10"/>
        <v>0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/>
      <c r="D34" s="46"/>
      <c r="E34" s="46"/>
      <c r="F34" s="46"/>
      <c r="G34" s="46"/>
      <c r="H34" s="86"/>
      <c r="I34" s="46"/>
      <c r="J34" s="46"/>
      <c r="K34" s="46"/>
      <c r="L34" s="46"/>
      <c r="M34" s="57"/>
      <c r="N34" s="64"/>
      <c r="O34" s="53"/>
      <c r="P34" s="83">
        <f t="shared" si="2"/>
        <v>0</v>
      </c>
      <c r="Q34" s="84">
        <f t="shared" si="3"/>
        <v>15</v>
      </c>
      <c r="R34" s="84">
        <f t="shared" si="4"/>
        <v>0</v>
      </c>
      <c r="S34" s="85">
        <f t="shared" si="5"/>
        <v>0</v>
      </c>
      <c r="T34" s="85">
        <f t="shared" si="6"/>
        <v>0</v>
      </c>
      <c r="U34" s="85">
        <f t="shared" si="7"/>
        <v>0</v>
      </c>
      <c r="V34" s="85">
        <f t="shared" si="8"/>
        <v>0</v>
      </c>
      <c r="W34" s="85">
        <f t="shared" si="9"/>
        <v>0</v>
      </c>
      <c r="X34" s="85">
        <f t="shared" si="10"/>
        <v>0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/>
      <c r="D35" s="46"/>
      <c r="E35" s="46"/>
      <c r="F35" s="46"/>
      <c r="G35" s="46"/>
      <c r="H35" s="86"/>
      <c r="I35" s="46"/>
      <c r="J35" s="46"/>
      <c r="K35" s="46"/>
      <c r="L35" s="46"/>
      <c r="M35" s="57"/>
      <c r="N35" s="64"/>
      <c r="O35" s="53"/>
      <c r="P35" s="83">
        <f t="shared" si="2"/>
        <v>0</v>
      </c>
      <c r="Q35" s="84">
        <f t="shared" si="3"/>
        <v>15</v>
      </c>
      <c r="R35" s="84">
        <f t="shared" si="4"/>
        <v>0</v>
      </c>
      <c r="S35" s="85">
        <f t="shared" si="5"/>
        <v>0</v>
      </c>
      <c r="T35" s="85">
        <f t="shared" si="6"/>
        <v>0</v>
      </c>
      <c r="U35" s="85">
        <f t="shared" si="7"/>
        <v>0</v>
      </c>
      <c r="V35" s="85">
        <f t="shared" si="8"/>
        <v>0</v>
      </c>
      <c r="W35" s="85">
        <f t="shared" si="9"/>
        <v>0</v>
      </c>
      <c r="X35" s="85">
        <f t="shared" si="10"/>
        <v>0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/>
      <c r="D36" s="46"/>
      <c r="E36" s="46"/>
      <c r="F36" s="46"/>
      <c r="G36" s="46"/>
      <c r="H36" s="86"/>
      <c r="I36" s="46"/>
      <c r="J36" s="46"/>
      <c r="K36" s="46"/>
      <c r="L36" s="46"/>
      <c r="M36" s="57"/>
      <c r="N36" s="64"/>
      <c r="O36" s="53"/>
      <c r="P36" s="83">
        <f t="shared" si="2"/>
        <v>0</v>
      </c>
      <c r="Q36" s="84">
        <f t="shared" si="3"/>
        <v>15</v>
      </c>
      <c r="R36" s="84">
        <f t="shared" si="4"/>
        <v>0</v>
      </c>
      <c r="S36" s="85">
        <f t="shared" si="5"/>
        <v>0</v>
      </c>
      <c r="T36" s="85">
        <f t="shared" si="6"/>
        <v>0</v>
      </c>
      <c r="U36" s="85">
        <f t="shared" si="7"/>
        <v>0</v>
      </c>
      <c r="V36" s="85">
        <f t="shared" si="8"/>
        <v>0</v>
      </c>
      <c r="W36" s="85">
        <f t="shared" si="9"/>
        <v>0</v>
      </c>
      <c r="X36" s="85">
        <f t="shared" si="10"/>
        <v>0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/>
      <c r="D37" s="46"/>
      <c r="E37" s="46"/>
      <c r="F37" s="46"/>
      <c r="G37" s="46"/>
      <c r="H37" s="86"/>
      <c r="I37" s="46"/>
      <c r="J37" s="46"/>
      <c r="K37" s="46"/>
      <c r="L37" s="46"/>
      <c r="M37" s="57"/>
      <c r="N37" s="64"/>
      <c r="O37" s="53"/>
      <c r="P37" s="83">
        <f t="shared" si="2"/>
        <v>0</v>
      </c>
      <c r="Q37" s="84">
        <f t="shared" si="3"/>
        <v>15</v>
      </c>
      <c r="R37" s="84">
        <f t="shared" si="4"/>
        <v>0</v>
      </c>
      <c r="S37" s="85">
        <f t="shared" si="5"/>
        <v>0</v>
      </c>
      <c r="T37" s="85">
        <f t="shared" si="6"/>
        <v>0</v>
      </c>
      <c r="U37" s="85">
        <f t="shared" si="7"/>
        <v>0</v>
      </c>
      <c r="V37" s="85">
        <f t="shared" si="8"/>
        <v>0</v>
      </c>
      <c r="W37" s="85">
        <f t="shared" si="9"/>
        <v>0</v>
      </c>
      <c r="X37" s="85">
        <f t="shared" si="10"/>
        <v>0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si="5"/>
        <v>0</v>
      </c>
      <c r="T38" s="85">
        <f t="shared" si="6"/>
        <v>0</v>
      </c>
      <c r="U38" s="85">
        <f t="shared" si="7"/>
        <v>0</v>
      </c>
      <c r="V38" s="85">
        <f t="shared" si="8"/>
        <v>0</v>
      </c>
      <c r="W38" s="85">
        <f t="shared" si="9"/>
        <v>0</v>
      </c>
      <c r="X38" s="85">
        <f t="shared" si="10"/>
        <v>0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si="5"/>
        <v>0</v>
      </c>
      <c r="T39" s="85">
        <f t="shared" si="6"/>
        <v>0</v>
      </c>
      <c r="U39" s="85">
        <f t="shared" si="7"/>
        <v>0</v>
      </c>
      <c r="V39" s="85">
        <f t="shared" si="8"/>
        <v>0</v>
      </c>
      <c r="W39" s="85">
        <f t="shared" si="9"/>
        <v>0</v>
      </c>
      <c r="X39" s="85">
        <f t="shared" si="10"/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5"/>
        <v>0</v>
      </c>
      <c r="T40" s="85">
        <f t="shared" si="6"/>
        <v>0</v>
      </c>
      <c r="U40" s="85">
        <f t="shared" si="7"/>
        <v>0</v>
      </c>
      <c r="V40" s="85">
        <f t="shared" si="8"/>
        <v>0</v>
      </c>
      <c r="W40" s="85">
        <f t="shared" si="9"/>
        <v>0</v>
      </c>
      <c r="X40" s="85">
        <f t="shared" si="10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5"/>
        <v>0</v>
      </c>
      <c r="T41" s="85">
        <f t="shared" si="6"/>
        <v>0</v>
      </c>
      <c r="U41" s="85">
        <f t="shared" si="7"/>
        <v>0</v>
      </c>
      <c r="V41" s="85">
        <f t="shared" si="8"/>
        <v>0</v>
      </c>
      <c r="W41" s="85">
        <f t="shared" si="9"/>
        <v>0</v>
      </c>
      <c r="X41" s="85">
        <f t="shared" si="10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5"/>
        <v>0</v>
      </c>
      <c r="T42" s="85">
        <f t="shared" si="6"/>
        <v>0</v>
      </c>
      <c r="U42" s="85">
        <f t="shared" si="7"/>
        <v>0</v>
      </c>
      <c r="V42" s="85">
        <f t="shared" si="8"/>
        <v>0</v>
      </c>
      <c r="W42" s="85">
        <f t="shared" si="9"/>
        <v>0</v>
      </c>
      <c r="X42" s="85">
        <f t="shared" si="10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5"/>
        <v>0</v>
      </c>
      <c r="T43" s="85">
        <f t="shared" si="6"/>
        <v>0</v>
      </c>
      <c r="U43" s="85">
        <f t="shared" si="7"/>
        <v>0</v>
      </c>
      <c r="V43" s="85">
        <f t="shared" si="8"/>
        <v>0</v>
      </c>
      <c r="W43" s="85">
        <f t="shared" si="9"/>
        <v>0</v>
      </c>
      <c r="X43" s="85">
        <f t="shared" si="10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5"/>
        <v>0</v>
      </c>
      <c r="T44" s="85">
        <f t="shared" si="6"/>
        <v>0</v>
      </c>
      <c r="U44" s="85">
        <f t="shared" si="7"/>
        <v>0</v>
      </c>
      <c r="V44" s="85">
        <f t="shared" si="8"/>
        <v>0</v>
      </c>
      <c r="W44" s="85">
        <f t="shared" si="9"/>
        <v>0</v>
      </c>
      <c r="X44" s="85">
        <f t="shared" si="10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5"/>
        <v>0</v>
      </c>
      <c r="T45" s="85">
        <f t="shared" si="6"/>
        <v>0</v>
      </c>
      <c r="U45" s="85">
        <f t="shared" si="7"/>
        <v>0</v>
      </c>
      <c r="V45" s="85">
        <f t="shared" si="8"/>
        <v>0</v>
      </c>
      <c r="W45" s="85">
        <f t="shared" si="9"/>
        <v>0</v>
      </c>
      <c r="X45" s="85">
        <f t="shared" si="10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5"/>
        <v>0</v>
      </c>
      <c r="T46" s="85">
        <f t="shared" si="6"/>
        <v>0</v>
      </c>
      <c r="U46" s="85">
        <f t="shared" si="7"/>
        <v>0</v>
      </c>
      <c r="V46" s="85">
        <f t="shared" si="8"/>
        <v>0</v>
      </c>
      <c r="W46" s="85">
        <f t="shared" si="9"/>
        <v>0</v>
      </c>
      <c r="X46" s="85">
        <f t="shared" si="10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AMJ67"/>
  <sheetViews>
    <sheetView zoomScale="70" zoomScaleNormal="70" workbookViewId="0"/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ht="16.5" customHeight="1" x14ac:dyDescent="0.25">
      <c r="C14" s="82">
        <v>0</v>
      </c>
      <c r="D14" s="46">
        <v>209505.60399999999</v>
      </c>
      <c r="E14" s="46">
        <v>-127407.48299999999</v>
      </c>
      <c r="F14" s="46">
        <v>187312.22200000001</v>
      </c>
      <c r="G14" s="46" t="s">
        <v>154</v>
      </c>
      <c r="H14" s="88">
        <v>0</v>
      </c>
      <c r="I14" s="89">
        <v>2066272.193</v>
      </c>
      <c r="J14" s="89">
        <v>7399858.2340000002</v>
      </c>
      <c r="K14" s="89">
        <v>3778160.0150000001</v>
      </c>
      <c r="L14" s="89" t="s">
        <v>154</v>
      </c>
      <c r="N14" s="64"/>
      <c r="P14" s="83">
        <f t="shared" ref="P14:P46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46" si="5">D14*(1-2*$N14*S$11)/S$9</f>
        <v>0.92177447619751585</v>
      </c>
      <c r="T14" s="85">
        <f t="shared" ref="T14:T46" si="6">E14*(1-2*$N14*T$11)/T$9</f>
        <v>-0.12042295748690725</v>
      </c>
      <c r="U14" s="85">
        <f t="shared" ref="U14:U46" si="7">F14*(1-2*$N14*U$11)/U$9</f>
        <v>0.15452992658739959</v>
      </c>
      <c r="V14" s="85">
        <f t="shared" ref="V14:V46" si="8">(I14+F14*dy-E14*dz)*(1-2*$N14*V$11)/V$9</f>
        <v>5.1153933840397368E-2</v>
      </c>
      <c r="W14" s="85">
        <f t="shared" ref="W14:W46" si="9">(J14+D14*dz-F14*dx)*(1-2*$N14*W$11)/W$9</f>
        <v>1.6704885997353174</v>
      </c>
      <c r="X14" s="85">
        <f t="shared" ref="X14:X46" si="10">(K14+E14*dx-D14*dy)*(1-2*$N14*X$11)/X$9</f>
        <v>1.7454621317992126E-2</v>
      </c>
      <c r="Y14" s="1">
        <f t="shared" ref="Y14:Y46" si="11">B14</f>
        <v>0</v>
      </c>
      <c r="Z14" s="1"/>
    </row>
    <row r="15" spans="1:26" x14ac:dyDescent="0.25">
      <c r="C15" s="82">
        <v>30</v>
      </c>
      <c r="D15" s="46">
        <v>214121.51300000001</v>
      </c>
      <c r="E15" s="46">
        <v>148047.652</v>
      </c>
      <c r="F15" s="46">
        <v>-267742.10600000003</v>
      </c>
      <c r="G15" s="46" t="s">
        <v>155</v>
      </c>
      <c r="H15" s="82">
        <v>30</v>
      </c>
      <c r="I15" s="46">
        <v>-2235550.7689999999</v>
      </c>
      <c r="J15" s="46">
        <v>5577542.5650000004</v>
      </c>
      <c r="K15" s="46">
        <v>-4837966.6720000003</v>
      </c>
      <c r="L15" s="46" t="s">
        <v>155</v>
      </c>
      <c r="N15" s="64"/>
      <c r="P15" s="83">
        <f t="shared" si="2"/>
        <v>30</v>
      </c>
      <c r="Q15" s="84">
        <f t="shared" si="3"/>
        <v>12.99038105676658</v>
      </c>
      <c r="R15" s="84">
        <f t="shared" si="4"/>
        <v>7.4999999999999991</v>
      </c>
      <c r="S15" s="85">
        <f t="shared" si="5"/>
        <v>0.94208337018132748</v>
      </c>
      <c r="T15" s="85">
        <f t="shared" si="6"/>
        <v>0.13993162476047377</v>
      </c>
      <c r="U15" s="85">
        <f t="shared" si="7"/>
        <v>-0.22088344018755893</v>
      </c>
      <c r="V15" s="85">
        <f t="shared" si="8"/>
        <v>-5.5344700723209829E-2</v>
      </c>
      <c r="W15" s="85">
        <f t="shared" si="9"/>
        <v>1.2591080767684584</v>
      </c>
      <c r="X15" s="85">
        <f t="shared" si="10"/>
        <v>-2.2350794003844387E-2</v>
      </c>
      <c r="Y15" s="1">
        <f t="shared" si="11"/>
        <v>0</v>
      </c>
    </row>
    <row r="16" spans="1:26" x14ac:dyDescent="0.25">
      <c r="C16" s="82">
        <v>45</v>
      </c>
      <c r="D16" s="46">
        <v>156600.32999999999</v>
      </c>
      <c r="E16" s="46">
        <v>329353.75599999999</v>
      </c>
      <c r="F16" s="46">
        <v>-462745.36</v>
      </c>
      <c r="G16" s="46" t="s">
        <v>156</v>
      </c>
      <c r="H16" s="82">
        <v>45</v>
      </c>
      <c r="I16" s="46">
        <v>-5260723.5669999998</v>
      </c>
      <c r="J16" s="46">
        <v>3464167.9980000001</v>
      </c>
      <c r="K16" s="46">
        <v>-10361910.48</v>
      </c>
      <c r="L16" s="46" t="s">
        <v>156</v>
      </c>
      <c r="N16" s="64"/>
      <c r="P16" s="83">
        <f t="shared" si="2"/>
        <v>45</v>
      </c>
      <c r="Q16" s="84">
        <f t="shared" si="3"/>
        <v>10.606601717798213</v>
      </c>
      <c r="R16" s="84">
        <f t="shared" si="4"/>
        <v>10.606601717798211</v>
      </c>
      <c r="S16" s="85">
        <f t="shared" si="5"/>
        <v>0.68900394262536346</v>
      </c>
      <c r="T16" s="85">
        <f t="shared" si="6"/>
        <v>0.31129846083641122</v>
      </c>
      <c r="U16" s="85">
        <f t="shared" si="7"/>
        <v>-0.38175835909660921</v>
      </c>
      <c r="V16" s="85">
        <f t="shared" si="8"/>
        <v>-0.13023778097125913</v>
      </c>
      <c r="W16" s="85">
        <f t="shared" si="9"/>
        <v>0.78202216383526979</v>
      </c>
      <c r="X16" s="85">
        <f t="shared" si="10"/>
        <v>-4.7870715597347201E-2</v>
      </c>
      <c r="Y16" s="1">
        <f t="shared" si="11"/>
        <v>0</v>
      </c>
    </row>
    <row r="17" spans="1:26" x14ac:dyDescent="0.25">
      <c r="C17" s="82">
        <v>60</v>
      </c>
      <c r="D17" s="46">
        <v>48545.803</v>
      </c>
      <c r="E17" s="46">
        <v>488550.489</v>
      </c>
      <c r="F17" s="46">
        <v>-668033.24800000002</v>
      </c>
      <c r="G17" s="46" t="s">
        <v>157</v>
      </c>
      <c r="H17" s="82">
        <v>60</v>
      </c>
      <c r="I17" s="46">
        <v>-7297096.1189999999</v>
      </c>
      <c r="J17" s="46">
        <v>142114.79699999999</v>
      </c>
      <c r="K17" s="46">
        <v>-12456364.374</v>
      </c>
      <c r="L17" s="46" t="s">
        <v>157</v>
      </c>
      <c r="N17" s="64"/>
      <c r="P17" s="83">
        <f t="shared" si="2"/>
        <v>60</v>
      </c>
      <c r="Q17" s="84">
        <f t="shared" si="3"/>
        <v>7.5000000000000018</v>
      </c>
      <c r="R17" s="84">
        <f t="shared" si="4"/>
        <v>12.990381056766578</v>
      </c>
      <c r="S17" s="85">
        <f t="shared" si="5"/>
        <v>0.21358990536555192</v>
      </c>
      <c r="T17" s="85">
        <f t="shared" si="6"/>
        <v>0.46176796983780577</v>
      </c>
      <c r="U17" s="85">
        <f t="shared" si="7"/>
        <v>-0.55111795519345286</v>
      </c>
      <c r="V17" s="85">
        <f t="shared" si="8"/>
        <v>-0.18065150049587217</v>
      </c>
      <c r="W17" s="85">
        <f t="shared" si="9"/>
        <v>3.2081850859171319E-2</v>
      </c>
      <c r="X17" s="85">
        <f t="shared" si="10"/>
        <v>-5.7546827631412015E-2</v>
      </c>
      <c r="Y17" s="1">
        <f t="shared" si="11"/>
        <v>0</v>
      </c>
    </row>
    <row r="18" spans="1:26" x14ac:dyDescent="0.25">
      <c r="C18" s="82">
        <v>90</v>
      </c>
      <c r="D18" s="46">
        <v>-6181.4059999999999</v>
      </c>
      <c r="E18" s="46">
        <v>510265.02</v>
      </c>
      <c r="F18" s="46">
        <v>-751721.78</v>
      </c>
      <c r="G18" s="46" t="s">
        <v>158</v>
      </c>
      <c r="H18" s="86">
        <v>90</v>
      </c>
      <c r="I18" s="46">
        <v>-8025822.0180000002</v>
      </c>
      <c r="J18" s="46">
        <v>-7147053.3949999996</v>
      </c>
      <c r="K18" s="46">
        <v>3509101.2740000002</v>
      </c>
      <c r="L18" s="46" t="s">
        <v>158</v>
      </c>
      <c r="N18" s="64"/>
      <c r="P18" s="83">
        <f t="shared" si="2"/>
        <v>90</v>
      </c>
      <c r="Q18" s="84">
        <f t="shared" si="3"/>
        <v>9.1886134118146501E-16</v>
      </c>
      <c r="R18" s="84">
        <f t="shared" si="4"/>
        <v>15</v>
      </c>
      <c r="S18" s="85">
        <f t="shared" si="5"/>
        <v>-2.7196705811335632E-2</v>
      </c>
      <c r="T18" s="85">
        <f t="shared" si="6"/>
        <v>0.48229210218771751</v>
      </c>
      <c r="U18" s="85">
        <f t="shared" si="7"/>
        <v>-0.62015980717771502</v>
      </c>
      <c r="V18" s="85">
        <f t="shared" si="8"/>
        <v>-0.19869229713027287</v>
      </c>
      <c r="W18" s="85">
        <f t="shared" si="9"/>
        <v>-1.6134189116206108</v>
      </c>
      <c r="X18" s="85">
        <f t="shared" si="10"/>
        <v>1.6211603971504559E-2</v>
      </c>
      <c r="Y18" s="1">
        <f t="shared" si="11"/>
        <v>0</v>
      </c>
    </row>
    <row r="19" spans="1:26" x14ac:dyDescent="0.25">
      <c r="C19" s="82"/>
      <c r="D19" s="46"/>
      <c r="E19" s="46"/>
      <c r="F19" s="46"/>
      <c r="G19" s="46"/>
      <c r="H19" s="86"/>
      <c r="I19" s="46"/>
      <c r="J19" s="46"/>
      <c r="K19" s="46"/>
      <c r="L19" s="46"/>
      <c r="N19" s="64"/>
      <c r="P19" s="83">
        <f t="shared" si="2"/>
        <v>0</v>
      </c>
      <c r="Q19" s="84">
        <f t="shared" si="3"/>
        <v>15</v>
      </c>
      <c r="R19" s="84">
        <f t="shared" si="4"/>
        <v>0</v>
      </c>
      <c r="S19" s="85">
        <f t="shared" si="5"/>
        <v>0</v>
      </c>
      <c r="T19" s="85">
        <f t="shared" si="6"/>
        <v>0</v>
      </c>
      <c r="U19" s="85">
        <f t="shared" si="7"/>
        <v>0</v>
      </c>
      <c r="V19" s="85">
        <f t="shared" si="8"/>
        <v>0</v>
      </c>
      <c r="W19" s="85">
        <f t="shared" si="9"/>
        <v>0</v>
      </c>
      <c r="X19" s="85">
        <f t="shared" si="10"/>
        <v>0</v>
      </c>
      <c r="Y19" s="1">
        <f t="shared" si="11"/>
        <v>0</v>
      </c>
    </row>
    <row r="20" spans="1:26" x14ac:dyDescent="0.25">
      <c r="C20" s="82"/>
      <c r="D20" s="46"/>
      <c r="E20" s="46"/>
      <c r="F20" s="46"/>
      <c r="G20" s="46"/>
      <c r="H20" s="86"/>
      <c r="I20" s="46"/>
      <c r="J20" s="46"/>
      <c r="K20" s="46"/>
      <c r="L20" s="46"/>
      <c r="N20" s="64"/>
      <c r="P20" s="83">
        <f t="shared" si="2"/>
        <v>0</v>
      </c>
      <c r="Q20" s="84">
        <f t="shared" si="3"/>
        <v>15</v>
      </c>
      <c r="R20" s="84">
        <f t="shared" si="4"/>
        <v>0</v>
      </c>
      <c r="S20" s="85">
        <f t="shared" si="5"/>
        <v>0</v>
      </c>
      <c r="T20" s="85">
        <f t="shared" si="6"/>
        <v>0</v>
      </c>
      <c r="U20" s="85">
        <f t="shared" si="7"/>
        <v>0</v>
      </c>
      <c r="V20" s="85">
        <f t="shared" si="8"/>
        <v>0</v>
      </c>
      <c r="W20" s="85">
        <f t="shared" si="9"/>
        <v>0</v>
      </c>
      <c r="X20" s="85">
        <f t="shared" si="10"/>
        <v>0</v>
      </c>
      <c r="Y20" s="1">
        <f t="shared" si="11"/>
        <v>0</v>
      </c>
    </row>
    <row r="21" spans="1:26" x14ac:dyDescent="0.25">
      <c r="C21" s="82"/>
      <c r="D21" s="46"/>
      <c r="E21" s="46"/>
      <c r="F21" s="46"/>
      <c r="G21" s="46"/>
      <c r="H21" s="86"/>
      <c r="I21" s="46"/>
      <c r="J21" s="46"/>
      <c r="K21" s="46"/>
      <c r="L21" s="46"/>
      <c r="N21" s="64"/>
      <c r="P21" s="83">
        <f t="shared" si="2"/>
        <v>0</v>
      </c>
      <c r="Q21" s="84">
        <f t="shared" si="3"/>
        <v>15</v>
      </c>
      <c r="R21" s="84">
        <f t="shared" si="4"/>
        <v>0</v>
      </c>
      <c r="S21" s="85">
        <f t="shared" si="5"/>
        <v>0</v>
      </c>
      <c r="T21" s="85">
        <f t="shared" si="6"/>
        <v>0</v>
      </c>
      <c r="U21" s="85">
        <f t="shared" si="7"/>
        <v>0</v>
      </c>
      <c r="V21" s="85">
        <f t="shared" si="8"/>
        <v>0</v>
      </c>
      <c r="W21" s="85">
        <f t="shared" si="9"/>
        <v>0</v>
      </c>
      <c r="X21" s="85">
        <f t="shared" si="10"/>
        <v>0</v>
      </c>
      <c r="Y21" s="1">
        <f t="shared" si="11"/>
        <v>0</v>
      </c>
    </row>
    <row r="22" spans="1:26" x14ac:dyDescent="0.25">
      <c r="C22" s="82"/>
      <c r="D22" s="46"/>
      <c r="E22" s="46"/>
      <c r="F22" s="46"/>
      <c r="G22" s="46"/>
      <c r="H22" s="86"/>
      <c r="I22" s="46"/>
      <c r="J22" s="46"/>
      <c r="K22" s="46"/>
      <c r="L22" s="46"/>
      <c r="N22" s="64"/>
      <c r="P22" s="83">
        <f t="shared" si="2"/>
        <v>0</v>
      </c>
      <c r="Q22" s="84">
        <f t="shared" si="3"/>
        <v>15</v>
      </c>
      <c r="R22" s="84">
        <f t="shared" si="4"/>
        <v>0</v>
      </c>
      <c r="S22" s="85">
        <f t="shared" si="5"/>
        <v>0</v>
      </c>
      <c r="T22" s="85">
        <f t="shared" si="6"/>
        <v>0</v>
      </c>
      <c r="U22" s="85">
        <f t="shared" si="7"/>
        <v>0</v>
      </c>
      <c r="V22" s="85">
        <f t="shared" si="8"/>
        <v>0</v>
      </c>
      <c r="W22" s="85">
        <f t="shared" si="9"/>
        <v>0</v>
      </c>
      <c r="X22" s="85">
        <f t="shared" si="10"/>
        <v>0</v>
      </c>
      <c r="Y22" s="1">
        <f t="shared" si="11"/>
        <v>0</v>
      </c>
    </row>
    <row r="23" spans="1:26" x14ac:dyDescent="0.25">
      <c r="C23" s="82"/>
      <c r="D23" s="46"/>
      <c r="E23" s="46"/>
      <c r="F23" s="46"/>
      <c r="G23" s="46"/>
      <c r="H23" s="86"/>
      <c r="I23" s="46"/>
      <c r="J23" s="46"/>
      <c r="K23" s="46"/>
      <c r="L23" s="46"/>
      <c r="N23" s="64"/>
      <c r="P23" s="83">
        <f t="shared" si="2"/>
        <v>0</v>
      </c>
      <c r="Q23" s="84">
        <f t="shared" si="3"/>
        <v>15</v>
      </c>
      <c r="R23" s="84">
        <f t="shared" si="4"/>
        <v>0</v>
      </c>
      <c r="S23" s="85">
        <f t="shared" si="5"/>
        <v>0</v>
      </c>
      <c r="T23" s="85">
        <f t="shared" si="6"/>
        <v>0</v>
      </c>
      <c r="U23" s="85">
        <f t="shared" si="7"/>
        <v>0</v>
      </c>
      <c r="V23" s="85">
        <f t="shared" si="8"/>
        <v>0</v>
      </c>
      <c r="W23" s="85">
        <f t="shared" si="9"/>
        <v>0</v>
      </c>
      <c r="X23" s="85">
        <f t="shared" si="10"/>
        <v>0</v>
      </c>
      <c r="Y23" s="1">
        <f t="shared" si="11"/>
        <v>0</v>
      </c>
    </row>
    <row r="24" spans="1:26" x14ac:dyDescent="0.25">
      <c r="C24" s="82"/>
      <c r="D24" s="46"/>
      <c r="E24" s="46"/>
      <c r="F24" s="46"/>
      <c r="G24" s="46"/>
      <c r="H24" s="86"/>
      <c r="I24" s="46"/>
      <c r="J24" s="46"/>
      <c r="K24" s="46"/>
      <c r="L24" s="46"/>
      <c r="N24" s="64"/>
      <c r="P24" s="83">
        <f t="shared" si="2"/>
        <v>0</v>
      </c>
      <c r="Q24" s="84">
        <f t="shared" si="3"/>
        <v>15</v>
      </c>
      <c r="R24" s="84">
        <f t="shared" si="4"/>
        <v>0</v>
      </c>
      <c r="S24" s="85">
        <f t="shared" si="5"/>
        <v>0</v>
      </c>
      <c r="T24" s="85">
        <f t="shared" si="6"/>
        <v>0</v>
      </c>
      <c r="U24" s="85">
        <f t="shared" si="7"/>
        <v>0</v>
      </c>
      <c r="V24" s="85">
        <f t="shared" si="8"/>
        <v>0</v>
      </c>
      <c r="W24" s="85">
        <f t="shared" si="9"/>
        <v>0</v>
      </c>
      <c r="X24" s="85">
        <f t="shared" si="10"/>
        <v>0</v>
      </c>
      <c r="Y24" s="1">
        <f t="shared" si="11"/>
        <v>0</v>
      </c>
    </row>
    <row r="25" spans="1:26" x14ac:dyDescent="0.25">
      <c r="C25" s="82"/>
      <c r="D25" s="46"/>
      <c r="E25" s="46"/>
      <c r="F25" s="46"/>
      <c r="G25" s="46"/>
      <c r="H25" s="86"/>
      <c r="I25" s="46"/>
      <c r="J25" s="46"/>
      <c r="K25" s="46"/>
      <c r="L25" s="46"/>
      <c r="N25" s="64"/>
      <c r="P25" s="83">
        <f t="shared" si="2"/>
        <v>0</v>
      </c>
      <c r="Q25" s="84">
        <f t="shared" si="3"/>
        <v>15</v>
      </c>
      <c r="R25" s="84">
        <f t="shared" si="4"/>
        <v>0</v>
      </c>
      <c r="S25" s="85">
        <f t="shared" si="5"/>
        <v>0</v>
      </c>
      <c r="T25" s="85">
        <f t="shared" si="6"/>
        <v>0</v>
      </c>
      <c r="U25" s="85">
        <f t="shared" si="7"/>
        <v>0</v>
      </c>
      <c r="V25" s="85">
        <f t="shared" si="8"/>
        <v>0</v>
      </c>
      <c r="W25" s="85">
        <f t="shared" si="9"/>
        <v>0</v>
      </c>
      <c r="X25" s="85">
        <f t="shared" si="10"/>
        <v>0</v>
      </c>
      <c r="Y25" s="1">
        <f t="shared" si="11"/>
        <v>0</v>
      </c>
    </row>
    <row r="26" spans="1:26" x14ac:dyDescent="0.25">
      <c r="C26" s="82"/>
      <c r="D26" s="46"/>
      <c r="E26" s="46"/>
      <c r="F26" s="46"/>
      <c r="G26" s="46"/>
      <c r="H26" s="86"/>
      <c r="I26" s="46"/>
      <c r="J26" s="46"/>
      <c r="K26" s="46"/>
      <c r="L26" s="46"/>
      <c r="N26" s="64"/>
      <c r="P26" s="83">
        <f t="shared" si="2"/>
        <v>0</v>
      </c>
      <c r="Q26" s="84">
        <f t="shared" si="3"/>
        <v>15</v>
      </c>
      <c r="R26" s="84">
        <f t="shared" si="4"/>
        <v>0</v>
      </c>
      <c r="S26" s="85">
        <f t="shared" si="5"/>
        <v>0</v>
      </c>
      <c r="T26" s="85">
        <f t="shared" si="6"/>
        <v>0</v>
      </c>
      <c r="U26" s="85">
        <f t="shared" si="7"/>
        <v>0</v>
      </c>
      <c r="V26" s="85">
        <f t="shared" si="8"/>
        <v>0</v>
      </c>
      <c r="W26" s="85">
        <f t="shared" si="9"/>
        <v>0</v>
      </c>
      <c r="X26" s="85">
        <f t="shared" si="10"/>
        <v>0</v>
      </c>
      <c r="Y26" s="1">
        <f t="shared" si="11"/>
        <v>0</v>
      </c>
    </row>
    <row r="27" spans="1:26" x14ac:dyDescent="0.25">
      <c r="C27" s="82"/>
      <c r="D27" s="46"/>
      <c r="E27" s="46"/>
      <c r="F27" s="46"/>
      <c r="G27" s="46"/>
      <c r="H27" s="86"/>
      <c r="I27" s="46"/>
      <c r="J27" s="46"/>
      <c r="K27" s="46"/>
      <c r="L27" s="46"/>
      <c r="N27" s="64"/>
      <c r="P27" s="83">
        <f t="shared" si="2"/>
        <v>0</v>
      </c>
      <c r="Q27" s="84">
        <f t="shared" si="3"/>
        <v>15</v>
      </c>
      <c r="R27" s="84">
        <f t="shared" si="4"/>
        <v>0</v>
      </c>
      <c r="S27" s="85">
        <f t="shared" si="5"/>
        <v>0</v>
      </c>
      <c r="T27" s="85">
        <f t="shared" si="6"/>
        <v>0</v>
      </c>
      <c r="U27" s="85">
        <f t="shared" si="7"/>
        <v>0</v>
      </c>
      <c r="V27" s="85">
        <f t="shared" si="8"/>
        <v>0</v>
      </c>
      <c r="W27" s="85">
        <f t="shared" si="9"/>
        <v>0</v>
      </c>
      <c r="X27" s="85">
        <f t="shared" si="10"/>
        <v>0</v>
      </c>
      <c r="Y27" s="1">
        <f t="shared" si="11"/>
        <v>0</v>
      </c>
    </row>
    <row r="28" spans="1:26" x14ac:dyDescent="0.25">
      <c r="C28" s="82"/>
      <c r="D28" s="46"/>
      <c r="E28" s="46"/>
      <c r="F28" s="46"/>
      <c r="G28" s="46"/>
      <c r="H28" s="86"/>
      <c r="I28" s="46"/>
      <c r="J28" s="46"/>
      <c r="K28" s="46"/>
      <c r="L28" s="46"/>
      <c r="N28" s="64"/>
      <c r="P28" s="83">
        <f t="shared" si="2"/>
        <v>0</v>
      </c>
      <c r="Q28" s="84">
        <f t="shared" si="3"/>
        <v>15</v>
      </c>
      <c r="R28" s="84">
        <f t="shared" si="4"/>
        <v>0</v>
      </c>
      <c r="S28" s="85">
        <f t="shared" si="5"/>
        <v>0</v>
      </c>
      <c r="T28" s="85">
        <f t="shared" si="6"/>
        <v>0</v>
      </c>
      <c r="U28" s="85">
        <f t="shared" si="7"/>
        <v>0</v>
      </c>
      <c r="V28" s="85">
        <f t="shared" si="8"/>
        <v>0</v>
      </c>
      <c r="W28" s="85">
        <f t="shared" si="9"/>
        <v>0</v>
      </c>
      <c r="X28" s="85">
        <f t="shared" si="10"/>
        <v>0</v>
      </c>
      <c r="Y28" s="1">
        <f t="shared" si="11"/>
        <v>0</v>
      </c>
    </row>
    <row r="29" spans="1:26" x14ac:dyDescent="0.25">
      <c r="C29" s="82"/>
      <c r="D29" s="46"/>
      <c r="E29" s="46"/>
      <c r="F29" s="46"/>
      <c r="G29" s="46"/>
      <c r="H29" s="86"/>
      <c r="I29" s="46"/>
      <c r="J29" s="46"/>
      <c r="K29" s="46"/>
      <c r="L29" s="46"/>
      <c r="N29" s="64"/>
      <c r="P29" s="83">
        <f t="shared" si="2"/>
        <v>0</v>
      </c>
      <c r="Q29" s="84">
        <f t="shared" si="3"/>
        <v>15</v>
      </c>
      <c r="R29" s="84">
        <f t="shared" si="4"/>
        <v>0</v>
      </c>
      <c r="S29" s="85">
        <f t="shared" si="5"/>
        <v>0</v>
      </c>
      <c r="T29" s="85">
        <f t="shared" si="6"/>
        <v>0</v>
      </c>
      <c r="U29" s="85">
        <f t="shared" si="7"/>
        <v>0</v>
      </c>
      <c r="V29" s="85">
        <f t="shared" si="8"/>
        <v>0</v>
      </c>
      <c r="W29" s="85">
        <f t="shared" si="9"/>
        <v>0</v>
      </c>
      <c r="X29" s="85">
        <f t="shared" si="10"/>
        <v>0</v>
      </c>
      <c r="Y29" s="1">
        <f t="shared" si="11"/>
        <v>0</v>
      </c>
    </row>
    <row r="30" spans="1:26" x14ac:dyDescent="0.25">
      <c r="C30" s="82"/>
      <c r="D30" s="46"/>
      <c r="E30" s="46"/>
      <c r="F30" s="46"/>
      <c r="G30" s="46"/>
      <c r="H30" s="86"/>
      <c r="I30" s="46"/>
      <c r="J30" s="46"/>
      <c r="K30" s="46"/>
      <c r="L30" s="46"/>
      <c r="N30" s="64"/>
      <c r="P30" s="83">
        <f t="shared" si="2"/>
        <v>0</v>
      </c>
      <c r="Q30" s="84">
        <f t="shared" si="3"/>
        <v>15</v>
      </c>
      <c r="R30" s="84">
        <f t="shared" si="4"/>
        <v>0</v>
      </c>
      <c r="S30" s="85">
        <f t="shared" si="5"/>
        <v>0</v>
      </c>
      <c r="T30" s="85">
        <f t="shared" si="6"/>
        <v>0</v>
      </c>
      <c r="U30" s="85">
        <f t="shared" si="7"/>
        <v>0</v>
      </c>
      <c r="V30" s="85">
        <f t="shared" si="8"/>
        <v>0</v>
      </c>
      <c r="W30" s="85">
        <f t="shared" si="9"/>
        <v>0</v>
      </c>
      <c r="X30" s="85">
        <f t="shared" si="10"/>
        <v>0</v>
      </c>
      <c r="Y30" s="1">
        <f t="shared" si="11"/>
        <v>0</v>
      </c>
    </row>
    <row r="31" spans="1:26" x14ac:dyDescent="0.25">
      <c r="C31" s="87"/>
      <c r="D31" s="46"/>
      <c r="E31" s="46"/>
      <c r="F31" s="46"/>
      <c r="G31" s="46"/>
      <c r="H31" s="86"/>
      <c r="I31" s="46"/>
      <c r="J31" s="46"/>
      <c r="K31" s="46"/>
      <c r="L31" s="46"/>
      <c r="N31" s="64"/>
      <c r="P31" s="83">
        <f t="shared" si="2"/>
        <v>0</v>
      </c>
      <c r="Q31" s="84">
        <f t="shared" si="3"/>
        <v>15</v>
      </c>
      <c r="R31" s="84">
        <f t="shared" si="4"/>
        <v>0</v>
      </c>
      <c r="S31" s="85">
        <f t="shared" si="5"/>
        <v>0</v>
      </c>
      <c r="T31" s="85">
        <f t="shared" si="6"/>
        <v>0</v>
      </c>
      <c r="U31" s="85">
        <f t="shared" si="7"/>
        <v>0</v>
      </c>
      <c r="V31" s="85">
        <f t="shared" si="8"/>
        <v>0</v>
      </c>
      <c r="W31" s="85">
        <f t="shared" si="9"/>
        <v>0</v>
      </c>
      <c r="X31" s="85">
        <f t="shared" si="10"/>
        <v>0</v>
      </c>
      <c r="Y31" s="1">
        <f t="shared" si="11"/>
        <v>0</v>
      </c>
    </row>
    <row r="32" spans="1:26" s="1" customFormat="1" x14ac:dyDescent="0.25">
      <c r="A32" s="53"/>
      <c r="B32" s="53"/>
      <c r="C32" s="87"/>
      <c r="D32" s="46"/>
      <c r="E32" s="46"/>
      <c r="F32" s="46"/>
      <c r="G32" s="46"/>
      <c r="H32" s="86"/>
      <c r="I32" s="46"/>
      <c r="J32" s="46"/>
      <c r="K32" s="46"/>
      <c r="L32" s="46"/>
      <c r="M32" s="57"/>
      <c r="N32" s="64"/>
      <c r="O32" s="53"/>
      <c r="P32" s="83">
        <f t="shared" si="2"/>
        <v>0</v>
      </c>
      <c r="Q32" s="84">
        <f t="shared" si="3"/>
        <v>15</v>
      </c>
      <c r="R32" s="84">
        <f t="shared" si="4"/>
        <v>0</v>
      </c>
      <c r="S32" s="85">
        <f t="shared" si="5"/>
        <v>0</v>
      </c>
      <c r="T32" s="85">
        <f t="shared" si="6"/>
        <v>0</v>
      </c>
      <c r="U32" s="85">
        <f t="shared" si="7"/>
        <v>0</v>
      </c>
      <c r="V32" s="85">
        <f t="shared" si="8"/>
        <v>0</v>
      </c>
      <c r="W32" s="85">
        <f t="shared" si="9"/>
        <v>0</v>
      </c>
      <c r="X32" s="85">
        <f t="shared" si="10"/>
        <v>0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/>
      <c r="D33" s="46"/>
      <c r="E33" s="46"/>
      <c r="F33" s="46"/>
      <c r="G33" s="46"/>
      <c r="H33" s="86"/>
      <c r="I33" s="46"/>
      <c r="J33" s="46"/>
      <c r="K33" s="46"/>
      <c r="L33" s="46"/>
      <c r="M33" s="57"/>
      <c r="N33" s="64"/>
      <c r="O33" s="53"/>
      <c r="P33" s="83">
        <f t="shared" si="2"/>
        <v>0</v>
      </c>
      <c r="Q33" s="84">
        <f t="shared" si="3"/>
        <v>15</v>
      </c>
      <c r="R33" s="84">
        <f t="shared" si="4"/>
        <v>0</v>
      </c>
      <c r="S33" s="85">
        <f t="shared" si="5"/>
        <v>0</v>
      </c>
      <c r="T33" s="85">
        <f t="shared" si="6"/>
        <v>0</v>
      </c>
      <c r="U33" s="85">
        <f t="shared" si="7"/>
        <v>0</v>
      </c>
      <c r="V33" s="85">
        <f t="shared" si="8"/>
        <v>0</v>
      </c>
      <c r="W33" s="85">
        <f t="shared" si="9"/>
        <v>0</v>
      </c>
      <c r="X33" s="85">
        <f t="shared" si="10"/>
        <v>0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/>
      <c r="D34" s="46"/>
      <c r="E34" s="46"/>
      <c r="F34" s="46"/>
      <c r="G34" s="46"/>
      <c r="H34" s="86"/>
      <c r="I34" s="46"/>
      <c r="J34" s="46"/>
      <c r="K34" s="46"/>
      <c r="L34" s="46"/>
      <c r="M34" s="57"/>
      <c r="N34" s="64"/>
      <c r="O34" s="53"/>
      <c r="P34" s="83">
        <f t="shared" si="2"/>
        <v>0</v>
      </c>
      <c r="Q34" s="84">
        <f t="shared" si="3"/>
        <v>15</v>
      </c>
      <c r="R34" s="84">
        <f t="shared" si="4"/>
        <v>0</v>
      </c>
      <c r="S34" s="85">
        <f t="shared" si="5"/>
        <v>0</v>
      </c>
      <c r="T34" s="85">
        <f t="shared" si="6"/>
        <v>0</v>
      </c>
      <c r="U34" s="85">
        <f t="shared" si="7"/>
        <v>0</v>
      </c>
      <c r="V34" s="85">
        <f t="shared" si="8"/>
        <v>0</v>
      </c>
      <c r="W34" s="85">
        <f t="shared" si="9"/>
        <v>0</v>
      </c>
      <c r="X34" s="85">
        <f t="shared" si="10"/>
        <v>0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/>
      <c r="D35" s="46"/>
      <c r="E35" s="46"/>
      <c r="F35" s="46"/>
      <c r="G35" s="46"/>
      <c r="H35" s="86"/>
      <c r="I35" s="46"/>
      <c r="J35" s="46"/>
      <c r="K35" s="46"/>
      <c r="L35" s="46"/>
      <c r="M35" s="57"/>
      <c r="N35" s="64"/>
      <c r="O35" s="53"/>
      <c r="P35" s="83">
        <f t="shared" si="2"/>
        <v>0</v>
      </c>
      <c r="Q35" s="84">
        <f t="shared" si="3"/>
        <v>15</v>
      </c>
      <c r="R35" s="84">
        <f t="shared" si="4"/>
        <v>0</v>
      </c>
      <c r="S35" s="85">
        <f t="shared" si="5"/>
        <v>0</v>
      </c>
      <c r="T35" s="85">
        <f t="shared" si="6"/>
        <v>0</v>
      </c>
      <c r="U35" s="85">
        <f t="shared" si="7"/>
        <v>0</v>
      </c>
      <c r="V35" s="85">
        <f t="shared" si="8"/>
        <v>0</v>
      </c>
      <c r="W35" s="85">
        <f t="shared" si="9"/>
        <v>0</v>
      </c>
      <c r="X35" s="85">
        <f t="shared" si="10"/>
        <v>0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/>
      <c r="D36" s="46"/>
      <c r="E36" s="46"/>
      <c r="F36" s="46"/>
      <c r="G36" s="46"/>
      <c r="H36" s="86"/>
      <c r="I36" s="46"/>
      <c r="J36" s="46"/>
      <c r="K36" s="46"/>
      <c r="L36" s="46"/>
      <c r="M36" s="57"/>
      <c r="N36" s="64"/>
      <c r="O36" s="53"/>
      <c r="P36" s="83">
        <f t="shared" si="2"/>
        <v>0</v>
      </c>
      <c r="Q36" s="84">
        <f t="shared" si="3"/>
        <v>15</v>
      </c>
      <c r="R36" s="84">
        <f t="shared" si="4"/>
        <v>0</v>
      </c>
      <c r="S36" s="85">
        <f t="shared" si="5"/>
        <v>0</v>
      </c>
      <c r="T36" s="85">
        <f t="shared" si="6"/>
        <v>0</v>
      </c>
      <c r="U36" s="85">
        <f t="shared" si="7"/>
        <v>0</v>
      </c>
      <c r="V36" s="85">
        <f t="shared" si="8"/>
        <v>0</v>
      </c>
      <c r="W36" s="85">
        <f t="shared" si="9"/>
        <v>0</v>
      </c>
      <c r="X36" s="85">
        <f t="shared" si="10"/>
        <v>0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/>
      <c r="D37" s="46"/>
      <c r="E37" s="46"/>
      <c r="F37" s="46"/>
      <c r="G37" s="46"/>
      <c r="H37" s="86"/>
      <c r="I37" s="46"/>
      <c r="J37" s="46"/>
      <c r="K37" s="46"/>
      <c r="L37" s="46"/>
      <c r="M37" s="57"/>
      <c r="N37" s="64"/>
      <c r="O37" s="53"/>
      <c r="P37" s="83">
        <f t="shared" si="2"/>
        <v>0</v>
      </c>
      <c r="Q37" s="84">
        <f t="shared" si="3"/>
        <v>15</v>
      </c>
      <c r="R37" s="84">
        <f t="shared" si="4"/>
        <v>0</v>
      </c>
      <c r="S37" s="85">
        <f t="shared" si="5"/>
        <v>0</v>
      </c>
      <c r="T37" s="85">
        <f t="shared" si="6"/>
        <v>0</v>
      </c>
      <c r="U37" s="85">
        <f t="shared" si="7"/>
        <v>0</v>
      </c>
      <c r="V37" s="85">
        <f t="shared" si="8"/>
        <v>0</v>
      </c>
      <c r="W37" s="85">
        <f t="shared" si="9"/>
        <v>0</v>
      </c>
      <c r="X37" s="85">
        <f t="shared" si="10"/>
        <v>0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si="5"/>
        <v>0</v>
      </c>
      <c r="T38" s="85">
        <f t="shared" si="6"/>
        <v>0</v>
      </c>
      <c r="U38" s="85">
        <f t="shared" si="7"/>
        <v>0</v>
      </c>
      <c r="V38" s="85">
        <f t="shared" si="8"/>
        <v>0</v>
      </c>
      <c r="W38" s="85">
        <f t="shared" si="9"/>
        <v>0</v>
      </c>
      <c r="X38" s="85">
        <f t="shared" si="10"/>
        <v>0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si="5"/>
        <v>0</v>
      </c>
      <c r="T39" s="85">
        <f t="shared" si="6"/>
        <v>0</v>
      </c>
      <c r="U39" s="85">
        <f t="shared" si="7"/>
        <v>0</v>
      </c>
      <c r="V39" s="85">
        <f t="shared" si="8"/>
        <v>0</v>
      </c>
      <c r="W39" s="85">
        <f t="shared" si="9"/>
        <v>0</v>
      </c>
      <c r="X39" s="85">
        <f t="shared" si="10"/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5"/>
        <v>0</v>
      </c>
      <c r="T40" s="85">
        <f t="shared" si="6"/>
        <v>0</v>
      </c>
      <c r="U40" s="85">
        <f t="shared" si="7"/>
        <v>0</v>
      </c>
      <c r="V40" s="85">
        <f t="shared" si="8"/>
        <v>0</v>
      </c>
      <c r="W40" s="85">
        <f t="shared" si="9"/>
        <v>0</v>
      </c>
      <c r="X40" s="85">
        <f t="shared" si="10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5"/>
        <v>0</v>
      </c>
      <c r="T41" s="85">
        <f t="shared" si="6"/>
        <v>0</v>
      </c>
      <c r="U41" s="85">
        <f t="shared" si="7"/>
        <v>0</v>
      </c>
      <c r="V41" s="85">
        <f t="shared" si="8"/>
        <v>0</v>
      </c>
      <c r="W41" s="85">
        <f t="shared" si="9"/>
        <v>0</v>
      </c>
      <c r="X41" s="85">
        <f t="shared" si="10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5"/>
        <v>0</v>
      </c>
      <c r="T42" s="85">
        <f t="shared" si="6"/>
        <v>0</v>
      </c>
      <c r="U42" s="85">
        <f t="shared" si="7"/>
        <v>0</v>
      </c>
      <c r="V42" s="85">
        <f t="shared" si="8"/>
        <v>0</v>
      </c>
      <c r="W42" s="85">
        <f t="shared" si="9"/>
        <v>0</v>
      </c>
      <c r="X42" s="85">
        <f t="shared" si="10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5"/>
        <v>0</v>
      </c>
      <c r="T43" s="85">
        <f t="shared" si="6"/>
        <v>0</v>
      </c>
      <c r="U43" s="85">
        <f t="shared" si="7"/>
        <v>0</v>
      </c>
      <c r="V43" s="85">
        <f t="shared" si="8"/>
        <v>0</v>
      </c>
      <c r="W43" s="85">
        <f t="shared" si="9"/>
        <v>0</v>
      </c>
      <c r="X43" s="85">
        <f t="shared" si="10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5"/>
        <v>0</v>
      </c>
      <c r="T44" s="85">
        <f t="shared" si="6"/>
        <v>0</v>
      </c>
      <c r="U44" s="85">
        <f t="shared" si="7"/>
        <v>0</v>
      </c>
      <c r="V44" s="85">
        <f t="shared" si="8"/>
        <v>0</v>
      </c>
      <c r="W44" s="85">
        <f t="shared" si="9"/>
        <v>0</v>
      </c>
      <c r="X44" s="85">
        <f t="shared" si="10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5"/>
        <v>0</v>
      </c>
      <c r="T45" s="85">
        <f t="shared" si="6"/>
        <v>0</v>
      </c>
      <c r="U45" s="85">
        <f t="shared" si="7"/>
        <v>0</v>
      </c>
      <c r="V45" s="85">
        <f t="shared" si="8"/>
        <v>0</v>
      </c>
      <c r="W45" s="85">
        <f t="shared" si="9"/>
        <v>0</v>
      </c>
      <c r="X45" s="85">
        <f t="shared" si="10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5"/>
        <v>0</v>
      </c>
      <c r="T46" s="85">
        <f t="shared" si="6"/>
        <v>0</v>
      </c>
      <c r="U46" s="85">
        <f t="shared" si="7"/>
        <v>0</v>
      </c>
      <c r="V46" s="85">
        <f t="shared" si="8"/>
        <v>0</v>
      </c>
      <c r="W46" s="85">
        <f t="shared" si="9"/>
        <v>0</v>
      </c>
      <c r="X46" s="85">
        <f t="shared" si="10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AMJ67"/>
  <sheetViews>
    <sheetView zoomScale="70" zoomScaleNormal="70" workbookViewId="0"/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2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>0.5*rho*U^2*S5</f>
        <v>227285.09999999998</v>
      </c>
      <c r="T7" s="48">
        <f t="shared" ref="T7:W7" si="0">0.5*rho*U^2*T5</f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>0.5*rho*U^2*X5</f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>(1-S6+S6*S7)*S8</f>
        <v>227285.09999999998</v>
      </c>
      <c r="T9" s="48">
        <f t="shared" ref="T9:W9" si="1">(1-T6+T6*T7)*T8</f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>(1-X6+X6*X7)*X8</f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53356.722000000002</v>
      </c>
      <c r="E14" s="46">
        <v>-1131.501</v>
      </c>
      <c r="F14" s="46">
        <v>70117.611000000004</v>
      </c>
      <c r="G14" s="46" t="s">
        <v>154</v>
      </c>
      <c r="H14" s="82">
        <v>0</v>
      </c>
      <c r="I14" s="46">
        <v>57294.322999999997</v>
      </c>
      <c r="J14" s="46">
        <v>1730480.8219999999</v>
      </c>
      <c r="K14" s="46">
        <v>46751.728000000003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0.23475679663999094</v>
      </c>
      <c r="T14" s="85">
        <f t="shared" ref="T14:T37" si="6">E14*(1-2*$N14*T$11)/T$9</f>
        <v>-1.069471695154617E-3</v>
      </c>
      <c r="U14" s="85">
        <f t="shared" ref="U14:U37" si="7">F14*(1-2*$N14*U$11)/U$9</f>
        <v>5.7846034629357189E-2</v>
      </c>
      <c r="V14" s="85">
        <f t="shared" ref="V14:V37" si="8">(I14+F14*dy-E14*dz)*(1-2*$N14*V$11)/V$9</f>
        <v>1.4184142912542002E-3</v>
      </c>
      <c r="W14" s="124">
        <f>(J14+D14*dz-F14*dx)*(1-2*$N14*W$11)/W$9</f>
        <v>0.39064917107864705</v>
      </c>
      <c r="X14" s="124">
        <f t="shared" ref="X14:X37" si="9">(K14+E14*dx-D14*dy)*(1-2*$N14*X$11)/X$9</f>
        <v>2.1598706909235272E-4</v>
      </c>
      <c r="Y14" s="1">
        <f t="shared" ref="Y14:Y46" si="10">B14</f>
        <v>0</v>
      </c>
      <c r="Z14" s="1"/>
    </row>
    <row r="15" spans="1:26" x14ac:dyDescent="0.25">
      <c r="C15" s="82">
        <v>15</v>
      </c>
      <c r="D15" s="46">
        <v>283975.29800000001</v>
      </c>
      <c r="E15" s="46">
        <v>164818.503</v>
      </c>
      <c r="F15" s="46">
        <v>156435.88800000001</v>
      </c>
      <c r="G15" s="46" t="s">
        <v>160</v>
      </c>
      <c r="H15" s="82">
        <v>15</v>
      </c>
      <c r="I15" s="46">
        <v>-3110033.6</v>
      </c>
      <c r="J15" s="46">
        <v>7677374.3739999998</v>
      </c>
      <c r="K15" s="46">
        <v>-981053.20900000003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1.2494232925959512</v>
      </c>
      <c r="T15" s="85">
        <f t="shared" si="6"/>
        <v>0.15578309148313288</v>
      </c>
      <c r="U15" s="85">
        <f t="shared" si="7"/>
        <v>0.12905738894216237</v>
      </c>
      <c r="V15" s="85">
        <f t="shared" si="8"/>
        <v>-7.6993947629344528E-2</v>
      </c>
      <c r="W15" s="124">
        <f t="shared" ref="W15:W37" si="11">(J15+D15*dz-F15*dx)*(1-2*$N15*W$11)/W$9</f>
        <v>1.7331367658829486</v>
      </c>
      <c r="X15" s="124">
        <f t="shared" si="9"/>
        <v>-4.5323417186966296E-3</v>
      </c>
      <c r="Y15" s="1">
        <f t="shared" si="10"/>
        <v>0</v>
      </c>
    </row>
    <row r="16" spans="1:26" x14ac:dyDescent="0.25">
      <c r="C16" s="82">
        <v>30</v>
      </c>
      <c r="D16" s="46">
        <v>374562.39199999999</v>
      </c>
      <c r="E16" s="46">
        <v>348154.00699999998</v>
      </c>
      <c r="F16" s="46">
        <v>313391.96999999997</v>
      </c>
      <c r="G16" s="46" t="s">
        <v>155</v>
      </c>
      <c r="H16" s="82">
        <v>30</v>
      </c>
      <c r="I16" s="46">
        <v>-6493871.3559999997</v>
      </c>
      <c r="J16" s="46">
        <v>10885180.776000001</v>
      </c>
      <c r="K16" s="46">
        <v>-3184294.2919999999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1.647984808507025</v>
      </c>
      <c r="T16" s="85">
        <f t="shared" si="6"/>
        <v>0.32906807509773511</v>
      </c>
      <c r="U16" s="85">
        <f t="shared" si="7"/>
        <v>0.25854393055665381</v>
      </c>
      <c r="V16" s="85">
        <f t="shared" si="8"/>
        <v>-0.16076636313368592</v>
      </c>
      <c r="W16" s="124">
        <f t="shared" si="11"/>
        <v>2.4572863178402935</v>
      </c>
      <c r="X16" s="124">
        <f t="shared" si="9"/>
        <v>-1.4711036803957028E-2</v>
      </c>
      <c r="Y16" s="1">
        <f t="shared" si="10"/>
        <v>0</v>
      </c>
    </row>
    <row r="17" spans="1:29" x14ac:dyDescent="0.25">
      <c r="C17" s="82">
        <v>45</v>
      </c>
      <c r="D17" s="46">
        <v>328541.91800000001</v>
      </c>
      <c r="E17" s="46">
        <v>555092.30500000005</v>
      </c>
      <c r="F17" s="46">
        <v>446002.98</v>
      </c>
      <c r="G17" s="46" t="s">
        <v>156</v>
      </c>
      <c r="H17" s="82">
        <v>45</v>
      </c>
      <c r="I17" s="46">
        <v>-10074777.611</v>
      </c>
      <c r="J17" s="46">
        <v>13576228.231000001</v>
      </c>
      <c r="K17" s="46">
        <v>-4199053.1430000002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1.4455057458671952</v>
      </c>
      <c r="T17" s="85">
        <f t="shared" si="6"/>
        <v>0.52466193878364553</v>
      </c>
      <c r="U17" s="85">
        <f t="shared" si="7"/>
        <v>0.36794613304604029</v>
      </c>
      <c r="V17" s="85">
        <f t="shared" si="8"/>
        <v>-0.24941753033106351</v>
      </c>
      <c r="W17" s="124">
        <f t="shared" si="11"/>
        <v>3.0647795903829307</v>
      </c>
      <c r="X17" s="124">
        <f>(K17+E17*dx-D17*dy)*(1-2*$N17*X$11)/X$9</f>
        <v>-1.939909432480446E-2</v>
      </c>
      <c r="Y17" s="1">
        <f t="shared" si="10"/>
        <v>0</v>
      </c>
      <c r="AA17" s="126">
        <f>(E17*dx-D17*dy)*(1-2*$N17*X$11)/X$9</f>
        <v>0</v>
      </c>
      <c r="AB17" s="126">
        <f>K17/X$9</f>
        <v>-1.939909432480446E-2</v>
      </c>
    </row>
    <row r="18" spans="1:29" x14ac:dyDescent="0.25">
      <c r="C18" s="82">
        <v>60</v>
      </c>
      <c r="D18" s="46">
        <v>264240.946</v>
      </c>
      <c r="E18" s="46">
        <v>666839.95499999996</v>
      </c>
      <c r="F18" s="46">
        <v>565443.79299999995</v>
      </c>
      <c r="G18" s="46" t="s">
        <v>157</v>
      </c>
      <c r="H18" s="86">
        <v>60</v>
      </c>
      <c r="I18" s="46">
        <v>-11418174.866</v>
      </c>
      <c r="J18" s="46">
        <v>12557602.392999999</v>
      </c>
      <c r="K18" s="46">
        <v>-5550482.0039999997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1.1625968706263632</v>
      </c>
      <c r="T18" s="85">
        <f t="shared" si="6"/>
        <v>0.63028354112871177</v>
      </c>
      <c r="U18" s="85">
        <f t="shared" si="7"/>
        <v>0.46648310979723873</v>
      </c>
      <c r="V18" s="85">
        <f t="shared" si="8"/>
        <v>-0.28267551760710941</v>
      </c>
      <c r="W18" s="124">
        <f t="shared" si="11"/>
        <v>2.834828854035508</v>
      </c>
      <c r="X18" s="124">
        <f t="shared" si="9"/>
        <v>-2.5642524701842213E-2</v>
      </c>
      <c r="Y18" s="1">
        <f t="shared" si="10"/>
        <v>0</v>
      </c>
    </row>
    <row r="19" spans="1:29" x14ac:dyDescent="0.25">
      <c r="C19" s="82">
        <v>75</v>
      </c>
      <c r="D19" s="46">
        <v>177165.51300000001</v>
      </c>
      <c r="E19" s="46">
        <v>730258.44799999997</v>
      </c>
      <c r="F19" s="46">
        <v>560977.55599999998</v>
      </c>
      <c r="G19" s="46" t="s">
        <v>161</v>
      </c>
      <c r="H19" s="86">
        <v>75</v>
      </c>
      <c r="I19" s="46">
        <v>-11772659.42</v>
      </c>
      <c r="J19" s="46">
        <v>8104566.5599999996</v>
      </c>
      <c r="K19" s="46">
        <v>-3404852.0669999998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0.7794858219918509</v>
      </c>
      <c r="T19" s="85">
        <f t="shared" si="6"/>
        <v>0.69022540880082273</v>
      </c>
      <c r="U19" s="85">
        <f t="shared" si="7"/>
        <v>0.46279852761481222</v>
      </c>
      <c r="V19" s="85">
        <f t="shared" si="8"/>
        <v>-0.29145136015301876</v>
      </c>
      <c r="W19" s="124">
        <f t="shared" si="11"/>
        <v>1.8295737048137721</v>
      </c>
      <c r="X19" s="124">
        <f t="shared" si="9"/>
        <v>-1.5729985823077362E-2</v>
      </c>
      <c r="Y19" s="1">
        <f t="shared" si="10"/>
        <v>0</v>
      </c>
    </row>
    <row r="20" spans="1:29" x14ac:dyDescent="0.25">
      <c r="C20" s="82">
        <v>90</v>
      </c>
      <c r="D20" s="46">
        <v>69518.09</v>
      </c>
      <c r="E20" s="46">
        <v>842123.57900000003</v>
      </c>
      <c r="F20" s="46">
        <v>559406.83900000004</v>
      </c>
      <c r="G20" s="46" t="s">
        <v>158</v>
      </c>
      <c r="H20" s="86">
        <v>90</v>
      </c>
      <c r="I20" s="46">
        <v>-12663328.463</v>
      </c>
      <c r="J20" s="46">
        <v>245304.99100000001</v>
      </c>
      <c r="K20" s="46">
        <v>2542465.3119999999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0.30586294482128396</v>
      </c>
      <c r="T20" s="85">
        <f t="shared" si="6"/>
        <v>0.79595805179385881</v>
      </c>
      <c r="U20" s="85">
        <f t="shared" si="7"/>
        <v>0.46150270836656487</v>
      </c>
      <c r="V20" s="85">
        <f t="shared" si="8"/>
        <v>-0.31350132310255741</v>
      </c>
      <c r="W20" s="124">
        <f t="shared" si="11"/>
        <v>5.5376627222514796E-2</v>
      </c>
      <c r="X20" s="124">
        <f t="shared" si="9"/>
        <v>1.1745868110112509E-2</v>
      </c>
      <c r="Y20" s="1">
        <f t="shared" si="10"/>
        <v>0</v>
      </c>
    </row>
    <row r="21" spans="1:29" x14ac:dyDescent="0.25">
      <c r="C21" s="82">
        <v>105</v>
      </c>
      <c r="D21" s="46">
        <v>-45212.442000000003</v>
      </c>
      <c r="E21" s="46">
        <v>961029.25399999996</v>
      </c>
      <c r="F21" s="46">
        <v>656372.23199999996</v>
      </c>
      <c r="G21" s="46" t="s">
        <v>162</v>
      </c>
      <c r="H21" s="86">
        <v>105</v>
      </c>
      <c r="I21" s="46">
        <v>-14537956.642999999</v>
      </c>
      <c r="J21" s="46">
        <v>-760714.19799999997</v>
      </c>
      <c r="K21" s="46">
        <v>2128367.764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-0.19892391538204662</v>
      </c>
      <c r="T21" s="85">
        <f t="shared" si="6"/>
        <v>0.90834527355128891</v>
      </c>
      <c r="U21" s="85">
        <f t="shared" si="7"/>
        <v>0.54149778237624879</v>
      </c>
      <c r="V21" s="85">
        <f t="shared" si="8"/>
        <v>-0.35991079723666752</v>
      </c>
      <c r="W21" s="124">
        <f t="shared" si="11"/>
        <v>-0.1717282081941835</v>
      </c>
      <c r="X21" s="124">
        <f t="shared" si="9"/>
        <v>9.8327898232340033E-3</v>
      </c>
      <c r="Y21" s="1">
        <f t="shared" si="10"/>
        <v>0</v>
      </c>
    </row>
    <row r="22" spans="1:29" x14ac:dyDescent="0.25">
      <c r="C22" s="82">
        <v>120</v>
      </c>
      <c r="D22" s="46">
        <v>-261065.83799999999</v>
      </c>
      <c r="E22" s="46">
        <v>872676.152</v>
      </c>
      <c r="F22" s="46">
        <v>707118.03099999996</v>
      </c>
      <c r="G22" s="46" t="s">
        <v>163</v>
      </c>
      <c r="H22" s="86">
        <v>120</v>
      </c>
      <c r="I22" s="46">
        <v>-13490548.828</v>
      </c>
      <c r="J22" s="46">
        <v>-6340927.9220000003</v>
      </c>
      <c r="K22" s="46">
        <v>9044398.5050000008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-1.1486271559376309</v>
      </c>
      <c r="T22" s="85">
        <f t="shared" si="6"/>
        <v>0.82483572140055395</v>
      </c>
      <c r="U22" s="85">
        <f t="shared" si="7"/>
        <v>0.58336234684705479</v>
      </c>
      <c r="V22" s="85">
        <f t="shared" si="8"/>
        <v>-0.33398051067813128</v>
      </c>
      <c r="W22" s="124">
        <f t="shared" si="11"/>
        <v>-1.431439288495477</v>
      </c>
      <c r="X22" s="124">
        <f t="shared" si="9"/>
        <v>4.1783976943017095E-2</v>
      </c>
      <c r="Y22" s="1">
        <f t="shared" si="10"/>
        <v>0</v>
      </c>
      <c r="AA22" s="53" t="s">
        <v>210</v>
      </c>
    </row>
    <row r="23" spans="1:29" x14ac:dyDescent="0.25">
      <c r="C23" s="82">
        <v>135</v>
      </c>
      <c r="D23" s="46">
        <v>-448355.02100000001</v>
      </c>
      <c r="E23" s="46">
        <v>739821.33100000001</v>
      </c>
      <c r="F23" s="46">
        <v>506102.28700000001</v>
      </c>
      <c r="G23" s="46" t="s">
        <v>164</v>
      </c>
      <c r="H23" s="86">
        <v>135</v>
      </c>
      <c r="I23" s="46">
        <v>-12538800.619999999</v>
      </c>
      <c r="J23" s="46">
        <v>-9222549.6960000005</v>
      </c>
      <c r="K23" s="46">
        <v>10637277.264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-1.9726547010780735</v>
      </c>
      <c r="T23" s="85">
        <f t="shared" si="6"/>
        <v>0.6992640510049174</v>
      </c>
      <c r="U23" s="85">
        <f t="shared" si="7"/>
        <v>0.41752720896036905</v>
      </c>
      <c r="V23" s="85">
        <f t="shared" si="8"/>
        <v>-0.31041843350858733</v>
      </c>
      <c r="W23" s="124">
        <f t="shared" si="11"/>
        <v>-2.0819539564790555</v>
      </c>
      <c r="X23" s="124">
        <f t="shared" si="9"/>
        <v>4.9142875304503841E-2</v>
      </c>
      <c r="Y23" s="1">
        <f t="shared" si="10"/>
        <v>0</v>
      </c>
      <c r="AA23" s="53">
        <v>15</v>
      </c>
      <c r="AB23" s="125">
        <f>K23/1000</f>
        <v>10637.277264</v>
      </c>
      <c r="AC23" s="53" t="s">
        <v>208</v>
      </c>
    </row>
    <row r="24" spans="1:29" x14ac:dyDescent="0.25">
      <c r="C24" s="82">
        <v>150</v>
      </c>
      <c r="D24" s="46">
        <v>-517826.21799999999</v>
      </c>
      <c r="E24" s="46">
        <v>448580.95600000001</v>
      </c>
      <c r="F24" s="46">
        <v>333061.71100000001</v>
      </c>
      <c r="G24" s="46" t="s">
        <v>165</v>
      </c>
      <c r="H24" s="86">
        <v>150</v>
      </c>
      <c r="I24" s="46">
        <v>-7575467.2560000001</v>
      </c>
      <c r="J24" s="46">
        <v>-11225999.492000001</v>
      </c>
      <c r="K24" s="46">
        <v>6545247.2680000002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-2.2783113279313074</v>
      </c>
      <c r="T24" s="85">
        <f t="shared" si="6"/>
        <v>0.4239895814739878</v>
      </c>
      <c r="U24" s="85">
        <f t="shared" si="7"/>
        <v>0.27477118791481581</v>
      </c>
      <c r="V24" s="85">
        <f t="shared" si="8"/>
        <v>-0.1875430314245731</v>
      </c>
      <c r="W24" s="124">
        <f t="shared" si="11"/>
        <v>-2.5342247890448526</v>
      </c>
      <c r="X24" s="124">
        <f t="shared" si="9"/>
        <v>3.0238214380012837E-2</v>
      </c>
      <c r="Y24" s="1">
        <f t="shared" si="10"/>
        <v>0</v>
      </c>
      <c r="AA24" s="53">
        <v>15</v>
      </c>
      <c r="AB24" s="125">
        <f>AB23/9.8</f>
        <v>1085.436455510204</v>
      </c>
      <c r="AC24" s="53" t="s">
        <v>209</v>
      </c>
    </row>
    <row r="25" spans="1:29" x14ac:dyDescent="0.25">
      <c r="C25" s="82">
        <v>165</v>
      </c>
      <c r="D25" s="46">
        <v>-425132.23499999999</v>
      </c>
      <c r="E25" s="46">
        <v>161118.614</v>
      </c>
      <c r="F25" s="46">
        <v>205643.10699999999</v>
      </c>
      <c r="G25" s="46" t="s">
        <v>166</v>
      </c>
      <c r="H25" s="86">
        <v>165</v>
      </c>
      <c r="I25" s="46">
        <v>-2694987.5410000002</v>
      </c>
      <c r="J25" s="46">
        <v>-9243520.3269999996</v>
      </c>
      <c r="K25" s="46">
        <v>902230.96600000001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-1.8704800050685242</v>
      </c>
      <c r="T25" s="85">
        <f t="shared" si="6"/>
        <v>0.15228603177155162</v>
      </c>
      <c r="U25" s="85">
        <f t="shared" si="7"/>
        <v>0.16965264673393685</v>
      </c>
      <c r="V25" s="85">
        <f t="shared" si="8"/>
        <v>-6.6718806379934284E-2</v>
      </c>
      <c r="W25" s="124">
        <f t="shared" si="11"/>
        <v>-2.0866879931196221</v>
      </c>
      <c r="X25" s="124">
        <f t="shared" si="9"/>
        <v>4.1681929273438218E-3</v>
      </c>
      <c r="Y25" s="1">
        <f t="shared" si="10"/>
        <v>0</v>
      </c>
    </row>
    <row r="26" spans="1:29" x14ac:dyDescent="0.25">
      <c r="C26" s="82">
        <v>180</v>
      </c>
      <c r="D26" s="46">
        <v>-240828.774</v>
      </c>
      <c r="E26" s="46">
        <v>-35056.811999999998</v>
      </c>
      <c r="F26" s="46">
        <v>169700.17199999999</v>
      </c>
      <c r="G26" s="46" t="s">
        <v>167</v>
      </c>
      <c r="H26" s="86">
        <v>180</v>
      </c>
      <c r="I26" s="46">
        <v>620044.64</v>
      </c>
      <c r="J26" s="46">
        <v>-9233427.3019999992</v>
      </c>
      <c r="K26" s="46">
        <v>382014.45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-1.0595889215791094</v>
      </c>
      <c r="T26" s="85">
        <f t="shared" si="6"/>
        <v>-3.313498455269303E-2</v>
      </c>
      <c r="U26" s="85">
        <f t="shared" si="7"/>
        <v>0.14000023512095799</v>
      </c>
      <c r="V26" s="85">
        <f t="shared" si="8"/>
        <v>1.5350215039482459E-2</v>
      </c>
      <c r="W26" s="124">
        <f t="shared" si="11"/>
        <v>-2.0844095328213053</v>
      </c>
      <c r="X26" s="124">
        <f t="shared" si="9"/>
        <v>1.7648584327498466E-3</v>
      </c>
      <c r="Y26" s="1">
        <f t="shared" si="10"/>
        <v>0</v>
      </c>
      <c r="AA26" s="53">
        <v>30</v>
      </c>
    </row>
    <row r="27" spans="1:29" x14ac:dyDescent="0.25">
      <c r="C27" s="82">
        <v>195</v>
      </c>
      <c r="D27" s="46">
        <v>-344019.31400000001</v>
      </c>
      <c r="E27" s="46">
        <v>-216269.111</v>
      </c>
      <c r="F27" s="46">
        <v>277418.18099999998</v>
      </c>
      <c r="G27" s="46" t="s">
        <v>168</v>
      </c>
      <c r="H27" s="86">
        <v>195</v>
      </c>
      <c r="I27" s="46">
        <v>4220361.2010000004</v>
      </c>
      <c r="J27" s="46">
        <v>-11257396.691</v>
      </c>
      <c r="K27" s="46">
        <v>-4996509.4689999996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-1.5136025810754865</v>
      </c>
      <c r="T27" s="85">
        <f t="shared" si="6"/>
        <v>-0.2044131580535519</v>
      </c>
      <c r="U27" s="85">
        <f t="shared" si="7"/>
        <v>0.22886606483126298</v>
      </c>
      <c r="V27" s="85">
        <f t="shared" si="8"/>
        <v>0.10448191597888574</v>
      </c>
      <c r="W27" s="124">
        <f t="shared" si="11"/>
        <v>-2.5413125819909572</v>
      </c>
      <c r="X27" s="124">
        <f t="shared" si="9"/>
        <v>-2.3083241669730314E-2</v>
      </c>
      <c r="Y27" s="1">
        <f t="shared" si="10"/>
        <v>0</v>
      </c>
      <c r="AA27" s="53">
        <v>30</v>
      </c>
      <c r="AB27" s="53">
        <f>AB24*4</f>
        <v>4341.7458220408162</v>
      </c>
      <c r="AC27" s="53" t="s">
        <v>209</v>
      </c>
    </row>
    <row r="28" spans="1:29" x14ac:dyDescent="0.25">
      <c r="C28" s="82">
        <v>210</v>
      </c>
      <c r="D28" s="46">
        <v>-371431.59700000001</v>
      </c>
      <c r="E28" s="46">
        <v>-538367.21600000001</v>
      </c>
      <c r="F28" s="46">
        <v>518719.56300000002</v>
      </c>
      <c r="G28" s="46" t="s">
        <v>169</v>
      </c>
      <c r="H28" s="86">
        <v>210</v>
      </c>
      <c r="I28" s="46">
        <v>11314522.789000001</v>
      </c>
      <c r="J28" s="46">
        <v>-11983552.717</v>
      </c>
      <c r="K28" s="46">
        <v>-12121842.052999999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-1.6342100604043117</v>
      </c>
      <c r="T28" s="85">
        <f t="shared" si="6"/>
        <v>-0.50885372537115903</v>
      </c>
      <c r="U28" s="85">
        <f t="shared" si="7"/>
        <v>0.42793628271537987</v>
      </c>
      <c r="V28" s="85">
        <f t="shared" si="8"/>
        <v>0.28010944160451873</v>
      </c>
      <c r="W28" s="124">
        <f t="shared" si="11"/>
        <v>-2.7052394201415302</v>
      </c>
      <c r="X28" s="124">
        <f t="shared" si="9"/>
        <v>-5.6001376826711032E-2</v>
      </c>
      <c r="Y28" s="1">
        <f t="shared" si="10"/>
        <v>0</v>
      </c>
    </row>
    <row r="29" spans="1:29" x14ac:dyDescent="0.25">
      <c r="C29" s="82">
        <v>225</v>
      </c>
      <c r="D29" s="46">
        <v>-278780.04300000001</v>
      </c>
      <c r="E29" s="46">
        <v>-846446.51699999999</v>
      </c>
      <c r="F29" s="46">
        <v>866722.81499999994</v>
      </c>
      <c r="G29" s="46" t="s">
        <v>170</v>
      </c>
      <c r="H29" s="86">
        <v>225</v>
      </c>
      <c r="I29" s="46">
        <v>18423415.094000001</v>
      </c>
      <c r="J29" s="46">
        <v>-13455019.276000001</v>
      </c>
      <c r="K29" s="46">
        <v>-18682670.096000001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-1.2265654149788088</v>
      </c>
      <c r="T29" s="85">
        <f t="shared" si="6"/>
        <v>-0.80004400472797754</v>
      </c>
      <c r="U29" s="85">
        <f t="shared" si="7"/>
        <v>0.71503403004623101</v>
      </c>
      <c r="V29" s="85">
        <f t="shared" si="8"/>
        <v>0.45610165012400877</v>
      </c>
      <c r="W29" s="124">
        <f t="shared" si="11"/>
        <v>-3.0374171503049561</v>
      </c>
      <c r="X29" s="124">
        <f t="shared" si="9"/>
        <v>-8.6311572416197829E-2</v>
      </c>
      <c r="Y29" s="1">
        <f t="shared" si="10"/>
        <v>0</v>
      </c>
    </row>
    <row r="30" spans="1:29" x14ac:dyDescent="0.25">
      <c r="C30" s="82">
        <v>240</v>
      </c>
      <c r="D30" s="46">
        <v>-98923.688999999998</v>
      </c>
      <c r="E30" s="46">
        <v>-1050235.4939999999</v>
      </c>
      <c r="F30" s="46">
        <v>1067523.2620000001</v>
      </c>
      <c r="G30" s="46" t="s">
        <v>171</v>
      </c>
      <c r="H30" s="86">
        <v>240</v>
      </c>
      <c r="I30" s="46">
        <v>22105750.548</v>
      </c>
      <c r="J30" s="46">
        <v>-7595825.2589999996</v>
      </c>
      <c r="K30" s="46">
        <v>-17522616.890999999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-0.43524053710516003</v>
      </c>
      <c r="T30" s="85">
        <f t="shared" si="6"/>
        <v>-0.99266119436016986</v>
      </c>
      <c r="U30" s="85">
        <f t="shared" si="7"/>
        <v>0.88069155096137475</v>
      </c>
      <c r="V30" s="85">
        <f t="shared" si="8"/>
        <v>0.54726386235829283</v>
      </c>
      <c r="W30" s="124">
        <f t="shared" si="11"/>
        <v>-1.7147273771327582</v>
      </c>
      <c r="X30" s="124">
        <f t="shared" si="9"/>
        <v>-8.0952273360147098E-2</v>
      </c>
      <c r="Y30" s="1">
        <f t="shared" si="10"/>
        <v>0</v>
      </c>
    </row>
    <row r="31" spans="1:29" x14ac:dyDescent="0.25">
      <c r="C31" s="87">
        <v>255</v>
      </c>
      <c r="D31" s="46">
        <v>4598.241</v>
      </c>
      <c r="E31" s="46">
        <v>-1039203.255</v>
      </c>
      <c r="F31" s="46">
        <v>999369.27399999998</v>
      </c>
      <c r="G31" s="46" t="s">
        <v>172</v>
      </c>
      <c r="H31" s="86">
        <v>255</v>
      </c>
      <c r="I31" s="46">
        <v>21678798.715</v>
      </c>
      <c r="J31" s="46">
        <v>2383317.5419999999</v>
      </c>
      <c r="K31" s="46">
        <v>-5228024.6830000002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2.0231159015703187E-2</v>
      </c>
      <c r="T31" s="85">
        <f t="shared" si="6"/>
        <v>-0.98223374679743614</v>
      </c>
      <c r="U31" s="85">
        <f t="shared" si="7"/>
        <v>0.82446547745786081</v>
      </c>
      <c r="V31" s="85">
        <f t="shared" si="8"/>
        <v>0.53669397428047438</v>
      </c>
      <c r="W31" s="124">
        <f t="shared" si="11"/>
        <v>0.53802446716713659</v>
      </c>
      <c r="X31" s="124">
        <f t="shared" si="9"/>
        <v>-2.4152812670873821E-2</v>
      </c>
      <c r="Y31" s="1">
        <f t="shared" si="10"/>
        <v>0</v>
      </c>
    </row>
    <row r="32" spans="1:29" s="1" customFormat="1" x14ac:dyDescent="0.25">
      <c r="A32" s="53"/>
      <c r="B32" s="53"/>
      <c r="C32" s="87">
        <v>270</v>
      </c>
      <c r="D32" s="46">
        <v>42853.811999999998</v>
      </c>
      <c r="E32" s="46">
        <v>-893957.73899999994</v>
      </c>
      <c r="F32" s="46">
        <v>828073.77899999998</v>
      </c>
      <c r="G32" s="46" t="s">
        <v>159</v>
      </c>
      <c r="H32" s="86">
        <v>270</v>
      </c>
      <c r="I32" s="46">
        <v>19332796.727000002</v>
      </c>
      <c r="J32" s="46">
        <v>4567266.034</v>
      </c>
      <c r="K32" s="46">
        <v>-1326069.2180000001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0.18854650832808664</v>
      </c>
      <c r="T32" s="85">
        <f t="shared" si="6"/>
        <v>-0.84495064390125918</v>
      </c>
      <c r="U32" s="85">
        <f t="shared" si="7"/>
        <v>0.6831491234876309</v>
      </c>
      <c r="V32" s="85">
        <f t="shared" si="8"/>
        <v>0.47861487371949979</v>
      </c>
      <c r="W32" s="124">
        <f t="shared" si="11"/>
        <v>1.031042163307927</v>
      </c>
      <c r="X32" s="124">
        <f t="shared" si="9"/>
        <v>-6.1262720344670068E-3</v>
      </c>
      <c r="Y32" s="1">
        <f t="shared" si="10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19914.746999999999</v>
      </c>
      <c r="E33" s="46">
        <v>-781156.85100000002</v>
      </c>
      <c r="F33" s="46">
        <v>717774.82700000005</v>
      </c>
      <c r="G33" s="46" t="s">
        <v>173</v>
      </c>
      <c r="H33" s="86">
        <v>285</v>
      </c>
      <c r="I33" s="46">
        <v>17061884.862</v>
      </c>
      <c r="J33" s="46">
        <v>9765121.2770000007</v>
      </c>
      <c r="K33" s="46">
        <v>4357961.193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8.7620116760843553E-2</v>
      </c>
      <c r="T33" s="85">
        <f t="shared" si="6"/>
        <v>-0.73833354245432625</v>
      </c>
      <c r="U33" s="85">
        <f t="shared" si="7"/>
        <v>0.59215405240664665</v>
      </c>
      <c r="V33" s="85">
        <f t="shared" si="8"/>
        <v>0.42239475146594369</v>
      </c>
      <c r="W33" s="124">
        <f t="shared" si="11"/>
        <v>2.2044373354762956</v>
      </c>
      <c r="X33" s="124">
        <f t="shared" si="9"/>
        <v>2.0133229413344524E-2</v>
      </c>
      <c r="Y33" s="1">
        <f t="shared" si="10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71479.115000000005</v>
      </c>
      <c r="E34" s="46">
        <v>-671849.41700000002</v>
      </c>
      <c r="F34" s="46">
        <v>666531.51199999999</v>
      </c>
      <c r="G34" s="46" t="s">
        <v>174</v>
      </c>
      <c r="H34" s="86">
        <v>300</v>
      </c>
      <c r="I34" s="46">
        <v>15193040.452</v>
      </c>
      <c r="J34" s="46">
        <v>12356056.459000001</v>
      </c>
      <c r="K34" s="46">
        <v>5757376.8169999998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0.31449098511077062</v>
      </c>
      <c r="T34" s="85">
        <f t="shared" si="6"/>
        <v>-0.63501838256230547</v>
      </c>
      <c r="U34" s="85">
        <f t="shared" si="7"/>
        <v>0.54987904429187984</v>
      </c>
      <c r="V34" s="85">
        <f t="shared" si="8"/>
        <v>0.37612846397923183</v>
      </c>
      <c r="W34" s="124">
        <f t="shared" si="11"/>
        <v>2.7893306600940262</v>
      </c>
      <c r="X34" s="124">
        <f t="shared" si="9"/>
        <v>2.6598352564938105E-2</v>
      </c>
      <c r="Y34" s="1">
        <f t="shared" si="10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156525.554</v>
      </c>
      <c r="E35" s="46">
        <v>-515057.93900000001</v>
      </c>
      <c r="F35" s="46">
        <v>574937.21600000001</v>
      </c>
      <c r="G35" s="46" t="s">
        <v>175</v>
      </c>
      <c r="H35" s="86">
        <v>315</v>
      </c>
      <c r="I35" s="46">
        <v>12229725.194</v>
      </c>
      <c r="J35" s="46">
        <v>13158413.838</v>
      </c>
      <c r="K35" s="46">
        <v>5261759.75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0.6886749461359325</v>
      </c>
      <c r="T35" s="85">
        <f t="shared" si="6"/>
        <v>-0.48682227158895425</v>
      </c>
      <c r="U35" s="85">
        <f t="shared" si="7"/>
        <v>0.4743150491314117</v>
      </c>
      <c r="V35" s="85">
        <f t="shared" si="8"/>
        <v>0.30276676789218976</v>
      </c>
      <c r="W35" s="124">
        <f t="shared" si="11"/>
        <v>2.9704596509677463</v>
      </c>
      <c r="X35" s="124">
        <f t="shared" si="9"/>
        <v>2.4308664412802251E-2</v>
      </c>
      <c r="Y35" s="1">
        <f t="shared" si="10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169827.06099999999</v>
      </c>
      <c r="E36" s="46">
        <v>-309583.89</v>
      </c>
      <c r="F36" s="46">
        <v>372152.66800000001</v>
      </c>
      <c r="G36" s="46" t="s">
        <v>176</v>
      </c>
      <c r="H36" s="86">
        <v>330</v>
      </c>
      <c r="I36" s="46">
        <v>7459866.0120000001</v>
      </c>
      <c r="J36" s="46">
        <v>9447594.0280000009</v>
      </c>
      <c r="K36" s="46">
        <v>4580027.7390000001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0.74719839091959839</v>
      </c>
      <c r="T36" s="85">
        <f t="shared" si="6"/>
        <v>-0.29261238622931884</v>
      </c>
      <c r="U36" s="85">
        <f t="shared" si="7"/>
        <v>0.30702067303085478</v>
      </c>
      <c r="V36" s="85">
        <f t="shared" si="8"/>
        <v>0.1846811343291774</v>
      </c>
      <c r="W36" s="124">
        <f t="shared" si="11"/>
        <v>2.1327568204195773</v>
      </c>
      <c r="X36" s="124">
        <f t="shared" si="9"/>
        <v>2.1159148763619708E-2</v>
      </c>
      <c r="Y36" s="1">
        <f t="shared" si="10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125541.071</v>
      </c>
      <c r="E37" s="46">
        <v>-101179.70699999999</v>
      </c>
      <c r="F37" s="46">
        <v>187720.927</v>
      </c>
      <c r="G37" s="46" t="s">
        <v>177</v>
      </c>
      <c r="H37" s="86">
        <v>345</v>
      </c>
      <c r="I37" s="46">
        <v>2531194.4890000001</v>
      </c>
      <c r="J37" s="46">
        <v>5633049.1840000004</v>
      </c>
      <c r="K37" s="46">
        <v>1664686.598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0.55235064243102605</v>
      </c>
      <c r="T37" s="85">
        <f t="shared" si="6"/>
        <v>-9.5632997903260769E-2</v>
      </c>
      <c r="U37" s="85">
        <f t="shared" si="7"/>
        <v>0.15486710241592561</v>
      </c>
      <c r="V37" s="85">
        <f t="shared" si="8"/>
        <v>6.2663842578984191E-2</v>
      </c>
      <c r="W37" s="124">
        <f t="shared" si="11"/>
        <v>1.2716384755027637</v>
      </c>
      <c r="X37" s="124">
        <f t="shared" si="9"/>
        <v>7.6906414937077741E-3</v>
      </c>
      <c r="Y37" s="1">
        <f t="shared" si="10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0.23475679663999094</v>
      </c>
      <c r="T38" s="85">
        <f t="shared" si="12"/>
        <v>-1.069471695154617E-3</v>
      </c>
      <c r="U38" s="85">
        <f t="shared" si="12"/>
        <v>5.7846034629357189E-2</v>
      </c>
      <c r="V38" s="85">
        <f t="shared" si="12"/>
        <v>1.4184142912542002E-3</v>
      </c>
      <c r="W38" s="124">
        <f t="shared" si="12"/>
        <v>0.39064917107864705</v>
      </c>
      <c r="X38" s="124">
        <f t="shared" si="12"/>
        <v>2.1598706909235272E-4</v>
      </c>
      <c r="Y38" s="1">
        <f t="shared" si="10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124">
        <f t="shared" ref="W39:W46" si="16">(J39+D39*dz-F39*dx)*(1-2*$N39*W$11)/W$9</f>
        <v>0</v>
      </c>
      <c r="X39" s="124">
        <f t="shared" ref="X39:X46" si="17">(K39+E39*dx-D39*dy)*(1-2*$N39*X$11)/X$9</f>
        <v>0</v>
      </c>
      <c r="Y39" s="1">
        <f t="shared" si="10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124">
        <f t="shared" si="16"/>
        <v>0</v>
      </c>
      <c r="X40" s="124">
        <f t="shared" si="17"/>
        <v>0</v>
      </c>
      <c r="Y40" s="1">
        <f t="shared" si="10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124">
        <f t="shared" si="16"/>
        <v>0</v>
      </c>
      <c r="X41" s="124">
        <f t="shared" si="17"/>
        <v>0</v>
      </c>
      <c r="Y41" s="1">
        <f t="shared" si="10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124">
        <f t="shared" si="16"/>
        <v>0</v>
      </c>
      <c r="X42" s="124">
        <f t="shared" si="17"/>
        <v>0</v>
      </c>
      <c r="Y42" s="1">
        <f t="shared" si="10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124">
        <f t="shared" si="16"/>
        <v>0</v>
      </c>
      <c r="X43" s="124">
        <f t="shared" si="17"/>
        <v>0</v>
      </c>
      <c r="Y43" s="1">
        <f t="shared" si="10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124">
        <f t="shared" si="16"/>
        <v>0</v>
      </c>
      <c r="X44" s="124">
        <f t="shared" si="17"/>
        <v>0</v>
      </c>
      <c r="Y44" s="1">
        <f t="shared" si="10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124">
        <f t="shared" si="16"/>
        <v>0</v>
      </c>
      <c r="X45" s="124">
        <f t="shared" si="17"/>
        <v>0</v>
      </c>
      <c r="Y45" s="1">
        <f t="shared" si="10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124">
        <f t="shared" si="16"/>
        <v>0</v>
      </c>
      <c r="X46" s="124">
        <f t="shared" si="17"/>
        <v>0</v>
      </c>
      <c r="Y46" s="1">
        <f t="shared" si="10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MJ67"/>
  <sheetViews>
    <sheetView zoomScale="70" zoomScaleNormal="70" workbookViewId="0">
      <selection activeCell="M21" sqref="M21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0</v>
      </c>
      <c r="Q11" s="1"/>
      <c r="R11" s="1"/>
      <c r="S11" s="71">
        <v>1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261009.435</v>
      </c>
      <c r="E14" s="46">
        <v>-16104.023999999999</v>
      </c>
      <c r="F14" s="46">
        <v>163479.11600000001</v>
      </c>
      <c r="G14" s="46" t="s">
        <v>154</v>
      </c>
      <c r="H14" s="82">
        <v>0</v>
      </c>
      <c r="I14" s="46">
        <v>283327.163</v>
      </c>
      <c r="J14" s="46">
        <v>9794069.9800000004</v>
      </c>
      <c r="K14" s="46">
        <v>439656.00799999997</v>
      </c>
      <c r="L14" s="46" t="s">
        <v>154</v>
      </c>
      <c r="N14" s="64"/>
      <c r="P14" s="83">
        <f t="shared" ref="P14:P46" si="2">MOD(C14+$P$11*180,360)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1.1483789962474444</v>
      </c>
      <c r="T14" s="85">
        <f t="shared" ref="T14:T37" si="6">E14*(1-2*$N14*T$11)/T$9</f>
        <v>-1.5221195426332487E-2</v>
      </c>
      <c r="U14" s="85">
        <f t="shared" ref="U14:U37" si="7">F14*(1-2*$N14*U$11)/U$9</f>
        <v>0.13486795215131761</v>
      </c>
      <c r="V14" s="85">
        <f t="shared" ref="V14:V37" si="8">(I14+F14*dy-E14*dz)*(1-2*$N14*V$11)/V$9</f>
        <v>7.0142254250863262E-3</v>
      </c>
      <c r="W14" s="85">
        <f t="shared" ref="W14:W37" si="9">(J14+D14*dz-F14*dx)*(1-2*$N14*W$11)/W$9</f>
        <v>2.2109723901772669</v>
      </c>
      <c r="X14" s="85">
        <f t="shared" ref="X14:X37" si="10">(K14+E14*dx-D14*dy)*(1-2*$N14*X$11)/X$9</f>
        <v>2.0311551388381617E-3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438105.33199999999</v>
      </c>
      <c r="E15" s="46">
        <v>178084.655</v>
      </c>
      <c r="F15" s="46">
        <v>196587.628</v>
      </c>
      <c r="G15" s="46" t="s">
        <v>160</v>
      </c>
      <c r="H15" s="82">
        <v>15</v>
      </c>
      <c r="I15" s="46">
        <v>-3093479.7680000002</v>
      </c>
      <c r="J15" s="46">
        <v>9899486.5889999997</v>
      </c>
      <c r="K15" s="46">
        <v>-1148583.321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1.9275585245139257</v>
      </c>
      <c r="T15" s="85">
        <f t="shared" si="6"/>
        <v>0.16832198810595408</v>
      </c>
      <c r="U15" s="85">
        <f t="shared" si="7"/>
        <v>0.16218200498860677</v>
      </c>
      <c r="V15" s="85">
        <f t="shared" si="8"/>
        <v>-7.6584130554032875E-2</v>
      </c>
      <c r="W15" s="85">
        <f t="shared" si="9"/>
        <v>2.2347697708822301</v>
      </c>
      <c r="X15" s="85">
        <f t="shared" si="10"/>
        <v>-5.3063096429537522E-3</v>
      </c>
      <c r="Y15" s="1">
        <f t="shared" si="11"/>
        <v>0</v>
      </c>
    </row>
    <row r="16" spans="1:26" x14ac:dyDescent="0.25">
      <c r="C16" s="82">
        <v>30</v>
      </c>
      <c r="D16" s="46">
        <v>532250.46400000004</v>
      </c>
      <c r="E16" s="46">
        <v>451170.277</v>
      </c>
      <c r="F16" s="46">
        <v>327497.11300000001</v>
      </c>
      <c r="G16" s="46" t="s">
        <v>155</v>
      </c>
      <c r="H16" s="82">
        <v>30</v>
      </c>
      <c r="I16" s="46">
        <v>-7900129.9340000004</v>
      </c>
      <c r="J16" s="46">
        <v>11204602.625</v>
      </c>
      <c r="K16" s="46">
        <v>-6833709.0319999997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2.3417745553932048</v>
      </c>
      <c r="T16" s="85">
        <f t="shared" si="6"/>
        <v>0.42643695493558392</v>
      </c>
      <c r="U16" s="85">
        <f t="shared" si="7"/>
        <v>0.27018047348493524</v>
      </c>
      <c r="V16" s="85">
        <f t="shared" si="8"/>
        <v>-0.19558058485394272</v>
      </c>
      <c r="W16" s="85">
        <f t="shared" si="9"/>
        <v>2.5293945313205457</v>
      </c>
      <c r="X16" s="85">
        <f t="shared" si="10"/>
        <v>-3.1570871238205754E-2</v>
      </c>
      <c r="Y16" s="1">
        <f t="shared" si="11"/>
        <v>0</v>
      </c>
    </row>
    <row r="17" spans="1:26" x14ac:dyDescent="0.25">
      <c r="C17" s="82">
        <v>45</v>
      </c>
      <c r="D17" s="46">
        <v>452393.58199999999</v>
      </c>
      <c r="E17" s="46">
        <v>730840.80900000001</v>
      </c>
      <c r="F17" s="46">
        <v>503403.91700000002</v>
      </c>
      <c r="G17" s="46" t="s">
        <v>156</v>
      </c>
      <c r="H17" s="82">
        <v>45</v>
      </c>
      <c r="I17" s="46">
        <v>-12544121.044</v>
      </c>
      <c r="J17" s="46">
        <v>9440468.0810000002</v>
      </c>
      <c r="K17" s="46">
        <v>-10891691.341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1.9904234021499871</v>
      </c>
      <c r="T17" s="85">
        <f t="shared" si="6"/>
        <v>0.69077584455462404</v>
      </c>
      <c r="U17" s="85">
        <f t="shared" si="7"/>
        <v>0.41530109198010257</v>
      </c>
      <c r="V17" s="85">
        <f t="shared" si="8"/>
        <v>-0.3105501492710222</v>
      </c>
      <c r="W17" s="85">
        <f t="shared" si="9"/>
        <v>2.1311481661927809</v>
      </c>
      <c r="X17" s="85">
        <f t="shared" si="10"/>
        <v>-5.0318236155915921E-2</v>
      </c>
      <c r="Y17" s="1">
        <f t="shared" si="11"/>
        <v>0</v>
      </c>
    </row>
    <row r="18" spans="1:26" x14ac:dyDescent="0.25">
      <c r="C18" s="82">
        <v>60</v>
      </c>
      <c r="D18" s="46">
        <v>225934.519</v>
      </c>
      <c r="E18" s="46">
        <v>888847.21600000001</v>
      </c>
      <c r="F18" s="46">
        <v>691985.93500000006</v>
      </c>
      <c r="G18" s="46" t="s">
        <v>157</v>
      </c>
      <c r="H18" s="86">
        <v>60</v>
      </c>
      <c r="I18" s="46">
        <v>-14364263.688999999</v>
      </c>
      <c r="J18" s="46">
        <v>7113682.2910000002</v>
      </c>
      <c r="K18" s="46">
        <v>-9500477.7339999992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0.99405776709515947</v>
      </c>
      <c r="T18" s="85">
        <f t="shared" si="6"/>
        <v>0.8401202816692005</v>
      </c>
      <c r="U18" s="85">
        <f t="shared" si="7"/>
        <v>0.57087858225857291</v>
      </c>
      <c r="V18" s="85">
        <f t="shared" si="8"/>
        <v>-0.35561074523598751</v>
      </c>
      <c r="W18" s="85">
        <f t="shared" si="9"/>
        <v>1.6058855174622679</v>
      </c>
      <c r="X18" s="85">
        <f t="shared" si="10"/>
        <v>-4.3891005285276646E-2</v>
      </c>
      <c r="Y18" s="1">
        <f t="shared" si="11"/>
        <v>0</v>
      </c>
    </row>
    <row r="19" spans="1:26" x14ac:dyDescent="0.25">
      <c r="C19" s="82">
        <v>75</v>
      </c>
      <c r="D19" s="46">
        <v>43078.192000000003</v>
      </c>
      <c r="E19" s="46">
        <v>963085.61399999994</v>
      </c>
      <c r="F19" s="46">
        <v>658272.14899999998</v>
      </c>
      <c r="G19" s="46" t="s">
        <v>161</v>
      </c>
      <c r="H19" s="86">
        <v>75</v>
      </c>
      <c r="I19" s="46">
        <v>-15357618.755999999</v>
      </c>
      <c r="J19" s="46">
        <v>270939.84100000001</v>
      </c>
      <c r="K19" s="46">
        <v>-1598200.7050000001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0.18953372658392481</v>
      </c>
      <c r="T19" s="85">
        <f t="shared" si="6"/>
        <v>0.91028890313274591</v>
      </c>
      <c r="U19" s="85">
        <f t="shared" si="7"/>
        <v>0.5430651869556048</v>
      </c>
      <c r="V19" s="85">
        <f t="shared" si="8"/>
        <v>-0.38020286797252062</v>
      </c>
      <c r="W19" s="85">
        <f t="shared" si="9"/>
        <v>6.1163592773309822E-2</v>
      </c>
      <c r="X19" s="85">
        <f t="shared" si="10"/>
        <v>-7.3834850787607639E-3</v>
      </c>
      <c r="Y19" s="1">
        <f t="shared" si="11"/>
        <v>0</v>
      </c>
    </row>
    <row r="20" spans="1:26" x14ac:dyDescent="0.25">
      <c r="C20" s="82">
        <v>90</v>
      </c>
      <c r="D20" s="46">
        <v>-55037.966</v>
      </c>
      <c r="E20" s="46">
        <v>894212.57499999995</v>
      </c>
      <c r="F20" s="46">
        <v>634080.62399999995</v>
      </c>
      <c r="G20" s="46" t="s">
        <v>158</v>
      </c>
      <c r="H20" s="86">
        <v>90</v>
      </c>
      <c r="I20" s="46">
        <v>-14164285.266000001</v>
      </c>
      <c r="J20" s="46">
        <v>-3923284.5090000001</v>
      </c>
      <c r="K20" s="46">
        <v>1325613.6040000001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-0.24215386754345097</v>
      </c>
      <c r="T20" s="85">
        <f t="shared" si="6"/>
        <v>0.8451915096971413</v>
      </c>
      <c r="U20" s="85">
        <f t="shared" si="7"/>
        <v>0.52310752192781373</v>
      </c>
      <c r="V20" s="85">
        <f t="shared" si="8"/>
        <v>-0.35065995363442387</v>
      </c>
      <c r="W20" s="85">
        <f t="shared" si="9"/>
        <v>-0.88566589231264348</v>
      </c>
      <c r="X20" s="85">
        <f t="shared" si="10"/>
        <v>6.1241671554238741E-3</v>
      </c>
      <c r="Y20" s="1">
        <f t="shared" si="11"/>
        <v>0</v>
      </c>
    </row>
    <row r="21" spans="1:26" x14ac:dyDescent="0.25">
      <c r="C21" s="82">
        <v>105</v>
      </c>
      <c r="D21" s="46">
        <v>-150180.48199999999</v>
      </c>
      <c r="E21" s="46">
        <v>735036.61800000002</v>
      </c>
      <c r="F21" s="46">
        <v>552604.60699999996</v>
      </c>
      <c r="G21" s="46" t="s">
        <v>162</v>
      </c>
      <c r="H21" s="86">
        <v>105</v>
      </c>
      <c r="I21" s="46">
        <v>-12426804.27</v>
      </c>
      <c r="J21" s="46">
        <v>-8087944.8660000004</v>
      </c>
      <c r="K21" s="46">
        <v>4061402.6609999998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-0.66075814912636155</v>
      </c>
      <c r="T21" s="85">
        <f t="shared" si="6"/>
        <v>0.69474163774771447</v>
      </c>
      <c r="U21" s="85">
        <f t="shared" si="7"/>
        <v>0.45589096343947483</v>
      </c>
      <c r="V21" s="85">
        <f t="shared" si="8"/>
        <v>-0.30764578143608956</v>
      </c>
      <c r="W21" s="85">
        <f t="shared" si="9"/>
        <v>-1.8258214234244192</v>
      </c>
      <c r="X21" s="85">
        <f t="shared" si="10"/>
        <v>1.8763166511262901E-2</v>
      </c>
      <c r="Y21" s="1">
        <f t="shared" si="11"/>
        <v>0</v>
      </c>
    </row>
    <row r="22" spans="1:26" x14ac:dyDescent="0.25">
      <c r="C22" s="82">
        <v>120</v>
      </c>
      <c r="D22" s="46">
        <v>-256223.459</v>
      </c>
      <c r="E22" s="46">
        <v>651388.30700000003</v>
      </c>
      <c r="F22" s="46">
        <v>547641.35</v>
      </c>
      <c r="G22" s="46" t="s">
        <v>163</v>
      </c>
      <c r="H22" s="86">
        <v>120</v>
      </c>
      <c r="I22" s="46">
        <v>-11873556.443</v>
      </c>
      <c r="J22" s="46">
        <v>-13459017.207</v>
      </c>
      <c r="K22" s="46">
        <v>5210021.551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-1.1273218481985843</v>
      </c>
      <c r="T22" s="85">
        <f t="shared" si="6"/>
        <v>0.61567895820789031</v>
      </c>
      <c r="U22" s="85">
        <f t="shared" si="7"/>
        <v>0.45179634680605302</v>
      </c>
      <c r="V22" s="85">
        <f t="shared" si="8"/>
        <v>-0.29394923030619613</v>
      </c>
      <c r="W22" s="85">
        <f t="shared" si="9"/>
        <v>-3.0383196673460722</v>
      </c>
      <c r="X22" s="85">
        <f t="shared" si="10"/>
        <v>2.4069640478497044E-2</v>
      </c>
      <c r="Y22" s="1">
        <f t="shared" si="11"/>
        <v>0</v>
      </c>
    </row>
    <row r="23" spans="1:26" x14ac:dyDescent="0.25">
      <c r="C23" s="82">
        <v>135</v>
      </c>
      <c r="D23" s="46">
        <v>-332320.25599999999</v>
      </c>
      <c r="E23" s="46">
        <v>537678.23800000001</v>
      </c>
      <c r="F23" s="46">
        <v>453371.66499999998</v>
      </c>
      <c r="G23" s="46" t="s">
        <v>164</v>
      </c>
      <c r="H23" s="86">
        <v>135</v>
      </c>
      <c r="I23" s="46">
        <v>-10368882.845000001</v>
      </c>
      <c r="J23" s="46">
        <v>-15890239.944</v>
      </c>
      <c r="K23" s="46">
        <v>4272746.7050000001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-1.4621295280684921</v>
      </c>
      <c r="T23" s="85">
        <f t="shared" si="6"/>
        <v>0.50820251740087519</v>
      </c>
      <c r="U23" s="85">
        <f t="shared" si="7"/>
        <v>0.37402519366438947</v>
      </c>
      <c r="V23" s="85">
        <f t="shared" si="8"/>
        <v>-0.25669858445990384</v>
      </c>
      <c r="W23" s="85">
        <f t="shared" si="9"/>
        <v>-3.5871585419768417</v>
      </c>
      <c r="X23" s="85">
        <f t="shared" si="10"/>
        <v>1.9739549258734508E-2</v>
      </c>
      <c r="Y23" s="1">
        <f t="shared" si="11"/>
        <v>0</v>
      </c>
    </row>
    <row r="24" spans="1:26" x14ac:dyDescent="0.25">
      <c r="C24" s="82">
        <v>150</v>
      </c>
      <c r="D24" s="46">
        <v>-388172.82</v>
      </c>
      <c r="E24" s="46">
        <v>348087.31699999998</v>
      </c>
      <c r="F24" s="46">
        <v>317942.92599999998</v>
      </c>
      <c r="G24" s="46" t="s">
        <v>165</v>
      </c>
      <c r="H24" s="86">
        <v>150</v>
      </c>
      <c r="I24" s="46">
        <v>-7063699.5590000004</v>
      </c>
      <c r="J24" s="46">
        <v>-11871364.721999999</v>
      </c>
      <c r="K24" s="46">
        <v>3670067.568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-1.7078674316970186</v>
      </c>
      <c r="T24" s="85">
        <f t="shared" si="6"/>
        <v>0.32900504106829115</v>
      </c>
      <c r="U24" s="85">
        <f t="shared" si="7"/>
        <v>0.26229840471255</v>
      </c>
      <c r="V24" s="85">
        <f t="shared" si="8"/>
        <v>-0.17487338847884795</v>
      </c>
      <c r="W24" s="85">
        <f t="shared" si="9"/>
        <v>-2.6799134259469954</v>
      </c>
      <c r="X24" s="85">
        <f t="shared" si="10"/>
        <v>1.6955247886949094E-2</v>
      </c>
      <c r="Y24" s="1">
        <f t="shared" si="11"/>
        <v>0</v>
      </c>
    </row>
    <row r="25" spans="1:26" x14ac:dyDescent="0.25">
      <c r="C25" s="82">
        <v>165</v>
      </c>
      <c r="D25" s="46">
        <v>-298385.40000000002</v>
      </c>
      <c r="E25" s="46">
        <v>164071.49</v>
      </c>
      <c r="F25" s="46">
        <v>164909.03599999999</v>
      </c>
      <c r="G25" s="46" t="s">
        <v>166</v>
      </c>
      <c r="H25" s="86">
        <v>165</v>
      </c>
      <c r="I25" s="46">
        <v>-3382565.946</v>
      </c>
      <c r="J25" s="46">
        <v>-8296349.5389999999</v>
      </c>
      <c r="K25" s="46">
        <v>2212684.5890000002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-1.312824289845661</v>
      </c>
      <c r="T25" s="85">
        <f t="shared" si="6"/>
        <v>0.15507703001309214</v>
      </c>
      <c r="U25" s="85">
        <f t="shared" si="7"/>
        <v>0.13604761587142367</v>
      </c>
      <c r="V25" s="85">
        <f t="shared" si="8"/>
        <v>-8.374092977616969E-2</v>
      </c>
      <c r="W25" s="85">
        <f t="shared" si="9"/>
        <v>-1.8728679504482053</v>
      </c>
      <c r="X25" s="85">
        <f t="shared" si="10"/>
        <v>1.0222322888341732E-2</v>
      </c>
      <c r="Y25" s="1">
        <f t="shared" si="11"/>
        <v>0</v>
      </c>
    </row>
    <row r="26" spans="1:26" x14ac:dyDescent="0.25">
      <c r="C26" s="82">
        <v>180</v>
      </c>
      <c r="D26" s="46">
        <v>-81997.289999999994</v>
      </c>
      <c r="E26" s="46">
        <v>15956.955</v>
      </c>
      <c r="F26" s="46">
        <v>72946.933999999994</v>
      </c>
      <c r="G26" s="46" t="s">
        <v>167</v>
      </c>
      <c r="H26" s="86">
        <v>180</v>
      </c>
      <c r="I26" s="46">
        <v>-373530.23100000003</v>
      </c>
      <c r="J26" s="46">
        <v>-2219932.895</v>
      </c>
      <c r="K26" s="46">
        <v>629764.44700000004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-0.36076843576635687</v>
      </c>
      <c r="T26" s="85">
        <f t="shared" si="6"/>
        <v>1.5082188803506088E-2</v>
      </c>
      <c r="U26" s="85">
        <f t="shared" si="7"/>
        <v>6.0180185977377822E-2</v>
      </c>
      <c r="V26" s="85">
        <f t="shared" si="8"/>
        <v>-9.2473493031043023E-3</v>
      </c>
      <c r="W26" s="85">
        <f t="shared" si="9"/>
        <v>-0.50114103216682238</v>
      </c>
      <c r="X26" s="85">
        <f t="shared" si="10"/>
        <v>2.9094320775928605E-3</v>
      </c>
      <c r="Y26" s="1">
        <f t="shared" si="11"/>
        <v>0</v>
      </c>
    </row>
    <row r="27" spans="1:26" x14ac:dyDescent="0.25">
      <c r="C27" s="82">
        <v>195</v>
      </c>
      <c r="D27" s="46">
        <v>-129028.742</v>
      </c>
      <c r="E27" s="46">
        <v>-100787.269</v>
      </c>
      <c r="F27" s="46">
        <v>192898.995</v>
      </c>
      <c r="G27" s="46" t="s">
        <v>168</v>
      </c>
      <c r="H27" s="86">
        <v>195</v>
      </c>
      <c r="I27" s="46">
        <v>2519261.284</v>
      </c>
      <c r="J27" s="46">
        <v>-5968364.7779999999</v>
      </c>
      <c r="K27" s="46">
        <v>-1469336.3189999999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-0.56769555945374339</v>
      </c>
      <c r="T27" s="85">
        <f t="shared" si="6"/>
        <v>-9.5262073500097993E-2</v>
      </c>
      <c r="U27" s="85">
        <f t="shared" si="7"/>
        <v>0.15913893507778237</v>
      </c>
      <c r="V27" s="85">
        <f t="shared" si="8"/>
        <v>6.2368416651489303E-2</v>
      </c>
      <c r="W27" s="85">
        <f t="shared" si="9"/>
        <v>-1.3473346387774607</v>
      </c>
      <c r="X27" s="85">
        <f t="shared" si="10"/>
        <v>-6.7881479172653509E-3</v>
      </c>
      <c r="Y27" s="1">
        <f t="shared" si="11"/>
        <v>0</v>
      </c>
    </row>
    <row r="28" spans="1:26" x14ac:dyDescent="0.25">
      <c r="C28" s="82">
        <v>210</v>
      </c>
      <c r="D28" s="46">
        <v>-174947.89499999999</v>
      </c>
      <c r="E28" s="46">
        <v>-308405.641</v>
      </c>
      <c r="F28" s="46">
        <v>379921.853</v>
      </c>
      <c r="G28" s="46" t="s">
        <v>169</v>
      </c>
      <c r="H28" s="86">
        <v>210</v>
      </c>
      <c r="I28" s="46">
        <v>7352135.1770000001</v>
      </c>
      <c r="J28" s="46">
        <v>-9728390.9079999998</v>
      </c>
      <c r="K28" s="46">
        <v>-4278709.949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-0.76972883396227909</v>
      </c>
      <c r="T28" s="85">
        <f t="shared" si="6"/>
        <v>-0.29149872927687759</v>
      </c>
      <c r="U28" s="85">
        <f t="shared" si="7"/>
        <v>0.31343014046909773</v>
      </c>
      <c r="V28" s="85">
        <f t="shared" si="8"/>
        <v>0.18201408202850272</v>
      </c>
      <c r="W28" s="85">
        <f t="shared" si="9"/>
        <v>-2.1961456005891793</v>
      </c>
      <c r="X28" s="85">
        <f t="shared" si="10"/>
        <v>-1.9767098691641942E-2</v>
      </c>
      <c r="Y28" s="1">
        <f t="shared" si="11"/>
        <v>0</v>
      </c>
    </row>
    <row r="29" spans="1:26" x14ac:dyDescent="0.25">
      <c r="C29" s="82">
        <v>225</v>
      </c>
      <c r="D29" s="46">
        <v>-155937.253</v>
      </c>
      <c r="E29" s="46">
        <v>-512382.07900000003</v>
      </c>
      <c r="F29" s="46">
        <v>591914.07299999997</v>
      </c>
      <c r="G29" s="46" t="s">
        <v>170</v>
      </c>
      <c r="H29" s="86">
        <v>225</v>
      </c>
      <c r="I29" s="46">
        <v>12138666.790999999</v>
      </c>
      <c r="J29" s="46">
        <v>-13892241.184</v>
      </c>
      <c r="K29" s="46">
        <v>-5337277.4730000002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-0.68608656264752954</v>
      </c>
      <c r="T29" s="85">
        <f t="shared" si="6"/>
        <v>-0.48429310322746238</v>
      </c>
      <c r="U29" s="85">
        <f t="shared" si="7"/>
        <v>0.48832071538150174</v>
      </c>
      <c r="V29" s="85">
        <f t="shared" si="8"/>
        <v>0.30051246880301147</v>
      </c>
      <c r="W29" s="85">
        <f t="shared" si="9"/>
        <v>-3.1361182591333234</v>
      </c>
      <c r="X29" s="85">
        <f t="shared" si="10"/>
        <v>-2.4657546739789142E-2</v>
      </c>
      <c r="Y29" s="1">
        <f t="shared" si="11"/>
        <v>0</v>
      </c>
    </row>
    <row r="30" spans="1:26" x14ac:dyDescent="0.25">
      <c r="C30" s="82">
        <v>240</v>
      </c>
      <c r="D30" s="46">
        <v>-75751.953999999998</v>
      </c>
      <c r="E30" s="46">
        <v>-667642.29</v>
      </c>
      <c r="F30" s="46">
        <v>663757.92599999998</v>
      </c>
      <c r="G30" s="46" t="s">
        <v>171</v>
      </c>
      <c r="H30" s="86">
        <v>240</v>
      </c>
      <c r="I30" s="46">
        <v>14950753.297</v>
      </c>
      <c r="J30" s="46">
        <v>-12637759.804</v>
      </c>
      <c r="K30" s="46">
        <v>-5487824.4040000001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-0.33329045326772411</v>
      </c>
      <c r="T30" s="85">
        <f t="shared" si="6"/>
        <v>-0.63104189182617643</v>
      </c>
      <c r="U30" s="85">
        <f t="shared" si="7"/>
        <v>0.54759087517836713</v>
      </c>
      <c r="V30" s="85">
        <f t="shared" si="8"/>
        <v>0.37013025080129935</v>
      </c>
      <c r="W30" s="85">
        <f t="shared" si="9"/>
        <v>-2.8529240711363659</v>
      </c>
      <c r="X30" s="85">
        <f t="shared" si="10"/>
        <v>-2.5353054516261887E-2</v>
      </c>
      <c r="Y30" s="1">
        <f t="shared" si="11"/>
        <v>0</v>
      </c>
    </row>
    <row r="31" spans="1:26" x14ac:dyDescent="0.25">
      <c r="C31" s="87">
        <v>255</v>
      </c>
      <c r="D31" s="46">
        <v>-14804.855</v>
      </c>
      <c r="E31" s="46">
        <v>-786639.48400000005</v>
      </c>
      <c r="F31" s="46">
        <v>732050.83700000006</v>
      </c>
      <c r="G31" s="46" t="s">
        <v>172</v>
      </c>
      <c r="H31" s="86">
        <v>255</v>
      </c>
      <c r="I31" s="46">
        <v>17170075.353999998</v>
      </c>
      <c r="J31" s="46">
        <v>-9821852.9539999999</v>
      </c>
      <c r="K31" s="46">
        <v>-4526233.318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-6.5137815897302553E-2</v>
      </c>
      <c r="T31" s="85">
        <f t="shared" si="6"/>
        <v>-0.74351561547805378</v>
      </c>
      <c r="U31" s="85">
        <f t="shared" si="7"/>
        <v>0.60393155818660049</v>
      </c>
      <c r="V31" s="85">
        <f t="shared" si="8"/>
        <v>0.42507318332437788</v>
      </c>
      <c r="W31" s="85">
        <f t="shared" si="9"/>
        <v>-2.2172442861874493</v>
      </c>
      <c r="X31" s="85">
        <f t="shared" si="10"/>
        <v>-2.0910625343794242E-2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-6528.0519999999997</v>
      </c>
      <c r="E32" s="46">
        <v>-954139.08100000001</v>
      </c>
      <c r="F32" s="46">
        <v>888943.22100000002</v>
      </c>
      <c r="G32" s="46" t="s">
        <v>159</v>
      </c>
      <c r="H32" s="86">
        <v>270</v>
      </c>
      <c r="I32" s="46">
        <v>20149737.951000001</v>
      </c>
      <c r="J32" s="46">
        <v>-9255530.9450000003</v>
      </c>
      <c r="K32" s="46">
        <v>-3664172.3689999999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-2.8721865181659513E-2</v>
      </c>
      <c r="T32" s="85">
        <f t="shared" si="6"/>
        <v>-0.90183282239285556</v>
      </c>
      <c r="U32" s="85">
        <f t="shared" si="7"/>
        <v>0.73336554985449121</v>
      </c>
      <c r="V32" s="85">
        <f t="shared" si="8"/>
        <v>0.4988395844161651</v>
      </c>
      <c r="W32" s="85">
        <f t="shared" si="9"/>
        <v>-2.089399342419882</v>
      </c>
      <c r="X32" s="85">
        <f t="shared" si="10"/>
        <v>-1.6928012813333716E-2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-10143.808999999999</v>
      </c>
      <c r="E33" s="46">
        <v>-1040751.8959999999</v>
      </c>
      <c r="F33" s="46">
        <v>1012787.553</v>
      </c>
      <c r="G33" s="46" t="s">
        <v>173</v>
      </c>
      <c r="H33" s="86">
        <v>285</v>
      </c>
      <c r="I33" s="46">
        <v>21538772.173</v>
      </c>
      <c r="J33" s="46">
        <v>-2873061.7659999998</v>
      </c>
      <c r="K33" s="46">
        <v>5486771.2410000004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-4.4630329924838896E-2</v>
      </c>
      <c r="T33" s="85">
        <f t="shared" si="6"/>
        <v>-0.98369749072294377</v>
      </c>
      <c r="U33" s="85">
        <f t="shared" si="7"/>
        <v>0.83553536732761657</v>
      </c>
      <c r="V33" s="85">
        <f t="shared" si="8"/>
        <v>0.53322738914728929</v>
      </c>
      <c r="W33" s="85">
        <f t="shared" si="9"/>
        <v>-0.64858228018296626</v>
      </c>
      <c r="X33" s="85">
        <f t="shared" si="10"/>
        <v>2.5348189036430928E-2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110529.80899999999</v>
      </c>
      <c r="E34" s="46">
        <v>-1049879.723</v>
      </c>
      <c r="F34" s="46">
        <v>1065996.203</v>
      </c>
      <c r="G34" s="46" t="s">
        <v>174</v>
      </c>
      <c r="H34" s="86">
        <v>300</v>
      </c>
      <c r="I34" s="46">
        <v>22011123.081</v>
      </c>
      <c r="J34" s="46">
        <v>6069234.4630000005</v>
      </c>
      <c r="K34" s="46">
        <v>16880531.693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0.48630468517293923</v>
      </c>
      <c r="T34" s="85">
        <f t="shared" si="6"/>
        <v>-0.99232492685845597</v>
      </c>
      <c r="U34" s="85">
        <f t="shared" si="7"/>
        <v>0.87943174894394605</v>
      </c>
      <c r="V34" s="85">
        <f t="shared" si="8"/>
        <v>0.54492120527622934</v>
      </c>
      <c r="W34" s="85">
        <f t="shared" si="9"/>
        <v>1.3701055694524811</v>
      </c>
      <c r="X34" s="85">
        <f t="shared" si="10"/>
        <v>7.7985920971555114E-2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279725.88699999999</v>
      </c>
      <c r="E35" s="46">
        <v>-852339.14599999995</v>
      </c>
      <c r="F35" s="46">
        <v>880475.69900000002</v>
      </c>
      <c r="G35" s="46" t="s">
        <v>175</v>
      </c>
      <c r="H35" s="86">
        <v>315</v>
      </c>
      <c r="I35" s="46">
        <v>18234995.969999999</v>
      </c>
      <c r="J35" s="46">
        <v>12706215.165999999</v>
      </c>
      <c r="K35" s="46">
        <v>18355188.519000001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1.2307269020274536</v>
      </c>
      <c r="T35" s="85">
        <f t="shared" si="6"/>
        <v>-0.80561359761879003</v>
      </c>
      <c r="U35" s="85">
        <f t="shared" si="7"/>
        <v>0.72637996429543894</v>
      </c>
      <c r="V35" s="85">
        <f t="shared" si="8"/>
        <v>0.4514370277978631</v>
      </c>
      <c r="W35" s="85">
        <f t="shared" si="9"/>
        <v>2.8683775971628962</v>
      </c>
      <c r="X35" s="85">
        <f t="shared" si="10"/>
        <v>8.4798648958096537E-2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375461.24300000002</v>
      </c>
      <c r="E36" s="46">
        <v>-532557.73100000003</v>
      </c>
      <c r="F36" s="46">
        <v>522609.60700000002</v>
      </c>
      <c r="G36" s="46" t="s">
        <v>176</v>
      </c>
      <c r="H36" s="86">
        <v>330</v>
      </c>
      <c r="I36" s="46">
        <v>11198877.955</v>
      </c>
      <c r="J36" s="46">
        <v>11242439.736</v>
      </c>
      <c r="K36" s="46">
        <v>12176387.195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1.6519395376115726</v>
      </c>
      <c r="T36" s="85">
        <f t="shared" si="6"/>
        <v>-0.50336271849540259</v>
      </c>
      <c r="U36" s="85">
        <f t="shared" si="7"/>
        <v>0.43114551384468519</v>
      </c>
      <c r="V36" s="85">
        <f t="shared" si="8"/>
        <v>0.27724646536767028</v>
      </c>
      <c r="W36" s="85">
        <f t="shared" si="9"/>
        <v>2.5379361088175316</v>
      </c>
      <c r="X36" s="85">
        <f t="shared" si="10"/>
        <v>5.6253368482587503E-2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341877.38099999999</v>
      </c>
      <c r="E37" s="46">
        <v>-224393.42199999999</v>
      </c>
      <c r="F37" s="46">
        <v>277969.42700000003</v>
      </c>
      <c r="G37" s="46" t="s">
        <v>177</v>
      </c>
      <c r="H37" s="86">
        <v>345</v>
      </c>
      <c r="I37" s="46">
        <v>4295588.8770000003</v>
      </c>
      <c r="J37" s="46">
        <v>11444661.377</v>
      </c>
      <c r="K37" s="46">
        <v>6392615.4409999996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1.5041785889176194</v>
      </c>
      <c r="T37" s="85">
        <f t="shared" si="6"/>
        <v>-0.21209209130869996</v>
      </c>
      <c r="U37" s="85">
        <f t="shared" si="7"/>
        <v>0.229320834963196</v>
      </c>
      <c r="V37" s="85">
        <f t="shared" si="8"/>
        <v>0.10634429963487625</v>
      </c>
      <c r="W37" s="85">
        <f t="shared" si="9"/>
        <v>2.5835868409299581</v>
      </c>
      <c r="X37" s="85">
        <f t="shared" si="10"/>
        <v>2.9533074647767193E-2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ref="S38:X38" si="12">S14</f>
        <v>1.1483789962474444</v>
      </c>
      <c r="T38" s="85">
        <f t="shared" si="12"/>
        <v>-1.5221195426332487E-2</v>
      </c>
      <c r="U38" s="85">
        <f t="shared" si="12"/>
        <v>0.13486795215131761</v>
      </c>
      <c r="V38" s="85">
        <f t="shared" si="12"/>
        <v>7.0142254250863262E-3</v>
      </c>
      <c r="W38" s="85">
        <f t="shared" si="12"/>
        <v>2.2109723901772669</v>
      </c>
      <c r="X38" s="85">
        <f t="shared" si="12"/>
        <v>2.0311551388381617E-3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ref="S39:U46" si="13">D39*(1-2*$N39*S$11)/S$9</f>
        <v>0</v>
      </c>
      <c r="T39" s="85">
        <f t="shared" si="13"/>
        <v>0</v>
      </c>
      <c r="U39" s="85">
        <f t="shared" si="13"/>
        <v>0</v>
      </c>
      <c r="V39" s="85">
        <f t="shared" ref="V39:V46" si="14">(I39+F39*dy-E39*dz)*(1-2*$N39*V$11)/V$9</f>
        <v>0</v>
      </c>
      <c r="W39" s="85">
        <f t="shared" ref="W39:W46" si="15">(J39+D39*dz-F39*dx)*(1-2*$N39*W$11)/W$9</f>
        <v>0</v>
      </c>
      <c r="X39" s="85">
        <f t="shared" ref="X39:X46" si="16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13"/>
        <v>0</v>
      </c>
      <c r="T40" s="85">
        <f t="shared" si="13"/>
        <v>0</v>
      </c>
      <c r="U40" s="85">
        <f t="shared" si="13"/>
        <v>0</v>
      </c>
      <c r="V40" s="85">
        <f t="shared" si="14"/>
        <v>0</v>
      </c>
      <c r="W40" s="85">
        <f t="shared" si="15"/>
        <v>0</v>
      </c>
      <c r="X40" s="85">
        <f t="shared" si="16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13"/>
        <v>0</v>
      </c>
      <c r="T41" s="85">
        <f t="shared" si="13"/>
        <v>0</v>
      </c>
      <c r="U41" s="85">
        <f t="shared" si="13"/>
        <v>0</v>
      </c>
      <c r="V41" s="85">
        <f t="shared" si="14"/>
        <v>0</v>
      </c>
      <c r="W41" s="85">
        <f t="shared" si="15"/>
        <v>0</v>
      </c>
      <c r="X41" s="85">
        <f t="shared" si="16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13"/>
        <v>0</v>
      </c>
      <c r="T42" s="85">
        <f t="shared" si="13"/>
        <v>0</v>
      </c>
      <c r="U42" s="85">
        <f t="shared" si="13"/>
        <v>0</v>
      </c>
      <c r="V42" s="85">
        <f t="shared" si="14"/>
        <v>0</v>
      </c>
      <c r="W42" s="85">
        <f t="shared" si="15"/>
        <v>0</v>
      </c>
      <c r="X42" s="85">
        <f t="shared" si="16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13"/>
        <v>0</v>
      </c>
      <c r="T43" s="85">
        <f t="shared" si="13"/>
        <v>0</v>
      </c>
      <c r="U43" s="85">
        <f t="shared" si="13"/>
        <v>0</v>
      </c>
      <c r="V43" s="85">
        <f t="shared" si="14"/>
        <v>0</v>
      </c>
      <c r="W43" s="85">
        <f t="shared" si="15"/>
        <v>0</v>
      </c>
      <c r="X43" s="85">
        <f t="shared" si="16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13"/>
        <v>0</v>
      </c>
      <c r="T44" s="85">
        <f t="shared" si="13"/>
        <v>0</v>
      </c>
      <c r="U44" s="85">
        <f t="shared" si="13"/>
        <v>0</v>
      </c>
      <c r="V44" s="85">
        <f t="shared" si="14"/>
        <v>0</v>
      </c>
      <c r="W44" s="85">
        <f t="shared" si="15"/>
        <v>0</v>
      </c>
      <c r="X44" s="85">
        <f t="shared" si="16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13"/>
        <v>0</v>
      </c>
      <c r="T45" s="85">
        <f t="shared" si="13"/>
        <v>0</v>
      </c>
      <c r="U45" s="85">
        <f t="shared" si="13"/>
        <v>0</v>
      </c>
      <c r="V45" s="85">
        <f t="shared" si="14"/>
        <v>0</v>
      </c>
      <c r="W45" s="85">
        <f t="shared" si="15"/>
        <v>0</v>
      </c>
      <c r="X45" s="85">
        <f t="shared" si="16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13"/>
        <v>0</v>
      </c>
      <c r="T46" s="85">
        <f t="shared" si="13"/>
        <v>0</v>
      </c>
      <c r="U46" s="85">
        <f t="shared" si="13"/>
        <v>0</v>
      </c>
      <c r="V46" s="85">
        <f t="shared" si="14"/>
        <v>0</v>
      </c>
      <c r="W46" s="85">
        <f t="shared" si="15"/>
        <v>0</v>
      </c>
      <c r="X46" s="85">
        <f t="shared" si="16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J67"/>
  <sheetViews>
    <sheetView topLeftCell="A3" zoomScale="85" zoomScaleNormal="85" workbookViewId="0">
      <selection activeCell="F30" activeCellId="1" sqref="I161:O185 F30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245554.00099999999</v>
      </c>
      <c r="E14" s="46">
        <v>-11124.772000000001</v>
      </c>
      <c r="F14" s="46">
        <v>164151.74900000001</v>
      </c>
      <c r="G14" s="46" t="s">
        <v>154</v>
      </c>
      <c r="H14" s="82">
        <v>0</v>
      </c>
      <c r="I14" s="46">
        <v>192381.27900000001</v>
      </c>
      <c r="J14" s="46">
        <v>9595852.4440000001</v>
      </c>
      <c r="K14" s="46">
        <v>197936.07800000001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1.0803787885787499</v>
      </c>
      <c r="T14" s="85">
        <f t="shared" ref="T14:T37" si="6">E14*(1-2*$N14*T$11)/T$9</f>
        <v>-1.0514907869324569E-2</v>
      </c>
      <c r="U14" s="85">
        <f t="shared" ref="U14:U37" si="7">F14*(1-2*$N14*U$11)/U$9</f>
        <v>0.1354228648366749</v>
      </c>
      <c r="V14" s="85">
        <f t="shared" ref="V14:V37" si="8">(I14+F14*dy-E14*dz)*(1-2*$N14*V$11)/V$9</f>
        <v>4.7627119270326592E-3</v>
      </c>
      <c r="W14" s="85">
        <f t="shared" ref="W14:W37" si="9">(J14+D14*dz-F14*dx)*(1-2*$N14*W$11)/W$9</f>
        <v>2.1662255688619294</v>
      </c>
      <c r="X14" s="85">
        <f t="shared" ref="X14:X37" si="10">(K14+E14*dx-D14*dy)*(1-2*$N14*X$11)/X$9</f>
        <v>9.1443964070922294E-4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413552.196</v>
      </c>
      <c r="E15" s="46">
        <v>182293.76300000001</v>
      </c>
      <c r="F15" s="46">
        <v>192936.46799999999</v>
      </c>
      <c r="G15" s="46" t="s">
        <v>160</v>
      </c>
      <c r="H15" s="82">
        <v>15</v>
      </c>
      <c r="I15" s="46">
        <v>-3054221.6869999999</v>
      </c>
      <c r="J15" s="46">
        <v>9790933.3210000005</v>
      </c>
      <c r="K15" s="46">
        <v>-1677358.1710000001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1.8195306071537467</v>
      </c>
      <c r="T15" s="85">
        <f t="shared" si="6"/>
        <v>0.17230035124292778</v>
      </c>
      <c r="U15" s="85">
        <f t="shared" si="7"/>
        <v>0.15916984977132015</v>
      </c>
      <c r="V15" s="85">
        <f t="shared" si="8"/>
        <v>-7.5612232812303462E-2</v>
      </c>
      <c r="W15" s="85">
        <f t="shared" si="9"/>
        <v>2.2102643018686718</v>
      </c>
      <c r="X15" s="85">
        <f t="shared" si="10"/>
        <v>-7.7491825579666142E-3</v>
      </c>
      <c r="Y15" s="1">
        <f t="shared" si="11"/>
        <v>0</v>
      </c>
    </row>
    <row r="16" spans="1:26" x14ac:dyDescent="0.25">
      <c r="C16" s="82">
        <v>30</v>
      </c>
      <c r="D16" s="46">
        <v>508775.245</v>
      </c>
      <c r="E16" s="46">
        <v>447211.24599999998</v>
      </c>
      <c r="F16" s="46">
        <v>316791.565</v>
      </c>
      <c r="G16" s="46" t="s">
        <v>155</v>
      </c>
      <c r="H16" s="82">
        <v>30</v>
      </c>
      <c r="I16" s="46">
        <v>-7539492.3490000004</v>
      </c>
      <c r="J16" s="46">
        <v>11505207.707</v>
      </c>
      <c r="K16" s="46">
        <v>-7779243.6320000002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2.2384892146471547</v>
      </c>
      <c r="T16" s="85">
        <f t="shared" si="6"/>
        <v>0.42269495948463892</v>
      </c>
      <c r="U16" s="85">
        <f t="shared" si="7"/>
        <v>0.2613485482167705</v>
      </c>
      <c r="V16" s="85">
        <f t="shared" si="8"/>
        <v>-0.18665241400309943</v>
      </c>
      <c r="W16" s="85">
        <f t="shared" si="9"/>
        <v>2.5972549344018168</v>
      </c>
      <c r="X16" s="85">
        <f t="shared" si="10"/>
        <v>-3.5939121476558658E-2</v>
      </c>
      <c r="Y16" s="1">
        <f t="shared" si="11"/>
        <v>0</v>
      </c>
    </row>
    <row r="17" spans="1:26" x14ac:dyDescent="0.25">
      <c r="C17" s="82">
        <v>45</v>
      </c>
      <c r="D17" s="46">
        <v>434377.13099999999</v>
      </c>
      <c r="E17" s="46">
        <v>715830.66899999999</v>
      </c>
      <c r="F17" s="46">
        <v>484327.04700000002</v>
      </c>
      <c r="G17" s="46" t="s">
        <v>156</v>
      </c>
      <c r="H17" s="82">
        <v>45</v>
      </c>
      <c r="I17" s="46">
        <v>-11778084.189999999</v>
      </c>
      <c r="J17" s="46">
        <v>10325122.313999999</v>
      </c>
      <c r="K17" s="46">
        <v>-12369341.853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1.9111553331036659</v>
      </c>
      <c r="T17" s="85">
        <f t="shared" si="6"/>
        <v>0.67658856600134998</v>
      </c>
      <c r="U17" s="85">
        <f t="shared" si="7"/>
        <v>0.3995629447885255</v>
      </c>
      <c r="V17" s="85">
        <f t="shared" si="8"/>
        <v>-0.29158565917065032</v>
      </c>
      <c r="W17" s="85">
        <f t="shared" si="9"/>
        <v>2.3308553449254821</v>
      </c>
      <c r="X17" s="85">
        <f t="shared" si="10"/>
        <v>-5.7144794593064902E-2</v>
      </c>
      <c r="Y17" s="1">
        <f t="shared" si="11"/>
        <v>0</v>
      </c>
    </row>
    <row r="18" spans="1:26" x14ac:dyDescent="0.25">
      <c r="C18" s="82">
        <v>60</v>
      </c>
      <c r="D18" s="46">
        <v>216554.49400000001</v>
      </c>
      <c r="E18" s="46">
        <v>856275.58600000001</v>
      </c>
      <c r="F18" s="46">
        <v>656027.63199999998</v>
      </c>
      <c r="G18" s="46" t="s">
        <v>157</v>
      </c>
      <c r="H18" s="86">
        <v>60</v>
      </c>
      <c r="I18" s="46">
        <v>-12904088.302999999</v>
      </c>
      <c r="J18" s="46">
        <v>9044009.443</v>
      </c>
      <c r="K18" s="46">
        <v>-11662574.677999999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0.95278790382651579</v>
      </c>
      <c r="T18" s="85">
        <f t="shared" si="6"/>
        <v>0.80933424051674108</v>
      </c>
      <c r="U18" s="85">
        <f t="shared" si="7"/>
        <v>0.5412134922635512</v>
      </c>
      <c r="V18" s="85">
        <f t="shared" si="8"/>
        <v>-0.31946172510985704</v>
      </c>
      <c r="W18" s="85">
        <f t="shared" si="9"/>
        <v>2.0416492036312244</v>
      </c>
      <c r="X18" s="85">
        <f t="shared" si="10"/>
        <v>-5.387961965324381E-2</v>
      </c>
      <c r="Y18" s="1">
        <f t="shared" si="11"/>
        <v>0</v>
      </c>
    </row>
    <row r="19" spans="1:26" x14ac:dyDescent="0.25">
      <c r="C19" s="82">
        <v>75</v>
      </c>
      <c r="D19" s="46">
        <v>38709.71</v>
      </c>
      <c r="E19" s="46">
        <v>922185.36399999994</v>
      </c>
      <c r="F19" s="46">
        <v>617463.94400000002</v>
      </c>
      <c r="G19" s="46" t="s">
        <v>161</v>
      </c>
      <c r="H19" s="86">
        <v>75</v>
      </c>
      <c r="I19" s="46">
        <v>-13631382.629000001</v>
      </c>
      <c r="J19" s="46">
        <v>2572038.3160000001</v>
      </c>
      <c r="K19" s="46">
        <v>-4110474.3089999999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0.17031345213566576</v>
      </c>
      <c r="T19" s="85">
        <f t="shared" si="6"/>
        <v>0.87163082002036008</v>
      </c>
      <c r="U19" s="85">
        <f t="shared" si="7"/>
        <v>0.50939899659449994</v>
      </c>
      <c r="V19" s="85">
        <f t="shared" si="8"/>
        <v>-0.33746708082278681</v>
      </c>
      <c r="W19" s="85">
        <f t="shared" si="9"/>
        <v>0.58062743218769941</v>
      </c>
      <c r="X19" s="85">
        <f t="shared" si="10"/>
        <v>-1.8989871317276738E-2</v>
      </c>
      <c r="Y19" s="1">
        <f t="shared" si="11"/>
        <v>0</v>
      </c>
    </row>
    <row r="20" spans="1:26" x14ac:dyDescent="0.25">
      <c r="C20" s="82">
        <v>90</v>
      </c>
      <c r="D20" s="46">
        <v>-56640.385999999999</v>
      </c>
      <c r="E20" s="46">
        <v>853213.49399999995</v>
      </c>
      <c r="F20" s="46">
        <v>596861.951</v>
      </c>
      <c r="G20" s="46" t="s">
        <v>158</v>
      </c>
      <c r="H20" s="86">
        <v>90</v>
      </c>
      <c r="I20" s="46">
        <v>-12533715.437999999</v>
      </c>
      <c r="J20" s="46">
        <v>-1745670.9820000001</v>
      </c>
      <c r="K20" s="46">
        <v>-1102891.0490000001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-0.24920413172706879</v>
      </c>
      <c r="T20" s="85">
        <f t="shared" si="6"/>
        <v>0.80644001353686268</v>
      </c>
      <c r="U20" s="85">
        <f t="shared" si="7"/>
        <v>0.49240264455803684</v>
      </c>
      <c r="V20" s="85">
        <f t="shared" si="8"/>
        <v>-0.31029254154504277</v>
      </c>
      <c r="W20" s="85">
        <f t="shared" si="9"/>
        <v>-0.39407828935439532</v>
      </c>
      <c r="X20" s="85">
        <f t="shared" si="10"/>
        <v>-5.0952171265562715E-3</v>
      </c>
      <c r="Y20" s="1">
        <f t="shared" si="11"/>
        <v>0</v>
      </c>
    </row>
    <row r="21" spans="1:26" x14ac:dyDescent="0.25">
      <c r="C21" s="82">
        <v>105</v>
      </c>
      <c r="D21" s="46">
        <v>-147016.902</v>
      </c>
      <c r="E21" s="46">
        <v>694536.50800000003</v>
      </c>
      <c r="F21" s="46">
        <v>514730.32400000002</v>
      </c>
      <c r="G21" s="46" t="s">
        <v>162</v>
      </c>
      <c r="H21" s="86">
        <v>105</v>
      </c>
      <c r="I21" s="46">
        <v>-10780307.615</v>
      </c>
      <c r="J21" s="46">
        <v>-5770415.051</v>
      </c>
      <c r="K21" s="46">
        <v>1714852.6629999999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-0.64683915487640864</v>
      </c>
      <c r="T21" s="85">
        <f t="shared" si="6"/>
        <v>0.65646175881199242</v>
      </c>
      <c r="U21" s="85">
        <f t="shared" si="7"/>
        <v>0.42464521711791131</v>
      </c>
      <c r="V21" s="85">
        <f t="shared" si="8"/>
        <v>-0.26688407480148574</v>
      </c>
      <c r="W21" s="85">
        <f t="shared" si="9"/>
        <v>-1.3026482742799785</v>
      </c>
      <c r="X21" s="85">
        <f t="shared" si="10"/>
        <v>7.9224023678137849E-3</v>
      </c>
      <c r="Y21" s="1">
        <f t="shared" si="11"/>
        <v>0</v>
      </c>
    </row>
    <row r="22" spans="1:26" x14ac:dyDescent="0.25">
      <c r="C22" s="82">
        <v>120</v>
      </c>
      <c r="D22" s="46">
        <v>-248327.484</v>
      </c>
      <c r="E22" s="46">
        <v>617490.92000000004</v>
      </c>
      <c r="F22" s="46">
        <v>511076.06699999998</v>
      </c>
      <c r="G22" s="46" t="s">
        <v>163</v>
      </c>
      <c r="H22" s="86">
        <v>120</v>
      </c>
      <c r="I22" s="46">
        <v>-10374297.051000001</v>
      </c>
      <c r="J22" s="46">
        <v>-11103186.611</v>
      </c>
      <c r="K22" s="46">
        <v>3394650.1090000002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-1.0925814494658912</v>
      </c>
      <c r="T22" s="85">
        <f t="shared" si="6"/>
        <v>0.58363983854630619</v>
      </c>
      <c r="U22" s="85">
        <f t="shared" si="7"/>
        <v>0.42163050691954795</v>
      </c>
      <c r="V22" s="85">
        <f t="shared" si="8"/>
        <v>-0.25683262194850798</v>
      </c>
      <c r="W22" s="85">
        <f t="shared" si="9"/>
        <v>-2.5065002690441154</v>
      </c>
      <c r="X22" s="85">
        <f t="shared" si="10"/>
        <v>1.568285406770303E-2</v>
      </c>
      <c r="Y22" s="1">
        <f t="shared" si="11"/>
        <v>0</v>
      </c>
    </row>
    <row r="23" spans="1:26" x14ac:dyDescent="0.25">
      <c r="C23" s="82">
        <v>135</v>
      </c>
      <c r="D23" s="46">
        <v>-319945.21999999997</v>
      </c>
      <c r="E23" s="46">
        <v>516922.79499999998</v>
      </c>
      <c r="F23" s="46">
        <v>425820.897</v>
      </c>
      <c r="G23" s="46" t="s">
        <v>164</v>
      </c>
      <c r="H23" s="86">
        <v>135</v>
      </c>
      <c r="I23" s="46">
        <v>-9314061.2899999991</v>
      </c>
      <c r="J23" s="46">
        <v>-14010147.666999999</v>
      </c>
      <c r="K23" s="46">
        <v>3366734.9890000001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-1.4076823337737494</v>
      </c>
      <c r="T23" s="85">
        <f t="shared" si="6"/>
        <v>0.48858489549077955</v>
      </c>
      <c r="U23" s="85">
        <f t="shared" si="7"/>
        <v>0.351296200804188</v>
      </c>
      <c r="V23" s="85">
        <f t="shared" si="8"/>
        <v>-0.23058475869159903</v>
      </c>
      <c r="W23" s="85">
        <f t="shared" si="9"/>
        <v>-3.1627351792766594</v>
      </c>
      <c r="X23" s="85">
        <f t="shared" si="10"/>
        <v>1.5553889744669638E-2</v>
      </c>
      <c r="Y23" s="1">
        <f t="shared" si="11"/>
        <v>0</v>
      </c>
    </row>
    <row r="24" spans="1:26" x14ac:dyDescent="0.25">
      <c r="C24" s="82">
        <v>150</v>
      </c>
      <c r="D24" s="46">
        <v>-369565.94900000002</v>
      </c>
      <c r="E24" s="46">
        <v>343366.592</v>
      </c>
      <c r="F24" s="46">
        <v>301910.38900000002</v>
      </c>
      <c r="G24" s="46" t="s">
        <v>165</v>
      </c>
      <c r="H24" s="86">
        <v>150</v>
      </c>
      <c r="I24" s="46">
        <v>-6559425.784</v>
      </c>
      <c r="J24" s="46">
        <v>-10669758.179</v>
      </c>
      <c r="K24" s="46">
        <v>3945161.11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-1.6260016560698438</v>
      </c>
      <c r="T24" s="85">
        <f t="shared" si="6"/>
        <v>0.32454310796517527</v>
      </c>
      <c r="U24" s="85">
        <f t="shared" si="7"/>
        <v>0.24907178906960623</v>
      </c>
      <c r="V24" s="85">
        <f t="shared" si="8"/>
        <v>-0.16238926977890789</v>
      </c>
      <c r="W24" s="85">
        <f t="shared" si="9"/>
        <v>-2.4086555223528299</v>
      </c>
      <c r="X24" s="85">
        <f t="shared" si="10"/>
        <v>1.8226145250631865E-2</v>
      </c>
      <c r="Y24" s="1">
        <f t="shared" si="11"/>
        <v>0</v>
      </c>
    </row>
    <row r="25" spans="1:26" x14ac:dyDescent="0.25">
      <c r="C25" s="82">
        <v>165</v>
      </c>
      <c r="D25" s="46">
        <v>-277011.98100000003</v>
      </c>
      <c r="E25" s="46">
        <v>168501.06299999999</v>
      </c>
      <c r="F25" s="46">
        <v>159913.291</v>
      </c>
      <c r="G25" s="46" t="s">
        <v>166</v>
      </c>
      <c r="H25" s="86">
        <v>165</v>
      </c>
      <c r="I25" s="46">
        <v>-3308250.6069999998</v>
      </c>
      <c r="J25" s="46">
        <v>-7796408.4009999996</v>
      </c>
      <c r="K25" s="46">
        <v>3086858.0529999998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-1.2187863656702531</v>
      </c>
      <c r="T25" s="85">
        <f t="shared" si="6"/>
        <v>0.15926377217692686</v>
      </c>
      <c r="U25" s="85">
        <f t="shared" si="7"/>
        <v>0.13192619709876413</v>
      </c>
      <c r="V25" s="85">
        <f t="shared" si="8"/>
        <v>-8.1901132508698682E-2</v>
      </c>
      <c r="W25" s="85">
        <f t="shared" si="9"/>
        <v>-1.7600082246050166</v>
      </c>
      <c r="X25" s="85">
        <f t="shared" si="10"/>
        <v>1.4260893705824014E-2</v>
      </c>
      <c r="Y25" s="1">
        <f t="shared" si="11"/>
        <v>0</v>
      </c>
    </row>
    <row r="26" spans="1:26" x14ac:dyDescent="0.25">
      <c r="C26" s="82">
        <v>180</v>
      </c>
      <c r="D26" s="46">
        <v>-64602.163999999997</v>
      </c>
      <c r="E26" s="46">
        <v>21390.714</v>
      </c>
      <c r="F26" s="46">
        <v>71580.69</v>
      </c>
      <c r="G26" s="46" t="s">
        <v>167</v>
      </c>
      <c r="H26" s="86">
        <v>180</v>
      </c>
      <c r="I26" s="46">
        <v>-413555.13799999998</v>
      </c>
      <c r="J26" s="46">
        <v>-1971502.2749999999</v>
      </c>
      <c r="K26" s="46">
        <v>1485001.3759999999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-0.28423404789843243</v>
      </c>
      <c r="T26" s="85">
        <f t="shared" si="6"/>
        <v>2.0218067118056102E-2</v>
      </c>
      <c r="U26" s="85">
        <f t="shared" si="7"/>
        <v>5.9053054054184505E-2</v>
      </c>
      <c r="V26" s="85">
        <f t="shared" si="8"/>
        <v>-1.0238231071528726E-2</v>
      </c>
      <c r="W26" s="85">
        <f t="shared" si="9"/>
        <v>-0.44505880661439473</v>
      </c>
      <c r="X26" s="85">
        <f t="shared" si="10"/>
        <v>6.8605184989173193E-3</v>
      </c>
      <c r="Y26" s="1">
        <f t="shared" si="11"/>
        <v>0</v>
      </c>
    </row>
    <row r="27" spans="1:26" x14ac:dyDescent="0.25">
      <c r="C27" s="82">
        <v>195</v>
      </c>
      <c r="D27" s="46">
        <v>-128512.83500000001</v>
      </c>
      <c r="E27" s="46">
        <v>-93582.014999999999</v>
      </c>
      <c r="F27" s="46">
        <v>192208.565</v>
      </c>
      <c r="G27" s="46" t="s">
        <v>168</v>
      </c>
      <c r="H27" s="86">
        <v>195</v>
      </c>
      <c r="I27" s="46">
        <v>2416031.9419999998</v>
      </c>
      <c r="J27" s="46">
        <v>-5937013.6330000004</v>
      </c>
      <c r="K27" s="46">
        <v>-1014416.054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-0.56542569222531536</v>
      </c>
      <c r="T27" s="85">
        <f t="shared" si="6"/>
        <v>-8.8451814199046047E-2</v>
      </c>
      <c r="U27" s="85">
        <f t="shared" si="7"/>
        <v>0.1585693401198317</v>
      </c>
      <c r="V27" s="85">
        <f t="shared" si="8"/>
        <v>5.9812806142406798E-2</v>
      </c>
      <c r="W27" s="85">
        <f t="shared" si="9"/>
        <v>-1.3402572423389023</v>
      </c>
      <c r="X27" s="85">
        <f t="shared" si="10"/>
        <v>-4.6864738420725281E-3</v>
      </c>
      <c r="Y27" s="1">
        <f t="shared" si="11"/>
        <v>0</v>
      </c>
    </row>
    <row r="28" spans="1:26" x14ac:dyDescent="0.25">
      <c r="C28" s="82">
        <v>210</v>
      </c>
      <c r="D28" s="46">
        <v>-173147.87599999999</v>
      </c>
      <c r="E28" s="46">
        <v>-295702.10100000002</v>
      </c>
      <c r="F28" s="46">
        <v>377277.93400000001</v>
      </c>
      <c r="G28" s="46" t="s">
        <v>169</v>
      </c>
      <c r="H28" s="86">
        <v>210</v>
      </c>
      <c r="I28" s="46">
        <v>7203491.0190000003</v>
      </c>
      <c r="J28" s="46">
        <v>-9579893.0859999992</v>
      </c>
      <c r="K28" s="46">
        <v>-3441622.176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-0.76180918150815868</v>
      </c>
      <c r="T28" s="85">
        <f t="shared" si="6"/>
        <v>-0.27949160205536877</v>
      </c>
      <c r="U28" s="85">
        <f t="shared" si="7"/>
        <v>0.31124894479157789</v>
      </c>
      <c r="V28" s="85">
        <f t="shared" si="8"/>
        <v>0.17833415377420347</v>
      </c>
      <c r="W28" s="85">
        <f t="shared" si="9"/>
        <v>-2.162622807193388</v>
      </c>
      <c r="X28" s="85">
        <f t="shared" si="10"/>
        <v>-1.5899859075101677E-2</v>
      </c>
      <c r="Y28" s="1">
        <f t="shared" si="11"/>
        <v>0</v>
      </c>
    </row>
    <row r="29" spans="1:26" x14ac:dyDescent="0.25">
      <c r="C29" s="82">
        <v>225</v>
      </c>
      <c r="D29" s="46">
        <v>-152077.03899999999</v>
      </c>
      <c r="E29" s="46">
        <v>-494684.201</v>
      </c>
      <c r="F29" s="46">
        <v>589200.56599999999</v>
      </c>
      <c r="G29" s="46" t="s">
        <v>170</v>
      </c>
      <c r="H29" s="86">
        <v>225</v>
      </c>
      <c r="I29" s="46">
        <v>11909746.435000001</v>
      </c>
      <c r="J29" s="46">
        <v>-13708994.973999999</v>
      </c>
      <c r="K29" s="46">
        <v>-4187228.5070000002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-0.66910254565741445</v>
      </c>
      <c r="T29" s="85">
        <f t="shared" si="6"/>
        <v>-0.46756542946906571</v>
      </c>
      <c r="U29" s="85">
        <f t="shared" si="7"/>
        <v>0.48608211059091638</v>
      </c>
      <c r="V29" s="85">
        <f t="shared" si="8"/>
        <v>0.29484517250719178</v>
      </c>
      <c r="W29" s="85">
        <f t="shared" si="9"/>
        <v>-3.0947511551875713</v>
      </c>
      <c r="X29" s="85">
        <f t="shared" si="10"/>
        <v>-1.9344466002344938E-2</v>
      </c>
      <c r="Y29" s="1">
        <f t="shared" si="11"/>
        <v>0</v>
      </c>
    </row>
    <row r="30" spans="1:26" x14ac:dyDescent="0.25">
      <c r="C30" s="82">
        <v>240</v>
      </c>
      <c r="D30" s="46">
        <v>-73142.862999999998</v>
      </c>
      <c r="E30" s="46">
        <v>-642957.804</v>
      </c>
      <c r="F30" s="46">
        <v>659812.54399999999</v>
      </c>
      <c r="G30" s="46" t="s">
        <v>171</v>
      </c>
      <c r="H30" s="86">
        <v>240</v>
      </c>
      <c r="I30" s="46">
        <v>14643257.963</v>
      </c>
      <c r="J30" s="46">
        <v>-12441103.994000001</v>
      </c>
      <c r="K30" s="46">
        <v>-3945887.0759999999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-0.32181107780492429</v>
      </c>
      <c r="T30" s="85">
        <f t="shared" si="6"/>
        <v>-0.60771061851184405</v>
      </c>
      <c r="U30" s="85">
        <f t="shared" si="7"/>
        <v>0.54433599098389507</v>
      </c>
      <c r="V30" s="85">
        <f t="shared" si="8"/>
        <v>0.36251770293613678</v>
      </c>
      <c r="W30" s="85">
        <f t="shared" si="9"/>
        <v>-2.8085298032614343</v>
      </c>
      <c r="X30" s="85">
        <f t="shared" si="10"/>
        <v>-1.8229499121714465E-2</v>
      </c>
      <c r="Y30" s="1">
        <f t="shared" si="11"/>
        <v>0</v>
      </c>
    </row>
    <row r="31" spans="1:26" x14ac:dyDescent="0.25">
      <c r="C31" s="87">
        <v>255</v>
      </c>
      <c r="D31" s="46">
        <v>-17114.476999999999</v>
      </c>
      <c r="E31" s="46">
        <v>-761804.08900000004</v>
      </c>
      <c r="F31" s="46">
        <v>732164.14099999995</v>
      </c>
      <c r="G31" s="46" t="s">
        <v>172</v>
      </c>
      <c r="H31" s="86">
        <v>255</v>
      </c>
      <c r="I31" s="46">
        <v>16769934.27</v>
      </c>
      <c r="J31" s="46">
        <v>-9875288.4389999993</v>
      </c>
      <c r="K31" s="46">
        <v>-3090726.1839999999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-7.5299599489803776E-2</v>
      </c>
      <c r="T31" s="85">
        <f t="shared" si="6"/>
        <v>-0.72004170605112039</v>
      </c>
      <c r="U31" s="85">
        <f t="shared" si="7"/>
        <v>0.6040250323796621</v>
      </c>
      <c r="V31" s="85">
        <f t="shared" si="8"/>
        <v>0.41516703900945956</v>
      </c>
      <c r="W31" s="85">
        <f t="shared" si="9"/>
        <v>-2.2293071346490172</v>
      </c>
      <c r="X31" s="85">
        <f t="shared" si="10"/>
        <v>-1.4278763981711042E-2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-6625.473</v>
      </c>
      <c r="E32" s="46">
        <v>-921396.83</v>
      </c>
      <c r="F32" s="46">
        <v>889181.647</v>
      </c>
      <c r="G32" s="46" t="s">
        <v>159</v>
      </c>
      <c r="H32" s="86">
        <v>270</v>
      </c>
      <c r="I32" s="46">
        <v>19623287.131000001</v>
      </c>
      <c r="J32" s="46">
        <v>-9292048.0700000003</v>
      </c>
      <c r="K32" s="46">
        <v>-1700510.0090000001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-2.9150494247093192E-2</v>
      </c>
      <c r="T32" s="85">
        <f t="shared" si="6"/>
        <v>-0.87088551374695244</v>
      </c>
      <c r="U32" s="85">
        <f t="shared" si="7"/>
        <v>0.73356224792300551</v>
      </c>
      <c r="V32" s="85">
        <f t="shared" si="8"/>
        <v>0.4858064368435776</v>
      </c>
      <c r="W32" s="85">
        <f t="shared" si="9"/>
        <v>-2.0976429383211288</v>
      </c>
      <c r="X32" s="85">
        <f t="shared" si="10"/>
        <v>-7.8561411207329138E-3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-8871.607</v>
      </c>
      <c r="E33" s="46">
        <v>-1008984.57</v>
      </c>
      <c r="F33" s="46">
        <v>1008020.724</v>
      </c>
      <c r="G33" s="46" t="s">
        <v>173</v>
      </c>
      <c r="H33" s="86">
        <v>285</v>
      </c>
      <c r="I33" s="46">
        <v>21171978.195</v>
      </c>
      <c r="J33" s="46">
        <v>-2590509.7689999999</v>
      </c>
      <c r="K33" s="46">
        <v>7496352.0880000005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-3.9032945846428121E-2</v>
      </c>
      <c r="T33" s="85">
        <f t="shared" si="6"/>
        <v>-0.95367166132663805</v>
      </c>
      <c r="U33" s="85">
        <f t="shared" si="7"/>
        <v>0.83160280100834738</v>
      </c>
      <c r="V33" s="85">
        <f t="shared" si="8"/>
        <v>0.52414680675972569</v>
      </c>
      <c r="W33" s="85">
        <f t="shared" si="9"/>
        <v>-0.58479728932297137</v>
      </c>
      <c r="X33" s="85">
        <f t="shared" si="10"/>
        <v>3.4632198330112177E-2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108366.33500000001</v>
      </c>
      <c r="E34" s="46">
        <v>-1024009.2659999999</v>
      </c>
      <c r="F34" s="46">
        <v>1064333.415</v>
      </c>
      <c r="G34" s="46" t="s">
        <v>174</v>
      </c>
      <c r="H34" s="86">
        <v>300</v>
      </c>
      <c r="I34" s="46">
        <v>21615071.405000001</v>
      </c>
      <c r="J34" s="46">
        <v>6136025.2920000004</v>
      </c>
      <c r="K34" s="46">
        <v>18300611.004000001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0.47678591777463641</v>
      </c>
      <c r="T34" s="85">
        <f t="shared" si="6"/>
        <v>-0.96787269791458874</v>
      </c>
      <c r="U34" s="85">
        <f t="shared" si="7"/>
        <v>0.87805997242649914</v>
      </c>
      <c r="V34" s="85">
        <f t="shared" si="8"/>
        <v>0.5351163009174924</v>
      </c>
      <c r="W34" s="85">
        <f t="shared" si="9"/>
        <v>1.3851833337667658</v>
      </c>
      <c r="X34" s="85">
        <f t="shared" si="10"/>
        <v>8.454650774305536E-2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274244.16200000001</v>
      </c>
      <c r="E35" s="46">
        <v>-833379.652</v>
      </c>
      <c r="F35" s="46">
        <v>874923.20499999996</v>
      </c>
      <c r="G35" s="46" t="s">
        <v>175</v>
      </c>
      <c r="H35" s="86">
        <v>315</v>
      </c>
      <c r="I35" s="46">
        <v>18039560.272</v>
      </c>
      <c r="J35" s="46">
        <v>12993912.253</v>
      </c>
      <c r="K35" s="46">
        <v>19276834.541999999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1.2066086250264538</v>
      </c>
      <c r="T35" s="85">
        <f t="shared" si="6"/>
        <v>-0.78769347011783886</v>
      </c>
      <c r="U35" s="85">
        <f t="shared" si="7"/>
        <v>0.72179923549389291</v>
      </c>
      <c r="V35" s="85">
        <f t="shared" si="8"/>
        <v>0.44659869875321345</v>
      </c>
      <c r="W35" s="85">
        <f t="shared" si="9"/>
        <v>2.9333240716510671</v>
      </c>
      <c r="X35" s="85">
        <f t="shared" si="10"/>
        <v>8.9056536992703356E-2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374473.36599999998</v>
      </c>
      <c r="E36" s="46">
        <v>-518668.02</v>
      </c>
      <c r="F36" s="46">
        <v>519781.35800000001</v>
      </c>
      <c r="G36" s="46" t="s">
        <v>176</v>
      </c>
      <c r="H36" s="86">
        <v>330</v>
      </c>
      <c r="I36" s="46">
        <v>11040483.854</v>
      </c>
      <c r="J36" s="46">
        <v>11402854.905999999</v>
      </c>
      <c r="K36" s="46">
        <v>12939122.477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1.6475931154307961</v>
      </c>
      <c r="T36" s="85">
        <f t="shared" si="6"/>
        <v>-0.49023444660843324</v>
      </c>
      <c r="U36" s="85">
        <f t="shared" si="7"/>
        <v>0.42881224853143252</v>
      </c>
      <c r="V36" s="85">
        <f t="shared" si="8"/>
        <v>0.27332516139295077</v>
      </c>
      <c r="W36" s="85">
        <f t="shared" si="9"/>
        <v>2.5741491961816054</v>
      </c>
      <c r="X36" s="85">
        <f t="shared" si="10"/>
        <v>5.9777108996574693E-2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340687.989</v>
      </c>
      <c r="E37" s="46">
        <v>-216604.804</v>
      </c>
      <c r="F37" s="46">
        <v>276816.91600000003</v>
      </c>
      <c r="G37" s="46" t="s">
        <v>177</v>
      </c>
      <c r="H37" s="86">
        <v>345</v>
      </c>
      <c r="I37" s="46">
        <v>4190136.9730000002</v>
      </c>
      <c r="J37" s="46">
        <v>11491522.909</v>
      </c>
      <c r="K37" s="46">
        <v>6803976.9890000001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1.4989455490043124</v>
      </c>
      <c r="T37" s="85">
        <f t="shared" si="6"/>
        <v>-0.20473044823867903</v>
      </c>
      <c r="U37" s="85">
        <f t="shared" si="7"/>
        <v>0.22837002973372639</v>
      </c>
      <c r="V37" s="85">
        <f t="shared" si="8"/>
        <v>0.10373366598320423</v>
      </c>
      <c r="W37" s="85">
        <f t="shared" si="9"/>
        <v>2.5941656456173847</v>
      </c>
      <c r="X37" s="85">
        <f t="shared" si="10"/>
        <v>3.1433512960759885E-2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1.0803787885787499</v>
      </c>
      <c r="T38" s="85">
        <f t="shared" si="12"/>
        <v>-1.0514907869324569E-2</v>
      </c>
      <c r="U38" s="85">
        <f t="shared" si="12"/>
        <v>0.1354228648366749</v>
      </c>
      <c r="V38" s="85">
        <f t="shared" si="12"/>
        <v>4.7627119270326592E-3</v>
      </c>
      <c r="W38" s="85">
        <f t="shared" si="12"/>
        <v>2.1662255688619294</v>
      </c>
      <c r="X38" s="85">
        <f t="shared" si="12"/>
        <v>9.1443964070922294E-4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J67"/>
  <sheetViews>
    <sheetView topLeftCell="A3" zoomScale="85" zoomScaleNormal="85" workbookViewId="0">
      <selection activeCell="H14" activeCellId="1" sqref="I161:O185 H14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89195.05</v>
      </c>
      <c r="E14" s="46">
        <v>-15942.316999999999</v>
      </c>
      <c r="F14" s="46">
        <v>22927.973999999998</v>
      </c>
      <c r="G14" s="46" t="s">
        <v>154</v>
      </c>
      <c r="H14" s="82">
        <v>0</v>
      </c>
      <c r="I14" s="46">
        <v>-220710.36799999999</v>
      </c>
      <c r="J14" s="46">
        <v>1017547.241</v>
      </c>
      <c r="K14" s="46">
        <v>991392.47499999998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0.3924368557375737</v>
      </c>
      <c r="T14" s="85">
        <f t="shared" ref="T14:T37" si="6">E14*(1-2*$N14*T$11)/T$9</f>
        <v>-1.506835326409987E-2</v>
      </c>
      <c r="U14" s="85">
        <f t="shared" ref="U14:U37" si="7">F14*(1-2*$N14*U$11)/U$9</f>
        <v>1.8915253373150451E-2</v>
      </c>
      <c r="V14" s="85">
        <f t="shared" ref="V14:V37" si="8">(I14+F14*dy-E14*dz)*(1-2*$N14*V$11)/V$9</f>
        <v>-5.4640446698213663E-3</v>
      </c>
      <c r="W14" s="85">
        <f t="shared" ref="W14:W37" si="9">(J14+D14*dz-F14*dx)*(1-2*$N14*W$11)/W$9</f>
        <v>0.22970724735949388</v>
      </c>
      <c r="X14" s="85">
        <f t="shared" ref="X14:X37" si="10">(K14+E14*dx-D14*dy)*(1-2*$N14*X$11)/X$9</f>
        <v>4.5801078196609874E-3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101891.855</v>
      </c>
      <c r="E15" s="46">
        <v>108152.46</v>
      </c>
      <c r="F15" s="46">
        <v>33276.815999999999</v>
      </c>
      <c r="G15" s="46" t="s">
        <v>160</v>
      </c>
      <c r="H15" s="82">
        <v>15</v>
      </c>
      <c r="I15" s="46">
        <v>-1573292.4280000001</v>
      </c>
      <c r="J15" s="46">
        <v>-15804.812</v>
      </c>
      <c r="K15" s="46">
        <v>-3875189.0219999999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0.44829975656125282</v>
      </c>
      <c r="T15" s="85">
        <f t="shared" si="6"/>
        <v>0.10222350199543961</v>
      </c>
      <c r="U15" s="85">
        <f t="shared" si="7"/>
        <v>2.7452901250311385E-2</v>
      </c>
      <c r="V15" s="85">
        <f t="shared" si="8"/>
        <v>-3.8949416754557341E-2</v>
      </c>
      <c r="W15" s="85">
        <f t="shared" si="9"/>
        <v>-3.5678735229888918E-3</v>
      </c>
      <c r="X15" s="85">
        <f t="shared" si="10"/>
        <v>-1.7902883055801504E-2</v>
      </c>
      <c r="Y15" s="1">
        <f t="shared" si="11"/>
        <v>0</v>
      </c>
    </row>
    <row r="16" spans="1:26" x14ac:dyDescent="0.25">
      <c r="C16" s="82">
        <v>30</v>
      </c>
      <c r="D16" s="46">
        <v>95065.43</v>
      </c>
      <c r="E16" s="46">
        <v>270928.84600000002</v>
      </c>
      <c r="F16" s="46">
        <v>55058.817000000003</v>
      </c>
      <c r="G16" s="46" t="s">
        <v>155</v>
      </c>
      <c r="H16" s="82">
        <v>30</v>
      </c>
      <c r="I16" s="46">
        <v>-3417978.6090000002</v>
      </c>
      <c r="J16" s="46">
        <v>-24155.593000000001</v>
      </c>
      <c r="K16" s="46">
        <v>-8376175.7889999999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0.41826512164677754</v>
      </c>
      <c r="T16" s="85">
        <f t="shared" si="6"/>
        <v>0.25607642609056835</v>
      </c>
      <c r="U16" s="85">
        <f t="shared" si="7"/>
        <v>4.5422743151266813E-2</v>
      </c>
      <c r="V16" s="85">
        <f t="shared" si="8"/>
        <v>-8.4617627931597217E-2</v>
      </c>
      <c r="W16" s="85">
        <f t="shared" si="9"/>
        <v>-5.4530291595240631E-3</v>
      </c>
      <c r="X16" s="85">
        <f t="shared" si="10"/>
        <v>-3.8696872527758434E-2</v>
      </c>
      <c r="Y16" s="1">
        <f t="shared" si="11"/>
        <v>0</v>
      </c>
    </row>
    <row r="17" spans="1:26" x14ac:dyDescent="0.25">
      <c r="C17" s="82">
        <v>45</v>
      </c>
      <c r="D17" s="46">
        <v>74956.066999999995</v>
      </c>
      <c r="E17" s="46">
        <v>448353.18800000002</v>
      </c>
      <c r="F17" s="46">
        <v>88649.145000000004</v>
      </c>
      <c r="G17" s="46" t="s">
        <v>156</v>
      </c>
      <c r="H17" s="82">
        <v>45</v>
      </c>
      <c r="I17" s="46">
        <v>-5520135.6359999999</v>
      </c>
      <c r="J17" s="46">
        <v>-379217.53</v>
      </c>
      <c r="K17" s="46">
        <v>-11574542.061000001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0.32978874110093448</v>
      </c>
      <c r="T17" s="85">
        <f t="shared" si="6"/>
        <v>0.42377429980029774</v>
      </c>
      <c r="U17" s="85">
        <f t="shared" si="7"/>
        <v>7.3134287355182515E-2</v>
      </c>
      <c r="V17" s="85">
        <f t="shared" si="8"/>
        <v>-0.13665994928963546</v>
      </c>
      <c r="W17" s="85">
        <f t="shared" si="9"/>
        <v>-8.5606850922380212E-2</v>
      </c>
      <c r="X17" s="85">
        <f t="shared" si="10"/>
        <v>-5.3472920099157613E-2</v>
      </c>
      <c r="Y17" s="1">
        <f t="shared" si="11"/>
        <v>0</v>
      </c>
    </row>
    <row r="18" spans="1:26" x14ac:dyDescent="0.25">
      <c r="C18" s="82">
        <v>60</v>
      </c>
      <c r="D18" s="46">
        <v>18204.436000000002</v>
      </c>
      <c r="E18" s="46">
        <v>568285.98600000003</v>
      </c>
      <c r="F18" s="46">
        <v>122716.30100000001</v>
      </c>
      <c r="G18" s="46" t="s">
        <v>157</v>
      </c>
      <c r="H18" s="86">
        <v>60</v>
      </c>
      <c r="I18" s="46">
        <v>-7015815.1069999998</v>
      </c>
      <c r="J18" s="46">
        <v>-783437.34499999997</v>
      </c>
      <c r="K18" s="46">
        <v>-11187701.032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8.0095158019597434E-2</v>
      </c>
      <c r="T18" s="85">
        <f t="shared" si="6"/>
        <v>0.53713233729358878</v>
      </c>
      <c r="U18" s="85">
        <f t="shared" si="7"/>
        <v>0.10123920789646727</v>
      </c>
      <c r="V18" s="85">
        <f t="shared" si="8"/>
        <v>-0.1736879308717186</v>
      </c>
      <c r="W18" s="85">
        <f t="shared" si="9"/>
        <v>-0.17685786835972575</v>
      </c>
      <c r="X18" s="85">
        <f t="shared" si="10"/>
        <v>-5.1685763482007971E-2</v>
      </c>
      <c r="Y18" s="1">
        <f t="shared" si="11"/>
        <v>0</v>
      </c>
    </row>
    <row r="19" spans="1:26" x14ac:dyDescent="0.25">
      <c r="C19" s="82">
        <v>75</v>
      </c>
      <c r="D19" s="46">
        <v>-34195.688999999998</v>
      </c>
      <c r="E19" s="46">
        <v>629853.38100000005</v>
      </c>
      <c r="F19" s="46">
        <v>122825.679</v>
      </c>
      <c r="G19" s="46" t="s">
        <v>161</v>
      </c>
      <c r="H19" s="86">
        <v>75</v>
      </c>
      <c r="I19" s="46">
        <v>-7717072.3109999998</v>
      </c>
      <c r="J19" s="46">
        <v>-1414664.8419999999</v>
      </c>
      <c r="K19" s="46">
        <v>-5386063.9359999998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-0.15045284094733882</v>
      </c>
      <c r="T19" s="85">
        <f t="shared" si="6"/>
        <v>0.59532458484520734</v>
      </c>
      <c r="U19" s="85">
        <f t="shared" si="7"/>
        <v>0.10132944319520969</v>
      </c>
      <c r="V19" s="85">
        <f t="shared" si="8"/>
        <v>-0.1910486952182763</v>
      </c>
      <c r="W19" s="85">
        <f t="shared" si="9"/>
        <v>-0.31935496820051157</v>
      </c>
      <c r="X19" s="85">
        <f t="shared" si="10"/>
        <v>-2.4882934027179938E-2</v>
      </c>
      <c r="Y19" s="1">
        <f t="shared" si="11"/>
        <v>0</v>
      </c>
    </row>
    <row r="20" spans="1:26" x14ac:dyDescent="0.25">
      <c r="C20" s="82">
        <v>90</v>
      </c>
      <c r="D20" s="46">
        <v>-27480.003000000001</v>
      </c>
      <c r="E20" s="46">
        <v>595919.91399999999</v>
      </c>
      <c r="F20" s="46">
        <v>126299.546</v>
      </c>
      <c r="G20" s="46" t="s">
        <v>158</v>
      </c>
      <c r="H20" s="86">
        <v>90</v>
      </c>
      <c r="I20" s="46">
        <v>-7410020.858</v>
      </c>
      <c r="J20" s="46">
        <v>-2148028.264</v>
      </c>
      <c r="K20" s="46">
        <v>-2215850.7960000001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-0.12090543110833048</v>
      </c>
      <c r="T20" s="85">
        <f t="shared" si="6"/>
        <v>0.56325136310261636</v>
      </c>
      <c r="U20" s="85">
        <f t="shared" si="7"/>
        <v>0.10419533420196092</v>
      </c>
      <c r="V20" s="85">
        <f t="shared" si="8"/>
        <v>-0.18344713635029619</v>
      </c>
      <c r="W20" s="85">
        <f t="shared" si="9"/>
        <v>-0.4849088473660676</v>
      </c>
      <c r="X20" s="85">
        <f t="shared" si="10"/>
        <v>-1.0236950364144759E-2</v>
      </c>
      <c r="Y20" s="1">
        <f t="shared" si="11"/>
        <v>0</v>
      </c>
    </row>
    <row r="21" spans="1:26" x14ac:dyDescent="0.25">
      <c r="C21" s="82">
        <v>105</v>
      </c>
      <c r="D21" s="46">
        <v>-9502.3610000000008</v>
      </c>
      <c r="E21" s="46">
        <v>476241.77600000001</v>
      </c>
      <c r="F21" s="46">
        <v>114826.413</v>
      </c>
      <c r="G21" s="46" t="s">
        <v>162</v>
      </c>
      <c r="H21" s="86">
        <v>105</v>
      </c>
      <c r="I21" s="46">
        <v>-6050212.5829999996</v>
      </c>
      <c r="J21" s="46">
        <v>-1998114.2649999999</v>
      </c>
      <c r="K21" s="46">
        <v>1256745.0989999999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-4.1808112366362782E-2</v>
      </c>
      <c r="T21" s="85">
        <f t="shared" si="6"/>
        <v>0.4501340250535929</v>
      </c>
      <c r="U21" s="85">
        <f t="shared" si="7"/>
        <v>9.473016219509918E-2</v>
      </c>
      <c r="V21" s="85">
        <f t="shared" si="8"/>
        <v>-0.14978286754262179</v>
      </c>
      <c r="W21" s="85">
        <f t="shared" si="9"/>
        <v>-0.45106635763841479</v>
      </c>
      <c r="X21" s="85">
        <f t="shared" si="10"/>
        <v>5.8060033744461517E-3</v>
      </c>
      <c r="Y21" s="1">
        <f t="shared" si="11"/>
        <v>0</v>
      </c>
    </row>
    <row r="22" spans="1:26" x14ac:dyDescent="0.25">
      <c r="C22" s="82">
        <v>120</v>
      </c>
      <c r="D22" s="46">
        <v>-12969.986000000001</v>
      </c>
      <c r="E22" s="46">
        <v>394085.75099999999</v>
      </c>
      <c r="F22" s="46">
        <v>114447.094</v>
      </c>
      <c r="G22" s="46" t="s">
        <v>163</v>
      </c>
      <c r="H22" s="86">
        <v>120</v>
      </c>
      <c r="I22" s="46">
        <v>-5197117.5889999997</v>
      </c>
      <c r="J22" s="46">
        <v>-2771168.952</v>
      </c>
      <c r="K22" s="46">
        <v>2873843.4109999998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-5.7064831790557331E-2</v>
      </c>
      <c r="T22" s="85">
        <f t="shared" si="6"/>
        <v>0.37248182384129602</v>
      </c>
      <c r="U22" s="85">
        <f t="shared" si="7"/>
        <v>9.4417229399805097E-2</v>
      </c>
      <c r="V22" s="85">
        <f t="shared" si="8"/>
        <v>-0.12866311137957198</v>
      </c>
      <c r="W22" s="85">
        <f t="shared" si="9"/>
        <v>-0.62558038220066625</v>
      </c>
      <c r="X22" s="85">
        <f t="shared" si="10"/>
        <v>1.3276793006929273E-2</v>
      </c>
      <c r="Y22" s="1">
        <f t="shared" si="11"/>
        <v>0</v>
      </c>
    </row>
    <row r="23" spans="1:26" x14ac:dyDescent="0.25">
      <c r="C23" s="82">
        <v>135</v>
      </c>
      <c r="D23" s="46">
        <v>-17835.094000000001</v>
      </c>
      <c r="E23" s="46">
        <v>297888.34000000003</v>
      </c>
      <c r="F23" s="46">
        <v>89193.05</v>
      </c>
      <c r="G23" s="46" t="s">
        <v>164</v>
      </c>
      <c r="H23" s="86">
        <v>135</v>
      </c>
      <c r="I23" s="46">
        <v>-3862500.7209999999</v>
      </c>
      <c r="J23" s="46">
        <v>-2716711.389</v>
      </c>
      <c r="K23" s="46">
        <v>3845863.2650000001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-7.8470141685486661E-2</v>
      </c>
      <c r="T23" s="85">
        <f t="shared" si="6"/>
        <v>0.28155799062183323</v>
      </c>
      <c r="U23" s="85">
        <f t="shared" si="7"/>
        <v>7.3583001266229492E-2</v>
      </c>
      <c r="V23" s="85">
        <f t="shared" si="8"/>
        <v>-9.5622496885879121E-2</v>
      </c>
      <c r="W23" s="85">
        <f t="shared" si="9"/>
        <v>-0.61328680369089339</v>
      </c>
      <c r="X23" s="85">
        <f t="shared" si="10"/>
        <v>1.7767401768278943E-2</v>
      </c>
      <c r="Y23" s="1">
        <f t="shared" si="11"/>
        <v>0</v>
      </c>
    </row>
    <row r="24" spans="1:26" x14ac:dyDescent="0.25">
      <c r="C24" s="82">
        <v>150</v>
      </c>
      <c r="D24" s="46">
        <v>-29128.838</v>
      </c>
      <c r="E24" s="46">
        <v>179345.261</v>
      </c>
      <c r="F24" s="46">
        <v>57171.406000000003</v>
      </c>
      <c r="G24" s="46" t="s">
        <v>165</v>
      </c>
      <c r="H24" s="86">
        <v>150</v>
      </c>
      <c r="I24" s="46">
        <v>-2473962.0150000001</v>
      </c>
      <c r="J24" s="46">
        <v>-762746.03700000001</v>
      </c>
      <c r="K24" s="46">
        <v>4004353.4010000001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-0.1281599101744901</v>
      </c>
      <c r="T24" s="85">
        <f t="shared" si="6"/>
        <v>0.16951348721708354</v>
      </c>
      <c r="U24" s="85">
        <f t="shared" si="7"/>
        <v>4.7165599114394233E-2</v>
      </c>
      <c r="V24" s="85">
        <f t="shared" si="8"/>
        <v>-6.1246959460469381E-2</v>
      </c>
      <c r="W24" s="85">
        <f t="shared" si="9"/>
        <v>-0.17218688777677366</v>
      </c>
      <c r="X24" s="85">
        <f t="shared" si="10"/>
        <v>1.8499606147006686E-2</v>
      </c>
      <c r="Y24" s="1">
        <f t="shared" si="11"/>
        <v>0</v>
      </c>
    </row>
    <row r="25" spans="1:26" x14ac:dyDescent="0.25">
      <c r="C25" s="82">
        <v>165</v>
      </c>
      <c r="D25" s="46">
        <v>-26632.805</v>
      </c>
      <c r="E25" s="46">
        <v>77104.619000000006</v>
      </c>
      <c r="F25" s="46">
        <v>28675.635999999999</v>
      </c>
      <c r="G25" s="46" t="s">
        <v>166</v>
      </c>
      <c r="H25" s="86">
        <v>165</v>
      </c>
      <c r="I25" s="46">
        <v>-1179200.7009999999</v>
      </c>
      <c r="J25" s="46">
        <v>-717209.93599999999</v>
      </c>
      <c r="K25" s="46">
        <v>3472955.602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-0.11717796283170345</v>
      </c>
      <c r="T25" s="85">
        <f t="shared" si="6"/>
        <v>7.2877715164353277E-2</v>
      </c>
      <c r="U25" s="85">
        <f t="shared" si="7"/>
        <v>2.3656993006718977E-2</v>
      </c>
      <c r="V25" s="85">
        <f t="shared" si="8"/>
        <v>-2.9193034125830776E-2</v>
      </c>
      <c r="W25" s="85">
        <f t="shared" si="9"/>
        <v>-0.16190729387220537</v>
      </c>
      <c r="X25" s="85">
        <f t="shared" si="10"/>
        <v>1.6044615539426637E-2</v>
      </c>
      <c r="Y25" s="1">
        <f t="shared" si="11"/>
        <v>0</v>
      </c>
    </row>
    <row r="26" spans="1:26" x14ac:dyDescent="0.25">
      <c r="C26" s="82">
        <v>180</v>
      </c>
      <c r="D26" s="46">
        <v>-12124.892</v>
      </c>
      <c r="E26" s="46">
        <v>12538.707</v>
      </c>
      <c r="F26" s="46">
        <v>17853.665000000001</v>
      </c>
      <c r="G26" s="46" t="s">
        <v>167</v>
      </c>
      <c r="H26" s="86">
        <v>180</v>
      </c>
      <c r="I26" s="46">
        <v>-327357.09299999999</v>
      </c>
      <c r="J26" s="46">
        <v>-780456.01300000004</v>
      </c>
      <c r="K26" s="46">
        <v>1241468.517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-5.3346620609973999E-2</v>
      </c>
      <c r="T26" s="85">
        <f t="shared" si="6"/>
        <v>1.1851330427756638E-2</v>
      </c>
      <c r="U26" s="85">
        <f t="shared" si="7"/>
        <v>1.4729020414727798E-2</v>
      </c>
      <c r="V26" s="85">
        <f t="shared" si="8"/>
        <v>-8.1042580615644996E-3</v>
      </c>
      <c r="W26" s="85">
        <f t="shared" si="9"/>
        <v>-0.17618484450433036</v>
      </c>
      <c r="X26" s="85">
        <f t="shared" si="10"/>
        <v>5.7354274981506487E-3</v>
      </c>
      <c r="Y26" s="1">
        <f t="shared" si="11"/>
        <v>0</v>
      </c>
    </row>
    <row r="27" spans="1:26" x14ac:dyDescent="0.25">
      <c r="C27" s="82">
        <v>195</v>
      </c>
      <c r="D27" s="46">
        <v>-3939.1190000000001</v>
      </c>
      <c r="E27" s="46">
        <v>-43248.245999999999</v>
      </c>
      <c r="F27" s="46">
        <v>36614.760999999999</v>
      </c>
      <c r="G27" s="46" t="s">
        <v>168</v>
      </c>
      <c r="H27" s="86">
        <v>195</v>
      </c>
      <c r="I27" s="46">
        <v>240806.565</v>
      </c>
      <c r="J27" s="46">
        <v>-907724.18200000003</v>
      </c>
      <c r="K27" s="46">
        <v>-1982440.632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-1.7331180090555873E-2</v>
      </c>
      <c r="T27" s="85">
        <f t="shared" si="6"/>
        <v>-4.0877361100064326E-2</v>
      </c>
      <c r="U27" s="85">
        <f t="shared" si="7"/>
        <v>3.0206658534781466E-2</v>
      </c>
      <c r="V27" s="85">
        <f t="shared" si="8"/>
        <v>5.9615587607839181E-3</v>
      </c>
      <c r="W27" s="85">
        <f t="shared" si="9"/>
        <v>-0.20491512807204226</v>
      </c>
      <c r="X27" s="85">
        <f t="shared" si="10"/>
        <v>-9.1586249337194843E-3</v>
      </c>
      <c r="Y27" s="1">
        <f t="shared" si="11"/>
        <v>0</v>
      </c>
    </row>
    <row r="28" spans="1:26" x14ac:dyDescent="0.25">
      <c r="C28" s="82">
        <v>210</v>
      </c>
      <c r="D28" s="46">
        <v>-2338.857</v>
      </c>
      <c r="E28" s="46">
        <v>-148194.19</v>
      </c>
      <c r="F28" s="46">
        <v>67431.256999999998</v>
      </c>
      <c r="G28" s="46" t="s">
        <v>169</v>
      </c>
      <c r="H28" s="86">
        <v>210</v>
      </c>
      <c r="I28" s="46">
        <v>1198285.3600000001</v>
      </c>
      <c r="J28" s="46">
        <v>-1318744.307</v>
      </c>
      <c r="K28" s="46">
        <v>-2758050.1860000002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-1.0290410590047479E-2</v>
      </c>
      <c r="T28" s="85">
        <f t="shared" si="6"/>
        <v>-0.14007012949291728</v>
      </c>
      <c r="U28" s="85">
        <f t="shared" si="7"/>
        <v>5.5629830678673352E-2</v>
      </c>
      <c r="V28" s="85">
        <f t="shared" si="8"/>
        <v>2.9665505945932626E-2</v>
      </c>
      <c r="W28" s="85">
        <f t="shared" si="9"/>
        <v>-0.2977012884770559</v>
      </c>
      <c r="X28" s="85">
        <f t="shared" si="10"/>
        <v>-1.2741842955703334E-2</v>
      </c>
      <c r="Y28" s="1">
        <f t="shared" si="11"/>
        <v>0</v>
      </c>
    </row>
    <row r="29" spans="1:26" x14ac:dyDescent="0.25">
      <c r="C29" s="82">
        <v>225</v>
      </c>
      <c r="D29" s="46">
        <v>-2443.777</v>
      </c>
      <c r="E29" s="46">
        <v>-280994.97100000002</v>
      </c>
      <c r="F29" s="46">
        <v>103453.14200000001</v>
      </c>
      <c r="G29" s="46" t="s">
        <v>170</v>
      </c>
      <c r="H29" s="86">
        <v>225</v>
      </c>
      <c r="I29" s="46">
        <v>2525858.5469999998</v>
      </c>
      <c r="J29" s="46">
        <v>-2211602.69</v>
      </c>
      <c r="K29" s="46">
        <v>-3036881.0449999999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-1.0752033459298477E-2</v>
      </c>
      <c r="T29" s="85">
        <f t="shared" si="6"/>
        <v>-0.26559072238141412</v>
      </c>
      <c r="U29" s="85">
        <f t="shared" si="7"/>
        <v>8.5347374921940888E-2</v>
      </c>
      <c r="V29" s="85">
        <f t="shared" si="8"/>
        <v>6.2531742643182453E-2</v>
      </c>
      <c r="W29" s="85">
        <f t="shared" si="9"/>
        <v>-0.49926052148054723</v>
      </c>
      <c r="X29" s="85">
        <f t="shared" si="10"/>
        <v>-1.403000625114159E-2</v>
      </c>
      <c r="Y29" s="1">
        <f t="shared" si="11"/>
        <v>0</v>
      </c>
    </row>
    <row r="30" spans="1:26" x14ac:dyDescent="0.25">
      <c r="C30" s="82">
        <v>240</v>
      </c>
      <c r="D30" s="46">
        <v>4356.2290000000003</v>
      </c>
      <c r="E30" s="46">
        <v>-399237.82900000003</v>
      </c>
      <c r="F30" s="46">
        <v>126260.633</v>
      </c>
      <c r="G30" s="46" t="s">
        <v>171</v>
      </c>
      <c r="H30" s="86">
        <v>240</v>
      </c>
      <c r="I30" s="46">
        <v>3845178.6940000001</v>
      </c>
      <c r="J30" s="46">
        <v>-2774323.6239999998</v>
      </c>
      <c r="K30" s="46">
        <v>-3729132.5410000002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1.9166364183133874E-2</v>
      </c>
      <c r="T30" s="85">
        <f t="shared" si="6"/>
        <v>-0.37735146301282912</v>
      </c>
      <c r="U30" s="85">
        <f t="shared" si="7"/>
        <v>0.104163231528846</v>
      </c>
      <c r="V30" s="85">
        <f t="shared" si="8"/>
        <v>9.5193661892047518E-2</v>
      </c>
      <c r="W30" s="85">
        <f t="shared" si="9"/>
        <v>-0.62629253687245312</v>
      </c>
      <c r="X30" s="85">
        <f t="shared" si="10"/>
        <v>-1.7228120590270114E-2</v>
      </c>
      <c r="Y30" s="1">
        <f t="shared" si="11"/>
        <v>0</v>
      </c>
    </row>
    <row r="31" spans="1:26" x14ac:dyDescent="0.25">
      <c r="C31" s="87">
        <v>255</v>
      </c>
      <c r="D31" s="46">
        <v>6161.7939999999999</v>
      </c>
      <c r="E31" s="46">
        <v>-499289.35800000001</v>
      </c>
      <c r="F31" s="46">
        <v>143856.09299999999</v>
      </c>
      <c r="G31" s="46" t="s">
        <v>172</v>
      </c>
      <c r="H31" s="86">
        <v>255</v>
      </c>
      <c r="I31" s="46">
        <v>4998269.534</v>
      </c>
      <c r="J31" s="46">
        <v>-2566630.8089999999</v>
      </c>
      <c r="K31" s="46">
        <v>-2892470.8840000001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2.711041770885993E-2</v>
      </c>
      <c r="T31" s="85">
        <f t="shared" si="6"/>
        <v>-0.47191813005284172</v>
      </c>
      <c r="U31" s="85">
        <f t="shared" si="7"/>
        <v>0.11867923648057586</v>
      </c>
      <c r="V31" s="85">
        <f t="shared" si="8"/>
        <v>0.12374030387907843</v>
      </c>
      <c r="W31" s="85">
        <f t="shared" si="9"/>
        <v>-0.57940670896424828</v>
      </c>
      <c r="X31" s="85">
        <f t="shared" si="10"/>
        <v>-1.336284957574459E-2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-13132.011</v>
      </c>
      <c r="E32" s="46">
        <v>-607373.88</v>
      </c>
      <c r="F32" s="46">
        <v>172987.39499999999</v>
      </c>
      <c r="G32" s="46" t="s">
        <v>159</v>
      </c>
      <c r="H32" s="86">
        <v>270</v>
      </c>
      <c r="I32" s="46">
        <v>6010825.1500000004</v>
      </c>
      <c r="J32" s="46">
        <v>-2373422.699</v>
      </c>
      <c r="K32" s="46">
        <v>-971176.40300000005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-5.7777702981849678E-2</v>
      </c>
      <c r="T32" s="85">
        <f t="shared" si="6"/>
        <v>-0.57407741843466065</v>
      </c>
      <c r="U32" s="85">
        <f t="shared" si="7"/>
        <v>0.14271214747479474</v>
      </c>
      <c r="V32" s="85">
        <f t="shared" si="8"/>
        <v>0.14880776748143396</v>
      </c>
      <c r="W32" s="85">
        <f t="shared" si="9"/>
        <v>-0.53579074566802409</v>
      </c>
      <c r="X32" s="85">
        <f t="shared" si="10"/>
        <v>-4.4867121244293595E-3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-38477.578000000001</v>
      </c>
      <c r="E33" s="46">
        <v>-672890.85800000001</v>
      </c>
      <c r="F33" s="46">
        <v>202074.272</v>
      </c>
      <c r="G33" s="46" t="s">
        <v>173</v>
      </c>
      <c r="H33" s="86">
        <v>285</v>
      </c>
      <c r="I33" s="46">
        <v>6721482.0789999999</v>
      </c>
      <c r="J33" s="46">
        <v>-529833.06900000002</v>
      </c>
      <c r="K33" s="46">
        <v>5665256.3890000004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-0.16929212693660958</v>
      </c>
      <c r="T33" s="85">
        <f t="shared" si="6"/>
        <v>-0.63600273138009134</v>
      </c>
      <c r="U33" s="85">
        <f t="shared" si="7"/>
        <v>0.16670840847407284</v>
      </c>
      <c r="V33" s="85">
        <f t="shared" si="8"/>
        <v>0.16640123733135992</v>
      </c>
      <c r="W33" s="85">
        <f t="shared" si="9"/>
        <v>-0.1196077105181034</v>
      </c>
      <c r="X33" s="85">
        <f t="shared" si="10"/>
        <v>2.6172767841155211E-2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7672.1369999999997</v>
      </c>
      <c r="E34" s="46">
        <v>-652887.179</v>
      </c>
      <c r="F34" s="46">
        <v>209159.01300000001</v>
      </c>
      <c r="G34" s="46" t="s">
        <v>174</v>
      </c>
      <c r="H34" s="86">
        <v>300</v>
      </c>
      <c r="I34" s="46">
        <v>6214367.0029999996</v>
      </c>
      <c r="J34" s="46">
        <v>372004.11</v>
      </c>
      <c r="K34" s="46">
        <v>12719102.321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3.3755565147033401E-2</v>
      </c>
      <c r="T34" s="85">
        <f t="shared" si="6"/>
        <v>-0.61709566148845285</v>
      </c>
      <c r="U34" s="85">
        <f t="shared" si="7"/>
        <v>0.1725532193194684</v>
      </c>
      <c r="V34" s="85">
        <f t="shared" si="8"/>
        <v>0.1538467775970358</v>
      </c>
      <c r="W34" s="85">
        <f t="shared" si="9"/>
        <v>8.3978450013328043E-2</v>
      </c>
      <c r="X34" s="85">
        <f t="shared" si="10"/>
        <v>5.8760643709223556E-2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60895.771000000001</v>
      </c>
      <c r="E35" s="46">
        <v>-506960.81300000002</v>
      </c>
      <c r="F35" s="46">
        <v>164031.96599999999</v>
      </c>
      <c r="G35" s="46" t="s">
        <v>175</v>
      </c>
      <c r="H35" s="86">
        <v>315</v>
      </c>
      <c r="I35" s="46">
        <v>4700813.5609999998</v>
      </c>
      <c r="J35" s="46">
        <v>943733.4</v>
      </c>
      <c r="K35" s="46">
        <v>12705459.575999999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0.26792680646465611</v>
      </c>
      <c r="T35" s="85">
        <f t="shared" si="6"/>
        <v>-0.47916903304201486</v>
      </c>
      <c r="U35" s="85">
        <f t="shared" si="7"/>
        <v>0.13532404556050176</v>
      </c>
      <c r="V35" s="85">
        <f t="shared" si="8"/>
        <v>0.11637629674835233</v>
      </c>
      <c r="W35" s="85">
        <f t="shared" si="9"/>
        <v>0.21304406598574444</v>
      </c>
      <c r="X35" s="85">
        <f t="shared" si="10"/>
        <v>5.8697615953181584E-2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104321.692</v>
      </c>
      <c r="E36" s="46">
        <v>-303357.02899999998</v>
      </c>
      <c r="F36" s="46">
        <v>95681.599000000002</v>
      </c>
      <c r="G36" s="46" t="s">
        <v>176</v>
      </c>
      <c r="H36" s="86">
        <v>330</v>
      </c>
      <c r="I36" s="46">
        <v>2632244.304</v>
      </c>
      <c r="J36" s="46">
        <v>1395177.301</v>
      </c>
      <c r="K36" s="46">
        <v>9434427.6050000004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0.45899045735950139</v>
      </c>
      <c r="T36" s="85">
        <f t="shared" si="6"/>
        <v>-0.28672688406081681</v>
      </c>
      <c r="U36" s="85">
        <f t="shared" si="7"/>
        <v>7.8935962167140411E-2</v>
      </c>
      <c r="V36" s="85">
        <f t="shared" si="8"/>
        <v>6.516549534700089E-2</v>
      </c>
      <c r="W36" s="85">
        <f t="shared" si="9"/>
        <v>0.31495573323573883</v>
      </c>
      <c r="X36" s="85">
        <f t="shared" si="10"/>
        <v>4.3585862044883877E-2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101972.111</v>
      </c>
      <c r="E37" s="46">
        <v>-128938.62</v>
      </c>
      <c r="F37" s="46">
        <v>46813.197999999997</v>
      </c>
      <c r="G37" s="46" t="s">
        <v>177</v>
      </c>
      <c r="H37" s="86">
        <v>345</v>
      </c>
      <c r="I37" s="46">
        <v>907057.80799999996</v>
      </c>
      <c r="J37" s="46">
        <v>1503084.145</v>
      </c>
      <c r="K37" s="46">
        <v>5835947.9709999999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0.44865286373809815</v>
      </c>
      <c r="T37" s="85">
        <f t="shared" si="6"/>
        <v>-0.12187015698819267</v>
      </c>
      <c r="U37" s="85">
        <f t="shared" si="7"/>
        <v>3.8620224420066941E-2</v>
      </c>
      <c r="V37" s="85">
        <f t="shared" si="8"/>
        <v>2.2455693522391539E-2</v>
      </c>
      <c r="W37" s="85">
        <f t="shared" si="9"/>
        <v>0.33931527459927374</v>
      </c>
      <c r="X37" s="85">
        <f t="shared" si="10"/>
        <v>2.6961341356874606E-2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0.3924368557375737</v>
      </c>
      <c r="T38" s="85">
        <f t="shared" si="12"/>
        <v>-1.506835326409987E-2</v>
      </c>
      <c r="U38" s="85">
        <f t="shared" si="12"/>
        <v>1.8915253373150451E-2</v>
      </c>
      <c r="V38" s="85">
        <f t="shared" si="12"/>
        <v>-5.4640446698213663E-3</v>
      </c>
      <c r="W38" s="85">
        <f t="shared" si="12"/>
        <v>0.22970724735949388</v>
      </c>
      <c r="X38" s="85">
        <f t="shared" si="12"/>
        <v>4.5801078196609874E-3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J67"/>
  <sheetViews>
    <sheetView topLeftCell="A3" zoomScale="85" zoomScaleNormal="85" workbookViewId="0">
      <selection activeCell="J39" activeCellId="1" sqref="I161:O185 J39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156358.951</v>
      </c>
      <c r="E14" s="46">
        <v>4817.5450000000001</v>
      </c>
      <c r="F14" s="46">
        <v>141223.77499999999</v>
      </c>
      <c r="G14" s="46" t="s">
        <v>154</v>
      </c>
      <c r="H14" s="82">
        <v>0</v>
      </c>
      <c r="I14" s="46">
        <v>413091.64600000001</v>
      </c>
      <c r="J14" s="46">
        <v>8578305.1970000006</v>
      </c>
      <c r="K14" s="46">
        <v>-793456.39599999995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0.68794193284117622</v>
      </c>
      <c r="T14" s="85">
        <f t="shared" ref="T14:T37" si="6">E14*(1-2*$N14*T$11)/T$9</f>
        <v>4.5534453947753024E-3</v>
      </c>
      <c r="U14" s="85">
        <f t="shared" ref="U14:U37" si="7">F14*(1-2*$N14*U$11)/U$9</f>
        <v>0.11650761146352444</v>
      </c>
      <c r="V14" s="85">
        <f t="shared" ref="V14:V37" si="8">(I14+F14*dy-E14*dz)*(1-2*$N14*V$11)/V$9</f>
        <v>1.0226756572097397E-2</v>
      </c>
      <c r="W14" s="85">
        <f t="shared" ref="W14:W37" si="9">(J14+D14*dz-F14*dx)*(1-2*$N14*W$11)/W$9</f>
        <v>1.9365183201479597</v>
      </c>
      <c r="X14" s="85">
        <f t="shared" ref="X14:X37" si="10">(K14+E14*dx-D14*dy)*(1-2*$N14*X$11)/X$9</f>
        <v>-3.6656681743318913E-3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311660.33899999998</v>
      </c>
      <c r="E15" s="46">
        <v>74141.303</v>
      </c>
      <c r="F15" s="46">
        <v>159659.65100000001</v>
      </c>
      <c r="G15" s="46" t="s">
        <v>160</v>
      </c>
      <c r="H15" s="82">
        <v>15</v>
      </c>
      <c r="I15" s="46">
        <v>-1480929.2560000001</v>
      </c>
      <c r="J15" s="46">
        <v>9806738.1140000001</v>
      </c>
      <c r="K15" s="46">
        <v>2197830.844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1.3712308417929728</v>
      </c>
      <c r="T15" s="85">
        <f t="shared" si="6"/>
        <v>7.0076849247488152E-2</v>
      </c>
      <c r="U15" s="85">
        <f t="shared" si="7"/>
        <v>0.13171694769602296</v>
      </c>
      <c r="V15" s="85">
        <f t="shared" si="8"/>
        <v>-3.6662815983476239E-2</v>
      </c>
      <c r="W15" s="85">
        <f t="shared" si="9"/>
        <v>2.213832171102486</v>
      </c>
      <c r="X15" s="85">
        <f t="shared" si="10"/>
        <v>1.0153700465495775E-2</v>
      </c>
      <c r="Y15" s="1">
        <f t="shared" si="11"/>
        <v>0</v>
      </c>
    </row>
    <row r="16" spans="1:26" x14ac:dyDescent="0.25">
      <c r="C16" s="82">
        <v>30</v>
      </c>
      <c r="D16" s="46">
        <v>413709.81699999998</v>
      </c>
      <c r="E16" s="46">
        <v>176282.40100000001</v>
      </c>
      <c r="F16" s="46">
        <v>261732.74900000001</v>
      </c>
      <c r="G16" s="46" t="s">
        <v>155</v>
      </c>
      <c r="H16" s="82">
        <v>30</v>
      </c>
      <c r="I16" s="46">
        <v>-4121513.7340000002</v>
      </c>
      <c r="J16" s="46">
        <v>11529363.293</v>
      </c>
      <c r="K16" s="46">
        <v>596932.16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1.8202241017998981</v>
      </c>
      <c r="T16" s="85">
        <f t="shared" si="6"/>
        <v>0.16661853433925022</v>
      </c>
      <c r="U16" s="85">
        <f t="shared" si="7"/>
        <v>0.21592580589048951</v>
      </c>
      <c r="V16" s="85">
        <f t="shared" si="8"/>
        <v>-0.10203478592296243</v>
      </c>
      <c r="W16" s="85">
        <f t="shared" si="9"/>
        <v>2.6027079619811184</v>
      </c>
      <c r="X16" s="85">
        <f t="shared" si="10"/>
        <v>2.7577510650593994E-3</v>
      </c>
      <c r="Y16" s="1">
        <f t="shared" si="11"/>
        <v>0</v>
      </c>
    </row>
    <row r="17" spans="1:26" x14ac:dyDescent="0.25">
      <c r="C17" s="82">
        <v>45</v>
      </c>
      <c r="D17" s="46">
        <v>359421.065</v>
      </c>
      <c r="E17" s="46">
        <v>267477.48200000002</v>
      </c>
      <c r="F17" s="46">
        <v>395677.9</v>
      </c>
      <c r="G17" s="46" t="s">
        <v>156</v>
      </c>
      <c r="H17" s="82">
        <v>45</v>
      </c>
      <c r="I17" s="46">
        <v>-6257948.6129999999</v>
      </c>
      <c r="J17" s="46">
        <v>10704339.82</v>
      </c>
      <c r="K17" s="46">
        <v>-794799.87800000003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1.5813665964024921</v>
      </c>
      <c r="T17" s="85">
        <f t="shared" si="6"/>
        <v>0.25281426714623195</v>
      </c>
      <c r="U17" s="85">
        <f t="shared" si="7"/>
        <v>0.32642865578337132</v>
      </c>
      <c r="V17" s="85">
        <f t="shared" si="8"/>
        <v>-0.15492571134165598</v>
      </c>
      <c r="W17" s="85">
        <f t="shared" si="9"/>
        <v>2.4164621904299577</v>
      </c>
      <c r="X17" s="85">
        <f t="shared" si="10"/>
        <v>-3.671874891216417E-3</v>
      </c>
      <c r="Y17" s="1">
        <f t="shared" si="11"/>
        <v>0</v>
      </c>
    </row>
    <row r="18" spans="1:26" x14ac:dyDescent="0.25">
      <c r="C18" s="82">
        <v>60</v>
      </c>
      <c r="D18" s="46">
        <v>198350.05900000001</v>
      </c>
      <c r="E18" s="46">
        <v>287989.60100000002</v>
      </c>
      <c r="F18" s="46">
        <v>533311.33299999998</v>
      </c>
      <c r="G18" s="46" t="s">
        <v>157</v>
      </c>
      <c r="H18" s="86">
        <v>60</v>
      </c>
      <c r="I18" s="46">
        <v>-5888273.2709999997</v>
      </c>
      <c r="J18" s="46">
        <v>9827446.7990000006</v>
      </c>
      <c r="K18" s="46">
        <v>-474873.56099999999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0.87269275020667891</v>
      </c>
      <c r="T18" s="85">
        <f t="shared" si="6"/>
        <v>0.27220190416833201</v>
      </c>
      <c r="U18" s="85">
        <f t="shared" si="7"/>
        <v>0.43997428601705557</v>
      </c>
      <c r="V18" s="85">
        <f t="shared" si="8"/>
        <v>-0.14577379609488564</v>
      </c>
      <c r="W18" s="85">
        <f t="shared" si="9"/>
        <v>2.2185070744741564</v>
      </c>
      <c r="X18" s="85">
        <f t="shared" si="10"/>
        <v>-2.1938557785465933E-3</v>
      </c>
      <c r="Y18" s="1">
        <f t="shared" si="11"/>
        <v>0</v>
      </c>
    </row>
    <row r="19" spans="1:26" x14ac:dyDescent="0.25">
      <c r="C19" s="82">
        <v>75</v>
      </c>
      <c r="D19" s="46">
        <v>72905.399000000005</v>
      </c>
      <c r="E19" s="46">
        <v>292331.98100000003</v>
      </c>
      <c r="F19" s="46">
        <v>494638.26400000002</v>
      </c>
      <c r="G19" s="46" t="s">
        <v>161</v>
      </c>
      <c r="H19" s="86">
        <v>75</v>
      </c>
      <c r="I19" s="46">
        <v>-5914310.2980000004</v>
      </c>
      <c r="J19" s="46">
        <v>3986703.159</v>
      </c>
      <c r="K19" s="46">
        <v>1275589.648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0.32076629308300464</v>
      </c>
      <c r="T19" s="85">
        <f t="shared" si="6"/>
        <v>0.27630623328479365</v>
      </c>
      <c r="U19" s="85">
        <f t="shared" si="7"/>
        <v>0.40806955257430438</v>
      </c>
      <c r="V19" s="85">
        <f t="shared" si="8"/>
        <v>-0.14641838510937794</v>
      </c>
      <c r="W19" s="85">
        <f t="shared" si="9"/>
        <v>0.89998240061395696</v>
      </c>
      <c r="X19" s="85">
        <f t="shared" si="10"/>
        <v>5.8930628069205461E-3</v>
      </c>
      <c r="Y19" s="1">
        <f t="shared" si="11"/>
        <v>0</v>
      </c>
    </row>
    <row r="20" spans="1:26" x14ac:dyDescent="0.25">
      <c r="C20" s="82">
        <v>90</v>
      </c>
      <c r="D20" s="46">
        <v>-29160.382000000001</v>
      </c>
      <c r="E20" s="46">
        <v>257293.579</v>
      </c>
      <c r="F20" s="46">
        <v>470562.40700000001</v>
      </c>
      <c r="G20" s="46" t="s">
        <v>158</v>
      </c>
      <c r="H20" s="86">
        <v>90</v>
      </c>
      <c r="I20" s="46">
        <v>-5123694.5329999998</v>
      </c>
      <c r="J20" s="46">
        <v>402357.29</v>
      </c>
      <c r="K20" s="46">
        <v>1112959.76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-0.12829869621897785</v>
      </c>
      <c r="T20" s="85">
        <f t="shared" si="6"/>
        <v>0.24318864948906663</v>
      </c>
      <c r="U20" s="85">
        <f t="shared" si="7"/>
        <v>0.38820731200604752</v>
      </c>
      <c r="V20" s="85">
        <f t="shared" si="8"/>
        <v>-0.12684540403118499</v>
      </c>
      <c r="W20" s="85">
        <f t="shared" si="9"/>
        <v>9.0830559817640558E-2</v>
      </c>
      <c r="X20" s="85">
        <f t="shared" si="10"/>
        <v>5.1417332976468437E-3</v>
      </c>
      <c r="Y20" s="1">
        <f t="shared" si="11"/>
        <v>0</v>
      </c>
    </row>
    <row r="21" spans="1:26" x14ac:dyDescent="0.25">
      <c r="C21" s="82">
        <v>105</v>
      </c>
      <c r="D21" s="46">
        <v>-137514.54199999999</v>
      </c>
      <c r="E21" s="46">
        <v>218294.73199999999</v>
      </c>
      <c r="F21" s="46">
        <v>399903.91100000002</v>
      </c>
      <c r="G21" s="46" t="s">
        <v>162</v>
      </c>
      <c r="H21" s="86">
        <v>105</v>
      </c>
      <c r="I21" s="46">
        <v>-4730095.0669999998</v>
      </c>
      <c r="J21" s="46">
        <v>-3772300.7779999999</v>
      </c>
      <c r="K21" s="46">
        <v>458107.56300000002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-0.60503104690980625</v>
      </c>
      <c r="T21" s="85">
        <f t="shared" si="6"/>
        <v>0.20632773375839952</v>
      </c>
      <c r="U21" s="85">
        <f t="shared" si="7"/>
        <v>0.32991505492281215</v>
      </c>
      <c r="V21" s="85">
        <f t="shared" si="8"/>
        <v>-0.11710120812534593</v>
      </c>
      <c r="W21" s="85">
        <f t="shared" si="9"/>
        <v>-0.85158191483559553</v>
      </c>
      <c r="X21" s="85">
        <f t="shared" si="10"/>
        <v>2.1163989887477597E-3</v>
      </c>
      <c r="Y21" s="1">
        <f t="shared" si="11"/>
        <v>0</v>
      </c>
    </row>
    <row r="22" spans="1:26" x14ac:dyDescent="0.25">
      <c r="C22" s="82">
        <v>120</v>
      </c>
      <c r="D22" s="46">
        <v>-235357.49799999999</v>
      </c>
      <c r="E22" s="46">
        <v>223405.16800000001</v>
      </c>
      <c r="F22" s="46">
        <v>396628.97200000001</v>
      </c>
      <c r="G22" s="46" t="s">
        <v>163</v>
      </c>
      <c r="H22" s="86">
        <v>120</v>
      </c>
      <c r="I22" s="46">
        <v>-5177179.49</v>
      </c>
      <c r="J22" s="46">
        <v>-8332017.7089999998</v>
      </c>
      <c r="K22" s="46">
        <v>520806.696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-1.0355166176753339</v>
      </c>
      <c r="T22" s="85">
        <f t="shared" si="6"/>
        <v>0.21115801375983054</v>
      </c>
      <c r="U22" s="85">
        <f t="shared" si="7"/>
        <v>0.32721327669475708</v>
      </c>
      <c r="V22" s="85">
        <f t="shared" si="8"/>
        <v>-0.12816951126212159</v>
      </c>
      <c r="W22" s="85">
        <f t="shared" si="9"/>
        <v>-1.8809198981307507</v>
      </c>
      <c r="X22" s="85">
        <f t="shared" si="10"/>
        <v>2.4060610515340081E-3</v>
      </c>
      <c r="Y22" s="1">
        <f t="shared" si="11"/>
        <v>0</v>
      </c>
    </row>
    <row r="23" spans="1:26" x14ac:dyDescent="0.25">
      <c r="C23" s="82">
        <v>135</v>
      </c>
      <c r="D23" s="46">
        <v>-302110.12599999999</v>
      </c>
      <c r="E23" s="46">
        <v>219034.45499999999</v>
      </c>
      <c r="F23" s="46">
        <v>336627.84600000002</v>
      </c>
      <c r="G23" s="46" t="s">
        <v>164</v>
      </c>
      <c r="H23" s="86">
        <v>135</v>
      </c>
      <c r="I23" s="46">
        <v>-5451560.5650000004</v>
      </c>
      <c r="J23" s="46">
        <v>-11293436.202</v>
      </c>
      <c r="K23" s="46">
        <v>-479128.27500000002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-1.3292121920882629</v>
      </c>
      <c r="T23" s="85">
        <f t="shared" si="6"/>
        <v>0.20702690486894634</v>
      </c>
      <c r="U23" s="85">
        <f t="shared" si="7"/>
        <v>0.27771319871297268</v>
      </c>
      <c r="V23" s="85">
        <f t="shared" si="8"/>
        <v>-0.1349622617066934</v>
      </c>
      <c r="W23" s="85">
        <f t="shared" si="9"/>
        <v>-2.5494483584290677</v>
      </c>
      <c r="X23" s="85">
        <f t="shared" si="10"/>
        <v>-2.2135120189894324E-3</v>
      </c>
      <c r="Y23" s="1">
        <f t="shared" si="11"/>
        <v>0</v>
      </c>
    </row>
    <row r="24" spans="1:26" x14ac:dyDescent="0.25">
      <c r="C24" s="82">
        <v>150</v>
      </c>
      <c r="D24" s="46">
        <v>-340437.11099999998</v>
      </c>
      <c r="E24" s="46">
        <v>164021.33300000001</v>
      </c>
      <c r="F24" s="46">
        <v>244738.98199999999</v>
      </c>
      <c r="G24" s="46" t="s">
        <v>165</v>
      </c>
      <c r="H24" s="86">
        <v>150</v>
      </c>
      <c r="I24" s="46">
        <v>-4085463.76</v>
      </c>
      <c r="J24" s="46">
        <v>-9907012.0889999997</v>
      </c>
      <c r="K24" s="46">
        <v>-59192.286999999997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-1.4978417458953535</v>
      </c>
      <c r="T24" s="85">
        <f t="shared" si="6"/>
        <v>0.15502962263845099</v>
      </c>
      <c r="U24" s="85">
        <f t="shared" si="7"/>
        <v>0.20190618913022615</v>
      </c>
      <c r="V24" s="85">
        <f t="shared" si="8"/>
        <v>-0.10114231009562885</v>
      </c>
      <c r="W24" s="85">
        <f t="shared" si="9"/>
        <v>-2.2364686226115169</v>
      </c>
      <c r="X24" s="85">
        <f t="shared" si="10"/>
        <v>-2.7346087789532333E-4</v>
      </c>
      <c r="Y24" s="1">
        <f t="shared" si="11"/>
        <v>0</v>
      </c>
    </row>
    <row r="25" spans="1:26" x14ac:dyDescent="0.25">
      <c r="C25" s="82">
        <v>165</v>
      </c>
      <c r="D25" s="46">
        <v>-250379.17499999999</v>
      </c>
      <c r="E25" s="46">
        <v>91396.442999999999</v>
      </c>
      <c r="F25" s="46">
        <v>131237.655</v>
      </c>
      <c r="G25" s="46" t="s">
        <v>166</v>
      </c>
      <c r="H25" s="86">
        <v>165</v>
      </c>
      <c r="I25" s="46">
        <v>-2129049.9040000001</v>
      </c>
      <c r="J25" s="46">
        <v>-7079198.4630000005</v>
      </c>
      <c r="K25" s="46">
        <v>-386097.54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-1.101608398438789</v>
      </c>
      <c r="T25" s="85">
        <f t="shared" si="6"/>
        <v>8.6386056067393954E-2</v>
      </c>
      <c r="U25" s="85">
        <f t="shared" si="7"/>
        <v>0.10826920409204517</v>
      </c>
      <c r="V25" s="85">
        <f t="shared" si="8"/>
        <v>-5.2708098333354658E-2</v>
      </c>
      <c r="W25" s="85">
        <f t="shared" si="9"/>
        <v>-1.5981009302813194</v>
      </c>
      <c r="X25" s="85">
        <f t="shared" si="10"/>
        <v>-1.7837217920237602E-3</v>
      </c>
      <c r="Y25" s="1">
        <f t="shared" si="11"/>
        <v>0</v>
      </c>
    </row>
    <row r="26" spans="1:26" x14ac:dyDescent="0.25">
      <c r="C26" s="82">
        <v>180</v>
      </c>
      <c r="D26" s="46">
        <v>-52477.271999999997</v>
      </c>
      <c r="E26" s="46">
        <v>8852.0069999999996</v>
      </c>
      <c r="F26" s="46">
        <v>53727.025000000001</v>
      </c>
      <c r="G26" s="46" t="s">
        <v>167</v>
      </c>
      <c r="H26" s="86">
        <v>180</v>
      </c>
      <c r="I26" s="46">
        <v>-86198.046000000002</v>
      </c>
      <c r="J26" s="46">
        <v>-1191046.2549999999</v>
      </c>
      <c r="K26" s="46">
        <v>243532.85500000001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-0.23088742728845843</v>
      </c>
      <c r="T26" s="85">
        <f t="shared" si="6"/>
        <v>8.3667366902994648E-3</v>
      </c>
      <c r="U26" s="85">
        <f t="shared" si="7"/>
        <v>4.4324033639456702E-2</v>
      </c>
      <c r="V26" s="85">
        <f t="shared" si="8"/>
        <v>-2.1339730347208563E-3</v>
      </c>
      <c r="W26" s="85">
        <f t="shared" si="9"/>
        <v>-0.26887396052984219</v>
      </c>
      <c r="X26" s="85">
        <f t="shared" si="10"/>
        <v>1.125090982287177E-3</v>
      </c>
      <c r="Y26" s="1">
        <f t="shared" si="11"/>
        <v>0</v>
      </c>
    </row>
    <row r="27" spans="1:26" x14ac:dyDescent="0.25">
      <c r="C27" s="82">
        <v>195</v>
      </c>
      <c r="D27" s="46">
        <v>-124573.717</v>
      </c>
      <c r="E27" s="46">
        <v>-50333.769</v>
      </c>
      <c r="F27" s="46">
        <v>155593.804</v>
      </c>
      <c r="G27" s="46" t="s">
        <v>168</v>
      </c>
      <c r="H27" s="86">
        <v>195</v>
      </c>
      <c r="I27" s="46">
        <v>2175225.378</v>
      </c>
      <c r="J27" s="46">
        <v>-5029289.449</v>
      </c>
      <c r="K27" s="46">
        <v>968024.57400000002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-0.5480945165345199</v>
      </c>
      <c r="T27" s="85">
        <f t="shared" si="6"/>
        <v>-4.7574453098981714E-2</v>
      </c>
      <c r="U27" s="85">
        <f t="shared" si="7"/>
        <v>0.12836268158505024</v>
      </c>
      <c r="V27" s="85">
        <f t="shared" si="8"/>
        <v>5.3851247406379511E-2</v>
      </c>
      <c r="W27" s="85">
        <f t="shared" si="9"/>
        <v>-1.1353421138153679</v>
      </c>
      <c r="X27" s="85">
        <f t="shared" si="10"/>
        <v>4.4721510731674623E-3</v>
      </c>
      <c r="Y27" s="1">
        <f t="shared" si="11"/>
        <v>0</v>
      </c>
    </row>
    <row r="28" spans="1:26" x14ac:dyDescent="0.25">
      <c r="C28" s="82">
        <v>210</v>
      </c>
      <c r="D28" s="46">
        <v>-170809.02</v>
      </c>
      <c r="E28" s="46">
        <v>-147507.91200000001</v>
      </c>
      <c r="F28" s="46">
        <v>309846.67700000003</v>
      </c>
      <c r="G28" s="46" t="s">
        <v>169</v>
      </c>
      <c r="H28" s="86">
        <v>210</v>
      </c>
      <c r="I28" s="46">
        <v>6005205.6560000004</v>
      </c>
      <c r="J28" s="46">
        <v>-8261148.7939999998</v>
      </c>
      <c r="K28" s="46">
        <v>-683571.97900000005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-0.7515187753178717</v>
      </c>
      <c r="T28" s="85">
        <f t="shared" si="6"/>
        <v>-0.13942147350763109</v>
      </c>
      <c r="U28" s="85">
        <f t="shared" si="7"/>
        <v>0.25561911411290456</v>
      </c>
      <c r="V28" s="85">
        <f t="shared" si="8"/>
        <v>0.14866864775400096</v>
      </c>
      <c r="W28" s="85">
        <f t="shared" si="9"/>
        <v>-1.8649215221025226</v>
      </c>
      <c r="X28" s="85">
        <f t="shared" si="10"/>
        <v>-3.1580160685797387E-3</v>
      </c>
      <c r="Y28" s="1">
        <f t="shared" si="11"/>
        <v>0</v>
      </c>
    </row>
    <row r="29" spans="1:26" x14ac:dyDescent="0.25">
      <c r="C29" s="82">
        <v>225</v>
      </c>
      <c r="D29" s="46">
        <v>-149633.26300000001</v>
      </c>
      <c r="E29" s="46">
        <v>-213689.22899999999</v>
      </c>
      <c r="F29" s="46">
        <v>485747.42499999999</v>
      </c>
      <c r="G29" s="46" t="s">
        <v>170</v>
      </c>
      <c r="H29" s="86">
        <v>225</v>
      </c>
      <c r="I29" s="46">
        <v>9383887.9069999997</v>
      </c>
      <c r="J29" s="46">
        <v>-11497392.277000001</v>
      </c>
      <c r="K29" s="46">
        <v>-1150347.466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-0.65835051659787647</v>
      </c>
      <c r="T29" s="85">
        <f t="shared" si="6"/>
        <v>-0.20197470614247193</v>
      </c>
      <c r="U29" s="85">
        <f t="shared" si="7"/>
        <v>0.4007347364939613</v>
      </c>
      <c r="V29" s="85">
        <f t="shared" si="8"/>
        <v>0.23231343033438523</v>
      </c>
      <c r="W29" s="85">
        <f t="shared" si="9"/>
        <v>-2.5954906321268023</v>
      </c>
      <c r="X29" s="85">
        <f t="shared" si="10"/>
        <v>-5.3144597696828414E-3</v>
      </c>
      <c r="Y29" s="1">
        <f t="shared" si="11"/>
        <v>0</v>
      </c>
    </row>
    <row r="30" spans="1:26" x14ac:dyDescent="0.25">
      <c r="C30" s="82">
        <v>240</v>
      </c>
      <c r="D30" s="46">
        <v>-77499.092000000004</v>
      </c>
      <c r="E30" s="46">
        <v>-243719.97500000001</v>
      </c>
      <c r="F30" s="46">
        <v>533551.91099999996</v>
      </c>
      <c r="G30" s="46" t="s">
        <v>171</v>
      </c>
      <c r="H30" s="86">
        <v>240</v>
      </c>
      <c r="I30" s="46">
        <v>10798079.388</v>
      </c>
      <c r="J30" s="46">
        <v>-9666780.3959999997</v>
      </c>
      <c r="K30" s="46">
        <v>-216754.541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-0.34097744198805824</v>
      </c>
      <c r="T30" s="85">
        <f t="shared" si="6"/>
        <v>-0.23035915549901492</v>
      </c>
      <c r="U30" s="85">
        <f t="shared" si="7"/>
        <v>0.44017275945504908</v>
      </c>
      <c r="V30" s="85">
        <f t="shared" si="8"/>
        <v>0.2673240439901281</v>
      </c>
      <c r="W30" s="85">
        <f t="shared" si="9"/>
        <v>-2.1822372722583778</v>
      </c>
      <c r="X30" s="85">
        <f t="shared" si="10"/>
        <v>-1.0013785591635928E-3</v>
      </c>
      <c r="Y30" s="1">
        <f t="shared" si="11"/>
        <v>0</v>
      </c>
    </row>
    <row r="31" spans="1:26" x14ac:dyDescent="0.25">
      <c r="C31" s="87">
        <v>255</v>
      </c>
      <c r="D31" s="46">
        <v>-23276.271000000001</v>
      </c>
      <c r="E31" s="46">
        <v>-262514.73</v>
      </c>
      <c r="F31" s="46">
        <v>588308.04700000002</v>
      </c>
      <c r="G31" s="46" t="s">
        <v>172</v>
      </c>
      <c r="H31" s="86">
        <v>255</v>
      </c>
      <c r="I31" s="46">
        <v>11771664.970000001</v>
      </c>
      <c r="J31" s="46">
        <v>-7308657.6339999996</v>
      </c>
      <c r="K31" s="46">
        <v>-198255.302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-0.10241001719866372</v>
      </c>
      <c r="T31" s="85">
        <f t="shared" si="6"/>
        <v>-0.24812357505309901</v>
      </c>
      <c r="U31" s="85">
        <f t="shared" si="7"/>
        <v>0.48534579507410053</v>
      </c>
      <c r="V31" s="85">
        <f t="shared" si="8"/>
        <v>0.29142674092343229</v>
      </c>
      <c r="W31" s="85">
        <f t="shared" si="9"/>
        <v>-1.649900426587753</v>
      </c>
      <c r="X31" s="85">
        <f t="shared" si="10"/>
        <v>-9.159144152061984E-4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6506.5379999999996</v>
      </c>
      <c r="E32" s="46">
        <v>-314022.95</v>
      </c>
      <c r="F32" s="46">
        <v>716194.25100000005</v>
      </c>
      <c r="G32" s="46" t="s">
        <v>159</v>
      </c>
      <c r="H32" s="86">
        <v>270</v>
      </c>
      <c r="I32" s="46">
        <v>13612462.057</v>
      </c>
      <c r="J32" s="46">
        <v>-6918625.3789999997</v>
      </c>
      <c r="K32" s="46">
        <v>-729333.61600000004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2.8627208734756483E-2</v>
      </c>
      <c r="T32" s="85">
        <f t="shared" si="6"/>
        <v>-0.29680809531229185</v>
      </c>
      <c r="U32" s="85">
        <f t="shared" si="7"/>
        <v>0.59085009962322499</v>
      </c>
      <c r="V32" s="85">
        <f t="shared" si="8"/>
        <v>0.33699867124364746</v>
      </c>
      <c r="W32" s="85">
        <f t="shared" si="9"/>
        <v>-1.5618521944590729</v>
      </c>
      <c r="X32" s="85">
        <f t="shared" si="10"/>
        <v>-3.3694290425022888E-3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29605.971000000001</v>
      </c>
      <c r="E33" s="46">
        <v>-336093.70699999999</v>
      </c>
      <c r="F33" s="46">
        <v>805946.44900000002</v>
      </c>
      <c r="G33" s="46" t="s">
        <v>173</v>
      </c>
      <c r="H33" s="86">
        <v>285</v>
      </c>
      <c r="I33" s="46">
        <v>14450496.162</v>
      </c>
      <c r="J33" s="46">
        <v>-2060676.699</v>
      </c>
      <c r="K33" s="46">
        <v>1831095.7039999999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0.13025918109018148</v>
      </c>
      <c r="T33" s="85">
        <f t="shared" si="6"/>
        <v>-0.31766892522064866</v>
      </c>
      <c r="U33" s="85">
        <f t="shared" si="7"/>
        <v>0.66489439005931705</v>
      </c>
      <c r="V33" s="85">
        <f t="shared" si="8"/>
        <v>0.35774557056717071</v>
      </c>
      <c r="W33" s="85">
        <f t="shared" si="9"/>
        <v>-0.46518957857912202</v>
      </c>
      <c r="X33" s="85">
        <f t="shared" si="10"/>
        <v>8.4594305120563283E-3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100694.198</v>
      </c>
      <c r="E34" s="46">
        <v>-371122.08799999999</v>
      </c>
      <c r="F34" s="46">
        <v>855174.4</v>
      </c>
      <c r="G34" s="46" t="s">
        <v>174</v>
      </c>
      <c r="H34" s="86">
        <v>300</v>
      </c>
      <c r="I34" s="46">
        <v>15400704.366</v>
      </c>
      <c r="J34" s="46">
        <v>5764021.1900000004</v>
      </c>
      <c r="K34" s="46">
        <v>5581508.6210000003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0.44303035262760304</v>
      </c>
      <c r="T34" s="85">
        <f t="shared" si="6"/>
        <v>-0.35077703737131555</v>
      </c>
      <c r="U34" s="85">
        <f t="shared" si="7"/>
        <v>0.7055067514570591</v>
      </c>
      <c r="V34" s="85">
        <f t="shared" si="8"/>
        <v>0.38126952242921797</v>
      </c>
      <c r="W34" s="85">
        <f t="shared" si="9"/>
        <v>1.3012048855594061</v>
      </c>
      <c r="X34" s="85">
        <f t="shared" si="10"/>
        <v>2.5785863747399655E-2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213348.39</v>
      </c>
      <c r="E35" s="46">
        <v>-326418.83899999998</v>
      </c>
      <c r="F35" s="46">
        <v>710891.23899999994</v>
      </c>
      <c r="G35" s="46" t="s">
        <v>175</v>
      </c>
      <c r="H35" s="86">
        <v>315</v>
      </c>
      <c r="I35" s="46">
        <v>13338746.651000001</v>
      </c>
      <c r="J35" s="46">
        <v>12050178.752</v>
      </c>
      <c r="K35" s="46">
        <v>6571374.9019999998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0.93868181416203722</v>
      </c>
      <c r="T35" s="85">
        <f t="shared" si="6"/>
        <v>-0.30852443707582405</v>
      </c>
      <c r="U35" s="85">
        <f t="shared" si="7"/>
        <v>0.58647518993339109</v>
      </c>
      <c r="V35" s="85">
        <f t="shared" si="8"/>
        <v>0.33022240051946339</v>
      </c>
      <c r="W35" s="85">
        <f t="shared" si="9"/>
        <v>2.7202799828649735</v>
      </c>
      <c r="X35" s="85">
        <f t="shared" si="10"/>
        <v>3.0358920743849861E-2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270151.674</v>
      </c>
      <c r="E36" s="46">
        <v>-215310.99299999999</v>
      </c>
      <c r="F36" s="46">
        <v>424099.75799999997</v>
      </c>
      <c r="G36" s="46" t="s">
        <v>176</v>
      </c>
      <c r="H36" s="86">
        <v>330</v>
      </c>
      <c r="I36" s="46">
        <v>8408239.4670000002</v>
      </c>
      <c r="J36" s="46">
        <v>10007677.551000001</v>
      </c>
      <c r="K36" s="46">
        <v>3504694.8470000001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1.1886026580712947</v>
      </c>
      <c r="T36" s="85">
        <f t="shared" si="6"/>
        <v>-0.20350756443797563</v>
      </c>
      <c r="U36" s="85">
        <f t="shared" si="7"/>
        <v>0.34987628553930628</v>
      </c>
      <c r="V36" s="85">
        <f t="shared" si="8"/>
        <v>0.20815966399114971</v>
      </c>
      <c r="W36" s="85">
        <f t="shared" si="9"/>
        <v>2.2591934507555811</v>
      </c>
      <c r="X36" s="85">
        <f t="shared" si="10"/>
        <v>1.6191246836193982E-2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238715.878</v>
      </c>
      <c r="E37" s="46">
        <v>-87666.184999999998</v>
      </c>
      <c r="F37" s="46">
        <v>230003.717</v>
      </c>
      <c r="G37" s="46" t="s">
        <v>177</v>
      </c>
      <c r="H37" s="86">
        <v>345</v>
      </c>
      <c r="I37" s="46">
        <v>3283079.1660000002</v>
      </c>
      <c r="J37" s="46">
        <v>9988438.7679999992</v>
      </c>
      <c r="K37" s="46">
        <v>968029.01899999997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1.0502926852662142</v>
      </c>
      <c r="T37" s="85">
        <f t="shared" si="6"/>
        <v>-8.2860292195665985E-2</v>
      </c>
      <c r="U37" s="85">
        <f t="shared" si="7"/>
        <v>0.18974980448867362</v>
      </c>
      <c r="V37" s="85">
        <f t="shared" si="8"/>
        <v>8.1277972485569325E-2</v>
      </c>
      <c r="W37" s="85">
        <f t="shared" si="9"/>
        <v>2.2548503719210951</v>
      </c>
      <c r="X37" s="85">
        <f t="shared" si="10"/>
        <v>4.472171608505153E-3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0.68794193284117622</v>
      </c>
      <c r="T38" s="85">
        <f t="shared" si="12"/>
        <v>4.5534453947753024E-3</v>
      </c>
      <c r="U38" s="85">
        <f t="shared" si="12"/>
        <v>0.11650761146352444</v>
      </c>
      <c r="V38" s="85">
        <f t="shared" si="12"/>
        <v>1.0226756572097397E-2</v>
      </c>
      <c r="W38" s="85">
        <f t="shared" si="12"/>
        <v>1.9365183201479597</v>
      </c>
      <c r="X38" s="85">
        <f t="shared" si="12"/>
        <v>-3.6656681743318913E-3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J67"/>
  <sheetViews>
    <sheetView topLeftCell="A3" zoomScale="85" zoomScaleNormal="85" workbookViewId="0">
      <selection activeCell="H32" activeCellId="1" sqref="I161:O185 H32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0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Reference_FSTs_full!Afx</f>
        <v>1360</v>
      </c>
      <c r="T5" s="63">
        <f>Reference_FSTs_full!Afy</f>
        <v>6322</v>
      </c>
      <c r="U5" s="63">
        <f>Reference_FSTs_full!Afz</f>
        <v>8949</v>
      </c>
      <c r="V5" s="63">
        <f>Reference_FSTs_full!Amx</f>
        <v>195355</v>
      </c>
      <c r="W5" s="63">
        <f>Reference_FSTs_full!Amy</f>
        <v>21665</v>
      </c>
      <c r="X5" s="63">
        <f>Reference_FSTs_full!Amz</f>
        <v>1293418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Reference_FSTs_full!rho</f>
        <v>1.204</v>
      </c>
      <c r="E7" s="66">
        <f>Reference_FSTs_full!U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184211.99999999997</v>
      </c>
      <c r="T7" s="48">
        <f t="shared" si="0"/>
        <v>856314.89999999991</v>
      </c>
      <c r="U7" s="48">
        <f t="shared" si="0"/>
        <v>1212142.0499999998</v>
      </c>
      <c r="V7" s="48">
        <f t="shared" si="0"/>
        <v>26460834.749999996</v>
      </c>
      <c r="W7" s="48">
        <f t="shared" si="0"/>
        <v>2934524.2499999995</v>
      </c>
      <c r="X7" s="48">
        <f t="shared" si="0"/>
        <v>175193468.09999999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184211.99999999997</v>
      </c>
      <c r="T9" s="48">
        <f t="shared" si="1"/>
        <v>856314.89999999991</v>
      </c>
      <c r="U9" s="48">
        <f t="shared" si="1"/>
        <v>1212142.0499999998</v>
      </c>
      <c r="V9" s="48">
        <f t="shared" si="1"/>
        <v>26460834.749999996</v>
      </c>
      <c r="W9" s="48">
        <f t="shared" si="1"/>
        <v>2934524.2499999995</v>
      </c>
      <c r="X9" s="48">
        <f t="shared" si="1"/>
        <v>175193468.09999999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45430.451999999997</v>
      </c>
      <c r="E14" s="46">
        <v>2822.4589999999998</v>
      </c>
      <c r="F14" s="46">
        <v>62257.803999999996</v>
      </c>
      <c r="G14" s="46" t="s">
        <v>154</v>
      </c>
      <c r="H14" s="82">
        <v>0</v>
      </c>
      <c r="I14" s="46">
        <v>-30823.241999999998</v>
      </c>
      <c r="J14" s="46">
        <v>615248.06099999999</v>
      </c>
      <c r="K14" s="46">
        <v>-70357.919999999998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0.24662048075043974</v>
      </c>
      <c r="T14" s="85">
        <f t="shared" ref="T14:T37" si="6">E14*(1-2*$N14*T$11)/T$9</f>
        <v>3.296052655395813E-3</v>
      </c>
      <c r="U14" s="85">
        <f t="shared" ref="U14:U37" si="7">F14*(1-2*$N14*U$11)/U$9</f>
        <v>5.1361805326364189E-2</v>
      </c>
      <c r="V14" s="85">
        <f t="shared" ref="V14:V37" si="8">(I14+F14*dy-E14*dz)*(1-2*$N14*V$11)/V$9</f>
        <v>-1.1648627978374719E-3</v>
      </c>
      <c r="W14" s="85">
        <f t="shared" ref="W14:W37" si="9">(J14+D14*dz-F14*dx)*(1-2*$N14*W$11)/W$9</f>
        <v>0.209658536984317</v>
      </c>
      <c r="X14" s="85">
        <f t="shared" ref="X14:X37" si="10">(K14+E14*dx-D14*dy)*(1-2*$N14*X$11)/X$9</f>
        <v>-4.016012740831175E-4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261797.37400000001</v>
      </c>
      <c r="E15" s="46">
        <v>125755.159</v>
      </c>
      <c r="F15" s="46">
        <v>143982.068</v>
      </c>
      <c r="G15" s="46" t="s">
        <v>160</v>
      </c>
      <c r="H15" s="82">
        <v>15</v>
      </c>
      <c r="I15" s="46">
        <v>-1753429.9920000001</v>
      </c>
      <c r="J15" s="46">
        <v>5024791.54</v>
      </c>
      <c r="K15" s="46">
        <v>1168833.233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1.4211743751764274</v>
      </c>
      <c r="T15" s="85">
        <f t="shared" si="6"/>
        <v>0.14685620792070769</v>
      </c>
      <c r="U15" s="85">
        <f t="shared" si="7"/>
        <v>0.11878316406893072</v>
      </c>
      <c r="V15" s="85">
        <f t="shared" si="8"/>
        <v>-6.6265104958565232E-2</v>
      </c>
      <c r="W15" s="85">
        <f t="shared" si="9"/>
        <v>1.7123019310540715</v>
      </c>
      <c r="X15" s="85">
        <f t="shared" si="10"/>
        <v>6.6716712995990978E-3</v>
      </c>
      <c r="Y15" s="1">
        <f t="shared" si="11"/>
        <v>0</v>
      </c>
    </row>
    <row r="16" spans="1:26" x14ac:dyDescent="0.25">
      <c r="C16" s="82">
        <v>30</v>
      </c>
      <c r="D16" s="46">
        <v>370010.79700000002</v>
      </c>
      <c r="E16" s="46">
        <v>275798.859</v>
      </c>
      <c r="F16" s="46">
        <v>276802.89799999999</v>
      </c>
      <c r="G16" s="46" t="s">
        <v>155</v>
      </c>
      <c r="H16" s="82">
        <v>30</v>
      </c>
      <c r="I16" s="46">
        <v>-3971576.872</v>
      </c>
      <c r="J16" s="46">
        <v>6540425.0259999996</v>
      </c>
      <c r="K16" s="46">
        <v>-1333367.199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2.0086139719453677</v>
      </c>
      <c r="T16" s="85">
        <f t="shared" si="6"/>
        <v>0.32207644524228179</v>
      </c>
      <c r="U16" s="85">
        <f t="shared" si="7"/>
        <v>0.22835846508253718</v>
      </c>
      <c r="V16" s="85">
        <f t="shared" si="8"/>
        <v>-0.15009265238693956</v>
      </c>
      <c r="W16" s="85">
        <f t="shared" si="9"/>
        <v>2.2287854755332148</v>
      </c>
      <c r="X16" s="85">
        <f t="shared" si="10"/>
        <v>-7.6108271242105747E-3</v>
      </c>
      <c r="Y16" s="1">
        <f t="shared" si="11"/>
        <v>0</v>
      </c>
    </row>
    <row r="17" spans="1:26" x14ac:dyDescent="0.25">
      <c r="C17" s="82">
        <v>45</v>
      </c>
      <c r="D17" s="46">
        <v>335438.41100000002</v>
      </c>
      <c r="E17" s="46">
        <v>417758.41700000002</v>
      </c>
      <c r="F17" s="46">
        <v>391022.34100000001</v>
      </c>
      <c r="G17" s="46" t="s">
        <v>156</v>
      </c>
      <c r="H17" s="82">
        <v>45</v>
      </c>
      <c r="I17" s="46">
        <v>-5461763.1310000001</v>
      </c>
      <c r="J17" s="46">
        <v>9175825.2219999991</v>
      </c>
      <c r="K17" s="46">
        <v>-1980095.41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1.8209368065055485</v>
      </c>
      <c r="T17" s="85">
        <f t="shared" si="6"/>
        <v>0.48785606439873935</v>
      </c>
      <c r="U17" s="85">
        <f t="shared" si="7"/>
        <v>0.3225878856360111</v>
      </c>
      <c r="V17" s="85">
        <f t="shared" si="8"/>
        <v>-0.2064093284509855</v>
      </c>
      <c r="W17" s="85">
        <f t="shared" si="9"/>
        <v>3.1268527503223056</v>
      </c>
      <c r="X17" s="85">
        <f t="shared" si="10"/>
        <v>-1.1302335820361558E-2</v>
      </c>
      <c r="Y17" s="1">
        <f t="shared" si="11"/>
        <v>0</v>
      </c>
    </row>
    <row r="18" spans="1:26" x14ac:dyDescent="0.25">
      <c r="C18" s="82">
        <v>60</v>
      </c>
      <c r="D18" s="46">
        <v>265579.39199999999</v>
      </c>
      <c r="E18" s="46">
        <v>496736.30200000003</v>
      </c>
      <c r="F18" s="46">
        <v>476268.21100000001</v>
      </c>
      <c r="G18" s="46" t="s">
        <v>157</v>
      </c>
      <c r="H18" s="86">
        <v>60</v>
      </c>
      <c r="I18" s="46">
        <v>-5955255.3830000004</v>
      </c>
      <c r="J18" s="46">
        <v>7758329.1069999998</v>
      </c>
      <c r="K18" s="46">
        <v>-2963296.0449999999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1.4417051657872453</v>
      </c>
      <c r="T18" s="85">
        <f t="shared" si="6"/>
        <v>0.58008601975745144</v>
      </c>
      <c r="U18" s="85">
        <f t="shared" si="7"/>
        <v>0.39291451938326871</v>
      </c>
      <c r="V18" s="85">
        <f t="shared" si="8"/>
        <v>-0.22505924092209528</v>
      </c>
      <c r="W18" s="85">
        <f t="shared" si="9"/>
        <v>2.6438115503731145</v>
      </c>
      <c r="X18" s="85">
        <f t="shared" si="10"/>
        <v>-1.6914420823660833E-2</v>
      </c>
      <c r="Y18" s="1">
        <f t="shared" si="11"/>
        <v>0</v>
      </c>
    </row>
    <row r="19" spans="1:26" x14ac:dyDescent="0.25">
      <c r="C19" s="82">
        <v>75</v>
      </c>
      <c r="D19" s="46">
        <v>131638.90599999999</v>
      </c>
      <c r="E19" s="46">
        <v>556043.31499999994</v>
      </c>
      <c r="F19" s="46">
        <v>395855.72399999999</v>
      </c>
      <c r="G19" s="46" t="s">
        <v>161</v>
      </c>
      <c r="H19" s="86">
        <v>75</v>
      </c>
      <c r="I19" s="46">
        <v>-5708771.7089999998</v>
      </c>
      <c r="J19" s="46">
        <v>5137335.4369999999</v>
      </c>
      <c r="K19" s="46">
        <v>-2196989.102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0.71460548715610284</v>
      </c>
      <c r="T19" s="85">
        <f t="shared" si="6"/>
        <v>0.64934443509040896</v>
      </c>
      <c r="U19" s="85">
        <f t="shared" si="7"/>
        <v>0.32657535806137578</v>
      </c>
      <c r="V19" s="85">
        <f t="shared" si="8"/>
        <v>-0.21574420319449675</v>
      </c>
      <c r="W19" s="85">
        <f t="shared" si="9"/>
        <v>1.7506535981087907</v>
      </c>
      <c r="X19" s="85">
        <f t="shared" si="10"/>
        <v>-1.2540359671092098E-2</v>
      </c>
      <c r="Y19" s="1">
        <f t="shared" si="11"/>
        <v>0</v>
      </c>
    </row>
    <row r="20" spans="1:26" x14ac:dyDescent="0.25">
      <c r="C20" s="82">
        <v>90</v>
      </c>
      <c r="D20" s="46">
        <v>78281.88</v>
      </c>
      <c r="E20" s="46">
        <v>617913.65</v>
      </c>
      <c r="F20" s="46">
        <v>449433.61300000001</v>
      </c>
      <c r="G20" s="46" t="s">
        <v>158</v>
      </c>
      <c r="H20" s="86">
        <v>90</v>
      </c>
      <c r="I20" s="46">
        <v>-5866364.0719999997</v>
      </c>
      <c r="J20" s="46">
        <v>-1640027.223</v>
      </c>
      <c r="K20" s="46">
        <v>1594684.8189999999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0.42495537749983725</v>
      </c>
      <c r="T20" s="85">
        <f t="shared" si="6"/>
        <v>0.72159628426411837</v>
      </c>
      <c r="U20" s="85">
        <f t="shared" si="7"/>
        <v>0.37077635661595937</v>
      </c>
      <c r="V20" s="85">
        <f t="shared" si="8"/>
        <v>-0.22169988692439116</v>
      </c>
      <c r="W20" s="85">
        <f t="shared" si="9"/>
        <v>-0.55887329027865429</v>
      </c>
      <c r="X20" s="85">
        <f t="shared" si="10"/>
        <v>9.102421661575634E-3</v>
      </c>
      <c r="Y20" s="1">
        <f t="shared" si="11"/>
        <v>0</v>
      </c>
    </row>
    <row r="21" spans="1:26" x14ac:dyDescent="0.25">
      <c r="C21" s="82">
        <v>105</v>
      </c>
      <c r="D21" s="46">
        <v>-29992.964</v>
      </c>
      <c r="E21" s="46">
        <v>705362.55500000005</v>
      </c>
      <c r="F21" s="46">
        <v>593007.23699999996</v>
      </c>
      <c r="G21" s="46" t="s">
        <v>162</v>
      </c>
      <c r="H21" s="86">
        <v>105</v>
      </c>
      <c r="I21" s="46">
        <v>-6621285.8969999999</v>
      </c>
      <c r="J21" s="46">
        <v>-3144221.2390000001</v>
      </c>
      <c r="K21" s="46">
        <v>3036504.3050000002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-0.16281764488741235</v>
      </c>
      <c r="T21" s="85">
        <f t="shared" si="6"/>
        <v>0.82371865186510262</v>
      </c>
      <c r="U21" s="85">
        <f t="shared" si="7"/>
        <v>0.48922256017766241</v>
      </c>
      <c r="V21" s="85">
        <f t="shared" si="8"/>
        <v>-0.25022966809465452</v>
      </c>
      <c r="W21" s="85">
        <f t="shared" si="9"/>
        <v>-1.0714585981015494</v>
      </c>
      <c r="X21" s="85">
        <f t="shared" si="10"/>
        <v>1.7332291768245443E-2</v>
      </c>
      <c r="Y21" s="1">
        <f t="shared" si="11"/>
        <v>0</v>
      </c>
    </row>
    <row r="22" spans="1:26" x14ac:dyDescent="0.25">
      <c r="C22" s="82">
        <v>120</v>
      </c>
      <c r="D22" s="46">
        <v>-241729.56099999999</v>
      </c>
      <c r="E22" s="46">
        <v>627442.495</v>
      </c>
      <c r="F22" s="46">
        <v>539444.29099999997</v>
      </c>
      <c r="G22" s="46" t="s">
        <v>163</v>
      </c>
      <c r="H22" s="86">
        <v>120</v>
      </c>
      <c r="I22" s="46">
        <v>-6611193.7340000002</v>
      </c>
      <c r="J22" s="46">
        <v>-3380435.5929999999</v>
      </c>
      <c r="K22" s="46">
        <v>5219149.2359999996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-1.3122356904001913</v>
      </c>
      <c r="T22" s="85">
        <f t="shared" si="6"/>
        <v>0.73272401893275485</v>
      </c>
      <c r="U22" s="85">
        <f t="shared" si="7"/>
        <v>0.44503388938614913</v>
      </c>
      <c r="V22" s="85">
        <f t="shared" si="8"/>
        <v>-0.2498482680709837</v>
      </c>
      <c r="W22" s="85">
        <f t="shared" si="9"/>
        <v>-1.1519535382950066</v>
      </c>
      <c r="X22" s="85">
        <f t="shared" si="10"/>
        <v>2.9790775264640131E-2</v>
      </c>
      <c r="Y22" s="1">
        <f t="shared" si="11"/>
        <v>0</v>
      </c>
    </row>
    <row r="23" spans="1:26" x14ac:dyDescent="0.25">
      <c r="C23" s="82">
        <v>135</v>
      </c>
      <c r="D23" s="46">
        <v>-390422.67800000001</v>
      </c>
      <c r="E23" s="46">
        <v>515869.96100000001</v>
      </c>
      <c r="F23" s="46">
        <v>391785.67200000002</v>
      </c>
      <c r="G23" s="46" t="s">
        <v>164</v>
      </c>
      <c r="H23" s="86">
        <v>135</v>
      </c>
      <c r="I23" s="46">
        <v>-6265765.1289999997</v>
      </c>
      <c r="J23" s="46">
        <v>-5062357.66</v>
      </c>
      <c r="K23" s="46">
        <v>6085328.7699999996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-2.1194204394936271</v>
      </c>
      <c r="T23" s="85">
        <f t="shared" si="6"/>
        <v>0.60243020529013347</v>
      </c>
      <c r="U23" s="85">
        <f t="shared" si="7"/>
        <v>0.32321762288504063</v>
      </c>
      <c r="V23" s="85">
        <f t="shared" si="8"/>
        <v>-0.23679393292760731</v>
      </c>
      <c r="W23" s="85">
        <f t="shared" si="9"/>
        <v>-1.7251033655625783</v>
      </c>
      <c r="X23" s="85">
        <f t="shared" si="10"/>
        <v>3.4734906706262066E-2</v>
      </c>
      <c r="Y23" s="1">
        <f t="shared" si="11"/>
        <v>0</v>
      </c>
    </row>
    <row r="24" spans="1:26" x14ac:dyDescent="0.25">
      <c r="C24" s="82">
        <v>150</v>
      </c>
      <c r="D24" s="46">
        <v>-453480.1</v>
      </c>
      <c r="E24" s="46">
        <v>306532.76400000002</v>
      </c>
      <c r="F24" s="46">
        <v>255690.62400000001</v>
      </c>
      <c r="G24" s="46" t="s">
        <v>165</v>
      </c>
      <c r="H24" s="86">
        <v>150</v>
      </c>
      <c r="I24" s="46">
        <v>-3741976.7050000001</v>
      </c>
      <c r="J24" s="46">
        <v>-6365398.4079999998</v>
      </c>
      <c r="K24" s="46">
        <v>3409058.9169999999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-2.461729420450351</v>
      </c>
      <c r="T24" s="85">
        <f t="shared" si="6"/>
        <v>0.3579673365487393</v>
      </c>
      <c r="U24" s="85">
        <f t="shared" si="7"/>
        <v>0.21094113845815352</v>
      </c>
      <c r="V24" s="85">
        <f t="shared" si="8"/>
        <v>-0.1414156711363764</v>
      </c>
      <c r="W24" s="85">
        <f t="shared" si="9"/>
        <v>-2.1691415254108057</v>
      </c>
      <c r="X24" s="85">
        <f t="shared" si="10"/>
        <v>1.9458824315608147E-2</v>
      </c>
      <c r="Y24" s="1">
        <f t="shared" si="11"/>
        <v>0</v>
      </c>
    </row>
    <row r="25" spans="1:26" x14ac:dyDescent="0.25">
      <c r="C25" s="82">
        <v>165</v>
      </c>
      <c r="D25" s="46">
        <v>-358142.32299999997</v>
      </c>
      <c r="E25" s="46">
        <v>109903.238</v>
      </c>
      <c r="F25" s="46">
        <v>160097.264</v>
      </c>
      <c r="G25" s="46" t="s">
        <v>166</v>
      </c>
      <c r="H25" s="86">
        <v>165</v>
      </c>
      <c r="I25" s="46">
        <v>-1399481.4280000001</v>
      </c>
      <c r="J25" s="46">
        <v>-5076378.2</v>
      </c>
      <c r="K25" s="46">
        <v>641683.50899999996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-1.9441856285149721</v>
      </c>
      <c r="T25" s="85">
        <f t="shared" si="6"/>
        <v>0.12834441862450369</v>
      </c>
      <c r="U25" s="85">
        <f t="shared" si="7"/>
        <v>0.13207797221456019</v>
      </c>
      <c r="V25" s="85">
        <f t="shared" si="8"/>
        <v>-5.2888786057665858E-2</v>
      </c>
      <c r="W25" s="85">
        <f t="shared" si="9"/>
        <v>-1.7298811553525246</v>
      </c>
      <c r="X25" s="85">
        <f t="shared" si="10"/>
        <v>3.6627136614119002E-3</v>
      </c>
      <c r="Y25" s="1">
        <f t="shared" si="11"/>
        <v>0</v>
      </c>
    </row>
    <row r="26" spans="1:26" x14ac:dyDescent="0.25">
      <c r="C26" s="82">
        <v>180</v>
      </c>
      <c r="D26" s="46">
        <v>-205131.93700000001</v>
      </c>
      <c r="E26" s="46">
        <v>-22171.952000000001</v>
      </c>
      <c r="F26" s="46">
        <v>158928.29500000001</v>
      </c>
      <c r="G26" s="46" t="s">
        <v>167</v>
      </c>
      <c r="H26" s="86">
        <v>180</v>
      </c>
      <c r="I26" s="46">
        <v>325868.90999999997</v>
      </c>
      <c r="J26" s="46">
        <v>-6645722.9740000004</v>
      </c>
      <c r="K26" s="46">
        <v>524451.04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-1.1135644637700044</v>
      </c>
      <c r="T26" s="85">
        <f t="shared" si="6"/>
        <v>-2.589228798891623E-2</v>
      </c>
      <c r="U26" s="85">
        <f t="shared" si="7"/>
        <v>0.13111358936850681</v>
      </c>
      <c r="V26" s="85">
        <f t="shared" si="8"/>
        <v>1.2315140965082367E-2</v>
      </c>
      <c r="W26" s="85">
        <f t="shared" si="9"/>
        <v>-2.2646679351857464</v>
      </c>
      <c r="X26" s="85">
        <f t="shared" si="10"/>
        <v>2.9935536163976429E-3</v>
      </c>
      <c r="Y26" s="1">
        <f t="shared" si="11"/>
        <v>0</v>
      </c>
    </row>
    <row r="27" spans="1:26" x14ac:dyDescent="0.25">
      <c r="C27" s="82">
        <v>195</v>
      </c>
      <c r="D27" s="46">
        <v>-289111.462</v>
      </c>
      <c r="E27" s="46">
        <v>-163552.06299999999</v>
      </c>
      <c r="F27" s="46">
        <v>237306.693</v>
      </c>
      <c r="G27" s="46" t="s">
        <v>168</v>
      </c>
      <c r="H27" s="86">
        <v>195</v>
      </c>
      <c r="I27" s="46">
        <v>2516757.3509999998</v>
      </c>
      <c r="J27" s="46">
        <v>-7724203.7350000003</v>
      </c>
      <c r="K27" s="46">
        <v>-4228336.7300000004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-1.569449666688381</v>
      </c>
      <c r="T27" s="85">
        <f t="shared" si="6"/>
        <v>-0.19099523201102772</v>
      </c>
      <c r="U27" s="85">
        <f t="shared" si="7"/>
        <v>0.19577465611394312</v>
      </c>
      <c r="V27" s="85">
        <f t="shared" si="8"/>
        <v>9.511254557077041E-2</v>
      </c>
      <c r="W27" s="85">
        <f t="shared" si="9"/>
        <v>-2.632182622106463</v>
      </c>
      <c r="X27" s="85">
        <f t="shared" si="10"/>
        <v>-2.4135241889192333E-2</v>
      </c>
      <c r="Y27" s="1">
        <f t="shared" si="11"/>
        <v>0</v>
      </c>
    </row>
    <row r="28" spans="1:26" x14ac:dyDescent="0.25">
      <c r="C28" s="82">
        <v>210</v>
      </c>
      <c r="D28" s="46">
        <v>-317310.25699999998</v>
      </c>
      <c r="E28" s="46">
        <v>-385669.50599999999</v>
      </c>
      <c r="F28" s="46">
        <v>421208.91899999999</v>
      </c>
      <c r="G28" s="46" t="s">
        <v>169</v>
      </c>
      <c r="H28" s="86">
        <v>210</v>
      </c>
      <c r="I28" s="46">
        <v>6696321.0379999997</v>
      </c>
      <c r="J28" s="46">
        <v>-7413587.1940000001</v>
      </c>
      <c r="K28" s="46">
        <v>-7406032.483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-1.722527614921938</v>
      </c>
      <c r="T28" s="85">
        <f t="shared" si="6"/>
        <v>-0.45038280426978444</v>
      </c>
      <c r="U28" s="85">
        <f t="shared" si="7"/>
        <v>0.34749138436373861</v>
      </c>
      <c r="V28" s="85">
        <f t="shared" si="8"/>
        <v>0.25306537383519245</v>
      </c>
      <c r="W28" s="85">
        <f t="shared" si="9"/>
        <v>-2.5263335935969864</v>
      </c>
      <c r="X28" s="85">
        <f t="shared" si="10"/>
        <v>-4.2273450964351339E-2</v>
      </c>
      <c r="Y28" s="1">
        <f t="shared" si="11"/>
        <v>0</v>
      </c>
    </row>
    <row r="29" spans="1:26" x14ac:dyDescent="0.25">
      <c r="C29" s="82">
        <v>225</v>
      </c>
      <c r="D29" s="46">
        <v>-253022.253</v>
      </c>
      <c r="E29" s="46">
        <v>-576078.74199999997</v>
      </c>
      <c r="F29" s="46">
        <v>691845.52500000002</v>
      </c>
      <c r="G29" s="46" t="s">
        <v>170</v>
      </c>
      <c r="H29" s="86">
        <v>225</v>
      </c>
      <c r="I29" s="46">
        <v>10977342.681</v>
      </c>
      <c r="J29" s="46">
        <v>-8115011.551</v>
      </c>
      <c r="K29" s="46">
        <v>-10718036.339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-1.3735383851214906</v>
      </c>
      <c r="T29" s="85">
        <f t="shared" si="6"/>
        <v>-0.67274170051227655</v>
      </c>
      <c r="U29" s="85">
        <f t="shared" si="7"/>
        <v>0.57076274599994292</v>
      </c>
      <c r="V29" s="85">
        <f t="shared" si="8"/>
        <v>0.41485247100906375</v>
      </c>
      <c r="W29" s="85">
        <f t="shared" si="9"/>
        <v>-2.7653584907332087</v>
      </c>
      <c r="X29" s="85">
        <f t="shared" si="10"/>
        <v>-6.1178287382736049E-2</v>
      </c>
      <c r="Y29" s="1">
        <f t="shared" si="11"/>
        <v>0</v>
      </c>
    </row>
    <row r="30" spans="1:26" x14ac:dyDescent="0.25">
      <c r="C30" s="82">
        <v>240</v>
      </c>
      <c r="D30" s="46">
        <v>-103608.13499999999</v>
      </c>
      <c r="E30" s="46">
        <v>-712225.5</v>
      </c>
      <c r="F30" s="46">
        <v>885061.10800000001</v>
      </c>
      <c r="G30" s="46" t="s">
        <v>171</v>
      </c>
      <c r="H30" s="86">
        <v>240</v>
      </c>
      <c r="I30" s="46">
        <v>13037055.597999999</v>
      </c>
      <c r="J30" s="46">
        <v>-6401897.6639999999</v>
      </c>
      <c r="K30" s="46">
        <v>-12199493.664999999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-0.56243966191127615</v>
      </c>
      <c r="T30" s="85">
        <f t="shared" si="6"/>
        <v>-0.83173316264846042</v>
      </c>
      <c r="U30" s="85">
        <f t="shared" si="7"/>
        <v>0.73016286168770417</v>
      </c>
      <c r="V30" s="85">
        <f t="shared" si="8"/>
        <v>0.4926925292105534</v>
      </c>
      <c r="W30" s="85">
        <f t="shared" si="9"/>
        <v>-2.1815794038846335</v>
      </c>
      <c r="X30" s="85">
        <f t="shared" si="10"/>
        <v>-6.96344093036423E-2</v>
      </c>
      <c r="Y30" s="1">
        <f t="shared" si="11"/>
        <v>0</v>
      </c>
    </row>
    <row r="31" spans="1:26" x14ac:dyDescent="0.25">
      <c r="C31" s="87">
        <v>255</v>
      </c>
      <c r="D31" s="46">
        <v>-37004.815999999999</v>
      </c>
      <c r="E31" s="46">
        <v>-724156.66200000001</v>
      </c>
      <c r="F31" s="46">
        <v>874607.32299999997</v>
      </c>
      <c r="G31" s="46" t="s">
        <v>172</v>
      </c>
      <c r="H31" s="86">
        <v>255</v>
      </c>
      <c r="I31" s="46">
        <v>13173471.404999999</v>
      </c>
      <c r="J31" s="46">
        <v>3134954.5860000001</v>
      </c>
      <c r="K31" s="46">
        <v>-3336938.665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-0.20088167980370444</v>
      </c>
      <c r="T31" s="85">
        <f t="shared" si="6"/>
        <v>-0.84566631037250439</v>
      </c>
      <c r="U31" s="85">
        <f t="shared" si="7"/>
        <v>0.72153863732390122</v>
      </c>
      <c r="V31" s="85">
        <f t="shared" si="8"/>
        <v>0.49784791483193858</v>
      </c>
      <c r="W31" s="85">
        <f t="shared" si="9"/>
        <v>1.0683007939021123</v>
      </c>
      <c r="X31" s="85">
        <f t="shared" si="10"/>
        <v>-1.9047163693884317E-2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50955.646000000001</v>
      </c>
      <c r="E32" s="46">
        <v>-644786.94499999995</v>
      </c>
      <c r="F32" s="46">
        <v>782522.71699999995</v>
      </c>
      <c r="G32" s="46" t="s">
        <v>159</v>
      </c>
      <c r="H32" s="86">
        <v>270</v>
      </c>
      <c r="I32" s="46">
        <v>11966851.228</v>
      </c>
      <c r="J32" s="46">
        <v>648705.22499999998</v>
      </c>
      <c r="K32" s="46">
        <v>-1474217.9890000001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0.27661415108679133</v>
      </c>
      <c r="T32" s="85">
        <f t="shared" si="6"/>
        <v>-0.75297877568170313</v>
      </c>
      <c r="U32" s="85">
        <f t="shared" si="7"/>
        <v>0.64557014336727292</v>
      </c>
      <c r="V32" s="85">
        <f t="shared" si="8"/>
        <v>0.45224768383393504</v>
      </c>
      <c r="W32" s="85">
        <f t="shared" si="9"/>
        <v>0.22105975951638501</v>
      </c>
      <c r="X32" s="85">
        <f t="shared" si="10"/>
        <v>-8.4147999636522992E-3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35458.953999999998</v>
      </c>
      <c r="E33" s="46">
        <v>-565291.49100000004</v>
      </c>
      <c r="F33" s="46">
        <v>701358.69700000004</v>
      </c>
      <c r="G33" s="46" t="s">
        <v>173</v>
      </c>
      <c r="H33" s="86">
        <v>285</v>
      </c>
      <c r="I33" s="46">
        <v>11022852.749</v>
      </c>
      <c r="J33" s="46">
        <v>7555608.3679999998</v>
      </c>
      <c r="K33" s="46">
        <v>2768841.102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0.19248992465203138</v>
      </c>
      <c r="T33" s="85">
        <f t="shared" si="6"/>
        <v>-0.66014440598896518</v>
      </c>
      <c r="U33" s="85">
        <f t="shared" si="7"/>
        <v>0.57861097797902494</v>
      </c>
      <c r="V33" s="85">
        <f t="shared" si="8"/>
        <v>0.41657237396866331</v>
      </c>
      <c r="W33" s="85">
        <f t="shared" si="9"/>
        <v>2.5747302541459662</v>
      </c>
      <c r="X33" s="85">
        <f t="shared" si="10"/>
        <v>1.5804476799440675E-2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96803.070999999996</v>
      </c>
      <c r="E34" s="46">
        <v>-511021.51299999998</v>
      </c>
      <c r="F34" s="46">
        <v>673185.15099999995</v>
      </c>
      <c r="G34" s="46" t="s">
        <v>174</v>
      </c>
      <c r="H34" s="86">
        <v>300</v>
      </c>
      <c r="I34" s="46">
        <v>10249244.626</v>
      </c>
      <c r="J34" s="46">
        <v>10605832.1</v>
      </c>
      <c r="K34" s="46">
        <v>4169659.8760000002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0.52549818144311999</v>
      </c>
      <c r="T34" s="85">
        <f t="shared" si="6"/>
        <v>-0.59676821342242214</v>
      </c>
      <c r="U34" s="85">
        <f t="shared" si="7"/>
        <v>0.5553682021013957</v>
      </c>
      <c r="V34" s="85">
        <f t="shared" si="8"/>
        <v>0.38733640577986683</v>
      </c>
      <c r="W34" s="85">
        <f t="shared" si="9"/>
        <v>3.6141572522360317</v>
      </c>
      <c r="X34" s="85">
        <f t="shared" si="10"/>
        <v>2.3800315852072571E-2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173080.20300000001</v>
      </c>
      <c r="E35" s="46">
        <v>-389575.19900000002</v>
      </c>
      <c r="F35" s="46">
        <v>539362.125</v>
      </c>
      <c r="G35" s="46" t="s">
        <v>175</v>
      </c>
      <c r="H35" s="86">
        <v>315</v>
      </c>
      <c r="I35" s="46">
        <v>8022618.5630000001</v>
      </c>
      <c r="J35" s="46">
        <v>8753827.5020000003</v>
      </c>
      <c r="K35" s="46">
        <v>2694631.594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0.93957072829131671</v>
      </c>
      <c r="T35" s="85">
        <f t="shared" si="6"/>
        <v>-0.45494385184702502</v>
      </c>
      <c r="U35" s="85">
        <f t="shared" si="7"/>
        <v>0.44496610360147154</v>
      </c>
      <c r="V35" s="85">
        <f t="shared" si="8"/>
        <v>0.30318841558843873</v>
      </c>
      <c r="W35" s="85">
        <f t="shared" si="9"/>
        <v>2.9830482750312939</v>
      </c>
      <c r="X35" s="85">
        <f t="shared" si="10"/>
        <v>1.5380890755937951E-2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163476.96599999999</v>
      </c>
      <c r="E36" s="46">
        <v>-219714.23199999999</v>
      </c>
      <c r="F36" s="46">
        <v>322477.21000000002</v>
      </c>
      <c r="G36" s="46" t="s">
        <v>176</v>
      </c>
      <c r="H36" s="86">
        <v>330</v>
      </c>
      <c r="I36" s="46">
        <v>4527888.9579999996</v>
      </c>
      <c r="J36" s="46">
        <v>5548692.5049999999</v>
      </c>
      <c r="K36" s="46">
        <v>1537770.1880000001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0.88743928734284416</v>
      </c>
      <c r="T36" s="85">
        <f t="shared" si="6"/>
        <v>-0.25658111519488919</v>
      </c>
      <c r="U36" s="85">
        <f t="shared" si="7"/>
        <v>0.26603912470489749</v>
      </c>
      <c r="V36" s="85">
        <f t="shared" si="8"/>
        <v>0.17111663334808438</v>
      </c>
      <c r="W36" s="85">
        <f t="shared" si="9"/>
        <v>1.8908320505444796</v>
      </c>
      <c r="X36" s="85">
        <f t="shared" si="10"/>
        <v>8.7775543499272746E-3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98961.047999999995</v>
      </c>
      <c r="E37" s="46">
        <v>-67999.985000000001</v>
      </c>
      <c r="F37" s="46">
        <v>161594.43700000001</v>
      </c>
      <c r="G37" s="46" t="s">
        <v>177</v>
      </c>
      <c r="H37" s="86">
        <v>345</v>
      </c>
      <c r="I37" s="46">
        <v>1327159.7660000001</v>
      </c>
      <c r="J37" s="46">
        <v>3120618.0419999999</v>
      </c>
      <c r="K37" s="46">
        <v>180404.427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0.53721282001172566</v>
      </c>
      <c r="T37" s="85">
        <f t="shared" si="6"/>
        <v>-7.9410021944030185E-2</v>
      </c>
      <c r="U37" s="85">
        <f t="shared" si="7"/>
        <v>0.13331311870584808</v>
      </c>
      <c r="V37" s="85">
        <f t="shared" si="8"/>
        <v>5.0155627308771891E-2</v>
      </c>
      <c r="W37" s="85">
        <f t="shared" si="9"/>
        <v>1.0634153191952667</v>
      </c>
      <c r="X37" s="85">
        <f t="shared" si="10"/>
        <v>1.0297440250285222E-3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0.24662048075043974</v>
      </c>
      <c r="T38" s="85">
        <f t="shared" si="12"/>
        <v>3.296052655395813E-3</v>
      </c>
      <c r="U38" s="85">
        <f t="shared" si="12"/>
        <v>5.1361805326364189E-2</v>
      </c>
      <c r="V38" s="85">
        <f t="shared" si="12"/>
        <v>-1.1648627978374719E-3</v>
      </c>
      <c r="W38" s="85">
        <f t="shared" si="12"/>
        <v>0.209658536984317</v>
      </c>
      <c r="X38" s="85">
        <f t="shared" si="12"/>
        <v>-4.016012740831175E-4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J67"/>
  <sheetViews>
    <sheetView topLeftCell="A3" zoomScale="85" zoomScaleNormal="85" workbookViewId="0">
      <selection activeCell="H32" activeCellId="1" sqref="I161:O185 H32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0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Reference_FSTs_full!Afx</f>
        <v>1360</v>
      </c>
      <c r="T5" s="63">
        <f>Reference_FSTs_full!Afy</f>
        <v>6322</v>
      </c>
      <c r="U5" s="63">
        <f>Reference_FSTs_full!Afz</f>
        <v>8949</v>
      </c>
      <c r="V5" s="63">
        <f>Reference_FSTs_full!Amx</f>
        <v>195355</v>
      </c>
      <c r="W5" s="63">
        <f>Reference_FSTs_full!Amy</f>
        <v>21665</v>
      </c>
      <c r="X5" s="63">
        <f>Reference_FSTs_full!Amz</f>
        <v>1293418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Reference_FSTs_full!rho</f>
        <v>1.204</v>
      </c>
      <c r="E7" s="66">
        <f>Reference_FSTs_full!U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184211.99999999997</v>
      </c>
      <c r="T7" s="48">
        <f t="shared" si="0"/>
        <v>856314.89999999991</v>
      </c>
      <c r="U7" s="48">
        <f t="shared" si="0"/>
        <v>1212142.0499999998</v>
      </c>
      <c r="V7" s="48">
        <f t="shared" si="0"/>
        <v>26460834.749999996</v>
      </c>
      <c r="W7" s="48">
        <f t="shared" si="0"/>
        <v>2934524.2499999995</v>
      </c>
      <c r="X7" s="48">
        <f t="shared" si="0"/>
        <v>175193468.09999999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184211.99999999997</v>
      </c>
      <c r="T9" s="48">
        <f t="shared" si="1"/>
        <v>856314.89999999991</v>
      </c>
      <c r="U9" s="48">
        <f t="shared" si="1"/>
        <v>1212142.0499999998</v>
      </c>
      <c r="V9" s="48">
        <f t="shared" si="1"/>
        <v>26460834.749999996</v>
      </c>
      <c r="W9" s="48">
        <f t="shared" si="1"/>
        <v>2934524.2499999995</v>
      </c>
      <c r="X9" s="48">
        <f t="shared" si="1"/>
        <v>175193468.09999999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209369.62700000001</v>
      </c>
      <c r="E14" s="46">
        <v>-14737.472</v>
      </c>
      <c r="F14" s="46">
        <v>160201.215</v>
      </c>
      <c r="G14" s="46" t="s">
        <v>154</v>
      </c>
      <c r="H14" s="82">
        <v>0</v>
      </c>
      <c r="I14" s="46">
        <v>225837.204</v>
      </c>
      <c r="J14" s="46">
        <v>6635836.8830000004</v>
      </c>
      <c r="K14" s="46">
        <v>237333.78899999999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1.1365688825917966</v>
      </c>
      <c r="T14" s="85">
        <f t="shared" ref="T14:T37" si="6">E14*(1-2*$N14*T$11)/T$9</f>
        <v>-1.7210341662862578E-2</v>
      </c>
      <c r="U14" s="85">
        <f t="shared" ref="U14:U37" si="7">F14*(1-2*$N14*U$11)/U$9</f>
        <v>0.13216373031527123</v>
      </c>
      <c r="V14" s="85">
        <f t="shared" ref="V14:V37" si="8">(I14+F14*dy-E14*dz)*(1-2*$N14*V$11)/V$9</f>
        <v>8.5347724716054174E-3</v>
      </c>
      <c r="W14" s="85">
        <f t="shared" ref="W14:W37" si="9">(J14+D14*dz-F14*dx)*(1-2*$N14*W$11)/W$9</f>
        <v>2.2612990446407117</v>
      </c>
      <c r="X14" s="85">
        <f t="shared" ref="X14:X37" si="10">(K14+E14*dx-D14*dy)*(1-2*$N14*X$11)/X$9</f>
        <v>1.3546954208619837E-3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363190.53100000002</v>
      </c>
      <c r="E15" s="46">
        <v>115406.105</v>
      </c>
      <c r="F15" s="46">
        <v>161668.658</v>
      </c>
      <c r="G15" s="46" t="s">
        <v>160</v>
      </c>
      <c r="H15" s="82">
        <v>15</v>
      </c>
      <c r="I15" s="46">
        <v>-1493347.5889999999</v>
      </c>
      <c r="J15" s="46">
        <v>5411136.8909999998</v>
      </c>
      <c r="K15" s="46">
        <v>-544025.42599999998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1.9715899669945502</v>
      </c>
      <c r="T15" s="85">
        <f t="shared" si="6"/>
        <v>0.13477063753065607</v>
      </c>
      <c r="U15" s="85">
        <f t="shared" si="7"/>
        <v>0.13337434997820596</v>
      </c>
      <c r="V15" s="85">
        <f t="shared" si="8"/>
        <v>-5.6436148107534667E-2</v>
      </c>
      <c r="W15" s="85">
        <f t="shared" si="9"/>
        <v>1.8439571221808784</v>
      </c>
      <c r="X15" s="85">
        <f t="shared" si="10"/>
        <v>-3.1052837294679937E-3</v>
      </c>
      <c r="Y15" s="1">
        <f t="shared" si="11"/>
        <v>0</v>
      </c>
    </row>
    <row r="16" spans="1:26" x14ac:dyDescent="0.25">
      <c r="C16" s="82">
        <v>30</v>
      </c>
      <c r="D16" s="46">
        <v>471007.951</v>
      </c>
      <c r="E16" s="46">
        <v>303675.82400000002</v>
      </c>
      <c r="F16" s="46">
        <v>257227.84099999999</v>
      </c>
      <c r="G16" s="46" t="s">
        <v>155</v>
      </c>
      <c r="H16" s="82">
        <v>30</v>
      </c>
      <c r="I16" s="46">
        <v>-3806736.44</v>
      </c>
      <c r="J16" s="46">
        <v>6089692.227</v>
      </c>
      <c r="K16" s="46">
        <v>-3747409.8360000001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2.5568798503897687</v>
      </c>
      <c r="T16" s="85">
        <f t="shared" si="6"/>
        <v>0.35463101716436329</v>
      </c>
      <c r="U16" s="85">
        <f t="shared" si="7"/>
        <v>0.21220932068151585</v>
      </c>
      <c r="V16" s="85">
        <f t="shared" si="8"/>
        <v>-0.14386305178826608</v>
      </c>
      <c r="W16" s="85">
        <f t="shared" si="9"/>
        <v>2.0751889261095733</v>
      </c>
      <c r="X16" s="85">
        <f t="shared" si="10"/>
        <v>-2.1390123025939459E-2</v>
      </c>
      <c r="Y16" s="1">
        <f t="shared" si="11"/>
        <v>0</v>
      </c>
    </row>
    <row r="17" spans="1:26" x14ac:dyDescent="0.25">
      <c r="C17" s="82">
        <v>45</v>
      </c>
      <c r="D17" s="46">
        <v>396645.054</v>
      </c>
      <c r="E17" s="46">
        <v>512295.97399999999</v>
      </c>
      <c r="F17" s="46">
        <v>404630.89</v>
      </c>
      <c r="G17" s="46" t="s">
        <v>156</v>
      </c>
      <c r="H17" s="82">
        <v>45</v>
      </c>
      <c r="I17" s="46">
        <v>-6467554.6469999999</v>
      </c>
      <c r="J17" s="46">
        <v>4234482.2879999997</v>
      </c>
      <c r="K17" s="46">
        <v>-6404578.2460000003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2.1531987818383169</v>
      </c>
      <c r="T17" s="85">
        <f t="shared" si="6"/>
        <v>0.5982565222209727</v>
      </c>
      <c r="U17" s="85">
        <f t="shared" si="7"/>
        <v>0.33381474555725549</v>
      </c>
      <c r="V17" s="85">
        <f t="shared" si="8"/>
        <v>-0.24441990239933761</v>
      </c>
      <c r="W17" s="85">
        <f t="shared" si="9"/>
        <v>1.4429876624805538</v>
      </c>
      <c r="X17" s="85">
        <f t="shared" si="10"/>
        <v>-3.6557174850516017E-2</v>
      </c>
      <c r="Y17" s="1">
        <f t="shared" si="11"/>
        <v>0</v>
      </c>
    </row>
    <row r="18" spans="1:26" x14ac:dyDescent="0.25">
      <c r="C18" s="82">
        <v>60</v>
      </c>
      <c r="D18" s="46">
        <v>218482.106</v>
      </c>
      <c r="E18" s="46">
        <v>628256.97400000005</v>
      </c>
      <c r="F18" s="46">
        <v>531087.93299999996</v>
      </c>
      <c r="G18" s="46" t="s">
        <v>157</v>
      </c>
      <c r="H18" s="86">
        <v>60</v>
      </c>
      <c r="I18" s="46">
        <v>-6879020.5779999997</v>
      </c>
      <c r="J18" s="46">
        <v>4965341.5760000004</v>
      </c>
      <c r="K18" s="46">
        <v>-4974959.1629999997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1.1860362299958744</v>
      </c>
      <c r="T18" s="85">
        <f t="shared" si="6"/>
        <v>0.73367516319055071</v>
      </c>
      <c r="U18" s="85">
        <f t="shared" si="7"/>
        <v>0.43814001255050927</v>
      </c>
      <c r="V18" s="85">
        <f t="shared" si="8"/>
        <v>-0.25996990053384467</v>
      </c>
      <c r="W18" s="85">
        <f t="shared" si="9"/>
        <v>1.6920431228332842</v>
      </c>
      <c r="X18" s="85">
        <f t="shared" si="10"/>
        <v>-2.8396944343611633E-2</v>
      </c>
      <c r="Y18" s="1">
        <f t="shared" si="11"/>
        <v>0</v>
      </c>
    </row>
    <row r="19" spans="1:26" x14ac:dyDescent="0.25">
      <c r="C19" s="82">
        <v>75</v>
      </c>
      <c r="D19" s="46">
        <v>31113.710999999999</v>
      </c>
      <c r="E19" s="46">
        <v>701370.49399999995</v>
      </c>
      <c r="F19" s="46">
        <v>577400.16500000004</v>
      </c>
      <c r="G19" s="46" t="s">
        <v>161</v>
      </c>
      <c r="H19" s="86">
        <v>75</v>
      </c>
      <c r="I19" s="46">
        <v>-7137168.9440000001</v>
      </c>
      <c r="J19" s="46">
        <v>2141913.1770000001</v>
      </c>
      <c r="K19" s="46">
        <v>-2813892.872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0.16890165135821772</v>
      </c>
      <c r="T19" s="85">
        <f t="shared" si="6"/>
        <v>0.81905674419538887</v>
      </c>
      <c r="U19" s="85">
        <f t="shared" si="7"/>
        <v>0.47634694712554532</v>
      </c>
      <c r="V19" s="85">
        <f t="shared" si="8"/>
        <v>-0.26972576683356525</v>
      </c>
      <c r="W19" s="85">
        <f t="shared" si="9"/>
        <v>0.729901338181138</v>
      </c>
      <c r="X19" s="85">
        <f t="shared" si="10"/>
        <v>-1.6061631192744223E-2</v>
      </c>
      <c r="Y19" s="1">
        <f t="shared" si="11"/>
        <v>0</v>
      </c>
    </row>
    <row r="20" spans="1:26" x14ac:dyDescent="0.25">
      <c r="C20" s="82">
        <v>90</v>
      </c>
      <c r="D20" s="46">
        <v>-75230.301999999996</v>
      </c>
      <c r="E20" s="46">
        <v>653516.00399999996</v>
      </c>
      <c r="F20" s="46">
        <v>504881.98300000001</v>
      </c>
      <c r="G20" s="46" t="s">
        <v>158</v>
      </c>
      <c r="H20" s="86">
        <v>90</v>
      </c>
      <c r="I20" s="46">
        <v>-6849541.0779999997</v>
      </c>
      <c r="J20" s="46">
        <v>-1114539.584</v>
      </c>
      <c r="K20" s="46">
        <v>259014.717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-0.40838980088159299</v>
      </c>
      <c r="T20" s="85">
        <f t="shared" si="6"/>
        <v>0.76317252450004081</v>
      </c>
      <c r="U20" s="85">
        <f t="shared" si="7"/>
        <v>0.41652047546737619</v>
      </c>
      <c r="V20" s="85">
        <f t="shared" si="8"/>
        <v>-0.25885582003417335</v>
      </c>
      <c r="W20" s="85">
        <f t="shared" si="9"/>
        <v>-0.37980247871524669</v>
      </c>
      <c r="X20" s="85">
        <f t="shared" si="10"/>
        <v>1.4784496237733877E-3</v>
      </c>
      <c r="Y20" s="1">
        <f t="shared" si="11"/>
        <v>0</v>
      </c>
    </row>
    <row r="21" spans="1:26" x14ac:dyDescent="0.25">
      <c r="C21" s="82">
        <v>105</v>
      </c>
      <c r="D21" s="46">
        <v>-118402.37699999999</v>
      </c>
      <c r="E21" s="46">
        <v>555208.00899999996</v>
      </c>
      <c r="F21" s="46">
        <v>402363.67599999998</v>
      </c>
      <c r="G21" s="46" t="s">
        <v>162</v>
      </c>
      <c r="H21" s="86">
        <v>105</v>
      </c>
      <c r="I21" s="46">
        <v>-6148517.0899999999</v>
      </c>
      <c r="J21" s="46">
        <v>-5661587.7089999998</v>
      </c>
      <c r="K21" s="46">
        <v>2586115.3110000002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-0.64275061885219209</v>
      </c>
      <c r="T21" s="85">
        <f t="shared" si="6"/>
        <v>0.6483689691724388</v>
      </c>
      <c r="U21" s="85">
        <f t="shared" si="7"/>
        <v>0.3319443261621029</v>
      </c>
      <c r="V21" s="85">
        <f t="shared" si="8"/>
        <v>-0.232362929895853</v>
      </c>
      <c r="W21" s="85">
        <f t="shared" si="9"/>
        <v>-1.9293034327455296</v>
      </c>
      <c r="X21" s="85">
        <f t="shared" si="10"/>
        <v>1.4761482485887271E-2</v>
      </c>
      <c r="Y21" s="1">
        <f t="shared" si="11"/>
        <v>0</v>
      </c>
    </row>
    <row r="22" spans="1:26" x14ac:dyDescent="0.25">
      <c r="C22" s="82">
        <v>120</v>
      </c>
      <c r="D22" s="46">
        <v>-244939.44699999999</v>
      </c>
      <c r="E22" s="46">
        <v>499085.25599999999</v>
      </c>
      <c r="F22" s="46">
        <v>457479.57699999999</v>
      </c>
      <c r="G22" s="46" t="s">
        <v>163</v>
      </c>
      <c r="H22" s="86">
        <v>120</v>
      </c>
      <c r="I22" s="46">
        <v>-6365878.5769999996</v>
      </c>
      <c r="J22" s="46">
        <v>-7081798.1540000001</v>
      </c>
      <c r="K22" s="46">
        <v>3054687.3629999999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-1.3296606464291145</v>
      </c>
      <c r="T22" s="85">
        <f t="shared" si="6"/>
        <v>0.582829115784392</v>
      </c>
      <c r="U22" s="85">
        <f t="shared" si="7"/>
        <v>0.37741416280377377</v>
      </c>
      <c r="V22" s="85">
        <f t="shared" si="8"/>
        <v>-0.24057739059044614</v>
      </c>
      <c r="W22" s="85">
        <f t="shared" si="9"/>
        <v>-2.4132695969372211</v>
      </c>
      <c r="X22" s="85">
        <f t="shared" si="10"/>
        <v>1.7436080215367345E-2</v>
      </c>
      <c r="Y22" s="1">
        <f t="shared" si="11"/>
        <v>0</v>
      </c>
    </row>
    <row r="23" spans="1:26" x14ac:dyDescent="0.25">
      <c r="C23" s="82">
        <v>135</v>
      </c>
      <c r="D23" s="46">
        <v>-339635.054</v>
      </c>
      <c r="E23" s="46">
        <v>402418.26199999999</v>
      </c>
      <c r="F23" s="46">
        <v>393595.174</v>
      </c>
      <c r="G23" s="46" t="s">
        <v>164</v>
      </c>
      <c r="H23" s="86">
        <v>135</v>
      </c>
      <c r="I23" s="46">
        <v>-5656546.4460000005</v>
      </c>
      <c r="J23" s="46">
        <v>-8869736.443</v>
      </c>
      <c r="K23" s="46">
        <v>1551398.327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-1.8437184005385103</v>
      </c>
      <c r="T23" s="85">
        <f t="shared" si="6"/>
        <v>0.46994191272392905</v>
      </c>
      <c r="U23" s="85">
        <f t="shared" si="7"/>
        <v>0.32471043637171076</v>
      </c>
      <c r="V23" s="85">
        <f t="shared" si="8"/>
        <v>-0.21377052158190138</v>
      </c>
      <c r="W23" s="85">
        <f t="shared" si="9"/>
        <v>-3.0225466506197729</v>
      </c>
      <c r="X23" s="85">
        <f t="shared" si="10"/>
        <v>8.8553434316082247E-3</v>
      </c>
      <c r="Y23" s="1">
        <f t="shared" si="11"/>
        <v>0</v>
      </c>
    </row>
    <row r="24" spans="1:26" x14ac:dyDescent="0.25">
      <c r="C24" s="82">
        <v>150</v>
      </c>
      <c r="D24" s="46">
        <v>-377097.56699999998</v>
      </c>
      <c r="E24" s="46">
        <v>262696.36</v>
      </c>
      <c r="F24" s="46">
        <v>295665.88199999998</v>
      </c>
      <c r="G24" s="46" t="s">
        <v>165</v>
      </c>
      <c r="H24" s="86">
        <v>150</v>
      </c>
      <c r="I24" s="46">
        <v>-3990673.2749999999</v>
      </c>
      <c r="J24" s="46">
        <v>-7824489.7599999998</v>
      </c>
      <c r="K24" s="46">
        <v>1031172.499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-2.0470847013223898</v>
      </c>
      <c r="T24" s="85">
        <f t="shared" si="6"/>
        <v>0.30677541638011907</v>
      </c>
      <c r="U24" s="85">
        <f t="shared" si="7"/>
        <v>0.24392015935756048</v>
      </c>
      <c r="V24" s="85">
        <f t="shared" si="8"/>
        <v>-0.15081433797170743</v>
      </c>
      <c r="W24" s="85">
        <f t="shared" si="9"/>
        <v>-2.6663571650498374</v>
      </c>
      <c r="X24" s="85">
        <f t="shared" si="10"/>
        <v>5.8859072212179122E-3</v>
      </c>
      <c r="Y24" s="1">
        <f t="shared" si="11"/>
        <v>0</v>
      </c>
    </row>
    <row r="25" spans="1:26" x14ac:dyDescent="0.25">
      <c r="C25" s="82">
        <v>165</v>
      </c>
      <c r="D25" s="46">
        <v>-259890.44099999999</v>
      </c>
      <c r="E25" s="46">
        <v>128353.531</v>
      </c>
      <c r="F25" s="46">
        <v>149964.266</v>
      </c>
      <c r="G25" s="46" t="s">
        <v>166</v>
      </c>
      <c r="H25" s="86">
        <v>165</v>
      </c>
      <c r="I25" s="46">
        <v>-1919056.202</v>
      </c>
      <c r="J25" s="46">
        <v>-5102652.8899999997</v>
      </c>
      <c r="K25" s="46">
        <v>-76580.547999999995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-1.4108225359911408</v>
      </c>
      <c r="T25" s="85">
        <f t="shared" si="6"/>
        <v>0.14989057296562283</v>
      </c>
      <c r="U25" s="85">
        <f t="shared" si="7"/>
        <v>0.12371839257618365</v>
      </c>
      <c r="V25" s="85">
        <f t="shared" si="8"/>
        <v>-7.2524401445800968E-2</v>
      </c>
      <c r="W25" s="85">
        <f t="shared" si="9"/>
        <v>-1.7388348009051213</v>
      </c>
      <c r="X25" s="85">
        <f t="shared" si="10"/>
        <v>-4.3711988141183444E-4</v>
      </c>
      <c r="Y25" s="1">
        <f t="shared" si="11"/>
        <v>0</v>
      </c>
    </row>
    <row r="26" spans="1:26" x14ac:dyDescent="0.25">
      <c r="C26" s="82">
        <v>180</v>
      </c>
      <c r="D26" s="46">
        <v>-60416.209000000003</v>
      </c>
      <c r="E26" s="46">
        <v>11186.308000000001</v>
      </c>
      <c r="F26" s="46">
        <v>66239.019</v>
      </c>
      <c r="G26" s="46" t="s">
        <v>167</v>
      </c>
      <c r="H26" s="86">
        <v>180</v>
      </c>
      <c r="I26" s="46">
        <v>-248434.128</v>
      </c>
      <c r="J26" s="46">
        <v>-946680.59</v>
      </c>
      <c r="K26" s="46">
        <v>377920.86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-0.32797108223134219</v>
      </c>
      <c r="T26" s="85">
        <f t="shared" si="6"/>
        <v>1.3063311172093353E-2</v>
      </c>
      <c r="U26" s="85">
        <f t="shared" si="7"/>
        <v>5.464625123763342E-2</v>
      </c>
      <c r="V26" s="85">
        <f t="shared" si="8"/>
        <v>-9.3887487052916972E-3</v>
      </c>
      <c r="W26" s="85">
        <f t="shared" si="9"/>
        <v>-0.32260104512682086</v>
      </c>
      <c r="X26" s="85">
        <f t="shared" si="10"/>
        <v>2.1571629587484602E-3</v>
      </c>
      <c r="Y26" s="1">
        <f t="shared" si="11"/>
        <v>0</v>
      </c>
    </row>
    <row r="27" spans="1:26" x14ac:dyDescent="0.25">
      <c r="C27" s="82">
        <v>195</v>
      </c>
      <c r="D27" s="46">
        <v>-101946.30100000001</v>
      </c>
      <c r="E27" s="46">
        <v>-68563.332999999999</v>
      </c>
      <c r="F27" s="46">
        <v>161291.04699999999</v>
      </c>
      <c r="G27" s="46" t="s">
        <v>168</v>
      </c>
      <c r="H27" s="86">
        <v>195</v>
      </c>
      <c r="I27" s="46">
        <v>1309583.943</v>
      </c>
      <c r="J27" s="46">
        <v>-3176990.0380000002</v>
      </c>
      <c r="K27" s="46">
        <v>-88570.894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-0.55341834951034685</v>
      </c>
      <c r="T27" s="85">
        <f t="shared" si="6"/>
        <v>-8.0067896751533821E-2</v>
      </c>
      <c r="U27" s="85">
        <f t="shared" si="7"/>
        <v>0.13306282625868809</v>
      </c>
      <c r="V27" s="85">
        <f t="shared" si="8"/>
        <v>4.949140703129179E-2</v>
      </c>
      <c r="W27" s="85">
        <f t="shared" si="9"/>
        <v>-1.0826252459832291</v>
      </c>
      <c r="X27" s="85">
        <f t="shared" si="10"/>
        <v>-5.0556048099603776E-4</v>
      </c>
      <c r="Y27" s="1">
        <f t="shared" si="11"/>
        <v>0</v>
      </c>
    </row>
    <row r="28" spans="1:26" x14ac:dyDescent="0.25">
      <c r="C28" s="82">
        <v>210</v>
      </c>
      <c r="D28" s="46">
        <v>-162365.489</v>
      </c>
      <c r="E28" s="46">
        <v>-223302.27299999999</v>
      </c>
      <c r="F28" s="46">
        <v>320693.17300000001</v>
      </c>
      <c r="G28" s="46" t="s">
        <v>169</v>
      </c>
      <c r="H28" s="86">
        <v>210</v>
      </c>
      <c r="I28" s="46">
        <v>4516470.57</v>
      </c>
      <c r="J28" s="46">
        <v>-5781628.3870000001</v>
      </c>
      <c r="K28" s="46">
        <v>-1857524.6229999999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-0.88140560332660212</v>
      </c>
      <c r="T28" s="85">
        <f t="shared" si="6"/>
        <v>-0.26077121045073492</v>
      </c>
      <c r="U28" s="85">
        <f t="shared" si="7"/>
        <v>0.26456731948206902</v>
      </c>
      <c r="V28" s="85">
        <f t="shared" si="8"/>
        <v>0.17068511302350359</v>
      </c>
      <c r="W28" s="85">
        <f t="shared" si="9"/>
        <v>-1.9702097834086738</v>
      </c>
      <c r="X28" s="85">
        <f t="shared" si="10"/>
        <v>-1.0602704787713486E-2</v>
      </c>
      <c r="Y28" s="1">
        <f t="shared" si="11"/>
        <v>0</v>
      </c>
    </row>
    <row r="29" spans="1:26" x14ac:dyDescent="0.25">
      <c r="C29" s="82">
        <v>225</v>
      </c>
      <c r="D29" s="46">
        <v>-181312.48</v>
      </c>
      <c r="E29" s="46">
        <v>-394883.58799999999</v>
      </c>
      <c r="F29" s="46">
        <v>557013.13399999996</v>
      </c>
      <c r="G29" s="46" t="s">
        <v>170</v>
      </c>
      <c r="H29" s="86">
        <v>225</v>
      </c>
      <c r="I29" s="46">
        <v>7963108.2070000004</v>
      </c>
      <c r="J29" s="46">
        <v>-9334097.4590000007</v>
      </c>
      <c r="K29" s="46">
        <v>-2837669.9479999999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-0.9842598744924328</v>
      </c>
      <c r="T29" s="85">
        <f t="shared" si="6"/>
        <v>-0.46114296037590846</v>
      </c>
      <c r="U29" s="85">
        <f t="shared" si="7"/>
        <v>0.45952793569037559</v>
      </c>
      <c r="V29" s="85">
        <f t="shared" si="8"/>
        <v>0.30093941790706363</v>
      </c>
      <c r="W29" s="85">
        <f t="shared" si="9"/>
        <v>-3.1807872976343616</v>
      </c>
      <c r="X29" s="85">
        <f t="shared" si="10"/>
        <v>-1.6197350156800738E-2</v>
      </c>
      <c r="Y29" s="1">
        <f t="shared" si="11"/>
        <v>0</v>
      </c>
    </row>
    <row r="30" spans="1:26" x14ac:dyDescent="0.25">
      <c r="C30" s="82">
        <v>240</v>
      </c>
      <c r="D30" s="46">
        <v>-100258.111</v>
      </c>
      <c r="E30" s="46">
        <v>-500597.353</v>
      </c>
      <c r="F30" s="46">
        <v>673305.94700000004</v>
      </c>
      <c r="G30" s="46" t="s">
        <v>171</v>
      </c>
      <c r="H30" s="86">
        <v>240</v>
      </c>
      <c r="I30" s="46">
        <v>9981477.5120000001</v>
      </c>
      <c r="J30" s="46">
        <v>-11151255.905999999</v>
      </c>
      <c r="K30" s="46">
        <v>-3861230.9130000002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-0.54425396282544036</v>
      </c>
      <c r="T30" s="85">
        <f t="shared" si="6"/>
        <v>-0.58459493464378587</v>
      </c>
      <c r="U30" s="85">
        <f t="shared" si="7"/>
        <v>0.5554678570882019</v>
      </c>
      <c r="V30" s="85">
        <f t="shared" si="8"/>
        <v>0.37721703061540801</v>
      </c>
      <c r="W30" s="85">
        <f t="shared" si="9"/>
        <v>-3.800021726179295</v>
      </c>
      <c r="X30" s="85">
        <f t="shared" si="10"/>
        <v>-2.2039810929457823E-2</v>
      </c>
      <c r="Y30" s="1">
        <f t="shared" si="11"/>
        <v>0</v>
      </c>
    </row>
    <row r="31" spans="1:26" x14ac:dyDescent="0.25">
      <c r="C31" s="87">
        <v>255</v>
      </c>
      <c r="D31" s="46">
        <v>-20226.37</v>
      </c>
      <c r="E31" s="46">
        <v>-572090.92599999998</v>
      </c>
      <c r="F31" s="46">
        <v>707364.97499999998</v>
      </c>
      <c r="G31" s="46" t="s">
        <v>172</v>
      </c>
      <c r="H31" s="86">
        <v>255</v>
      </c>
      <c r="I31" s="46">
        <v>11024481.140000001</v>
      </c>
      <c r="J31" s="46">
        <v>-8155180.5870000003</v>
      </c>
      <c r="K31" s="46">
        <v>-3136815.38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-0.10979941589038718</v>
      </c>
      <c r="T31" s="85">
        <f t="shared" si="6"/>
        <v>-0.66808475013105584</v>
      </c>
      <c r="U31" s="85">
        <f t="shared" si="7"/>
        <v>0.5835660721447623</v>
      </c>
      <c r="V31" s="85">
        <f t="shared" si="8"/>
        <v>0.41663391363721064</v>
      </c>
      <c r="W31" s="85">
        <f t="shared" si="9"/>
        <v>-2.7790469228529977</v>
      </c>
      <c r="X31" s="85">
        <f t="shared" si="10"/>
        <v>-1.790486491316853E-2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-3876.1350000000002</v>
      </c>
      <c r="E32" s="46">
        <v>-665128.17200000002</v>
      </c>
      <c r="F32" s="46">
        <v>809665.15500000003</v>
      </c>
      <c r="G32" s="46" t="s">
        <v>159</v>
      </c>
      <c r="H32" s="86">
        <v>270</v>
      </c>
      <c r="I32" s="46">
        <v>12303876.802999999</v>
      </c>
      <c r="J32" s="46">
        <v>-7391842.1220000004</v>
      </c>
      <c r="K32" s="46">
        <v>-2445689.7250000001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-2.1041707380626672E-2</v>
      </c>
      <c r="T32" s="85">
        <f t="shared" si="6"/>
        <v>-0.77673315272220544</v>
      </c>
      <c r="U32" s="85">
        <f t="shared" si="7"/>
        <v>0.66796226976862993</v>
      </c>
      <c r="V32" s="85">
        <f t="shared" si="8"/>
        <v>0.46498445416579315</v>
      </c>
      <c r="W32" s="85">
        <f t="shared" si="9"/>
        <v>-2.5189235093218265</v>
      </c>
      <c r="X32" s="85">
        <f t="shared" si="10"/>
        <v>-1.3959936700402589E-2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35323.110999999997</v>
      </c>
      <c r="E33" s="46">
        <v>-720461.89</v>
      </c>
      <c r="F33" s="46">
        <v>851449.63800000004</v>
      </c>
      <c r="G33" s="46" t="s">
        <v>173</v>
      </c>
      <c r="H33" s="86">
        <v>285</v>
      </c>
      <c r="I33" s="46">
        <v>12731631.552999999</v>
      </c>
      <c r="J33" s="46">
        <v>-2125356.1359999999</v>
      </c>
      <c r="K33" s="46">
        <v>3494664.21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0.19175249712288017</v>
      </c>
      <c r="T33" s="85">
        <f t="shared" si="6"/>
        <v>-0.84135157522075121</v>
      </c>
      <c r="U33" s="85">
        <f t="shared" si="7"/>
        <v>0.70243387563363568</v>
      </c>
      <c r="V33" s="85">
        <f t="shared" si="8"/>
        <v>0.4811500345052418</v>
      </c>
      <c r="W33" s="85">
        <f t="shared" si="9"/>
        <v>-0.72425918306860138</v>
      </c>
      <c r="X33" s="85">
        <f t="shared" si="10"/>
        <v>1.9947457219154165E-2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103203.959</v>
      </c>
      <c r="E34" s="46">
        <v>-715667.152</v>
      </c>
      <c r="F34" s="46">
        <v>898665.326</v>
      </c>
      <c r="G34" s="46" t="s">
        <v>174</v>
      </c>
      <c r="H34" s="86">
        <v>300</v>
      </c>
      <c r="I34" s="46">
        <v>13025011.821</v>
      </c>
      <c r="J34" s="46">
        <v>6217711.4380000001</v>
      </c>
      <c r="K34" s="46">
        <v>12397915.762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0.56024558117820777</v>
      </c>
      <c r="T34" s="85">
        <f t="shared" si="6"/>
        <v>-0.83575230560626712</v>
      </c>
      <c r="U34" s="85">
        <f t="shared" si="7"/>
        <v>0.74138614859537311</v>
      </c>
      <c r="V34" s="85">
        <f t="shared" si="8"/>
        <v>0.49223737437081427</v>
      </c>
      <c r="W34" s="85">
        <f t="shared" si="9"/>
        <v>2.1188141273666425</v>
      </c>
      <c r="X34" s="85">
        <f t="shared" si="10"/>
        <v>7.0766997745163082E-2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254221.41899999999</v>
      </c>
      <c r="E35" s="46">
        <v>-575333.34400000004</v>
      </c>
      <c r="F35" s="46">
        <v>697950.50199999998</v>
      </c>
      <c r="G35" s="46" t="s">
        <v>175</v>
      </c>
      <c r="H35" s="86">
        <v>315</v>
      </c>
      <c r="I35" s="46">
        <v>10948585.210000001</v>
      </c>
      <c r="J35" s="46">
        <v>7582922.5070000002</v>
      </c>
      <c r="K35" s="46">
        <v>10803207.491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1.3800480913295552</v>
      </c>
      <c r="T35" s="85">
        <f t="shared" si="6"/>
        <v>-0.67187122868001026</v>
      </c>
      <c r="U35" s="85">
        <f t="shared" si="7"/>
        <v>0.57579926544087801</v>
      </c>
      <c r="V35" s="85">
        <f t="shared" si="8"/>
        <v>0.41376567721469942</v>
      </c>
      <c r="W35" s="85">
        <f t="shared" si="9"/>
        <v>2.5840381135034072</v>
      </c>
      <c r="X35" s="85">
        <f t="shared" si="10"/>
        <v>6.166444222014919E-2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319346.47899999999</v>
      </c>
      <c r="E36" s="46">
        <v>-379408.723</v>
      </c>
      <c r="F36" s="46">
        <v>422984.59299999999</v>
      </c>
      <c r="G36" s="46" t="s">
        <v>176</v>
      </c>
      <c r="H36" s="86">
        <v>330</v>
      </c>
      <c r="I36" s="46">
        <v>6650358.6469999999</v>
      </c>
      <c r="J36" s="46">
        <v>7513488.9139999999</v>
      </c>
      <c r="K36" s="46">
        <v>7398375.6349999998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1.7335813030638614</v>
      </c>
      <c r="T36" s="85">
        <f t="shared" si="6"/>
        <v>-0.44307149507733667</v>
      </c>
      <c r="U36" s="85">
        <f t="shared" si="7"/>
        <v>0.3489562902301756</v>
      </c>
      <c r="V36" s="85">
        <f t="shared" si="8"/>
        <v>0.25132837681925363</v>
      </c>
      <c r="W36" s="85">
        <f t="shared" si="9"/>
        <v>2.5603771766411545</v>
      </c>
      <c r="X36" s="85">
        <f t="shared" si="10"/>
        <v>4.2229745864594825E-2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290068.74099999998</v>
      </c>
      <c r="E37" s="46">
        <v>-163805.46299999999</v>
      </c>
      <c r="F37" s="46">
        <v>240141.215</v>
      </c>
      <c r="G37" s="46" t="s">
        <v>177</v>
      </c>
      <c r="H37" s="86">
        <v>345</v>
      </c>
      <c r="I37" s="46">
        <v>2473918.7140000002</v>
      </c>
      <c r="J37" s="46">
        <v>7517904.5240000002</v>
      </c>
      <c r="K37" s="46">
        <v>4067063.8309999998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1.5746462825440255</v>
      </c>
      <c r="T37" s="85">
        <f t="shared" si="6"/>
        <v>-0.19129115118748957</v>
      </c>
      <c r="U37" s="85">
        <f t="shared" si="7"/>
        <v>0.19811309656322873</v>
      </c>
      <c r="V37" s="85">
        <f t="shared" si="8"/>
        <v>9.349360053729977E-2</v>
      </c>
      <c r="W37" s="85">
        <f t="shared" si="9"/>
        <v>2.5618818873280742</v>
      </c>
      <c r="X37" s="85">
        <f t="shared" si="10"/>
        <v>2.3214700154680024E-2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1.1365688825917966</v>
      </c>
      <c r="T38" s="85">
        <f t="shared" si="12"/>
        <v>-1.7210341662862578E-2</v>
      </c>
      <c r="U38" s="85">
        <f t="shared" si="12"/>
        <v>0.13216373031527123</v>
      </c>
      <c r="V38" s="85">
        <f t="shared" si="12"/>
        <v>8.5347724716054174E-3</v>
      </c>
      <c r="W38" s="85">
        <f t="shared" si="12"/>
        <v>2.2612990446407117</v>
      </c>
      <c r="X38" s="85">
        <f t="shared" si="12"/>
        <v>1.3546954208619837E-3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J67"/>
  <sheetViews>
    <sheetView topLeftCell="A3" zoomScale="85" zoomScaleNormal="85" workbookViewId="0">
      <selection activeCell="H14" activeCellId="1" sqref="I161:O185 H14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136672.86600000001</v>
      </c>
      <c r="E14" s="46">
        <v>9971.5859999999993</v>
      </c>
      <c r="F14" s="46">
        <v>244566.16899999999</v>
      </c>
      <c r="G14" s="46" t="s">
        <v>154</v>
      </c>
      <c r="H14" s="82">
        <v>0</v>
      </c>
      <c r="I14" s="46">
        <v>268750.06699999998</v>
      </c>
      <c r="J14" s="46">
        <v>2631673.0499999998</v>
      </c>
      <c r="K14" s="46">
        <v>980705.571</v>
      </c>
      <c r="L14" s="46" t="s">
        <v>154</v>
      </c>
      <c r="N14" s="64"/>
      <c r="P14" s="83">
        <f t="shared" ref="P14:P46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46" si="5">D14*(1-2*$N14*S$11)/S$9</f>
        <v>0.60132787411053357</v>
      </c>
      <c r="T14" s="85">
        <f t="shared" ref="T14:T46" si="6">E14*(1-2*$N14*T$11)/T$9</f>
        <v>9.424939953919657E-3</v>
      </c>
      <c r="U14" s="85">
        <f t="shared" ref="U14:U46" si="7">F14*(1-2*$N14*U$11)/U$9</f>
        <v>0.20176362085615299</v>
      </c>
      <c r="V14" s="85">
        <f t="shared" ref="V14:V46" si="8">(I14+F14*dy-E14*dz)*(1-2*$N14*V$11)/V$9</f>
        <v>6.6533456693139356E-3</v>
      </c>
      <c r="W14" s="85">
        <f t="shared" ref="W14:W46" si="9">(J14+D14*dz-F14*dx)*(1-2*$N14*W$11)/W$9</f>
        <v>0.59408973648395325</v>
      </c>
      <c r="X14" s="85">
        <f t="shared" ref="X14:X46" si="10">(K14+E14*dx-D14*dy)*(1-2*$N14*X$11)/X$9</f>
        <v>4.5307356751141305E-3</v>
      </c>
      <c r="Y14" s="1">
        <f t="shared" ref="Y14:Y46" si="11">B14</f>
        <v>0</v>
      </c>
      <c r="Z14" s="1"/>
    </row>
    <row r="15" spans="1:26" x14ac:dyDescent="0.25">
      <c r="C15" s="82">
        <v>30</v>
      </c>
      <c r="D15" s="46">
        <v>346614.027</v>
      </c>
      <c r="E15" s="46">
        <v>115168.458</v>
      </c>
      <c r="F15" s="46">
        <v>-140834.82199999999</v>
      </c>
      <c r="G15" s="46" t="s">
        <v>155</v>
      </c>
      <c r="H15" s="82">
        <v>30</v>
      </c>
      <c r="I15" s="46">
        <v>-2211043.3319999999</v>
      </c>
      <c r="J15" s="46">
        <v>6557577.1040000003</v>
      </c>
      <c r="K15" s="46">
        <v>1387053.72</v>
      </c>
      <c r="L15" s="46" t="s">
        <v>155</v>
      </c>
      <c r="N15" s="64"/>
      <c r="P15" s="83">
        <f t="shared" si="2"/>
        <v>30</v>
      </c>
      <c r="Q15" s="84">
        <f t="shared" si="3"/>
        <v>12.99038105676658</v>
      </c>
      <c r="R15" s="84">
        <f t="shared" si="4"/>
        <v>7.4999999999999991</v>
      </c>
      <c r="S15" s="85">
        <f t="shared" si="5"/>
        <v>1.5250186967821473</v>
      </c>
      <c r="T15" s="85">
        <f t="shared" si="6"/>
        <v>0.10885488038066543</v>
      </c>
      <c r="U15" s="85">
        <f t="shared" si="7"/>
        <v>-0.11618673075486492</v>
      </c>
      <c r="V15" s="85">
        <f t="shared" si="8"/>
        <v>-5.473797920068111E-2</v>
      </c>
      <c r="W15" s="85">
        <f t="shared" si="9"/>
        <v>1.4803469806739731</v>
      </c>
      <c r="X15" s="85">
        <f t="shared" si="10"/>
        <v>6.4080127189404604E-3</v>
      </c>
      <c r="Y15" s="1">
        <f t="shared" si="11"/>
        <v>0</v>
      </c>
    </row>
    <row r="16" spans="1:26" x14ac:dyDescent="0.25">
      <c r="C16" s="82">
        <v>45</v>
      </c>
      <c r="D16" s="46">
        <v>355833.84399999998</v>
      </c>
      <c r="E16" s="46">
        <v>166384.88</v>
      </c>
      <c r="F16" s="46">
        <v>-411035.44400000002</v>
      </c>
      <c r="G16" s="46" t="s">
        <v>156</v>
      </c>
      <c r="H16" s="82">
        <v>45</v>
      </c>
      <c r="I16" s="46">
        <v>-3224553.0860000001</v>
      </c>
      <c r="J16" s="46">
        <v>7791243.1320000002</v>
      </c>
      <c r="K16" s="46">
        <v>-1790996.436</v>
      </c>
      <c r="L16" s="46" t="s">
        <v>156</v>
      </c>
      <c r="N16" s="64"/>
      <c r="P16" s="83">
        <f t="shared" si="2"/>
        <v>45</v>
      </c>
      <c r="Q16" s="84">
        <f t="shared" si="3"/>
        <v>10.606601717798213</v>
      </c>
      <c r="R16" s="84">
        <f t="shared" si="4"/>
        <v>10.606601717798211</v>
      </c>
      <c r="S16" s="85">
        <f t="shared" si="5"/>
        <v>1.5655836832242853</v>
      </c>
      <c r="T16" s="85">
        <f t="shared" si="6"/>
        <v>0.15726359911453683</v>
      </c>
      <c r="U16" s="85">
        <f t="shared" si="7"/>
        <v>-0.33909841177442868</v>
      </c>
      <c r="V16" s="85">
        <f t="shared" si="8"/>
        <v>-7.9829064043399803E-2</v>
      </c>
      <c r="W16" s="85">
        <f t="shared" si="9"/>
        <v>1.7588421856477541</v>
      </c>
      <c r="X16" s="85">
        <f t="shared" si="10"/>
        <v>-8.2741769666030193E-3</v>
      </c>
      <c r="Y16" s="1">
        <f t="shared" si="11"/>
        <v>0</v>
      </c>
    </row>
    <row r="17" spans="1:26" x14ac:dyDescent="0.25">
      <c r="C17" s="82">
        <v>60</v>
      </c>
      <c r="D17" s="46">
        <v>218581.50399999999</v>
      </c>
      <c r="E17" s="46">
        <v>207292.766</v>
      </c>
      <c r="F17" s="46">
        <v>-683143.65</v>
      </c>
      <c r="G17" s="46" t="s">
        <v>157</v>
      </c>
      <c r="H17" s="82">
        <v>60</v>
      </c>
      <c r="I17" s="46">
        <v>-4091633.4070000001</v>
      </c>
      <c r="J17" s="46">
        <v>8623981.4010000005</v>
      </c>
      <c r="K17" s="46">
        <v>-997850.63800000004</v>
      </c>
      <c r="L17" s="46" t="s">
        <v>157</v>
      </c>
      <c r="N17" s="64"/>
      <c r="P17" s="83">
        <f t="shared" si="2"/>
        <v>60</v>
      </c>
      <c r="Q17" s="84">
        <f t="shared" si="3"/>
        <v>7.5000000000000018</v>
      </c>
      <c r="R17" s="84">
        <f t="shared" si="4"/>
        <v>12.990381056766578</v>
      </c>
      <c r="S17" s="85">
        <f t="shared" si="5"/>
        <v>0.96170626231107981</v>
      </c>
      <c r="T17" s="85">
        <f t="shared" si="6"/>
        <v>0.19592889961856805</v>
      </c>
      <c r="U17" s="85">
        <f t="shared" si="7"/>
        <v>-0.56358382253961092</v>
      </c>
      <c r="V17" s="85">
        <f t="shared" si="8"/>
        <v>-0.10129504975670825</v>
      </c>
      <c r="W17" s="85">
        <f t="shared" si="9"/>
        <v>1.9468295417482064</v>
      </c>
      <c r="X17" s="85">
        <f t="shared" si="10"/>
        <v>-4.6099437157393246E-3</v>
      </c>
      <c r="Y17" s="1">
        <f t="shared" si="11"/>
        <v>0</v>
      </c>
    </row>
    <row r="18" spans="1:26" x14ac:dyDescent="0.25">
      <c r="C18" s="82">
        <v>90</v>
      </c>
      <c r="D18" s="46">
        <v>44319.040999999997</v>
      </c>
      <c r="E18" s="46">
        <v>366656.33899999998</v>
      </c>
      <c r="F18" s="46">
        <v>-797676.76</v>
      </c>
      <c r="G18" s="46" t="s">
        <v>158</v>
      </c>
      <c r="H18" s="86">
        <v>90</v>
      </c>
      <c r="I18" s="46">
        <v>-5456196.1380000003</v>
      </c>
      <c r="J18" s="46">
        <v>2851892.5750000002</v>
      </c>
      <c r="K18" s="46">
        <v>3729538.1869999999</v>
      </c>
      <c r="L18" s="46" t="s">
        <v>158</v>
      </c>
      <c r="N18" s="64"/>
      <c r="P18" s="83">
        <f t="shared" si="2"/>
        <v>90</v>
      </c>
      <c r="Q18" s="84">
        <f t="shared" si="3"/>
        <v>9.1886134118146501E-16</v>
      </c>
      <c r="R18" s="84">
        <f t="shared" si="4"/>
        <v>15</v>
      </c>
      <c r="S18" s="85">
        <f t="shared" si="5"/>
        <v>0.19499316497209893</v>
      </c>
      <c r="T18" s="85">
        <f t="shared" si="6"/>
        <v>0.34655610238922979</v>
      </c>
      <c r="U18" s="85">
        <f t="shared" si="7"/>
        <v>-0.65807201391949077</v>
      </c>
      <c r="V18" s="85">
        <f t="shared" si="8"/>
        <v>-0.13507702286708537</v>
      </c>
      <c r="W18" s="85">
        <f t="shared" si="9"/>
        <v>0.64380341941119668</v>
      </c>
      <c r="X18" s="85">
        <f t="shared" si="10"/>
        <v>1.7229994623474385E-2</v>
      </c>
      <c r="Y18" s="1">
        <f t="shared" si="11"/>
        <v>0</v>
      </c>
    </row>
    <row r="19" spans="1:26" x14ac:dyDescent="0.25">
      <c r="C19" s="82"/>
      <c r="D19" s="46"/>
      <c r="E19" s="46"/>
      <c r="F19" s="46"/>
      <c r="G19" s="46"/>
      <c r="H19" s="86"/>
      <c r="I19" s="46"/>
      <c r="J19" s="46"/>
      <c r="K19" s="46"/>
      <c r="L19" s="46"/>
      <c r="N19" s="64"/>
      <c r="P19" s="83">
        <f t="shared" si="2"/>
        <v>0</v>
      </c>
      <c r="Q19" s="84">
        <f t="shared" si="3"/>
        <v>15</v>
      </c>
      <c r="R19" s="84">
        <f t="shared" si="4"/>
        <v>0</v>
      </c>
      <c r="S19" s="85">
        <f t="shared" si="5"/>
        <v>0</v>
      </c>
      <c r="T19" s="85">
        <f t="shared" si="6"/>
        <v>0</v>
      </c>
      <c r="U19" s="85">
        <f t="shared" si="7"/>
        <v>0</v>
      </c>
      <c r="V19" s="85">
        <f t="shared" si="8"/>
        <v>0</v>
      </c>
      <c r="W19" s="85">
        <f t="shared" si="9"/>
        <v>0</v>
      </c>
      <c r="X19" s="85">
        <f t="shared" si="10"/>
        <v>0</v>
      </c>
      <c r="Y19" s="1">
        <f t="shared" si="11"/>
        <v>0</v>
      </c>
    </row>
    <row r="20" spans="1:26" x14ac:dyDescent="0.25">
      <c r="C20" s="82"/>
      <c r="D20" s="46"/>
      <c r="E20" s="46"/>
      <c r="F20" s="46"/>
      <c r="G20" s="46"/>
      <c r="H20" s="86"/>
      <c r="I20" s="46"/>
      <c r="J20" s="46"/>
      <c r="K20" s="46"/>
      <c r="L20" s="46"/>
      <c r="N20" s="64"/>
      <c r="P20" s="83">
        <f t="shared" si="2"/>
        <v>0</v>
      </c>
      <c r="Q20" s="84">
        <f t="shared" si="3"/>
        <v>15</v>
      </c>
      <c r="R20" s="84">
        <f t="shared" si="4"/>
        <v>0</v>
      </c>
      <c r="S20" s="85">
        <f t="shared" si="5"/>
        <v>0</v>
      </c>
      <c r="T20" s="85">
        <f t="shared" si="6"/>
        <v>0</v>
      </c>
      <c r="U20" s="85">
        <f t="shared" si="7"/>
        <v>0</v>
      </c>
      <c r="V20" s="85">
        <f t="shared" si="8"/>
        <v>0</v>
      </c>
      <c r="W20" s="85">
        <f t="shared" si="9"/>
        <v>0</v>
      </c>
      <c r="X20" s="85">
        <f t="shared" si="10"/>
        <v>0</v>
      </c>
      <c r="Y20" s="1">
        <f t="shared" si="11"/>
        <v>0</v>
      </c>
    </row>
    <row r="21" spans="1:26" x14ac:dyDescent="0.25">
      <c r="C21" s="82"/>
      <c r="D21" s="46"/>
      <c r="E21" s="46"/>
      <c r="F21" s="46"/>
      <c r="G21" s="46"/>
      <c r="H21" s="86"/>
      <c r="I21" s="46"/>
      <c r="J21" s="46"/>
      <c r="K21" s="46"/>
      <c r="L21" s="46"/>
      <c r="N21" s="64"/>
      <c r="P21" s="83">
        <f t="shared" si="2"/>
        <v>0</v>
      </c>
      <c r="Q21" s="84">
        <f t="shared" si="3"/>
        <v>15</v>
      </c>
      <c r="R21" s="84">
        <f t="shared" si="4"/>
        <v>0</v>
      </c>
      <c r="S21" s="85">
        <f t="shared" si="5"/>
        <v>0</v>
      </c>
      <c r="T21" s="85">
        <f t="shared" si="6"/>
        <v>0</v>
      </c>
      <c r="U21" s="85">
        <f t="shared" si="7"/>
        <v>0</v>
      </c>
      <c r="V21" s="85">
        <f t="shared" si="8"/>
        <v>0</v>
      </c>
      <c r="W21" s="85">
        <f t="shared" si="9"/>
        <v>0</v>
      </c>
      <c r="X21" s="85">
        <f t="shared" si="10"/>
        <v>0</v>
      </c>
      <c r="Y21" s="1">
        <f t="shared" si="11"/>
        <v>0</v>
      </c>
    </row>
    <row r="22" spans="1:26" x14ac:dyDescent="0.25">
      <c r="C22" s="82"/>
      <c r="D22" s="46"/>
      <c r="E22" s="46"/>
      <c r="F22" s="46"/>
      <c r="G22" s="46"/>
      <c r="H22" s="86"/>
      <c r="I22" s="46"/>
      <c r="J22" s="46"/>
      <c r="K22" s="46"/>
      <c r="L22" s="46"/>
      <c r="N22" s="64"/>
      <c r="P22" s="83">
        <f t="shared" si="2"/>
        <v>0</v>
      </c>
      <c r="Q22" s="84">
        <f t="shared" si="3"/>
        <v>15</v>
      </c>
      <c r="R22" s="84">
        <f t="shared" si="4"/>
        <v>0</v>
      </c>
      <c r="S22" s="85">
        <f t="shared" si="5"/>
        <v>0</v>
      </c>
      <c r="T22" s="85">
        <f t="shared" si="6"/>
        <v>0</v>
      </c>
      <c r="U22" s="85">
        <f t="shared" si="7"/>
        <v>0</v>
      </c>
      <c r="V22" s="85">
        <f t="shared" si="8"/>
        <v>0</v>
      </c>
      <c r="W22" s="85">
        <f t="shared" si="9"/>
        <v>0</v>
      </c>
      <c r="X22" s="85">
        <f t="shared" si="10"/>
        <v>0</v>
      </c>
      <c r="Y22" s="1">
        <f t="shared" si="11"/>
        <v>0</v>
      </c>
    </row>
    <row r="23" spans="1:26" x14ac:dyDescent="0.25">
      <c r="C23" s="82"/>
      <c r="D23" s="46"/>
      <c r="E23" s="46"/>
      <c r="F23" s="46"/>
      <c r="G23" s="46"/>
      <c r="H23" s="86"/>
      <c r="I23" s="46"/>
      <c r="J23" s="46"/>
      <c r="K23" s="46"/>
      <c r="L23" s="46"/>
      <c r="N23" s="64"/>
      <c r="P23" s="83">
        <f t="shared" si="2"/>
        <v>0</v>
      </c>
      <c r="Q23" s="84">
        <f t="shared" si="3"/>
        <v>15</v>
      </c>
      <c r="R23" s="84">
        <f t="shared" si="4"/>
        <v>0</v>
      </c>
      <c r="S23" s="85">
        <f t="shared" si="5"/>
        <v>0</v>
      </c>
      <c r="T23" s="85">
        <f t="shared" si="6"/>
        <v>0</v>
      </c>
      <c r="U23" s="85">
        <f t="shared" si="7"/>
        <v>0</v>
      </c>
      <c r="V23" s="85">
        <f t="shared" si="8"/>
        <v>0</v>
      </c>
      <c r="W23" s="85">
        <f t="shared" si="9"/>
        <v>0</v>
      </c>
      <c r="X23" s="85">
        <f t="shared" si="10"/>
        <v>0</v>
      </c>
      <c r="Y23" s="1">
        <f t="shared" si="11"/>
        <v>0</v>
      </c>
    </row>
    <row r="24" spans="1:26" x14ac:dyDescent="0.25">
      <c r="C24" s="82"/>
      <c r="D24" s="46"/>
      <c r="E24" s="46"/>
      <c r="F24" s="46"/>
      <c r="G24" s="46"/>
      <c r="H24" s="86"/>
      <c r="I24" s="46"/>
      <c r="J24" s="46"/>
      <c r="K24" s="46"/>
      <c r="L24" s="46"/>
      <c r="N24" s="64"/>
      <c r="P24" s="83">
        <f t="shared" si="2"/>
        <v>0</v>
      </c>
      <c r="Q24" s="84">
        <f t="shared" si="3"/>
        <v>15</v>
      </c>
      <c r="R24" s="84">
        <f t="shared" si="4"/>
        <v>0</v>
      </c>
      <c r="S24" s="85">
        <f t="shared" si="5"/>
        <v>0</v>
      </c>
      <c r="T24" s="85">
        <f t="shared" si="6"/>
        <v>0</v>
      </c>
      <c r="U24" s="85">
        <f t="shared" si="7"/>
        <v>0</v>
      </c>
      <c r="V24" s="85">
        <f t="shared" si="8"/>
        <v>0</v>
      </c>
      <c r="W24" s="85">
        <f t="shared" si="9"/>
        <v>0</v>
      </c>
      <c r="X24" s="85">
        <f t="shared" si="10"/>
        <v>0</v>
      </c>
      <c r="Y24" s="1">
        <f t="shared" si="11"/>
        <v>0</v>
      </c>
    </row>
    <row r="25" spans="1:26" x14ac:dyDescent="0.25">
      <c r="C25" s="82"/>
      <c r="D25" s="46"/>
      <c r="E25" s="46"/>
      <c r="F25" s="46"/>
      <c r="G25" s="46"/>
      <c r="H25" s="86"/>
      <c r="I25" s="46"/>
      <c r="J25" s="46"/>
      <c r="K25" s="46"/>
      <c r="L25" s="46"/>
      <c r="N25" s="64"/>
      <c r="P25" s="83">
        <f t="shared" si="2"/>
        <v>0</v>
      </c>
      <c r="Q25" s="84">
        <f t="shared" si="3"/>
        <v>15</v>
      </c>
      <c r="R25" s="84">
        <f t="shared" si="4"/>
        <v>0</v>
      </c>
      <c r="S25" s="85">
        <f t="shared" si="5"/>
        <v>0</v>
      </c>
      <c r="T25" s="85">
        <f t="shared" si="6"/>
        <v>0</v>
      </c>
      <c r="U25" s="85">
        <f t="shared" si="7"/>
        <v>0</v>
      </c>
      <c r="V25" s="85">
        <f t="shared" si="8"/>
        <v>0</v>
      </c>
      <c r="W25" s="85">
        <f t="shared" si="9"/>
        <v>0</v>
      </c>
      <c r="X25" s="85">
        <f t="shared" si="10"/>
        <v>0</v>
      </c>
      <c r="Y25" s="1">
        <f t="shared" si="11"/>
        <v>0</v>
      </c>
    </row>
    <row r="26" spans="1:26" x14ac:dyDescent="0.25">
      <c r="C26" s="82"/>
      <c r="D26" s="46"/>
      <c r="E26" s="46"/>
      <c r="F26" s="46"/>
      <c r="G26" s="46"/>
      <c r="H26" s="86"/>
      <c r="I26" s="46"/>
      <c r="J26" s="46"/>
      <c r="K26" s="46"/>
      <c r="L26" s="46"/>
      <c r="N26" s="64"/>
      <c r="P26" s="83">
        <f t="shared" si="2"/>
        <v>0</v>
      </c>
      <c r="Q26" s="84">
        <f t="shared" si="3"/>
        <v>15</v>
      </c>
      <c r="R26" s="84">
        <f t="shared" si="4"/>
        <v>0</v>
      </c>
      <c r="S26" s="85">
        <f t="shared" si="5"/>
        <v>0</v>
      </c>
      <c r="T26" s="85">
        <f t="shared" si="6"/>
        <v>0</v>
      </c>
      <c r="U26" s="85">
        <f t="shared" si="7"/>
        <v>0</v>
      </c>
      <c r="V26" s="85">
        <f t="shared" si="8"/>
        <v>0</v>
      </c>
      <c r="W26" s="85">
        <f t="shared" si="9"/>
        <v>0</v>
      </c>
      <c r="X26" s="85">
        <f t="shared" si="10"/>
        <v>0</v>
      </c>
      <c r="Y26" s="1">
        <f t="shared" si="11"/>
        <v>0</v>
      </c>
    </row>
    <row r="27" spans="1:26" x14ac:dyDescent="0.25">
      <c r="C27" s="82"/>
      <c r="D27" s="46"/>
      <c r="E27" s="46"/>
      <c r="F27" s="46"/>
      <c r="G27" s="46"/>
      <c r="H27" s="86"/>
      <c r="I27" s="46"/>
      <c r="J27" s="46"/>
      <c r="K27" s="46"/>
      <c r="L27" s="46"/>
      <c r="N27" s="64"/>
      <c r="P27" s="83">
        <f t="shared" si="2"/>
        <v>0</v>
      </c>
      <c r="Q27" s="84">
        <f t="shared" si="3"/>
        <v>15</v>
      </c>
      <c r="R27" s="84">
        <f t="shared" si="4"/>
        <v>0</v>
      </c>
      <c r="S27" s="85">
        <f t="shared" si="5"/>
        <v>0</v>
      </c>
      <c r="T27" s="85">
        <f t="shared" si="6"/>
        <v>0</v>
      </c>
      <c r="U27" s="85">
        <f t="shared" si="7"/>
        <v>0</v>
      </c>
      <c r="V27" s="85">
        <f t="shared" si="8"/>
        <v>0</v>
      </c>
      <c r="W27" s="85">
        <f t="shared" si="9"/>
        <v>0</v>
      </c>
      <c r="X27" s="85">
        <f t="shared" si="10"/>
        <v>0</v>
      </c>
      <c r="Y27" s="1">
        <f t="shared" si="11"/>
        <v>0</v>
      </c>
    </row>
    <row r="28" spans="1:26" x14ac:dyDescent="0.25">
      <c r="C28" s="82"/>
      <c r="D28" s="46"/>
      <c r="E28" s="46"/>
      <c r="F28" s="46"/>
      <c r="G28" s="46"/>
      <c r="H28" s="86"/>
      <c r="I28" s="46"/>
      <c r="J28" s="46"/>
      <c r="K28" s="46"/>
      <c r="L28" s="46"/>
      <c r="N28" s="64"/>
      <c r="P28" s="83">
        <f t="shared" si="2"/>
        <v>0</v>
      </c>
      <c r="Q28" s="84">
        <f t="shared" si="3"/>
        <v>15</v>
      </c>
      <c r="R28" s="84">
        <f t="shared" si="4"/>
        <v>0</v>
      </c>
      <c r="S28" s="85">
        <f t="shared" si="5"/>
        <v>0</v>
      </c>
      <c r="T28" s="85">
        <f t="shared" si="6"/>
        <v>0</v>
      </c>
      <c r="U28" s="85">
        <f t="shared" si="7"/>
        <v>0</v>
      </c>
      <c r="V28" s="85">
        <f t="shared" si="8"/>
        <v>0</v>
      </c>
      <c r="W28" s="85">
        <f t="shared" si="9"/>
        <v>0</v>
      </c>
      <c r="X28" s="85">
        <f t="shared" si="10"/>
        <v>0</v>
      </c>
      <c r="Y28" s="1">
        <f t="shared" si="11"/>
        <v>0</v>
      </c>
    </row>
    <row r="29" spans="1:26" x14ac:dyDescent="0.25">
      <c r="C29" s="82"/>
      <c r="D29" s="46"/>
      <c r="E29" s="46"/>
      <c r="F29" s="46"/>
      <c r="G29" s="46"/>
      <c r="H29" s="86"/>
      <c r="I29" s="46"/>
      <c r="J29" s="46"/>
      <c r="K29" s="46"/>
      <c r="L29" s="46"/>
      <c r="N29" s="64"/>
      <c r="P29" s="83">
        <f t="shared" si="2"/>
        <v>0</v>
      </c>
      <c r="Q29" s="84">
        <f t="shared" si="3"/>
        <v>15</v>
      </c>
      <c r="R29" s="84">
        <f t="shared" si="4"/>
        <v>0</v>
      </c>
      <c r="S29" s="85">
        <f t="shared" si="5"/>
        <v>0</v>
      </c>
      <c r="T29" s="85">
        <f t="shared" si="6"/>
        <v>0</v>
      </c>
      <c r="U29" s="85">
        <f t="shared" si="7"/>
        <v>0</v>
      </c>
      <c r="V29" s="85">
        <f t="shared" si="8"/>
        <v>0</v>
      </c>
      <c r="W29" s="85">
        <f t="shared" si="9"/>
        <v>0</v>
      </c>
      <c r="X29" s="85">
        <f t="shared" si="10"/>
        <v>0</v>
      </c>
      <c r="Y29" s="1">
        <f t="shared" si="11"/>
        <v>0</v>
      </c>
    </row>
    <row r="30" spans="1:26" x14ac:dyDescent="0.25">
      <c r="C30" s="82"/>
      <c r="D30" s="46"/>
      <c r="E30" s="46"/>
      <c r="F30" s="46"/>
      <c r="G30" s="46"/>
      <c r="H30" s="86"/>
      <c r="I30" s="46"/>
      <c r="J30" s="46"/>
      <c r="K30" s="46"/>
      <c r="L30" s="46"/>
      <c r="N30" s="64"/>
      <c r="P30" s="83">
        <f t="shared" si="2"/>
        <v>0</v>
      </c>
      <c r="Q30" s="84">
        <f t="shared" si="3"/>
        <v>15</v>
      </c>
      <c r="R30" s="84">
        <f t="shared" si="4"/>
        <v>0</v>
      </c>
      <c r="S30" s="85">
        <f t="shared" si="5"/>
        <v>0</v>
      </c>
      <c r="T30" s="85">
        <f t="shared" si="6"/>
        <v>0</v>
      </c>
      <c r="U30" s="85">
        <f t="shared" si="7"/>
        <v>0</v>
      </c>
      <c r="V30" s="85">
        <f t="shared" si="8"/>
        <v>0</v>
      </c>
      <c r="W30" s="85">
        <f t="shared" si="9"/>
        <v>0</v>
      </c>
      <c r="X30" s="85">
        <f t="shared" si="10"/>
        <v>0</v>
      </c>
      <c r="Y30" s="1">
        <f t="shared" si="11"/>
        <v>0</v>
      </c>
    </row>
    <row r="31" spans="1:26" x14ac:dyDescent="0.25">
      <c r="C31" s="87"/>
      <c r="D31" s="46"/>
      <c r="E31" s="46"/>
      <c r="F31" s="46"/>
      <c r="G31" s="46"/>
      <c r="H31" s="86"/>
      <c r="I31" s="46"/>
      <c r="J31" s="46"/>
      <c r="K31" s="46"/>
      <c r="L31" s="46"/>
      <c r="N31" s="64"/>
      <c r="P31" s="83">
        <f t="shared" si="2"/>
        <v>0</v>
      </c>
      <c r="Q31" s="84">
        <f t="shared" si="3"/>
        <v>15</v>
      </c>
      <c r="R31" s="84">
        <f t="shared" si="4"/>
        <v>0</v>
      </c>
      <c r="S31" s="85">
        <f t="shared" si="5"/>
        <v>0</v>
      </c>
      <c r="T31" s="85">
        <f t="shared" si="6"/>
        <v>0</v>
      </c>
      <c r="U31" s="85">
        <f t="shared" si="7"/>
        <v>0</v>
      </c>
      <c r="V31" s="85">
        <f t="shared" si="8"/>
        <v>0</v>
      </c>
      <c r="W31" s="85">
        <f t="shared" si="9"/>
        <v>0</v>
      </c>
      <c r="X31" s="85">
        <f t="shared" si="10"/>
        <v>0</v>
      </c>
      <c r="Y31" s="1">
        <f t="shared" si="11"/>
        <v>0</v>
      </c>
    </row>
    <row r="32" spans="1:26" s="1" customFormat="1" x14ac:dyDescent="0.25">
      <c r="A32" s="53"/>
      <c r="B32" s="53"/>
      <c r="C32" s="87"/>
      <c r="D32" s="46"/>
      <c r="E32" s="46"/>
      <c r="F32" s="46"/>
      <c r="G32" s="46"/>
      <c r="H32" s="86"/>
      <c r="I32" s="46"/>
      <c r="J32" s="46"/>
      <c r="K32" s="46"/>
      <c r="L32" s="46"/>
      <c r="M32" s="57"/>
      <c r="N32" s="64"/>
      <c r="O32" s="53"/>
      <c r="P32" s="83">
        <f t="shared" si="2"/>
        <v>0</v>
      </c>
      <c r="Q32" s="84">
        <f t="shared" si="3"/>
        <v>15</v>
      </c>
      <c r="R32" s="84">
        <f t="shared" si="4"/>
        <v>0</v>
      </c>
      <c r="S32" s="85">
        <f t="shared" si="5"/>
        <v>0</v>
      </c>
      <c r="T32" s="85">
        <f t="shared" si="6"/>
        <v>0</v>
      </c>
      <c r="U32" s="85">
        <f t="shared" si="7"/>
        <v>0</v>
      </c>
      <c r="V32" s="85">
        <f t="shared" si="8"/>
        <v>0</v>
      </c>
      <c r="W32" s="85">
        <f t="shared" si="9"/>
        <v>0</v>
      </c>
      <c r="X32" s="85">
        <f t="shared" si="10"/>
        <v>0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/>
      <c r="D33" s="46"/>
      <c r="E33" s="46"/>
      <c r="F33" s="46"/>
      <c r="G33" s="46"/>
      <c r="H33" s="86"/>
      <c r="I33" s="46"/>
      <c r="J33" s="46"/>
      <c r="K33" s="46"/>
      <c r="L33" s="46"/>
      <c r="M33" s="57"/>
      <c r="N33" s="64"/>
      <c r="O33" s="53"/>
      <c r="P33" s="83">
        <f t="shared" si="2"/>
        <v>0</v>
      </c>
      <c r="Q33" s="84">
        <f t="shared" si="3"/>
        <v>15</v>
      </c>
      <c r="R33" s="84">
        <f t="shared" si="4"/>
        <v>0</v>
      </c>
      <c r="S33" s="85">
        <f t="shared" si="5"/>
        <v>0</v>
      </c>
      <c r="T33" s="85">
        <f t="shared" si="6"/>
        <v>0</v>
      </c>
      <c r="U33" s="85">
        <f t="shared" si="7"/>
        <v>0</v>
      </c>
      <c r="V33" s="85">
        <f t="shared" si="8"/>
        <v>0</v>
      </c>
      <c r="W33" s="85">
        <f t="shared" si="9"/>
        <v>0</v>
      </c>
      <c r="X33" s="85">
        <f t="shared" si="10"/>
        <v>0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/>
      <c r="D34" s="46"/>
      <c r="E34" s="46"/>
      <c r="F34" s="46"/>
      <c r="G34" s="46"/>
      <c r="H34" s="86"/>
      <c r="I34" s="46"/>
      <c r="J34" s="46"/>
      <c r="K34" s="46"/>
      <c r="L34" s="46"/>
      <c r="M34" s="57"/>
      <c r="N34" s="64"/>
      <c r="O34" s="53"/>
      <c r="P34" s="83">
        <f t="shared" si="2"/>
        <v>0</v>
      </c>
      <c r="Q34" s="84">
        <f t="shared" si="3"/>
        <v>15</v>
      </c>
      <c r="R34" s="84">
        <f t="shared" si="4"/>
        <v>0</v>
      </c>
      <c r="S34" s="85">
        <f t="shared" si="5"/>
        <v>0</v>
      </c>
      <c r="T34" s="85">
        <f t="shared" si="6"/>
        <v>0</v>
      </c>
      <c r="U34" s="85">
        <f t="shared" si="7"/>
        <v>0</v>
      </c>
      <c r="V34" s="85">
        <f t="shared" si="8"/>
        <v>0</v>
      </c>
      <c r="W34" s="85">
        <f t="shared" si="9"/>
        <v>0</v>
      </c>
      <c r="X34" s="85">
        <f t="shared" si="10"/>
        <v>0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/>
      <c r="D35" s="46"/>
      <c r="E35" s="46"/>
      <c r="F35" s="46"/>
      <c r="G35" s="46"/>
      <c r="H35" s="86"/>
      <c r="I35" s="46"/>
      <c r="J35" s="46"/>
      <c r="K35" s="46"/>
      <c r="L35" s="46"/>
      <c r="M35" s="57"/>
      <c r="N35" s="64"/>
      <c r="O35" s="53"/>
      <c r="P35" s="83">
        <f t="shared" si="2"/>
        <v>0</v>
      </c>
      <c r="Q35" s="84">
        <f t="shared" si="3"/>
        <v>15</v>
      </c>
      <c r="R35" s="84">
        <f t="shared" si="4"/>
        <v>0</v>
      </c>
      <c r="S35" s="85">
        <f t="shared" si="5"/>
        <v>0</v>
      </c>
      <c r="T35" s="85">
        <f t="shared" si="6"/>
        <v>0</v>
      </c>
      <c r="U35" s="85">
        <f t="shared" si="7"/>
        <v>0</v>
      </c>
      <c r="V35" s="85">
        <f t="shared" si="8"/>
        <v>0</v>
      </c>
      <c r="W35" s="85">
        <f t="shared" si="9"/>
        <v>0</v>
      </c>
      <c r="X35" s="85">
        <f t="shared" si="10"/>
        <v>0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/>
      <c r="D36" s="46"/>
      <c r="E36" s="46"/>
      <c r="F36" s="46"/>
      <c r="G36" s="46"/>
      <c r="H36" s="86"/>
      <c r="I36" s="46"/>
      <c r="J36" s="46"/>
      <c r="K36" s="46"/>
      <c r="L36" s="46"/>
      <c r="M36" s="57"/>
      <c r="N36" s="64"/>
      <c r="O36" s="53"/>
      <c r="P36" s="83">
        <f t="shared" si="2"/>
        <v>0</v>
      </c>
      <c r="Q36" s="84">
        <f t="shared" si="3"/>
        <v>15</v>
      </c>
      <c r="R36" s="84">
        <f t="shared" si="4"/>
        <v>0</v>
      </c>
      <c r="S36" s="85">
        <f t="shared" si="5"/>
        <v>0</v>
      </c>
      <c r="T36" s="85">
        <f t="shared" si="6"/>
        <v>0</v>
      </c>
      <c r="U36" s="85">
        <f t="shared" si="7"/>
        <v>0</v>
      </c>
      <c r="V36" s="85">
        <f t="shared" si="8"/>
        <v>0</v>
      </c>
      <c r="W36" s="85">
        <f t="shared" si="9"/>
        <v>0</v>
      </c>
      <c r="X36" s="85">
        <f t="shared" si="10"/>
        <v>0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/>
      <c r="D37" s="46"/>
      <c r="E37" s="46"/>
      <c r="F37" s="46"/>
      <c r="G37" s="46"/>
      <c r="H37" s="86"/>
      <c r="I37" s="46"/>
      <c r="J37" s="46"/>
      <c r="K37" s="46"/>
      <c r="L37" s="46"/>
      <c r="M37" s="57"/>
      <c r="N37" s="64"/>
      <c r="O37" s="53"/>
      <c r="P37" s="83">
        <f t="shared" si="2"/>
        <v>0</v>
      </c>
      <c r="Q37" s="84">
        <f t="shared" si="3"/>
        <v>15</v>
      </c>
      <c r="R37" s="84">
        <f t="shared" si="4"/>
        <v>0</v>
      </c>
      <c r="S37" s="85">
        <f t="shared" si="5"/>
        <v>0</v>
      </c>
      <c r="T37" s="85">
        <f t="shared" si="6"/>
        <v>0</v>
      </c>
      <c r="U37" s="85">
        <f t="shared" si="7"/>
        <v>0</v>
      </c>
      <c r="V37" s="85">
        <f t="shared" si="8"/>
        <v>0</v>
      </c>
      <c r="W37" s="85">
        <f t="shared" si="9"/>
        <v>0</v>
      </c>
      <c r="X37" s="85">
        <f t="shared" si="10"/>
        <v>0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si="5"/>
        <v>0</v>
      </c>
      <c r="T38" s="85">
        <f t="shared" si="6"/>
        <v>0</v>
      </c>
      <c r="U38" s="85">
        <f t="shared" si="7"/>
        <v>0</v>
      </c>
      <c r="V38" s="85">
        <f t="shared" si="8"/>
        <v>0</v>
      </c>
      <c r="W38" s="85">
        <f t="shared" si="9"/>
        <v>0</v>
      </c>
      <c r="X38" s="85">
        <f t="shared" si="10"/>
        <v>0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si="5"/>
        <v>0</v>
      </c>
      <c r="T39" s="85">
        <f t="shared" si="6"/>
        <v>0</v>
      </c>
      <c r="U39" s="85">
        <f t="shared" si="7"/>
        <v>0</v>
      </c>
      <c r="V39" s="85">
        <f t="shared" si="8"/>
        <v>0</v>
      </c>
      <c r="W39" s="85">
        <f t="shared" si="9"/>
        <v>0</v>
      </c>
      <c r="X39" s="85">
        <f t="shared" si="10"/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5"/>
        <v>0</v>
      </c>
      <c r="T40" s="85">
        <f t="shared" si="6"/>
        <v>0</v>
      </c>
      <c r="U40" s="85">
        <f t="shared" si="7"/>
        <v>0</v>
      </c>
      <c r="V40" s="85">
        <f t="shared" si="8"/>
        <v>0</v>
      </c>
      <c r="W40" s="85">
        <f t="shared" si="9"/>
        <v>0</v>
      </c>
      <c r="X40" s="85">
        <f t="shared" si="10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5"/>
        <v>0</v>
      </c>
      <c r="T41" s="85">
        <f t="shared" si="6"/>
        <v>0</v>
      </c>
      <c r="U41" s="85">
        <f t="shared" si="7"/>
        <v>0</v>
      </c>
      <c r="V41" s="85">
        <f t="shared" si="8"/>
        <v>0</v>
      </c>
      <c r="W41" s="85">
        <f t="shared" si="9"/>
        <v>0</v>
      </c>
      <c r="X41" s="85">
        <f t="shared" si="10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5"/>
        <v>0</v>
      </c>
      <c r="T42" s="85">
        <f t="shared" si="6"/>
        <v>0</v>
      </c>
      <c r="U42" s="85">
        <f t="shared" si="7"/>
        <v>0</v>
      </c>
      <c r="V42" s="85">
        <f t="shared" si="8"/>
        <v>0</v>
      </c>
      <c r="W42" s="85">
        <f t="shared" si="9"/>
        <v>0</v>
      </c>
      <c r="X42" s="85">
        <f t="shared" si="10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5"/>
        <v>0</v>
      </c>
      <c r="T43" s="85">
        <f t="shared" si="6"/>
        <v>0</v>
      </c>
      <c r="U43" s="85">
        <f t="shared" si="7"/>
        <v>0</v>
      </c>
      <c r="V43" s="85">
        <f t="shared" si="8"/>
        <v>0</v>
      </c>
      <c r="W43" s="85">
        <f t="shared" si="9"/>
        <v>0</v>
      </c>
      <c r="X43" s="85">
        <f t="shared" si="10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5"/>
        <v>0</v>
      </c>
      <c r="T44" s="85">
        <f t="shared" si="6"/>
        <v>0</v>
      </c>
      <c r="U44" s="85">
        <f t="shared" si="7"/>
        <v>0</v>
      </c>
      <c r="V44" s="85">
        <f t="shared" si="8"/>
        <v>0</v>
      </c>
      <c r="W44" s="85">
        <f t="shared" si="9"/>
        <v>0</v>
      </c>
      <c r="X44" s="85">
        <f t="shared" si="10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5"/>
        <v>0</v>
      </c>
      <c r="T45" s="85">
        <f t="shared" si="6"/>
        <v>0</v>
      </c>
      <c r="U45" s="85">
        <f t="shared" si="7"/>
        <v>0</v>
      </c>
      <c r="V45" s="85">
        <f t="shared" si="8"/>
        <v>0</v>
      </c>
      <c r="W45" s="85">
        <f t="shared" si="9"/>
        <v>0</v>
      </c>
      <c r="X45" s="85">
        <f t="shared" si="10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5"/>
        <v>0</v>
      </c>
      <c r="T46" s="85">
        <f t="shared" si="6"/>
        <v>0</v>
      </c>
      <c r="U46" s="85">
        <f t="shared" si="7"/>
        <v>0</v>
      </c>
      <c r="V46" s="85">
        <f t="shared" si="8"/>
        <v>0</v>
      </c>
      <c r="W46" s="85">
        <f t="shared" si="9"/>
        <v>0</v>
      </c>
      <c r="X46" s="85">
        <f t="shared" si="10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MJ67"/>
  <sheetViews>
    <sheetView topLeftCell="A3" zoomScale="85" zoomScaleNormal="85" workbookViewId="0">
      <selection activeCell="G19" activeCellId="1" sqref="I161:O185 G19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ht="16.5" customHeight="1" x14ac:dyDescent="0.25">
      <c r="C14" s="82">
        <v>0</v>
      </c>
      <c r="D14" s="46">
        <v>361190.29300000001</v>
      </c>
      <c r="E14" s="46">
        <v>-113251.274</v>
      </c>
      <c r="F14" s="46">
        <v>210253.984</v>
      </c>
      <c r="G14" s="46" t="s">
        <v>154</v>
      </c>
      <c r="H14" s="88">
        <v>0</v>
      </c>
      <c r="I14" s="89">
        <v>2359167.7880000002</v>
      </c>
      <c r="J14" s="89">
        <v>10722011.861</v>
      </c>
      <c r="K14" s="89">
        <v>3550380.486</v>
      </c>
      <c r="L14" s="89" t="s">
        <v>154</v>
      </c>
      <c r="N14" s="64"/>
      <c r="P14" s="83">
        <f t="shared" ref="P14:P46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46" si="5">D14*(1-2*$N14*S$11)/S$9</f>
        <v>1.589150775831764</v>
      </c>
      <c r="T14" s="85">
        <f t="shared" ref="T14:T46" si="6">E14*(1-2*$N14*T$11)/T$9</f>
        <v>-0.10704279711922482</v>
      </c>
      <c r="U14" s="85">
        <f t="shared" ref="U14:U46" si="7">F14*(1-2*$N14*U$11)/U$9</f>
        <v>0.17345655486500119</v>
      </c>
      <c r="V14" s="85">
        <f t="shared" ref="V14:V46" si="8">(I14+F14*dy-E14*dz)*(1-2*$N14*V$11)/V$9</f>
        <v>5.8405041385439879E-2</v>
      </c>
      <c r="W14" s="85">
        <f t="shared" ref="W14:W46" si="9">(J14+D14*dz-F14*dx)*(1-2*$N14*W$11)/W$9</f>
        <v>2.4204515834819644</v>
      </c>
      <c r="X14" s="85">
        <f t="shared" ref="X14:X46" si="10">(K14+E14*dx-D14*dy)*(1-2*$N14*X$11)/X$9</f>
        <v>1.640230870897056E-2</v>
      </c>
      <c r="Y14" s="1">
        <f t="shared" ref="Y14:Y46" si="11">B14</f>
        <v>0</v>
      </c>
      <c r="Z14" s="1"/>
    </row>
    <row r="15" spans="1:26" x14ac:dyDescent="0.25">
      <c r="C15" s="82">
        <v>30</v>
      </c>
      <c r="D15" s="46">
        <v>424434.41100000002</v>
      </c>
      <c r="E15" s="46">
        <v>155125.899</v>
      </c>
      <c r="F15" s="46">
        <v>-328040.24099999998</v>
      </c>
      <c r="G15" s="46" t="s">
        <v>155</v>
      </c>
      <c r="H15" s="82">
        <v>30</v>
      </c>
      <c r="I15" s="46">
        <v>-2599981.6889999998</v>
      </c>
      <c r="J15" s="46">
        <v>7766945.4560000002</v>
      </c>
      <c r="K15" s="46">
        <v>-2257913.321</v>
      </c>
      <c r="L15" s="46" t="s">
        <v>155</v>
      </c>
      <c r="N15" s="64"/>
      <c r="P15" s="83">
        <f t="shared" si="2"/>
        <v>30</v>
      </c>
      <c r="Q15" s="84">
        <f t="shared" si="3"/>
        <v>12.99038105676658</v>
      </c>
      <c r="R15" s="84">
        <f t="shared" si="4"/>
        <v>7.4999999999999991</v>
      </c>
      <c r="S15" s="85">
        <f t="shared" si="5"/>
        <v>1.8674097466133948</v>
      </c>
      <c r="T15" s="85">
        <f t="shared" si="6"/>
        <v>0.1466218396324121</v>
      </c>
      <c r="U15" s="85">
        <f t="shared" si="7"/>
        <v>-0.27062854638200201</v>
      </c>
      <c r="V15" s="85">
        <f t="shared" si="8"/>
        <v>-6.4366781760853226E-2</v>
      </c>
      <c r="W15" s="85">
        <f t="shared" si="9"/>
        <v>1.7533570818154172</v>
      </c>
      <c r="X15" s="85">
        <f t="shared" si="10"/>
        <v>-1.043127390857875E-2</v>
      </c>
      <c r="Y15" s="1">
        <f t="shared" si="11"/>
        <v>0</v>
      </c>
    </row>
    <row r="16" spans="1:26" x14ac:dyDescent="0.25">
      <c r="C16" s="82">
        <v>45</v>
      </c>
      <c r="D16" s="46">
        <v>398533.88699999999</v>
      </c>
      <c r="E16" s="46">
        <v>268625.08100000001</v>
      </c>
      <c r="F16" s="46">
        <v>-554687.38399999996</v>
      </c>
      <c r="G16" s="46" t="s">
        <v>156</v>
      </c>
      <c r="H16" s="82">
        <v>45</v>
      </c>
      <c r="I16" s="46">
        <v>-4595020.76</v>
      </c>
      <c r="J16" s="46">
        <v>6174886.2790000001</v>
      </c>
      <c r="K16" s="46">
        <v>-5747403.1979999999</v>
      </c>
      <c r="L16" s="46" t="s">
        <v>156</v>
      </c>
      <c r="N16" s="64"/>
      <c r="P16" s="83">
        <f t="shared" si="2"/>
        <v>45</v>
      </c>
      <c r="Q16" s="84">
        <f t="shared" si="3"/>
        <v>10.606601717798213</v>
      </c>
      <c r="R16" s="84">
        <f t="shared" si="4"/>
        <v>10.606601717798211</v>
      </c>
      <c r="S16" s="85">
        <f t="shared" si="5"/>
        <v>1.753453644783578</v>
      </c>
      <c r="T16" s="85">
        <f t="shared" si="6"/>
        <v>0.25389895434305076</v>
      </c>
      <c r="U16" s="85">
        <f t="shared" si="7"/>
        <v>-0.45760922492541206</v>
      </c>
      <c r="V16" s="85">
        <f t="shared" si="8"/>
        <v>-0.11375722363616612</v>
      </c>
      <c r="W16" s="85">
        <f t="shared" si="9"/>
        <v>1.3939560472033139</v>
      </c>
      <c r="X16" s="85">
        <f t="shared" si="10"/>
        <v>-2.6552275706858041E-2</v>
      </c>
      <c r="Y16" s="1">
        <f t="shared" si="11"/>
        <v>0</v>
      </c>
    </row>
    <row r="17" spans="1:26" x14ac:dyDescent="0.25">
      <c r="C17" s="82">
        <v>60</v>
      </c>
      <c r="D17" s="46">
        <v>204753.99900000001</v>
      </c>
      <c r="E17" s="46">
        <v>339854.76899999997</v>
      </c>
      <c r="F17" s="46">
        <v>-708034.755</v>
      </c>
      <c r="G17" s="46" t="s">
        <v>157</v>
      </c>
      <c r="H17" s="82">
        <v>60</v>
      </c>
      <c r="I17" s="46">
        <v>-5431146.0630000001</v>
      </c>
      <c r="J17" s="46">
        <v>2730942.1269999999</v>
      </c>
      <c r="K17" s="46">
        <v>-8101726.4050000003</v>
      </c>
      <c r="L17" s="46" t="s">
        <v>157</v>
      </c>
      <c r="N17" s="64"/>
      <c r="P17" s="83">
        <f t="shared" si="2"/>
        <v>60</v>
      </c>
      <c r="Q17" s="84">
        <f t="shared" si="3"/>
        <v>7.5000000000000018</v>
      </c>
      <c r="R17" s="84">
        <f t="shared" si="4"/>
        <v>12.990381056766578</v>
      </c>
      <c r="S17" s="85">
        <f t="shared" si="5"/>
        <v>0.90086855231601204</v>
      </c>
      <c r="T17" s="85">
        <f t="shared" si="6"/>
        <v>0.32122380440566184</v>
      </c>
      <c r="U17" s="85">
        <f t="shared" si="7"/>
        <v>-0.58411863114558238</v>
      </c>
      <c r="V17" s="85">
        <f t="shared" si="8"/>
        <v>-0.13445686745697624</v>
      </c>
      <c r="W17" s="85">
        <f t="shared" si="9"/>
        <v>0.6164993362615302</v>
      </c>
      <c r="X17" s="85">
        <f t="shared" si="10"/>
        <v>-3.7428951092547284E-2</v>
      </c>
      <c r="Y17" s="1">
        <f t="shared" si="11"/>
        <v>0</v>
      </c>
    </row>
    <row r="18" spans="1:26" x14ac:dyDescent="0.25">
      <c r="C18" s="82">
        <v>90</v>
      </c>
      <c r="D18" s="46">
        <v>-23281.181</v>
      </c>
      <c r="E18" s="46">
        <v>399400.18599999999</v>
      </c>
      <c r="F18" s="46">
        <v>-718363.90800000005</v>
      </c>
      <c r="G18" s="46" t="s">
        <v>158</v>
      </c>
      <c r="H18" s="86">
        <v>90</v>
      </c>
      <c r="I18" s="46">
        <v>-6362077.8689999999</v>
      </c>
      <c r="J18" s="46">
        <v>-9850957.0559999999</v>
      </c>
      <c r="K18" s="46">
        <v>2269688.5839999998</v>
      </c>
      <c r="L18" s="46" t="s">
        <v>158</v>
      </c>
      <c r="N18" s="64"/>
      <c r="P18" s="83">
        <f t="shared" si="2"/>
        <v>90</v>
      </c>
      <c r="Q18" s="84">
        <f t="shared" si="3"/>
        <v>9.1886134118146501E-16</v>
      </c>
      <c r="R18" s="84">
        <f t="shared" si="4"/>
        <v>15</v>
      </c>
      <c r="S18" s="85">
        <f t="shared" si="5"/>
        <v>-0.10243162002260599</v>
      </c>
      <c r="T18" s="85">
        <f t="shared" si="6"/>
        <v>0.37750491954182042</v>
      </c>
      <c r="U18" s="85">
        <f t="shared" si="7"/>
        <v>-0.59264003587698333</v>
      </c>
      <c r="V18" s="85">
        <f t="shared" si="8"/>
        <v>-0.15750360068765745</v>
      </c>
      <c r="W18" s="85">
        <f t="shared" si="9"/>
        <v>-2.2238144215953346</v>
      </c>
      <c r="X18" s="85">
        <f t="shared" si="10"/>
        <v>1.0485674134024139E-2</v>
      </c>
      <c r="Y18" s="1">
        <f t="shared" si="11"/>
        <v>0</v>
      </c>
    </row>
    <row r="19" spans="1:26" x14ac:dyDescent="0.25">
      <c r="C19" s="82"/>
      <c r="D19" s="46"/>
      <c r="E19" s="46"/>
      <c r="F19" s="46"/>
      <c r="G19" s="46"/>
      <c r="H19" s="86"/>
      <c r="I19" s="46"/>
      <c r="J19" s="46"/>
      <c r="K19" s="46"/>
      <c r="L19" s="46"/>
      <c r="N19" s="64"/>
      <c r="P19" s="83">
        <f t="shared" si="2"/>
        <v>0</v>
      </c>
      <c r="Q19" s="84">
        <f t="shared" si="3"/>
        <v>15</v>
      </c>
      <c r="R19" s="84">
        <f t="shared" si="4"/>
        <v>0</v>
      </c>
      <c r="S19" s="85">
        <f t="shared" si="5"/>
        <v>0</v>
      </c>
      <c r="T19" s="85">
        <f t="shared" si="6"/>
        <v>0</v>
      </c>
      <c r="U19" s="85">
        <f t="shared" si="7"/>
        <v>0</v>
      </c>
      <c r="V19" s="85">
        <f t="shared" si="8"/>
        <v>0</v>
      </c>
      <c r="W19" s="85">
        <f t="shared" si="9"/>
        <v>0</v>
      </c>
      <c r="X19" s="85">
        <f t="shared" si="10"/>
        <v>0</v>
      </c>
      <c r="Y19" s="1">
        <f t="shared" si="11"/>
        <v>0</v>
      </c>
    </row>
    <row r="20" spans="1:26" x14ac:dyDescent="0.25">
      <c r="C20" s="82"/>
      <c r="D20" s="46"/>
      <c r="E20" s="46"/>
      <c r="F20" s="46"/>
      <c r="G20" s="46"/>
      <c r="H20" s="86"/>
      <c r="I20" s="46"/>
      <c r="J20" s="46"/>
      <c r="K20" s="46"/>
      <c r="L20" s="46"/>
      <c r="N20" s="64"/>
      <c r="P20" s="83">
        <f t="shared" si="2"/>
        <v>0</v>
      </c>
      <c r="Q20" s="84">
        <f t="shared" si="3"/>
        <v>15</v>
      </c>
      <c r="R20" s="84">
        <f t="shared" si="4"/>
        <v>0</v>
      </c>
      <c r="S20" s="85">
        <f t="shared" si="5"/>
        <v>0</v>
      </c>
      <c r="T20" s="85">
        <f t="shared" si="6"/>
        <v>0</v>
      </c>
      <c r="U20" s="85">
        <f t="shared" si="7"/>
        <v>0</v>
      </c>
      <c r="V20" s="85">
        <f t="shared" si="8"/>
        <v>0</v>
      </c>
      <c r="W20" s="85">
        <f t="shared" si="9"/>
        <v>0</v>
      </c>
      <c r="X20" s="85">
        <f t="shared" si="10"/>
        <v>0</v>
      </c>
      <c r="Y20" s="1">
        <f t="shared" si="11"/>
        <v>0</v>
      </c>
    </row>
    <row r="21" spans="1:26" x14ac:dyDescent="0.25">
      <c r="C21" s="82"/>
      <c r="D21" s="46"/>
      <c r="E21" s="46"/>
      <c r="F21" s="46"/>
      <c r="G21" s="46"/>
      <c r="H21" s="86"/>
      <c r="I21" s="46"/>
      <c r="J21" s="46"/>
      <c r="K21" s="46"/>
      <c r="L21" s="46"/>
      <c r="N21" s="64"/>
      <c r="P21" s="83">
        <f t="shared" si="2"/>
        <v>0</v>
      </c>
      <c r="Q21" s="84">
        <f t="shared" si="3"/>
        <v>15</v>
      </c>
      <c r="R21" s="84">
        <f t="shared" si="4"/>
        <v>0</v>
      </c>
      <c r="S21" s="85">
        <f t="shared" si="5"/>
        <v>0</v>
      </c>
      <c r="T21" s="85">
        <f t="shared" si="6"/>
        <v>0</v>
      </c>
      <c r="U21" s="85">
        <f t="shared" si="7"/>
        <v>0</v>
      </c>
      <c r="V21" s="85">
        <f t="shared" si="8"/>
        <v>0</v>
      </c>
      <c r="W21" s="85">
        <f t="shared" si="9"/>
        <v>0</v>
      </c>
      <c r="X21" s="85">
        <f t="shared" si="10"/>
        <v>0</v>
      </c>
      <c r="Y21" s="1">
        <f t="shared" si="11"/>
        <v>0</v>
      </c>
    </row>
    <row r="22" spans="1:26" x14ac:dyDescent="0.25">
      <c r="C22" s="82"/>
      <c r="D22" s="46"/>
      <c r="E22" s="46"/>
      <c r="F22" s="46"/>
      <c r="G22" s="46"/>
      <c r="H22" s="86"/>
      <c r="I22" s="46"/>
      <c r="J22" s="46"/>
      <c r="K22" s="46"/>
      <c r="L22" s="46"/>
      <c r="N22" s="64"/>
      <c r="P22" s="83">
        <f t="shared" si="2"/>
        <v>0</v>
      </c>
      <c r="Q22" s="84">
        <f t="shared" si="3"/>
        <v>15</v>
      </c>
      <c r="R22" s="84">
        <f t="shared" si="4"/>
        <v>0</v>
      </c>
      <c r="S22" s="85">
        <f t="shared" si="5"/>
        <v>0</v>
      </c>
      <c r="T22" s="85">
        <f t="shared" si="6"/>
        <v>0</v>
      </c>
      <c r="U22" s="85">
        <f t="shared" si="7"/>
        <v>0</v>
      </c>
      <c r="V22" s="85">
        <f t="shared" si="8"/>
        <v>0</v>
      </c>
      <c r="W22" s="85">
        <f t="shared" si="9"/>
        <v>0</v>
      </c>
      <c r="X22" s="85">
        <f t="shared" si="10"/>
        <v>0</v>
      </c>
      <c r="Y22" s="1">
        <f t="shared" si="11"/>
        <v>0</v>
      </c>
    </row>
    <row r="23" spans="1:26" x14ac:dyDescent="0.25">
      <c r="C23" s="82"/>
      <c r="D23" s="46"/>
      <c r="E23" s="46"/>
      <c r="F23" s="46"/>
      <c r="G23" s="46"/>
      <c r="H23" s="86"/>
      <c r="I23" s="46"/>
      <c r="J23" s="46"/>
      <c r="K23" s="46"/>
      <c r="L23" s="46"/>
      <c r="N23" s="64"/>
      <c r="P23" s="83">
        <f t="shared" si="2"/>
        <v>0</v>
      </c>
      <c r="Q23" s="84">
        <f t="shared" si="3"/>
        <v>15</v>
      </c>
      <c r="R23" s="84">
        <f t="shared" si="4"/>
        <v>0</v>
      </c>
      <c r="S23" s="85">
        <f t="shared" si="5"/>
        <v>0</v>
      </c>
      <c r="T23" s="85">
        <f t="shared" si="6"/>
        <v>0</v>
      </c>
      <c r="U23" s="85">
        <f t="shared" si="7"/>
        <v>0</v>
      </c>
      <c r="V23" s="85">
        <f t="shared" si="8"/>
        <v>0</v>
      </c>
      <c r="W23" s="85">
        <f t="shared" si="9"/>
        <v>0</v>
      </c>
      <c r="X23" s="85">
        <f t="shared" si="10"/>
        <v>0</v>
      </c>
      <c r="Y23" s="1">
        <f t="shared" si="11"/>
        <v>0</v>
      </c>
    </row>
    <row r="24" spans="1:26" x14ac:dyDescent="0.25">
      <c r="C24" s="82"/>
      <c r="D24" s="46"/>
      <c r="E24" s="46"/>
      <c r="F24" s="46"/>
      <c r="G24" s="46"/>
      <c r="H24" s="86"/>
      <c r="I24" s="46"/>
      <c r="J24" s="46"/>
      <c r="K24" s="46"/>
      <c r="L24" s="46"/>
      <c r="N24" s="64"/>
      <c r="P24" s="83">
        <f t="shared" si="2"/>
        <v>0</v>
      </c>
      <c r="Q24" s="84">
        <f t="shared" si="3"/>
        <v>15</v>
      </c>
      <c r="R24" s="84">
        <f t="shared" si="4"/>
        <v>0</v>
      </c>
      <c r="S24" s="85">
        <f t="shared" si="5"/>
        <v>0</v>
      </c>
      <c r="T24" s="85">
        <f t="shared" si="6"/>
        <v>0</v>
      </c>
      <c r="U24" s="85">
        <f t="shared" si="7"/>
        <v>0</v>
      </c>
      <c r="V24" s="85">
        <f t="shared" si="8"/>
        <v>0</v>
      </c>
      <c r="W24" s="85">
        <f t="shared" si="9"/>
        <v>0</v>
      </c>
      <c r="X24" s="85">
        <f t="shared" si="10"/>
        <v>0</v>
      </c>
      <c r="Y24" s="1">
        <f t="shared" si="11"/>
        <v>0</v>
      </c>
    </row>
    <row r="25" spans="1:26" x14ac:dyDescent="0.25">
      <c r="C25" s="82"/>
      <c r="D25" s="46"/>
      <c r="E25" s="46"/>
      <c r="F25" s="46"/>
      <c r="G25" s="46"/>
      <c r="H25" s="86"/>
      <c r="I25" s="46"/>
      <c r="J25" s="46"/>
      <c r="K25" s="46"/>
      <c r="L25" s="46"/>
      <c r="N25" s="64"/>
      <c r="P25" s="83">
        <f t="shared" si="2"/>
        <v>0</v>
      </c>
      <c r="Q25" s="84">
        <f t="shared" si="3"/>
        <v>15</v>
      </c>
      <c r="R25" s="84">
        <f t="shared" si="4"/>
        <v>0</v>
      </c>
      <c r="S25" s="85">
        <f t="shared" si="5"/>
        <v>0</v>
      </c>
      <c r="T25" s="85">
        <f t="shared" si="6"/>
        <v>0</v>
      </c>
      <c r="U25" s="85">
        <f t="shared" si="7"/>
        <v>0</v>
      </c>
      <c r="V25" s="85">
        <f t="shared" si="8"/>
        <v>0</v>
      </c>
      <c r="W25" s="85">
        <f t="shared" si="9"/>
        <v>0</v>
      </c>
      <c r="X25" s="85">
        <f t="shared" si="10"/>
        <v>0</v>
      </c>
      <c r="Y25" s="1">
        <f t="shared" si="11"/>
        <v>0</v>
      </c>
    </row>
    <row r="26" spans="1:26" x14ac:dyDescent="0.25">
      <c r="C26" s="82"/>
      <c r="D26" s="46"/>
      <c r="E26" s="46"/>
      <c r="F26" s="46"/>
      <c r="G26" s="46"/>
      <c r="H26" s="86"/>
      <c r="I26" s="46"/>
      <c r="J26" s="46"/>
      <c r="K26" s="46"/>
      <c r="L26" s="46"/>
      <c r="N26" s="64"/>
      <c r="P26" s="83">
        <f t="shared" si="2"/>
        <v>0</v>
      </c>
      <c r="Q26" s="84">
        <f t="shared" si="3"/>
        <v>15</v>
      </c>
      <c r="R26" s="84">
        <f t="shared" si="4"/>
        <v>0</v>
      </c>
      <c r="S26" s="85">
        <f t="shared" si="5"/>
        <v>0</v>
      </c>
      <c r="T26" s="85">
        <f t="shared" si="6"/>
        <v>0</v>
      </c>
      <c r="U26" s="85">
        <f t="shared" si="7"/>
        <v>0</v>
      </c>
      <c r="V26" s="85">
        <f t="shared" si="8"/>
        <v>0</v>
      </c>
      <c r="W26" s="85">
        <f t="shared" si="9"/>
        <v>0</v>
      </c>
      <c r="X26" s="85">
        <f t="shared" si="10"/>
        <v>0</v>
      </c>
      <c r="Y26" s="1">
        <f t="shared" si="11"/>
        <v>0</v>
      </c>
    </row>
    <row r="27" spans="1:26" x14ac:dyDescent="0.25">
      <c r="C27" s="82"/>
      <c r="D27" s="46"/>
      <c r="E27" s="46"/>
      <c r="F27" s="46"/>
      <c r="G27" s="46"/>
      <c r="H27" s="86"/>
      <c r="I27" s="46"/>
      <c r="J27" s="46"/>
      <c r="K27" s="46"/>
      <c r="L27" s="46"/>
      <c r="N27" s="64"/>
      <c r="P27" s="83">
        <f t="shared" si="2"/>
        <v>0</v>
      </c>
      <c r="Q27" s="84">
        <f t="shared" si="3"/>
        <v>15</v>
      </c>
      <c r="R27" s="84">
        <f t="shared" si="4"/>
        <v>0</v>
      </c>
      <c r="S27" s="85">
        <f t="shared" si="5"/>
        <v>0</v>
      </c>
      <c r="T27" s="85">
        <f t="shared" si="6"/>
        <v>0</v>
      </c>
      <c r="U27" s="85">
        <f t="shared" si="7"/>
        <v>0</v>
      </c>
      <c r="V27" s="85">
        <f t="shared" si="8"/>
        <v>0</v>
      </c>
      <c r="W27" s="85">
        <f t="shared" si="9"/>
        <v>0</v>
      </c>
      <c r="X27" s="85">
        <f t="shared" si="10"/>
        <v>0</v>
      </c>
      <c r="Y27" s="1">
        <f t="shared" si="11"/>
        <v>0</v>
      </c>
    </row>
    <row r="28" spans="1:26" x14ac:dyDescent="0.25">
      <c r="C28" s="82"/>
      <c r="D28" s="46"/>
      <c r="E28" s="46"/>
      <c r="F28" s="46"/>
      <c r="G28" s="46"/>
      <c r="H28" s="86"/>
      <c r="I28" s="46"/>
      <c r="J28" s="46"/>
      <c r="K28" s="46"/>
      <c r="L28" s="46"/>
      <c r="N28" s="64"/>
      <c r="P28" s="83">
        <f t="shared" si="2"/>
        <v>0</v>
      </c>
      <c r="Q28" s="84">
        <f t="shared" si="3"/>
        <v>15</v>
      </c>
      <c r="R28" s="84">
        <f t="shared" si="4"/>
        <v>0</v>
      </c>
      <c r="S28" s="85">
        <f t="shared" si="5"/>
        <v>0</v>
      </c>
      <c r="T28" s="85">
        <f t="shared" si="6"/>
        <v>0</v>
      </c>
      <c r="U28" s="85">
        <f t="shared" si="7"/>
        <v>0</v>
      </c>
      <c r="V28" s="85">
        <f t="shared" si="8"/>
        <v>0</v>
      </c>
      <c r="W28" s="85">
        <f t="shared" si="9"/>
        <v>0</v>
      </c>
      <c r="X28" s="85">
        <f t="shared" si="10"/>
        <v>0</v>
      </c>
      <c r="Y28" s="1">
        <f t="shared" si="11"/>
        <v>0</v>
      </c>
    </row>
    <row r="29" spans="1:26" x14ac:dyDescent="0.25">
      <c r="C29" s="82"/>
      <c r="D29" s="46"/>
      <c r="E29" s="46"/>
      <c r="F29" s="46"/>
      <c r="G29" s="46"/>
      <c r="H29" s="86"/>
      <c r="I29" s="46"/>
      <c r="J29" s="46"/>
      <c r="K29" s="46"/>
      <c r="L29" s="46"/>
      <c r="N29" s="64"/>
      <c r="P29" s="83">
        <f t="shared" si="2"/>
        <v>0</v>
      </c>
      <c r="Q29" s="84">
        <f t="shared" si="3"/>
        <v>15</v>
      </c>
      <c r="R29" s="84">
        <f t="shared" si="4"/>
        <v>0</v>
      </c>
      <c r="S29" s="85">
        <f t="shared" si="5"/>
        <v>0</v>
      </c>
      <c r="T29" s="85">
        <f t="shared" si="6"/>
        <v>0</v>
      </c>
      <c r="U29" s="85">
        <f t="shared" si="7"/>
        <v>0</v>
      </c>
      <c r="V29" s="85">
        <f t="shared" si="8"/>
        <v>0</v>
      </c>
      <c r="W29" s="85">
        <f t="shared" si="9"/>
        <v>0</v>
      </c>
      <c r="X29" s="85">
        <f t="shared" si="10"/>
        <v>0</v>
      </c>
      <c r="Y29" s="1">
        <f t="shared" si="11"/>
        <v>0</v>
      </c>
    </row>
    <row r="30" spans="1:26" x14ac:dyDescent="0.25">
      <c r="C30" s="82"/>
      <c r="D30" s="46"/>
      <c r="E30" s="46"/>
      <c r="F30" s="46"/>
      <c r="G30" s="46"/>
      <c r="H30" s="86"/>
      <c r="I30" s="46"/>
      <c r="J30" s="46"/>
      <c r="K30" s="46"/>
      <c r="L30" s="46"/>
      <c r="N30" s="64"/>
      <c r="P30" s="83">
        <f t="shared" si="2"/>
        <v>0</v>
      </c>
      <c r="Q30" s="84">
        <f t="shared" si="3"/>
        <v>15</v>
      </c>
      <c r="R30" s="84">
        <f t="shared" si="4"/>
        <v>0</v>
      </c>
      <c r="S30" s="85">
        <f t="shared" si="5"/>
        <v>0</v>
      </c>
      <c r="T30" s="85">
        <f t="shared" si="6"/>
        <v>0</v>
      </c>
      <c r="U30" s="85">
        <f t="shared" si="7"/>
        <v>0</v>
      </c>
      <c r="V30" s="85">
        <f t="shared" si="8"/>
        <v>0</v>
      </c>
      <c r="W30" s="85">
        <f t="shared" si="9"/>
        <v>0</v>
      </c>
      <c r="X30" s="85">
        <f t="shared" si="10"/>
        <v>0</v>
      </c>
      <c r="Y30" s="1">
        <f t="shared" si="11"/>
        <v>0</v>
      </c>
    </row>
    <row r="31" spans="1:26" x14ac:dyDescent="0.25">
      <c r="C31" s="87"/>
      <c r="D31" s="46"/>
      <c r="E31" s="46"/>
      <c r="F31" s="46"/>
      <c r="G31" s="46"/>
      <c r="H31" s="86"/>
      <c r="I31" s="46"/>
      <c r="J31" s="46"/>
      <c r="K31" s="46"/>
      <c r="L31" s="46"/>
      <c r="N31" s="64"/>
      <c r="P31" s="83">
        <f t="shared" si="2"/>
        <v>0</v>
      </c>
      <c r="Q31" s="84">
        <f t="shared" si="3"/>
        <v>15</v>
      </c>
      <c r="R31" s="84">
        <f t="shared" si="4"/>
        <v>0</v>
      </c>
      <c r="S31" s="85">
        <f t="shared" si="5"/>
        <v>0</v>
      </c>
      <c r="T31" s="85">
        <f t="shared" si="6"/>
        <v>0</v>
      </c>
      <c r="U31" s="85">
        <f t="shared" si="7"/>
        <v>0</v>
      </c>
      <c r="V31" s="85">
        <f t="shared" si="8"/>
        <v>0</v>
      </c>
      <c r="W31" s="85">
        <f t="shared" si="9"/>
        <v>0</v>
      </c>
      <c r="X31" s="85">
        <f t="shared" si="10"/>
        <v>0</v>
      </c>
      <c r="Y31" s="1">
        <f t="shared" si="11"/>
        <v>0</v>
      </c>
    </row>
    <row r="32" spans="1:26" s="1" customFormat="1" x14ac:dyDescent="0.25">
      <c r="A32" s="53"/>
      <c r="B32" s="53"/>
      <c r="C32" s="87"/>
      <c r="D32" s="46"/>
      <c r="E32" s="46"/>
      <c r="F32" s="46"/>
      <c r="G32" s="46"/>
      <c r="H32" s="86"/>
      <c r="I32" s="46"/>
      <c r="J32" s="46"/>
      <c r="K32" s="46"/>
      <c r="L32" s="46"/>
      <c r="M32" s="57"/>
      <c r="N32" s="64"/>
      <c r="O32" s="53"/>
      <c r="P32" s="83">
        <f t="shared" si="2"/>
        <v>0</v>
      </c>
      <c r="Q32" s="84">
        <f t="shared" si="3"/>
        <v>15</v>
      </c>
      <c r="R32" s="84">
        <f t="shared" si="4"/>
        <v>0</v>
      </c>
      <c r="S32" s="85">
        <f t="shared" si="5"/>
        <v>0</v>
      </c>
      <c r="T32" s="85">
        <f t="shared" si="6"/>
        <v>0</v>
      </c>
      <c r="U32" s="85">
        <f t="shared" si="7"/>
        <v>0</v>
      </c>
      <c r="V32" s="85">
        <f t="shared" si="8"/>
        <v>0</v>
      </c>
      <c r="W32" s="85">
        <f t="shared" si="9"/>
        <v>0</v>
      </c>
      <c r="X32" s="85">
        <f t="shared" si="10"/>
        <v>0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/>
      <c r="D33" s="46"/>
      <c r="E33" s="46"/>
      <c r="F33" s="46"/>
      <c r="G33" s="46"/>
      <c r="H33" s="86"/>
      <c r="I33" s="46"/>
      <c r="J33" s="46"/>
      <c r="K33" s="46"/>
      <c r="L33" s="46"/>
      <c r="M33" s="57"/>
      <c r="N33" s="64"/>
      <c r="O33" s="53"/>
      <c r="P33" s="83">
        <f t="shared" si="2"/>
        <v>0</v>
      </c>
      <c r="Q33" s="84">
        <f t="shared" si="3"/>
        <v>15</v>
      </c>
      <c r="R33" s="84">
        <f t="shared" si="4"/>
        <v>0</v>
      </c>
      <c r="S33" s="85">
        <f t="shared" si="5"/>
        <v>0</v>
      </c>
      <c r="T33" s="85">
        <f t="shared" si="6"/>
        <v>0</v>
      </c>
      <c r="U33" s="85">
        <f t="shared" si="7"/>
        <v>0</v>
      </c>
      <c r="V33" s="85">
        <f t="shared" si="8"/>
        <v>0</v>
      </c>
      <c r="W33" s="85">
        <f t="shared" si="9"/>
        <v>0</v>
      </c>
      <c r="X33" s="85">
        <f t="shared" si="10"/>
        <v>0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/>
      <c r="D34" s="46"/>
      <c r="E34" s="46"/>
      <c r="F34" s="46"/>
      <c r="G34" s="46"/>
      <c r="H34" s="86"/>
      <c r="I34" s="46"/>
      <c r="J34" s="46"/>
      <c r="K34" s="46"/>
      <c r="L34" s="46"/>
      <c r="M34" s="57"/>
      <c r="N34" s="64"/>
      <c r="O34" s="53"/>
      <c r="P34" s="83">
        <f t="shared" si="2"/>
        <v>0</v>
      </c>
      <c r="Q34" s="84">
        <f t="shared" si="3"/>
        <v>15</v>
      </c>
      <c r="R34" s="84">
        <f t="shared" si="4"/>
        <v>0</v>
      </c>
      <c r="S34" s="85">
        <f t="shared" si="5"/>
        <v>0</v>
      </c>
      <c r="T34" s="85">
        <f t="shared" si="6"/>
        <v>0</v>
      </c>
      <c r="U34" s="85">
        <f t="shared" si="7"/>
        <v>0</v>
      </c>
      <c r="V34" s="85">
        <f t="shared" si="8"/>
        <v>0</v>
      </c>
      <c r="W34" s="85">
        <f t="shared" si="9"/>
        <v>0</v>
      </c>
      <c r="X34" s="85">
        <f t="shared" si="10"/>
        <v>0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/>
      <c r="D35" s="46"/>
      <c r="E35" s="46"/>
      <c r="F35" s="46"/>
      <c r="G35" s="46"/>
      <c r="H35" s="86"/>
      <c r="I35" s="46"/>
      <c r="J35" s="46"/>
      <c r="K35" s="46"/>
      <c r="L35" s="46"/>
      <c r="M35" s="57"/>
      <c r="N35" s="64"/>
      <c r="O35" s="53"/>
      <c r="P35" s="83">
        <f t="shared" si="2"/>
        <v>0</v>
      </c>
      <c r="Q35" s="84">
        <f t="shared" si="3"/>
        <v>15</v>
      </c>
      <c r="R35" s="84">
        <f t="shared" si="4"/>
        <v>0</v>
      </c>
      <c r="S35" s="85">
        <f t="shared" si="5"/>
        <v>0</v>
      </c>
      <c r="T35" s="85">
        <f t="shared" si="6"/>
        <v>0</v>
      </c>
      <c r="U35" s="85">
        <f t="shared" si="7"/>
        <v>0</v>
      </c>
      <c r="V35" s="85">
        <f t="shared" si="8"/>
        <v>0</v>
      </c>
      <c r="W35" s="85">
        <f t="shared" si="9"/>
        <v>0</v>
      </c>
      <c r="X35" s="85">
        <f t="shared" si="10"/>
        <v>0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/>
      <c r="D36" s="46"/>
      <c r="E36" s="46"/>
      <c r="F36" s="46"/>
      <c r="G36" s="46"/>
      <c r="H36" s="86"/>
      <c r="I36" s="46"/>
      <c r="J36" s="46"/>
      <c r="K36" s="46"/>
      <c r="L36" s="46"/>
      <c r="M36" s="57"/>
      <c r="N36" s="64"/>
      <c r="O36" s="53"/>
      <c r="P36" s="83">
        <f t="shared" si="2"/>
        <v>0</v>
      </c>
      <c r="Q36" s="84">
        <f t="shared" si="3"/>
        <v>15</v>
      </c>
      <c r="R36" s="84">
        <f t="shared" si="4"/>
        <v>0</v>
      </c>
      <c r="S36" s="85">
        <f t="shared" si="5"/>
        <v>0</v>
      </c>
      <c r="T36" s="85">
        <f t="shared" si="6"/>
        <v>0</v>
      </c>
      <c r="U36" s="85">
        <f t="shared" si="7"/>
        <v>0</v>
      </c>
      <c r="V36" s="85">
        <f t="shared" si="8"/>
        <v>0</v>
      </c>
      <c r="W36" s="85">
        <f t="shared" si="9"/>
        <v>0</v>
      </c>
      <c r="X36" s="85">
        <f t="shared" si="10"/>
        <v>0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/>
      <c r="D37" s="46"/>
      <c r="E37" s="46"/>
      <c r="F37" s="46"/>
      <c r="G37" s="46"/>
      <c r="H37" s="86"/>
      <c r="I37" s="46"/>
      <c r="J37" s="46"/>
      <c r="K37" s="46"/>
      <c r="L37" s="46"/>
      <c r="M37" s="57"/>
      <c r="N37" s="64"/>
      <c r="O37" s="53"/>
      <c r="P37" s="83">
        <f t="shared" si="2"/>
        <v>0</v>
      </c>
      <c r="Q37" s="84">
        <f t="shared" si="3"/>
        <v>15</v>
      </c>
      <c r="R37" s="84">
        <f t="shared" si="4"/>
        <v>0</v>
      </c>
      <c r="S37" s="85">
        <f t="shared" si="5"/>
        <v>0</v>
      </c>
      <c r="T37" s="85">
        <f t="shared" si="6"/>
        <v>0</v>
      </c>
      <c r="U37" s="85">
        <f t="shared" si="7"/>
        <v>0</v>
      </c>
      <c r="V37" s="85">
        <f t="shared" si="8"/>
        <v>0</v>
      </c>
      <c r="W37" s="85">
        <f t="shared" si="9"/>
        <v>0</v>
      </c>
      <c r="X37" s="85">
        <f t="shared" si="10"/>
        <v>0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f t="shared" si="2"/>
        <v>0</v>
      </c>
      <c r="Q38" s="84">
        <f t="shared" si="3"/>
        <v>15</v>
      </c>
      <c r="R38" s="84">
        <f t="shared" si="4"/>
        <v>0</v>
      </c>
      <c r="S38" s="85">
        <f t="shared" si="5"/>
        <v>0</v>
      </c>
      <c r="T38" s="85">
        <f t="shared" si="6"/>
        <v>0</v>
      </c>
      <c r="U38" s="85">
        <f t="shared" si="7"/>
        <v>0</v>
      </c>
      <c r="V38" s="85">
        <f t="shared" si="8"/>
        <v>0</v>
      </c>
      <c r="W38" s="85">
        <f t="shared" si="9"/>
        <v>0</v>
      </c>
      <c r="X38" s="85">
        <f t="shared" si="10"/>
        <v>0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si="2"/>
        <v>0</v>
      </c>
      <c r="Q39" s="84">
        <f t="shared" si="3"/>
        <v>15</v>
      </c>
      <c r="R39" s="84">
        <f t="shared" si="4"/>
        <v>0</v>
      </c>
      <c r="S39" s="85">
        <f t="shared" si="5"/>
        <v>0</v>
      </c>
      <c r="T39" s="85">
        <f t="shared" si="6"/>
        <v>0</v>
      </c>
      <c r="U39" s="85">
        <f t="shared" si="7"/>
        <v>0</v>
      </c>
      <c r="V39" s="85">
        <f t="shared" si="8"/>
        <v>0</v>
      </c>
      <c r="W39" s="85">
        <f t="shared" si="9"/>
        <v>0</v>
      </c>
      <c r="X39" s="85">
        <f t="shared" si="10"/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2"/>
        <v>0</v>
      </c>
      <c r="Q40" s="84">
        <f t="shared" si="3"/>
        <v>15</v>
      </c>
      <c r="R40" s="84">
        <f t="shared" si="4"/>
        <v>0</v>
      </c>
      <c r="S40" s="85">
        <f t="shared" si="5"/>
        <v>0</v>
      </c>
      <c r="T40" s="85">
        <f t="shared" si="6"/>
        <v>0</v>
      </c>
      <c r="U40" s="85">
        <f t="shared" si="7"/>
        <v>0</v>
      </c>
      <c r="V40" s="85">
        <f t="shared" si="8"/>
        <v>0</v>
      </c>
      <c r="W40" s="85">
        <f t="shared" si="9"/>
        <v>0</v>
      </c>
      <c r="X40" s="85">
        <f t="shared" si="10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2"/>
        <v>0</v>
      </c>
      <c r="Q41" s="84">
        <f t="shared" si="3"/>
        <v>15</v>
      </c>
      <c r="R41" s="84">
        <f t="shared" si="4"/>
        <v>0</v>
      </c>
      <c r="S41" s="85">
        <f t="shared" si="5"/>
        <v>0</v>
      </c>
      <c r="T41" s="85">
        <f t="shared" si="6"/>
        <v>0</v>
      </c>
      <c r="U41" s="85">
        <f t="shared" si="7"/>
        <v>0</v>
      </c>
      <c r="V41" s="85">
        <f t="shared" si="8"/>
        <v>0</v>
      </c>
      <c r="W41" s="85">
        <f t="shared" si="9"/>
        <v>0</v>
      </c>
      <c r="X41" s="85">
        <f t="shared" si="10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2"/>
        <v>0</v>
      </c>
      <c r="Q42" s="84">
        <f t="shared" si="3"/>
        <v>15</v>
      </c>
      <c r="R42" s="84">
        <f t="shared" si="4"/>
        <v>0</v>
      </c>
      <c r="S42" s="85">
        <f t="shared" si="5"/>
        <v>0</v>
      </c>
      <c r="T42" s="85">
        <f t="shared" si="6"/>
        <v>0</v>
      </c>
      <c r="U42" s="85">
        <f t="shared" si="7"/>
        <v>0</v>
      </c>
      <c r="V42" s="85">
        <f t="shared" si="8"/>
        <v>0</v>
      </c>
      <c r="W42" s="85">
        <f t="shared" si="9"/>
        <v>0</v>
      </c>
      <c r="X42" s="85">
        <f t="shared" si="10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2"/>
        <v>0</v>
      </c>
      <c r="Q43" s="84">
        <f t="shared" si="3"/>
        <v>15</v>
      </c>
      <c r="R43" s="84">
        <f t="shared" si="4"/>
        <v>0</v>
      </c>
      <c r="S43" s="85">
        <f t="shared" si="5"/>
        <v>0</v>
      </c>
      <c r="T43" s="85">
        <f t="shared" si="6"/>
        <v>0</v>
      </c>
      <c r="U43" s="85">
        <f t="shared" si="7"/>
        <v>0</v>
      </c>
      <c r="V43" s="85">
        <f t="shared" si="8"/>
        <v>0</v>
      </c>
      <c r="W43" s="85">
        <f t="shared" si="9"/>
        <v>0</v>
      </c>
      <c r="X43" s="85">
        <f t="shared" si="10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2"/>
        <v>0</v>
      </c>
      <c r="Q44" s="84">
        <f t="shared" si="3"/>
        <v>15</v>
      </c>
      <c r="R44" s="84">
        <f t="shared" si="4"/>
        <v>0</v>
      </c>
      <c r="S44" s="85">
        <f t="shared" si="5"/>
        <v>0</v>
      </c>
      <c r="T44" s="85">
        <f t="shared" si="6"/>
        <v>0</v>
      </c>
      <c r="U44" s="85">
        <f t="shared" si="7"/>
        <v>0</v>
      </c>
      <c r="V44" s="85">
        <f t="shared" si="8"/>
        <v>0</v>
      </c>
      <c r="W44" s="85">
        <f t="shared" si="9"/>
        <v>0</v>
      </c>
      <c r="X44" s="85">
        <f t="shared" si="10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2"/>
        <v>0</v>
      </c>
      <c r="Q45" s="84">
        <f t="shared" si="3"/>
        <v>15</v>
      </c>
      <c r="R45" s="84">
        <f t="shared" si="4"/>
        <v>0</v>
      </c>
      <c r="S45" s="85">
        <f t="shared" si="5"/>
        <v>0</v>
      </c>
      <c r="T45" s="85">
        <f t="shared" si="6"/>
        <v>0</v>
      </c>
      <c r="U45" s="85">
        <f t="shared" si="7"/>
        <v>0</v>
      </c>
      <c r="V45" s="85">
        <f t="shared" si="8"/>
        <v>0</v>
      </c>
      <c r="W45" s="85">
        <f t="shared" si="9"/>
        <v>0</v>
      </c>
      <c r="X45" s="85">
        <f t="shared" si="10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2"/>
        <v>0</v>
      </c>
      <c r="Q46" s="84">
        <f t="shared" si="3"/>
        <v>15</v>
      </c>
      <c r="R46" s="84">
        <f t="shared" si="4"/>
        <v>0</v>
      </c>
      <c r="S46" s="85">
        <f t="shared" si="5"/>
        <v>0</v>
      </c>
      <c r="T46" s="85">
        <f t="shared" si="6"/>
        <v>0</v>
      </c>
      <c r="U46" s="85">
        <f t="shared" si="7"/>
        <v>0</v>
      </c>
      <c r="V46" s="85">
        <f t="shared" si="8"/>
        <v>0</v>
      </c>
      <c r="W46" s="85">
        <f t="shared" si="9"/>
        <v>0</v>
      </c>
      <c r="X46" s="85">
        <f t="shared" si="10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AMJ67"/>
  <sheetViews>
    <sheetView topLeftCell="I13" zoomScaleNormal="100" workbookViewId="0">
      <selection activeCell="N38" sqref="N38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53840.944000000003</v>
      </c>
      <c r="E14" s="46">
        <v>-9114.9680000000008</v>
      </c>
      <c r="F14" s="46">
        <v>81275.164999999994</v>
      </c>
      <c r="G14" s="46" t="s">
        <v>154</v>
      </c>
      <c r="H14" s="82">
        <v>0</v>
      </c>
      <c r="I14" s="46">
        <v>287112.17200000002</v>
      </c>
      <c r="J14" s="46">
        <v>2457321.4449999998</v>
      </c>
      <c r="K14" s="46">
        <v>-348045.511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0.23688725745770403</v>
      </c>
      <c r="T14" s="85">
        <f t="shared" ref="T14:T37" si="6">E14*(1-2*$N14*T$11)/T$9</f>
        <v>-8.6152820706655048E-3</v>
      </c>
      <c r="U14" s="85">
        <f t="shared" ref="U14:U37" si="7">F14*(1-2*$N14*U$11)/U$9</f>
        <v>6.70508584369299E-2</v>
      </c>
      <c r="V14" s="85">
        <f t="shared" ref="V14:V37" si="8">(I14+F14*dy-E14*dz)*(1-2*$N14*V$11)/V$9</f>
        <v>7.1079294881943901E-3</v>
      </c>
      <c r="W14" s="85">
        <f t="shared" ref="W14:W37" si="9">(J14+D14*dz-F14*dx)*(1-2*$N14*W$11)/W$9</f>
        <v>0.55473055428234797</v>
      </c>
      <c r="X14" s="85">
        <f t="shared" ref="X14:X37" si="10">(K14+E14*dx-D14*dy)*(1-2*$N14*X$11)/X$9</f>
        <v>-1.6079262317670955E-3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209713.565</v>
      </c>
      <c r="E15" s="46">
        <v>132025.264</v>
      </c>
      <c r="F15" s="46">
        <v>87056.982999999993</v>
      </c>
      <c r="G15" s="46" t="s">
        <v>160</v>
      </c>
      <c r="H15" s="82">
        <v>15</v>
      </c>
      <c r="I15" s="46">
        <v>-2308317.682</v>
      </c>
      <c r="J15" s="46">
        <v>6465963.6289999997</v>
      </c>
      <c r="K15" s="46">
        <v>1273921.4939999999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0.92268945478608155</v>
      </c>
      <c r="T15" s="85">
        <f t="shared" si="6"/>
        <v>0.12478759001831712</v>
      </c>
      <c r="U15" s="85">
        <f t="shared" si="7"/>
        <v>7.1820776286079677E-2</v>
      </c>
      <c r="V15" s="85">
        <f t="shared" si="8"/>
        <v>-5.7146164182855758E-2</v>
      </c>
      <c r="W15" s="85">
        <f t="shared" si="9"/>
        <v>1.459665602635341</v>
      </c>
      <c r="X15" s="85">
        <f t="shared" si="10"/>
        <v>5.8853561464682373E-3</v>
      </c>
      <c r="Y15" s="1">
        <f t="shared" si="11"/>
        <v>0</v>
      </c>
    </row>
    <row r="16" spans="1:26" x14ac:dyDescent="0.25">
      <c r="C16" s="82">
        <v>30</v>
      </c>
      <c r="D16" s="46">
        <v>165611.166</v>
      </c>
      <c r="E16" s="46">
        <v>170453.27900000001</v>
      </c>
      <c r="F16" s="46">
        <v>231151.99400000001</v>
      </c>
      <c r="G16" s="46" t="s">
        <v>155</v>
      </c>
      <c r="H16" s="82">
        <v>30</v>
      </c>
      <c r="I16" s="46">
        <v>-3199615.108</v>
      </c>
      <c r="J16" s="46">
        <v>2280196.6150000002</v>
      </c>
      <c r="K16" s="46">
        <v>3797009.74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0.72864946272324937</v>
      </c>
      <c r="T16" s="85">
        <f t="shared" si="6"/>
        <v>0.16110896697112323</v>
      </c>
      <c r="U16" s="85">
        <f t="shared" si="7"/>
        <v>0.19069711672819209</v>
      </c>
      <c r="V16" s="85">
        <f t="shared" si="8"/>
        <v>-7.9211683777117875E-2</v>
      </c>
      <c r="W16" s="85">
        <f t="shared" si="9"/>
        <v>0.51474532755387392</v>
      </c>
      <c r="X16" s="85">
        <f t="shared" si="10"/>
        <v>1.7541704662931736E-2</v>
      </c>
      <c r="Y16" s="1">
        <f t="shared" si="11"/>
        <v>0</v>
      </c>
    </row>
    <row r="17" spans="1:26" x14ac:dyDescent="0.25">
      <c r="C17" s="82">
        <v>45</v>
      </c>
      <c r="D17" s="46">
        <v>193427.641</v>
      </c>
      <c r="E17" s="46">
        <v>347338.891</v>
      </c>
      <c r="F17" s="46">
        <v>277325.06599999999</v>
      </c>
      <c r="G17" s="46" t="s">
        <v>156</v>
      </c>
      <c r="H17" s="82">
        <v>45</v>
      </c>
      <c r="I17" s="46">
        <v>-6273240.2630000003</v>
      </c>
      <c r="J17" s="46">
        <v>6906957.0549999997</v>
      </c>
      <c r="K17" s="46">
        <v>4427432.9440000001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0.8510352900388104</v>
      </c>
      <c r="T17" s="85">
        <f t="shared" si="6"/>
        <v>0.32829764405943501</v>
      </c>
      <c r="U17" s="85">
        <f t="shared" si="7"/>
        <v>0.22878924627686997</v>
      </c>
      <c r="V17" s="85">
        <f t="shared" si="8"/>
        <v>-0.15530428104561875</v>
      </c>
      <c r="W17" s="85">
        <f t="shared" si="9"/>
        <v>1.55921811666952</v>
      </c>
      <c r="X17" s="85">
        <f t="shared" si="10"/>
        <v>2.0454180114529385E-2</v>
      </c>
      <c r="Y17" s="1">
        <f t="shared" si="11"/>
        <v>0</v>
      </c>
    </row>
    <row r="18" spans="1:26" x14ac:dyDescent="0.25">
      <c r="C18" s="82">
        <v>60</v>
      </c>
      <c r="D18" s="46">
        <v>126089.80100000001</v>
      </c>
      <c r="E18" s="46">
        <v>364110.34700000001</v>
      </c>
      <c r="F18" s="46">
        <v>315899.37699999998</v>
      </c>
      <c r="G18" s="46" t="s">
        <v>157</v>
      </c>
      <c r="H18" s="86">
        <v>60</v>
      </c>
      <c r="I18" s="46">
        <v>-5957865.602</v>
      </c>
      <c r="J18" s="46">
        <v>4637599.0470000003</v>
      </c>
      <c r="K18" s="46">
        <v>10606993.744000001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0.55476492299759206</v>
      </c>
      <c r="T18" s="85">
        <f t="shared" si="6"/>
        <v>0.3441496826157695</v>
      </c>
      <c r="U18" s="85">
        <f t="shared" si="7"/>
        <v>0.26061250577026018</v>
      </c>
      <c r="V18" s="85">
        <f t="shared" si="8"/>
        <v>-0.14749666760611885</v>
      </c>
      <c r="W18" s="85">
        <f t="shared" si="9"/>
        <v>1.0469195615885731</v>
      </c>
      <c r="X18" s="85">
        <f t="shared" si="10"/>
        <v>4.9002969273081863E-2</v>
      </c>
      <c r="Y18" s="1">
        <f t="shared" si="11"/>
        <v>0</v>
      </c>
    </row>
    <row r="19" spans="1:26" x14ac:dyDescent="0.25">
      <c r="C19" s="82">
        <v>75</v>
      </c>
      <c r="D19" s="46">
        <v>29228.954000000002</v>
      </c>
      <c r="E19" s="46">
        <v>464293.20199999999</v>
      </c>
      <c r="F19" s="46">
        <v>341441.33899999998</v>
      </c>
      <c r="G19" s="46" t="s">
        <v>161</v>
      </c>
      <c r="H19" s="86">
        <v>75</v>
      </c>
      <c r="I19" s="46">
        <v>-6916799.5990000004</v>
      </c>
      <c r="J19" s="46">
        <v>-71516.233999999997</v>
      </c>
      <c r="K19" s="46">
        <v>12146904.975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0.12860039659440942</v>
      </c>
      <c r="T19" s="85">
        <f t="shared" si="6"/>
        <v>0.43884047631571249</v>
      </c>
      <c r="U19" s="85">
        <f t="shared" si="7"/>
        <v>0.28168426217042797</v>
      </c>
      <c r="V19" s="85">
        <f t="shared" si="8"/>
        <v>-0.17123664068712222</v>
      </c>
      <c r="W19" s="85">
        <f t="shared" si="9"/>
        <v>-1.6144505720946126E-2</v>
      </c>
      <c r="X19" s="85">
        <f t="shared" si="10"/>
        <v>5.6117164355798096E-2</v>
      </c>
      <c r="Y19" s="1">
        <f t="shared" si="11"/>
        <v>0</v>
      </c>
    </row>
    <row r="20" spans="1:26" x14ac:dyDescent="0.25">
      <c r="C20" s="82">
        <v>90</v>
      </c>
      <c r="D20" s="46">
        <v>-38788.169000000002</v>
      </c>
      <c r="E20" s="46">
        <v>559785.91399999999</v>
      </c>
      <c r="F20" s="46">
        <v>382885.23499999999</v>
      </c>
      <c r="G20" s="46" t="s">
        <v>158</v>
      </c>
      <c r="H20" s="86">
        <v>90</v>
      </c>
      <c r="I20" s="46">
        <v>-8065455.7089999998</v>
      </c>
      <c r="J20" s="46">
        <v>-5753755.733</v>
      </c>
      <c r="K20" s="46">
        <v>13695631.782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-0.17065865294293381</v>
      </c>
      <c r="T20" s="85">
        <f t="shared" si="6"/>
        <v>0.52909824239594716</v>
      </c>
      <c r="U20" s="85">
        <f t="shared" si="7"/>
        <v>0.31587488859082152</v>
      </c>
      <c r="V20" s="85">
        <f t="shared" si="8"/>
        <v>-0.19967349370937465</v>
      </c>
      <c r="W20" s="85">
        <f t="shared" si="9"/>
        <v>-1.2988874994220903</v>
      </c>
      <c r="X20" s="85">
        <f t="shared" si="10"/>
        <v>6.327208628443115E-2</v>
      </c>
      <c r="Y20" s="1">
        <f t="shared" si="11"/>
        <v>0</v>
      </c>
    </row>
    <row r="21" spans="1:26" x14ac:dyDescent="0.25">
      <c r="C21" s="82">
        <v>105</v>
      </c>
      <c r="D21" s="46">
        <v>-94526.232999999993</v>
      </c>
      <c r="E21" s="46">
        <v>662246.18599999999</v>
      </c>
      <c r="F21" s="46">
        <v>472087.11800000002</v>
      </c>
      <c r="G21" s="46" t="s">
        <v>162</v>
      </c>
      <c r="H21" s="86">
        <v>105</v>
      </c>
      <c r="I21" s="46">
        <v>-9845631.3719999995</v>
      </c>
      <c r="J21" s="46">
        <v>-10110326.450999999</v>
      </c>
      <c r="K21" s="46">
        <v>14205276.717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-0.41589278399683921</v>
      </c>
      <c r="T21" s="85">
        <f t="shared" si="6"/>
        <v>0.62594160425054846</v>
      </c>
      <c r="U21" s="85">
        <f t="shared" si="7"/>
        <v>0.38946517695677674</v>
      </c>
      <c r="V21" s="85">
        <f t="shared" si="8"/>
        <v>-0.24374464193364323</v>
      </c>
      <c r="W21" s="85">
        <f t="shared" si="9"/>
        <v>-2.2823660321487624</v>
      </c>
      <c r="X21" s="85">
        <f t="shared" si="10"/>
        <v>6.5626581412149471E-2</v>
      </c>
      <c r="Y21" s="1">
        <f t="shared" si="11"/>
        <v>0</v>
      </c>
    </row>
    <row r="22" spans="1:26" x14ac:dyDescent="0.25">
      <c r="C22" s="82">
        <v>120</v>
      </c>
      <c r="D22" s="46">
        <v>-258372.16800000001</v>
      </c>
      <c r="E22" s="46">
        <v>707202.04500000004</v>
      </c>
      <c r="F22" s="46">
        <v>595920.15800000005</v>
      </c>
      <c r="G22" s="46" t="s">
        <v>163</v>
      </c>
      <c r="H22" s="86">
        <v>120</v>
      </c>
      <c r="I22" s="46">
        <v>-11262174.734999999</v>
      </c>
      <c r="J22" s="46">
        <v>-12566695.314999999</v>
      </c>
      <c r="K22" s="46">
        <v>15953445.976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-1.1367756531334436</v>
      </c>
      <c r="T22" s="85">
        <f t="shared" si="6"/>
        <v>0.66843296637206839</v>
      </c>
      <c r="U22" s="85">
        <f t="shared" si="7"/>
        <v>0.49162567869005136</v>
      </c>
      <c r="V22" s="85">
        <f t="shared" si="8"/>
        <v>-0.27881348025922192</v>
      </c>
      <c r="W22" s="85">
        <f t="shared" si="9"/>
        <v>-2.8368815450545726</v>
      </c>
      <c r="X22" s="85">
        <f t="shared" si="10"/>
        <v>7.3702902238809834E-2</v>
      </c>
      <c r="Y22" s="1">
        <f t="shared" si="11"/>
        <v>0</v>
      </c>
    </row>
    <row r="23" spans="1:26" x14ac:dyDescent="0.25">
      <c r="C23" s="82">
        <v>135</v>
      </c>
      <c r="D23" s="46">
        <v>-432989.92499999999</v>
      </c>
      <c r="E23" s="46">
        <v>612790.22699999996</v>
      </c>
      <c r="F23" s="46">
        <v>453814.77799999999</v>
      </c>
      <c r="G23" s="46" t="s">
        <v>164</v>
      </c>
      <c r="H23" s="86">
        <v>135</v>
      </c>
      <c r="I23" s="46">
        <v>-10485516.346000001</v>
      </c>
      <c r="J23" s="46">
        <v>-11343865.956</v>
      </c>
      <c r="K23" s="46">
        <v>16537192.833000001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-1.9050519589713537</v>
      </c>
      <c r="T23" s="85">
        <f t="shared" si="6"/>
        <v>0.57919683928151411</v>
      </c>
      <c r="U23" s="85">
        <f t="shared" si="7"/>
        <v>0.37439075560492274</v>
      </c>
      <c r="V23" s="85">
        <f t="shared" si="8"/>
        <v>-0.25958603675875397</v>
      </c>
      <c r="W23" s="85">
        <f t="shared" si="9"/>
        <v>-2.5608326750579176</v>
      </c>
      <c r="X23" s="85">
        <f t="shared" si="10"/>
        <v>7.6399738871999148E-2</v>
      </c>
      <c r="Y23" s="1">
        <f t="shared" si="11"/>
        <v>0</v>
      </c>
    </row>
    <row r="24" spans="1:26" x14ac:dyDescent="0.25">
      <c r="C24" s="82">
        <v>150</v>
      </c>
      <c r="D24" s="46">
        <v>-512726.75</v>
      </c>
      <c r="E24" s="46">
        <v>412335.03</v>
      </c>
      <c r="F24" s="46">
        <v>340124.58</v>
      </c>
      <c r="G24" s="46" t="s">
        <v>165</v>
      </c>
      <c r="H24" s="86">
        <v>150</v>
      </c>
      <c r="I24" s="46">
        <v>-7236338.8370000003</v>
      </c>
      <c r="J24" s="46">
        <v>-11132864.744999999</v>
      </c>
      <c r="K24" s="46">
        <v>12358595.105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-2.2558748901709795</v>
      </c>
      <c r="T24" s="85">
        <f t="shared" si="6"/>
        <v>0.38973067059218675</v>
      </c>
      <c r="U24" s="85">
        <f t="shared" si="7"/>
        <v>0.28059795467041182</v>
      </c>
      <c r="V24" s="85">
        <f t="shared" si="8"/>
        <v>-0.17914735501383969</v>
      </c>
      <c r="W24" s="85">
        <f t="shared" si="9"/>
        <v>-2.5131999898956079</v>
      </c>
      <c r="X24" s="85">
        <f t="shared" si="10"/>
        <v>5.7095145976808537E-2</v>
      </c>
      <c r="Y24" s="1">
        <f t="shared" si="11"/>
        <v>0</v>
      </c>
    </row>
    <row r="25" spans="1:26" x14ac:dyDescent="0.25">
      <c r="C25" s="82">
        <v>165</v>
      </c>
      <c r="D25" s="46">
        <v>-445379.28899999999</v>
      </c>
      <c r="E25" s="46">
        <v>187395.78700000001</v>
      </c>
      <c r="F25" s="46">
        <v>212986.23699999999</v>
      </c>
      <c r="G25" s="46" t="s">
        <v>166</v>
      </c>
      <c r="H25" s="86">
        <v>165</v>
      </c>
      <c r="I25" s="46">
        <v>-3088435.9139999999</v>
      </c>
      <c r="J25" s="46">
        <v>-9826381.2990000006</v>
      </c>
      <c r="K25" s="46">
        <v>5441703.784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-1.9595621930342113</v>
      </c>
      <c r="T25" s="85">
        <f t="shared" si="6"/>
        <v>0.17712268039332141</v>
      </c>
      <c r="U25" s="85">
        <f t="shared" si="7"/>
        <v>0.17571062483972075</v>
      </c>
      <c r="V25" s="85">
        <f t="shared" si="8"/>
        <v>-7.6459261732446479E-2</v>
      </c>
      <c r="W25" s="85">
        <f t="shared" si="9"/>
        <v>-2.2182665420819494</v>
      </c>
      <c r="X25" s="85">
        <f t="shared" si="10"/>
        <v>2.5139983086292023E-2</v>
      </c>
      <c r="Y25" s="1">
        <f t="shared" si="11"/>
        <v>0</v>
      </c>
    </row>
    <row r="26" spans="1:26" x14ac:dyDescent="0.25">
      <c r="C26" s="82">
        <v>180</v>
      </c>
      <c r="D26" s="46">
        <v>-264832.73499999999</v>
      </c>
      <c r="E26" s="46">
        <v>-4593.5820000000003</v>
      </c>
      <c r="F26" s="46">
        <v>138894.40299999999</v>
      </c>
      <c r="G26" s="46" t="s">
        <v>167</v>
      </c>
      <c r="H26" s="86">
        <v>180</v>
      </c>
      <c r="I26" s="46">
        <v>-25548.149000000001</v>
      </c>
      <c r="J26" s="46">
        <v>-8518102.0419999994</v>
      </c>
      <c r="K26" s="46">
        <v>1323366.672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-1.1652006004793101</v>
      </c>
      <c r="T26" s="85">
        <f t="shared" si="6"/>
        <v>-4.3417601295727857E-3</v>
      </c>
      <c r="U26" s="85">
        <f t="shared" si="7"/>
        <v>0.11458591259993002</v>
      </c>
      <c r="V26" s="85">
        <f t="shared" si="8"/>
        <v>-6.3248604328026894E-4</v>
      </c>
      <c r="W26" s="85">
        <f t="shared" si="9"/>
        <v>-1.9229276970690581</v>
      </c>
      <c r="X26" s="85">
        <f t="shared" si="10"/>
        <v>6.1137866138291372E-3</v>
      </c>
      <c r="Y26" s="1">
        <f t="shared" si="11"/>
        <v>0</v>
      </c>
    </row>
    <row r="27" spans="1:26" x14ac:dyDescent="0.25">
      <c r="C27" s="82">
        <v>195</v>
      </c>
      <c r="D27" s="46">
        <v>-330729.88900000002</v>
      </c>
      <c r="E27" s="46">
        <v>-194253.93400000001</v>
      </c>
      <c r="F27" s="46">
        <v>236616.13399999999</v>
      </c>
      <c r="G27" s="46" t="s">
        <v>168</v>
      </c>
      <c r="H27" s="86">
        <v>195</v>
      </c>
      <c r="I27" s="46">
        <v>3744032.3149999999</v>
      </c>
      <c r="J27" s="46">
        <v>-11198559.319</v>
      </c>
      <c r="K27" s="46">
        <v>-6003237.1380000003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-1.4551322941979041</v>
      </c>
      <c r="T27" s="85">
        <f t="shared" si="6"/>
        <v>-0.18360486122896322</v>
      </c>
      <c r="U27" s="85">
        <f t="shared" si="7"/>
        <v>0.19520495473282198</v>
      </c>
      <c r="V27" s="85">
        <f t="shared" si="8"/>
        <v>9.2689618524919956E-2</v>
      </c>
      <c r="W27" s="85">
        <f t="shared" si="9"/>
        <v>-2.5280302789986124</v>
      </c>
      <c r="X27" s="85">
        <f t="shared" si="10"/>
        <v>-2.7734196145712171E-2</v>
      </c>
      <c r="Y27" s="1">
        <f t="shared" si="11"/>
        <v>0</v>
      </c>
    </row>
    <row r="28" spans="1:26" x14ac:dyDescent="0.25">
      <c r="C28" s="82">
        <v>210</v>
      </c>
      <c r="D28" s="46">
        <v>-371979.31300000002</v>
      </c>
      <c r="E28" s="46">
        <v>-507403.27899999998</v>
      </c>
      <c r="F28" s="46">
        <v>469044.06</v>
      </c>
      <c r="G28" s="46" t="s">
        <v>169</v>
      </c>
      <c r="H28" s="86">
        <v>210</v>
      </c>
      <c r="I28" s="46">
        <v>10700922.833000001</v>
      </c>
      <c r="J28" s="46">
        <v>-11123871.522</v>
      </c>
      <c r="K28" s="46">
        <v>-11174235.215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-1.6366198796137541</v>
      </c>
      <c r="T28" s="85">
        <f t="shared" si="6"/>
        <v>-0.47958724289164661</v>
      </c>
      <c r="U28" s="85">
        <f t="shared" si="7"/>
        <v>0.38695469726506071</v>
      </c>
      <c r="V28" s="85">
        <f t="shared" si="8"/>
        <v>0.26491877521505203</v>
      </c>
      <c r="W28" s="85">
        <f t="shared" si="9"/>
        <v>-2.5111698055297302</v>
      </c>
      <c r="X28" s="85">
        <f t="shared" si="10"/>
        <v>-5.1623553110943958E-2</v>
      </c>
      <c r="Y28" s="1">
        <f t="shared" si="11"/>
        <v>0</v>
      </c>
    </row>
    <row r="29" spans="1:26" x14ac:dyDescent="0.25">
      <c r="C29" s="82">
        <v>225</v>
      </c>
      <c r="D29" s="46">
        <v>-302035.73700000002</v>
      </c>
      <c r="E29" s="46">
        <v>-806443.11600000004</v>
      </c>
      <c r="F29" s="46">
        <v>784341.79099999997</v>
      </c>
      <c r="G29" s="46" t="s">
        <v>170</v>
      </c>
      <c r="H29" s="86">
        <v>225</v>
      </c>
      <c r="I29" s="46">
        <v>17416644.094000001</v>
      </c>
      <c r="J29" s="46">
        <v>-10722246.947000001</v>
      </c>
      <c r="K29" s="46">
        <v>-15047022.362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-1.3288848983061365</v>
      </c>
      <c r="T29" s="85">
        <f t="shared" si="6"/>
        <v>-0.76223360502049176</v>
      </c>
      <c r="U29" s="85">
        <f t="shared" si="7"/>
        <v>0.64707085361818784</v>
      </c>
      <c r="V29" s="85">
        <f t="shared" si="8"/>
        <v>0.43117739411315958</v>
      </c>
      <c r="W29" s="85">
        <f t="shared" si="9"/>
        <v>-2.4205046532125647</v>
      </c>
      <c r="X29" s="85">
        <f t="shared" si="10"/>
        <v>-6.9515339808091589E-2</v>
      </c>
      <c r="Y29" s="1">
        <f t="shared" si="11"/>
        <v>0</v>
      </c>
    </row>
    <row r="30" spans="1:26" x14ac:dyDescent="0.25">
      <c r="C30" s="82">
        <v>240</v>
      </c>
      <c r="D30" s="46">
        <v>-150494.20600000001</v>
      </c>
      <c r="E30" s="46">
        <v>-1020387.106</v>
      </c>
      <c r="F30" s="46">
        <v>1032647.255</v>
      </c>
      <c r="G30" s="46" t="s">
        <v>171</v>
      </c>
      <c r="H30" s="86">
        <v>240</v>
      </c>
      <c r="I30" s="46">
        <v>21863021.151000001</v>
      </c>
      <c r="J30" s="46">
        <v>-2618717.8829999999</v>
      </c>
      <c r="K30" s="46">
        <v>-10957072.642999999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-0.66213845958226047</v>
      </c>
      <c r="T30" s="85">
        <f t="shared" si="6"/>
        <v>-0.96444910607037371</v>
      </c>
      <c r="U30" s="85">
        <f t="shared" si="7"/>
        <v>0.85191933981664947</v>
      </c>
      <c r="V30" s="85">
        <f t="shared" si="8"/>
        <v>0.54125470075929261</v>
      </c>
      <c r="W30" s="85">
        <f t="shared" si="9"/>
        <v>-0.59116515899924804</v>
      </c>
      <c r="X30" s="85">
        <f t="shared" si="10"/>
        <v>-5.0620289500177801E-2</v>
      </c>
      <c r="Y30" s="1">
        <f t="shared" si="11"/>
        <v>0</v>
      </c>
    </row>
    <row r="31" spans="1:26" x14ac:dyDescent="0.25">
      <c r="C31" s="87">
        <v>255</v>
      </c>
      <c r="D31" s="46">
        <v>-41126.283000000003</v>
      </c>
      <c r="E31" s="46">
        <v>-1057662.0530000001</v>
      </c>
      <c r="F31" s="46">
        <v>1008714.0550000001</v>
      </c>
      <c r="G31" s="46" t="s">
        <v>172</v>
      </c>
      <c r="H31" s="86">
        <v>255</v>
      </c>
      <c r="I31" s="46">
        <v>22016276.436000001</v>
      </c>
      <c r="J31" s="46">
        <v>6012511.8839999996</v>
      </c>
      <c r="K31" s="46">
        <v>-1553099.61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-0.18094579451094686</v>
      </c>
      <c r="T31" s="85">
        <f t="shared" si="6"/>
        <v>-0.99968062663897117</v>
      </c>
      <c r="U31" s="85">
        <f t="shared" si="7"/>
        <v>0.83217478925015442</v>
      </c>
      <c r="V31" s="85">
        <f t="shared" si="8"/>
        <v>0.54504878497343434</v>
      </c>
      <c r="W31" s="85">
        <f t="shared" si="9"/>
        <v>1.3573006725786843</v>
      </c>
      <c r="X31" s="85">
        <f t="shared" si="10"/>
        <v>-7.175123725317192E-3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7590.4740000000002</v>
      </c>
      <c r="E32" s="46">
        <v>-905616.82400000002</v>
      </c>
      <c r="F32" s="46">
        <v>809233.43200000003</v>
      </c>
      <c r="G32" s="46" t="s">
        <v>159</v>
      </c>
      <c r="H32" s="86">
        <v>270</v>
      </c>
      <c r="I32" s="46">
        <v>19131907.918000001</v>
      </c>
      <c r="J32" s="46">
        <v>7113861.5460000001</v>
      </c>
      <c r="K32" s="46">
        <v>2175875.9939999999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3.339626750719691E-2</v>
      </c>
      <c r="T32" s="85">
        <f t="shared" si="6"/>
        <v>-0.85597057353358108</v>
      </c>
      <c r="U32" s="85">
        <f t="shared" si="7"/>
        <v>0.66760610441655754</v>
      </c>
      <c r="V32" s="85">
        <f t="shared" si="8"/>
        <v>0.47364154402959951</v>
      </c>
      <c r="W32" s="85">
        <f t="shared" si="9"/>
        <v>1.6059259835664117</v>
      </c>
      <c r="X32" s="85">
        <f t="shared" si="10"/>
        <v>1.0052271835866038E-2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16590.78</v>
      </c>
      <c r="E33" s="46">
        <v>-768554.68299999996</v>
      </c>
      <c r="F33" s="46">
        <v>714283.804</v>
      </c>
      <c r="G33" s="46" t="s">
        <v>173</v>
      </c>
      <c r="H33" s="86">
        <v>285</v>
      </c>
      <c r="I33" s="46">
        <v>16871095.065000001</v>
      </c>
      <c r="J33" s="46">
        <v>9648105.5580000002</v>
      </c>
      <c r="K33" s="46">
        <v>4388925.9249999998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7.2995458127259549E-2</v>
      </c>
      <c r="T33" s="85">
        <f t="shared" si="6"/>
        <v>-0.72642222998214701</v>
      </c>
      <c r="U33" s="85">
        <f t="shared" si="7"/>
        <v>0.58927400794321105</v>
      </c>
      <c r="V33" s="85">
        <f t="shared" si="8"/>
        <v>0.41767143926814904</v>
      </c>
      <c r="W33" s="85">
        <f t="shared" si="9"/>
        <v>2.1780215017673208</v>
      </c>
      <c r="X33" s="85">
        <f t="shared" si="10"/>
        <v>2.0276282558030646E-2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90209.491999999998</v>
      </c>
      <c r="E34" s="46">
        <v>-666200.23199999996</v>
      </c>
      <c r="F34" s="46">
        <v>660312.67200000002</v>
      </c>
      <c r="G34" s="46" t="s">
        <v>174</v>
      </c>
      <c r="H34" s="86">
        <v>300</v>
      </c>
      <c r="I34" s="46">
        <v>14812595.976</v>
      </c>
      <c r="J34" s="46">
        <v>10500471.251</v>
      </c>
      <c r="K34" s="46">
        <v>5310423.1399999997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0.39690015755542274</v>
      </c>
      <c r="T34" s="85">
        <f t="shared" si="6"/>
        <v>-0.62967888798104388</v>
      </c>
      <c r="U34" s="85">
        <f t="shared" si="7"/>
        <v>0.54474858949081106</v>
      </c>
      <c r="V34" s="85">
        <f t="shared" si="8"/>
        <v>0.36670994127869982</v>
      </c>
      <c r="W34" s="85">
        <f t="shared" si="9"/>
        <v>2.3704396708640982</v>
      </c>
      <c r="X34" s="85">
        <f t="shared" si="10"/>
        <v>2.4533483118502241E-2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168389.32199999999</v>
      </c>
      <c r="E35" s="46">
        <v>-525578.47199999995</v>
      </c>
      <c r="F35" s="46">
        <v>597568.37899999996</v>
      </c>
      <c r="G35" s="46" t="s">
        <v>175</v>
      </c>
      <c r="H35" s="86">
        <v>315</v>
      </c>
      <c r="I35" s="46">
        <v>12219596.836999999</v>
      </c>
      <c r="J35" s="46">
        <v>12515311.321</v>
      </c>
      <c r="K35" s="46">
        <v>5915201.0209999997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0.74087268369109982</v>
      </c>
      <c r="T35" s="85">
        <f t="shared" si="6"/>
        <v>-0.49676606506455884</v>
      </c>
      <c r="U35" s="85">
        <f t="shared" si="7"/>
        <v>0.49298543763909525</v>
      </c>
      <c r="V35" s="85">
        <f t="shared" si="8"/>
        <v>0.30251602391680976</v>
      </c>
      <c r="W35" s="85">
        <f t="shared" si="9"/>
        <v>2.825281812536526</v>
      </c>
      <c r="X35" s="85">
        <f t="shared" si="10"/>
        <v>2.7327480422068725E-2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176271.47200000001</v>
      </c>
      <c r="E36" s="46">
        <v>-308379.34399999998</v>
      </c>
      <c r="F36" s="46">
        <v>371099.21899999998</v>
      </c>
      <c r="G36" s="46" t="s">
        <v>176</v>
      </c>
      <c r="H36" s="86">
        <v>330</v>
      </c>
      <c r="I36" s="46">
        <v>7257630.4879999999</v>
      </c>
      <c r="J36" s="46">
        <v>9055584.2139999997</v>
      </c>
      <c r="K36" s="46">
        <v>3959602.74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0.77555225573519793</v>
      </c>
      <c r="T36" s="85">
        <f t="shared" si="6"/>
        <v>-0.2914738738881793</v>
      </c>
      <c r="U36" s="85">
        <f t="shared" si="7"/>
        <v>0.30615159254643465</v>
      </c>
      <c r="V36" s="85">
        <f t="shared" si="8"/>
        <v>0.17967446451581942</v>
      </c>
      <c r="W36" s="85">
        <f t="shared" si="9"/>
        <v>2.0442621622026746</v>
      </c>
      <c r="X36" s="85">
        <f t="shared" si="10"/>
        <v>1.8292863754311908E-2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129117.712</v>
      </c>
      <c r="E37" s="46">
        <v>-99294.748999999996</v>
      </c>
      <c r="F37" s="46">
        <v>188043.981</v>
      </c>
      <c r="G37" s="46" t="s">
        <v>177</v>
      </c>
      <c r="H37" s="86">
        <v>345</v>
      </c>
      <c r="I37" s="46">
        <v>2488141.2990000001</v>
      </c>
      <c r="J37" s="46">
        <v>5869126.6220000004</v>
      </c>
      <c r="K37" s="46">
        <v>1126178.2930000001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0.56808700614338559</v>
      </c>
      <c r="T37" s="85">
        <f t="shared" si="6"/>
        <v>-9.385137400053753E-2</v>
      </c>
      <c r="U37" s="85">
        <f t="shared" si="7"/>
        <v>0.15513361738420017</v>
      </c>
      <c r="V37" s="85">
        <f t="shared" si="8"/>
        <v>6.1597990732195067E-2</v>
      </c>
      <c r="W37" s="85">
        <f t="shared" si="9"/>
        <v>1.3249320192927974</v>
      </c>
      <c r="X37" s="85">
        <f t="shared" si="10"/>
        <v>5.2028012479132073E-3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0.23688725745770403</v>
      </c>
      <c r="T38" s="85">
        <f t="shared" si="12"/>
        <v>-8.6152820706655048E-3</v>
      </c>
      <c r="U38" s="85">
        <f t="shared" si="12"/>
        <v>6.70508584369299E-2</v>
      </c>
      <c r="V38" s="85">
        <f t="shared" si="12"/>
        <v>7.1079294881943901E-3</v>
      </c>
      <c r="W38" s="85">
        <f t="shared" si="12"/>
        <v>0.55473055428234797</v>
      </c>
      <c r="X38" s="85">
        <f t="shared" si="12"/>
        <v>-1.6079262317670955E-3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AMJ67"/>
  <sheetViews>
    <sheetView topLeftCell="E9" zoomScale="85" zoomScaleNormal="85" workbookViewId="0">
      <selection activeCell="W21" sqref="W21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9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Reference_FSTs_light!Afx</f>
        <v>1678</v>
      </c>
      <c r="T5" s="63">
        <f>Reference_FSTs_light!Afy</f>
        <v>7811</v>
      </c>
      <c r="U5" s="63">
        <f>Reference_FSTs_light!Afz</f>
        <v>8949</v>
      </c>
      <c r="V5" s="63">
        <f>Reference_FSTs_light!Amx</f>
        <v>298215</v>
      </c>
      <c r="W5" s="63">
        <f>Reference_FSTs_light!Amy</f>
        <v>32704</v>
      </c>
      <c r="X5" s="63">
        <f>Reference_FSTs_light!Amz</f>
        <v>1598052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227285.09999999998</v>
      </c>
      <c r="T7" s="48">
        <f t="shared" si="0"/>
        <v>1057999.95</v>
      </c>
      <c r="U7" s="48">
        <f t="shared" si="0"/>
        <v>1212142.0499999998</v>
      </c>
      <c r="V7" s="48">
        <f t="shared" si="0"/>
        <v>40393221.75</v>
      </c>
      <c r="W7" s="48">
        <f t="shared" si="0"/>
        <v>4429756.8</v>
      </c>
      <c r="X7" s="48">
        <f t="shared" si="0"/>
        <v>216456143.39999998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227285.09999999998</v>
      </c>
      <c r="T9" s="48">
        <f t="shared" si="1"/>
        <v>1057999.95</v>
      </c>
      <c r="U9" s="48">
        <f t="shared" si="1"/>
        <v>1212142.0499999998</v>
      </c>
      <c r="V9" s="48">
        <f t="shared" si="1"/>
        <v>40393221.75</v>
      </c>
      <c r="W9" s="48">
        <f t="shared" si="1"/>
        <v>4429756.8</v>
      </c>
      <c r="X9" s="48">
        <f t="shared" si="1"/>
        <v>216456143.39999998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280942.14500000002</v>
      </c>
      <c r="E14" s="46">
        <v>10249.341</v>
      </c>
      <c r="F14" s="46">
        <v>214569.88099999999</v>
      </c>
      <c r="G14" s="46" t="s">
        <v>154</v>
      </c>
      <c r="H14" s="82">
        <v>0</v>
      </c>
      <c r="I14" s="46">
        <v>-219333.74400000001</v>
      </c>
      <c r="J14" s="46">
        <v>10294501.011</v>
      </c>
      <c r="K14" s="46">
        <v>-3276908.7439999999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233">
        <f t="shared" ref="S14:S37" si="5">D14*(1-2*$N14*S$11)/S$9</f>
        <v>1.2360781459057371</v>
      </c>
      <c r="T14" s="233">
        <f t="shared" ref="T14:T37" si="6">E14*(1-2*$N14*T$11)/T$9</f>
        <v>9.6874683217140038E-3</v>
      </c>
      <c r="U14" s="233">
        <f t="shared" ref="U14:U37" si="7">F14*(1-2*$N14*U$11)/U$9</f>
        <v>0.17701710867963044</v>
      </c>
      <c r="V14" s="233">
        <f t="shared" ref="V14:V37" si="8">(I14+F14*dy-E14*dz)*(1-2*$N14*V$11)/V$9</f>
        <v>-5.4299641003505749E-3</v>
      </c>
      <c r="W14" s="233">
        <f t="shared" ref="W14:W37" si="9">(J14+D14*dz-F14*dx)*(1-2*$N14*W$11)/W$9</f>
        <v>2.3239427074190622</v>
      </c>
      <c r="X14" s="233">
        <f t="shared" ref="X14:X37" si="10">(K14+E14*dx-D14*dy)*(1-2*$N14*X$11)/X$9</f>
        <v>-1.5138903856124051E-2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341595.54200000002</v>
      </c>
      <c r="E15" s="46">
        <v>92868.850999999995</v>
      </c>
      <c r="F15" s="46">
        <v>271507.995</v>
      </c>
      <c r="G15" s="46" t="s">
        <v>160</v>
      </c>
      <c r="H15" s="82">
        <v>15</v>
      </c>
      <c r="I15" s="46">
        <v>-1818445.737</v>
      </c>
      <c r="J15" s="46">
        <v>9760752.6270000003</v>
      </c>
      <c r="K15" s="46">
        <v>-745696.68900000001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233">
        <f t="shared" si="5"/>
        <v>1.5029385648245313</v>
      </c>
      <c r="T15" s="233">
        <f t="shared" si="6"/>
        <v>8.7777746114260216E-2</v>
      </c>
      <c r="U15" s="233">
        <f t="shared" si="7"/>
        <v>0.2239902452026972</v>
      </c>
      <c r="V15" s="233">
        <f t="shared" si="8"/>
        <v>-4.5018586243371392E-2</v>
      </c>
      <c r="W15" s="233">
        <f t="shared" si="9"/>
        <v>2.2034511300936432</v>
      </c>
      <c r="X15" s="233">
        <f t="shared" si="10"/>
        <v>-3.4450243697726349E-3</v>
      </c>
      <c r="Y15" s="1">
        <f t="shared" si="11"/>
        <v>0</v>
      </c>
    </row>
    <row r="16" spans="1:26" x14ac:dyDescent="0.25">
      <c r="C16" s="82">
        <v>30</v>
      </c>
      <c r="D16" s="46">
        <v>417816.663</v>
      </c>
      <c r="E16" s="46">
        <v>202154.60399999999</v>
      </c>
      <c r="F16" s="46">
        <v>280079.36700000003</v>
      </c>
      <c r="G16" s="46" t="s">
        <v>155</v>
      </c>
      <c r="H16" s="82">
        <v>30</v>
      </c>
      <c r="I16" s="46">
        <v>-3862463.8450000002</v>
      </c>
      <c r="J16" s="46">
        <v>14535584.344000001</v>
      </c>
      <c r="K16" s="46">
        <v>-3530568.1030000001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233">
        <f t="shared" si="5"/>
        <v>1.8382932405159864</v>
      </c>
      <c r="T16" s="233">
        <f t="shared" si="6"/>
        <v>0.19107241356674923</v>
      </c>
      <c r="U16" s="233">
        <f t="shared" si="7"/>
        <v>0.23106150553889296</v>
      </c>
      <c r="V16" s="233">
        <f t="shared" si="8"/>
        <v>-9.5621583960432674E-2</v>
      </c>
      <c r="W16" s="233">
        <f t="shared" si="9"/>
        <v>3.281350421765818</v>
      </c>
      <c r="X16" s="233">
        <f t="shared" si="10"/>
        <v>-1.6310778005850769E-2</v>
      </c>
      <c r="Y16" s="1">
        <f t="shared" si="11"/>
        <v>0</v>
      </c>
    </row>
    <row r="17" spans="1:26" x14ac:dyDescent="0.25">
      <c r="C17" s="82">
        <v>45</v>
      </c>
      <c r="D17" s="46">
        <v>319497.179</v>
      </c>
      <c r="E17" s="46">
        <v>216243.965</v>
      </c>
      <c r="F17" s="46">
        <v>356696.51299999998</v>
      </c>
      <c r="G17" s="46" t="s">
        <v>156</v>
      </c>
      <c r="H17" s="82">
        <v>45</v>
      </c>
      <c r="I17" s="46">
        <v>-4554122.0820000004</v>
      </c>
      <c r="J17" s="46">
        <v>11419565.275</v>
      </c>
      <c r="K17" s="46">
        <v>-10680255.154999999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233">
        <f t="shared" si="5"/>
        <v>1.4057110606898562</v>
      </c>
      <c r="T17" s="233">
        <f t="shared" si="6"/>
        <v>0.20438939056660638</v>
      </c>
      <c r="U17" s="233">
        <f t="shared" si="7"/>
        <v>0.29426956436335167</v>
      </c>
      <c r="V17" s="233">
        <f t="shared" si="8"/>
        <v>-0.11274471024337147</v>
      </c>
      <c r="W17" s="233">
        <f t="shared" si="9"/>
        <v>2.5779214955999392</v>
      </c>
      <c r="X17" s="233">
        <f t="shared" si="10"/>
        <v>-4.9341427724060617E-2</v>
      </c>
      <c r="Y17" s="1">
        <f t="shared" si="11"/>
        <v>0</v>
      </c>
    </row>
    <row r="18" spans="1:26" x14ac:dyDescent="0.25">
      <c r="C18" s="82">
        <v>60</v>
      </c>
      <c r="D18" s="46">
        <v>224986.32500000001</v>
      </c>
      <c r="E18" s="46">
        <v>218437.94899999999</v>
      </c>
      <c r="F18" s="46">
        <v>511129.93900000001</v>
      </c>
      <c r="G18" s="46" t="s">
        <v>157</v>
      </c>
      <c r="H18" s="86">
        <v>60</v>
      </c>
      <c r="I18" s="46">
        <v>-4590927.585</v>
      </c>
      <c r="J18" s="46">
        <v>9681261.318</v>
      </c>
      <c r="K18" s="46">
        <v>-7913967.2920000004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233">
        <f t="shared" si="5"/>
        <v>0.98988594060939339</v>
      </c>
      <c r="T18" s="233">
        <f t="shared" si="6"/>
        <v>0.20646309954929581</v>
      </c>
      <c r="U18" s="233">
        <f t="shared" si="7"/>
        <v>0.42167495055550636</v>
      </c>
      <c r="V18" s="233">
        <f t="shared" si="8"/>
        <v>-0.11365589042176365</v>
      </c>
      <c r="W18" s="233">
        <f t="shared" si="9"/>
        <v>2.1855062828731366</v>
      </c>
      <c r="X18" s="233">
        <f t="shared" si="10"/>
        <v>-3.6561527742714102E-2</v>
      </c>
      <c r="Y18" s="1">
        <f t="shared" si="11"/>
        <v>0</v>
      </c>
    </row>
    <row r="19" spans="1:26" x14ac:dyDescent="0.25">
      <c r="C19" s="82">
        <v>75</v>
      </c>
      <c r="D19" s="46">
        <v>82268.762000000002</v>
      </c>
      <c r="E19" s="46">
        <v>133249.42199999999</v>
      </c>
      <c r="F19" s="46">
        <v>524438.20799999998</v>
      </c>
      <c r="G19" s="46" t="s">
        <v>161</v>
      </c>
      <c r="H19" s="86">
        <v>75</v>
      </c>
      <c r="I19" s="46">
        <v>-3263571.7769999998</v>
      </c>
      <c r="J19" s="46">
        <v>4251885.8930000002</v>
      </c>
      <c r="K19" s="46">
        <v>-8027658.6359999999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233">
        <f t="shared" si="5"/>
        <v>0.36196284754257985</v>
      </c>
      <c r="T19" s="233">
        <f t="shared" si="6"/>
        <v>0.12594463922233645</v>
      </c>
      <c r="U19" s="233">
        <f t="shared" si="7"/>
        <v>0.43265408373548303</v>
      </c>
      <c r="V19" s="233">
        <f t="shared" si="8"/>
        <v>-8.0795035295742404E-2</v>
      </c>
      <c r="W19" s="233">
        <f t="shared" si="9"/>
        <v>0.95984634935263269</v>
      </c>
      <c r="X19" s="233">
        <f t="shared" si="10"/>
        <v>-3.708676736961581E-2</v>
      </c>
      <c r="Y19" s="1">
        <f t="shared" si="11"/>
        <v>0</v>
      </c>
    </row>
    <row r="20" spans="1:26" x14ac:dyDescent="0.25">
      <c r="C20" s="82">
        <v>90</v>
      </c>
      <c r="D20" s="46">
        <v>-49315.817999999999</v>
      </c>
      <c r="E20" s="46">
        <v>-125784.00900000001</v>
      </c>
      <c r="F20" s="46">
        <v>525071.90599999996</v>
      </c>
      <c r="G20" s="46" t="s">
        <v>158</v>
      </c>
      <c r="H20" s="86">
        <v>90</v>
      </c>
      <c r="I20" s="46">
        <v>721106.77399999998</v>
      </c>
      <c r="J20" s="46">
        <v>1866629.9739999999</v>
      </c>
      <c r="K20" s="46">
        <v>946247.50899999996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233">
        <f t="shared" si="5"/>
        <v>-0.21697778692927958</v>
      </c>
      <c r="T20" s="233">
        <f t="shared" si="6"/>
        <v>-0.11888848293423833</v>
      </c>
      <c r="U20" s="233">
        <f t="shared" si="7"/>
        <v>0.43317687559803741</v>
      </c>
      <c r="V20" s="233">
        <f t="shared" si="8"/>
        <v>1.7852172784410293E-2</v>
      </c>
      <c r="W20" s="233">
        <f t="shared" si="9"/>
        <v>0.42138430127811982</v>
      </c>
      <c r="X20" s="233">
        <f t="shared" si="10"/>
        <v>4.3715437877472601E-3</v>
      </c>
      <c r="Y20" s="1">
        <f t="shared" si="11"/>
        <v>0</v>
      </c>
    </row>
    <row r="21" spans="1:26" x14ac:dyDescent="0.25">
      <c r="C21" s="82">
        <v>105</v>
      </c>
      <c r="D21" s="46">
        <v>-80545.369000000006</v>
      </c>
      <c r="E21" s="46">
        <v>-46282.822</v>
      </c>
      <c r="F21" s="46">
        <v>406361.52899999998</v>
      </c>
      <c r="G21" s="46" t="s">
        <v>162</v>
      </c>
      <c r="H21" s="86">
        <v>105</v>
      </c>
      <c r="I21" s="46">
        <v>-712493.95499999996</v>
      </c>
      <c r="J21" s="46">
        <v>-542579.43299999996</v>
      </c>
      <c r="K21" s="46">
        <v>3133006.5079999999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233">
        <f t="shared" si="5"/>
        <v>-0.35438033113477307</v>
      </c>
      <c r="T21" s="233">
        <f t="shared" si="6"/>
        <v>-4.3745580517276964E-2</v>
      </c>
      <c r="U21" s="233">
        <f t="shared" si="7"/>
        <v>0.33524249818740309</v>
      </c>
      <c r="V21" s="233">
        <f t="shared" si="8"/>
        <v>-1.7638948420844888E-2</v>
      </c>
      <c r="W21" s="233">
        <f t="shared" si="9"/>
        <v>-0.12248515155504699</v>
      </c>
      <c r="X21" s="233">
        <f t="shared" si="10"/>
        <v>1.4474093729972647E-2</v>
      </c>
      <c r="Y21" s="1">
        <f t="shared" si="11"/>
        <v>0</v>
      </c>
    </row>
    <row r="22" spans="1:26" x14ac:dyDescent="0.25">
      <c r="C22" s="82">
        <v>120</v>
      </c>
      <c r="D22" s="46">
        <v>-162976.40100000001</v>
      </c>
      <c r="E22" s="46">
        <v>163670.6</v>
      </c>
      <c r="F22" s="46">
        <v>314226.88099999999</v>
      </c>
      <c r="G22" s="46" t="s">
        <v>163</v>
      </c>
      <c r="H22" s="86">
        <v>120</v>
      </c>
      <c r="I22" s="46">
        <v>-4090778.4070000001</v>
      </c>
      <c r="J22" s="46">
        <v>-4492315.4289999995</v>
      </c>
      <c r="K22" s="46">
        <v>5309212.1909999996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233">
        <f t="shared" si="5"/>
        <v>-0.71705712780996211</v>
      </c>
      <c r="T22" s="233">
        <f t="shared" si="6"/>
        <v>0.15469811695170685</v>
      </c>
      <c r="U22" s="233">
        <f t="shared" si="7"/>
        <v>0.25923272029049732</v>
      </c>
      <c r="V22" s="233">
        <f t="shared" si="8"/>
        <v>-0.10127388283901866</v>
      </c>
      <c r="W22" s="233">
        <f t="shared" si="9"/>
        <v>-1.0141223619770727</v>
      </c>
      <c r="X22" s="233">
        <f t="shared" si="10"/>
        <v>2.4527888687311799E-2</v>
      </c>
      <c r="Y22" s="1">
        <f t="shared" si="11"/>
        <v>0</v>
      </c>
    </row>
    <row r="23" spans="1:26" x14ac:dyDescent="0.25">
      <c r="C23" s="82">
        <v>135</v>
      </c>
      <c r="D23" s="46">
        <v>-291428.875</v>
      </c>
      <c r="E23" s="46">
        <v>230222.34899999999</v>
      </c>
      <c r="F23" s="46">
        <v>254891.951</v>
      </c>
      <c r="G23" s="46" t="s">
        <v>164</v>
      </c>
      <c r="H23" s="86">
        <v>135</v>
      </c>
      <c r="I23" s="46">
        <v>-5016134.7659999998</v>
      </c>
      <c r="J23" s="46">
        <v>-6966687.7999999998</v>
      </c>
      <c r="K23" s="46">
        <v>9755362.8609999996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233">
        <f t="shared" si="5"/>
        <v>-1.2822172460931229</v>
      </c>
      <c r="T23" s="233">
        <f t="shared" si="6"/>
        <v>0.21760147436679936</v>
      </c>
      <c r="U23" s="233">
        <f t="shared" si="7"/>
        <v>0.21028224456036324</v>
      </c>
      <c r="V23" s="233">
        <f t="shared" si="8"/>
        <v>-0.12418258679749901</v>
      </c>
      <c r="W23" s="233">
        <f t="shared" si="9"/>
        <v>-1.5727020950676118</v>
      </c>
      <c r="X23" s="233">
        <f t="shared" si="10"/>
        <v>4.5068542328099155E-2</v>
      </c>
      <c r="Y23" s="1">
        <f t="shared" si="11"/>
        <v>0</v>
      </c>
    </row>
    <row r="24" spans="1:26" x14ac:dyDescent="0.25">
      <c r="C24" s="82">
        <v>150</v>
      </c>
      <c r="D24" s="46">
        <v>-320603.674</v>
      </c>
      <c r="E24" s="46">
        <v>196198.79300000001</v>
      </c>
      <c r="F24" s="46">
        <v>213849.53599999999</v>
      </c>
      <c r="G24" s="46" t="s">
        <v>165</v>
      </c>
      <c r="H24" s="86">
        <v>150</v>
      </c>
      <c r="I24" s="46">
        <v>-4065270.534</v>
      </c>
      <c r="J24" s="46">
        <v>-8335605.6339999996</v>
      </c>
      <c r="K24" s="46">
        <v>5761463.301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233">
        <f t="shared" si="5"/>
        <v>-1.4105793736588981</v>
      </c>
      <c r="T24" s="233">
        <f t="shared" si="6"/>
        <v>0.18544310233663056</v>
      </c>
      <c r="U24" s="233">
        <f t="shared" si="7"/>
        <v>0.17642283427095037</v>
      </c>
      <c r="V24" s="233">
        <f t="shared" si="8"/>
        <v>-0.10064239389372302</v>
      </c>
      <c r="W24" s="233">
        <f t="shared" si="9"/>
        <v>-1.8817298579461519</v>
      </c>
      <c r="X24" s="233">
        <f t="shared" si="10"/>
        <v>2.6617231604062666E-2</v>
      </c>
      <c r="Y24" s="1">
        <f t="shared" si="11"/>
        <v>0</v>
      </c>
    </row>
    <row r="25" spans="1:26" x14ac:dyDescent="0.25">
      <c r="C25" s="82">
        <v>165</v>
      </c>
      <c r="D25" s="46">
        <v>-221461.99100000001</v>
      </c>
      <c r="E25" s="46">
        <v>109944.60799999999</v>
      </c>
      <c r="F25" s="46">
        <v>181578.7</v>
      </c>
      <c r="G25" s="46" t="s">
        <v>166</v>
      </c>
      <c r="H25" s="86">
        <v>165</v>
      </c>
      <c r="I25" s="46">
        <v>-2339102.2590000001</v>
      </c>
      <c r="J25" s="46">
        <v>-7690273.6119999997</v>
      </c>
      <c r="K25" s="46">
        <v>1750946.0319999999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233">
        <f t="shared" si="5"/>
        <v>-0.97437971516830635</v>
      </c>
      <c r="T25" s="233">
        <f t="shared" si="6"/>
        <v>0.10391740377681492</v>
      </c>
      <c r="U25" s="233">
        <f t="shared" si="7"/>
        <v>0.14979985225328998</v>
      </c>
      <c r="V25" s="233">
        <f t="shared" si="8"/>
        <v>-5.7908286530771715E-2</v>
      </c>
      <c r="W25" s="233">
        <f t="shared" si="9"/>
        <v>-1.7360487176180868</v>
      </c>
      <c r="X25" s="233">
        <f t="shared" si="10"/>
        <v>8.089149166648232E-3</v>
      </c>
      <c r="Y25" s="1">
        <f t="shared" si="11"/>
        <v>0</v>
      </c>
    </row>
    <row r="26" spans="1:26" x14ac:dyDescent="0.25">
      <c r="C26" s="82">
        <v>180</v>
      </c>
      <c r="D26" s="46">
        <v>-87773.388000000006</v>
      </c>
      <c r="E26" s="46">
        <v>15933.592000000001</v>
      </c>
      <c r="F26" s="46">
        <v>106141.946</v>
      </c>
      <c r="G26" s="46" t="s">
        <v>167</v>
      </c>
      <c r="H26" s="86">
        <v>180</v>
      </c>
      <c r="I26" s="46">
        <v>-514186.40500000003</v>
      </c>
      <c r="J26" s="46">
        <v>-2358362.6030000001</v>
      </c>
      <c r="K26" s="46">
        <v>1054385.6910000001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233">
        <f t="shared" si="5"/>
        <v>-0.3861818834582646</v>
      </c>
      <c r="T26" s="233">
        <f t="shared" si="6"/>
        <v>1.5060106571838686E-2</v>
      </c>
      <c r="U26" s="233">
        <f t="shared" si="7"/>
        <v>8.7565600087877504E-2</v>
      </c>
      <c r="V26" s="233">
        <f t="shared" si="8"/>
        <v>-1.2729522002042335E-2</v>
      </c>
      <c r="W26" s="233">
        <f t="shared" si="9"/>
        <v>-0.53239098882358515</v>
      </c>
      <c r="X26" s="233">
        <f t="shared" si="10"/>
        <v>4.8711285087046424E-3</v>
      </c>
      <c r="Y26" s="1">
        <f t="shared" si="11"/>
        <v>0</v>
      </c>
    </row>
    <row r="27" spans="1:26" x14ac:dyDescent="0.25">
      <c r="C27" s="82">
        <v>195</v>
      </c>
      <c r="D27" s="46">
        <v>-129854.603</v>
      </c>
      <c r="E27" s="46">
        <v>-91743.782999999996</v>
      </c>
      <c r="F27" s="46">
        <v>189693.92800000001</v>
      </c>
      <c r="G27" s="46" t="s">
        <v>168</v>
      </c>
      <c r="H27" s="86">
        <v>195</v>
      </c>
      <c r="I27" s="46">
        <v>2331459.4410000001</v>
      </c>
      <c r="J27" s="46">
        <v>-5101900.2889999999</v>
      </c>
      <c r="K27" s="46">
        <v>-1208715.426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233">
        <f t="shared" si="5"/>
        <v>-0.57132915004107188</v>
      </c>
      <c r="T27" s="233">
        <f t="shared" si="6"/>
        <v>-8.6714354759657594E-2</v>
      </c>
      <c r="U27" s="233">
        <f t="shared" si="7"/>
        <v>0.15649480025876508</v>
      </c>
      <c r="V27" s="233">
        <f t="shared" si="8"/>
        <v>5.7719076121973363E-2</v>
      </c>
      <c r="W27" s="233">
        <f t="shared" si="9"/>
        <v>-1.1517337224923951</v>
      </c>
      <c r="X27" s="233">
        <f t="shared" si="10"/>
        <v>-5.584112361118599E-3</v>
      </c>
      <c r="Y27" s="1">
        <f t="shared" si="11"/>
        <v>0</v>
      </c>
    </row>
    <row r="28" spans="1:26" x14ac:dyDescent="0.25">
      <c r="C28" s="82">
        <v>210</v>
      </c>
      <c r="D28" s="46">
        <v>-171518.663</v>
      </c>
      <c r="E28" s="46">
        <v>-301319.41399999999</v>
      </c>
      <c r="F28" s="46">
        <v>367380.85800000001</v>
      </c>
      <c r="G28" s="46" t="s">
        <v>169</v>
      </c>
      <c r="H28" s="86">
        <v>210</v>
      </c>
      <c r="I28" s="46">
        <v>7133925.8739999998</v>
      </c>
      <c r="J28" s="46">
        <v>-8800544.8550000004</v>
      </c>
      <c r="K28" s="46">
        <v>-3415097.0780000002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233">
        <f t="shared" si="5"/>
        <v>-0.75464103454207965</v>
      </c>
      <c r="T28" s="233">
        <f t="shared" si="6"/>
        <v>-0.2848009718715015</v>
      </c>
      <c r="U28" s="233">
        <f t="shared" si="7"/>
        <v>0.30308399745722875</v>
      </c>
      <c r="V28" s="233">
        <f t="shared" si="8"/>
        <v>0.17661195529668292</v>
      </c>
      <c r="W28" s="233">
        <f t="shared" si="9"/>
        <v>-1.9866880400747962</v>
      </c>
      <c r="X28" s="233">
        <f t="shared" si="10"/>
        <v>-1.577731647786533E-2</v>
      </c>
      <c r="Y28" s="1">
        <f t="shared" si="11"/>
        <v>0</v>
      </c>
    </row>
    <row r="29" spans="1:26" x14ac:dyDescent="0.25">
      <c r="C29" s="82">
        <v>225</v>
      </c>
      <c r="D29" s="46">
        <v>-145334.476</v>
      </c>
      <c r="E29" s="46">
        <v>-520191.23499999999</v>
      </c>
      <c r="F29" s="46">
        <v>593105.73600000003</v>
      </c>
      <c r="G29" s="46" t="s">
        <v>170</v>
      </c>
      <c r="H29" s="86">
        <v>225</v>
      </c>
      <c r="I29" s="46">
        <v>11977099.74</v>
      </c>
      <c r="J29" s="46">
        <v>-10572413.613</v>
      </c>
      <c r="K29" s="46">
        <v>-3355571.193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233">
        <f t="shared" si="5"/>
        <v>-0.63943688345606464</v>
      </c>
      <c r="T29" s="233">
        <f t="shared" si="6"/>
        <v>-0.49167415839669937</v>
      </c>
      <c r="U29" s="233">
        <f t="shared" si="7"/>
        <v>0.4893038204556967</v>
      </c>
      <c r="V29" s="233">
        <f t="shared" si="8"/>
        <v>0.29651261328269762</v>
      </c>
      <c r="W29" s="233">
        <f t="shared" si="9"/>
        <v>-2.3866803732882129</v>
      </c>
      <c r="X29" s="233">
        <f t="shared" si="10"/>
        <v>-1.5502314419411394E-2</v>
      </c>
      <c r="Y29" s="1">
        <f t="shared" si="11"/>
        <v>0</v>
      </c>
    </row>
    <row r="30" spans="1:26" x14ac:dyDescent="0.25">
      <c r="C30" s="82">
        <v>240</v>
      </c>
      <c r="D30" s="46">
        <v>-66187.27</v>
      </c>
      <c r="E30" s="46">
        <v>-686462.92799999996</v>
      </c>
      <c r="F30" s="46">
        <v>737911.42299999995</v>
      </c>
      <c r="G30" s="46" t="s">
        <v>171</v>
      </c>
      <c r="H30" s="86">
        <v>240</v>
      </c>
      <c r="I30" s="46">
        <v>15396019.198999999</v>
      </c>
      <c r="J30" s="46">
        <v>-8224640.3669999996</v>
      </c>
      <c r="K30" s="46">
        <v>-1551815.298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233">
        <f t="shared" si="5"/>
        <v>-0.29120813462915085</v>
      </c>
      <c r="T30" s="233">
        <f t="shared" si="6"/>
        <v>-0.64883077546459245</v>
      </c>
      <c r="U30" s="233">
        <f t="shared" si="7"/>
        <v>0.60876645851861999</v>
      </c>
      <c r="V30" s="233">
        <f t="shared" si="8"/>
        <v>0.38115353348857345</v>
      </c>
      <c r="W30" s="233">
        <f t="shared" si="9"/>
        <v>-1.8566798897402224</v>
      </c>
      <c r="X30" s="233">
        <f t="shared" si="10"/>
        <v>-7.1691903663474409E-3</v>
      </c>
      <c r="Y30" s="1">
        <f t="shared" si="11"/>
        <v>0</v>
      </c>
    </row>
    <row r="31" spans="1:26" x14ac:dyDescent="0.25">
      <c r="C31" s="87">
        <v>255</v>
      </c>
      <c r="D31" s="46">
        <v>-36191.714</v>
      </c>
      <c r="E31" s="46">
        <v>-790654.88300000003</v>
      </c>
      <c r="F31" s="46">
        <v>766804.05099999998</v>
      </c>
      <c r="G31" s="46" t="s">
        <v>172</v>
      </c>
      <c r="H31" s="86">
        <v>255</v>
      </c>
      <c r="I31" s="46">
        <v>17496570.851</v>
      </c>
      <c r="J31" s="46">
        <v>-7824026.5480000004</v>
      </c>
      <c r="K31" s="46">
        <v>-2218755.358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233">
        <f t="shared" si="5"/>
        <v>-0.15923487285352186</v>
      </c>
      <c r="T31" s="233">
        <f t="shared" si="6"/>
        <v>-0.74731088881431429</v>
      </c>
      <c r="U31" s="233">
        <f t="shared" si="7"/>
        <v>0.63260246684784183</v>
      </c>
      <c r="V31" s="233">
        <f t="shared" si="8"/>
        <v>0.43315611117352876</v>
      </c>
      <c r="W31" s="233">
        <f t="shared" si="9"/>
        <v>-1.7662429115747393</v>
      </c>
      <c r="X31" s="233">
        <f t="shared" si="10"/>
        <v>-1.0250369073146852E-2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-11959.652</v>
      </c>
      <c r="E32" s="46">
        <v>-934662.47900000005</v>
      </c>
      <c r="F32" s="46">
        <v>880089.79</v>
      </c>
      <c r="G32" s="46" t="s">
        <v>159</v>
      </c>
      <c r="H32" s="86">
        <v>270</v>
      </c>
      <c r="I32" s="46">
        <v>20127368.158</v>
      </c>
      <c r="J32" s="46">
        <v>-7974284.2369999997</v>
      </c>
      <c r="K32" s="46">
        <v>-2175783.1269999999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233">
        <f t="shared" si="5"/>
        <v>-5.2619604188747969E-2</v>
      </c>
      <c r="T32" s="233">
        <f t="shared" si="6"/>
        <v>-0.8834239349444204</v>
      </c>
      <c r="U32" s="233">
        <f t="shared" si="7"/>
        <v>0.72606159484360777</v>
      </c>
      <c r="V32" s="233">
        <f t="shared" si="8"/>
        <v>0.4982857837528149</v>
      </c>
      <c r="W32" s="233">
        <f t="shared" si="9"/>
        <v>-1.8001629879545531</v>
      </c>
      <c r="X32" s="233">
        <f t="shared" si="10"/>
        <v>-1.0051842802074058E-2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15845.879000000001</v>
      </c>
      <c r="E33" s="46">
        <v>-986888.03799999994</v>
      </c>
      <c r="F33" s="46">
        <v>973708.24899999995</v>
      </c>
      <c r="G33" s="46" t="s">
        <v>173</v>
      </c>
      <c r="H33" s="86">
        <v>285</v>
      </c>
      <c r="I33" s="46">
        <v>20878964.274</v>
      </c>
      <c r="J33" s="46">
        <v>-5810853.04</v>
      </c>
      <c r="K33" s="46">
        <v>3053857.2710000002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233">
        <f t="shared" si="5"/>
        <v>6.971807214815226E-2</v>
      </c>
      <c r="T33" s="233">
        <f t="shared" si="6"/>
        <v>-0.9327864694133492</v>
      </c>
      <c r="U33" s="233">
        <f t="shared" si="7"/>
        <v>0.80329549577130843</v>
      </c>
      <c r="V33" s="233">
        <f t="shared" si="8"/>
        <v>0.51689276986181476</v>
      </c>
      <c r="W33" s="233">
        <f t="shared" si="9"/>
        <v>-1.311776989653247</v>
      </c>
      <c r="X33" s="233">
        <f t="shared" si="10"/>
        <v>1.41084342677058E-2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169028.55100000001</v>
      </c>
      <c r="E34" s="46">
        <v>-901394.61899999995</v>
      </c>
      <c r="F34" s="46">
        <v>926856.83499999996</v>
      </c>
      <c r="G34" s="46" t="s">
        <v>174</v>
      </c>
      <c r="H34" s="86">
        <v>300</v>
      </c>
      <c r="I34" s="46">
        <v>19555296.616999999</v>
      </c>
      <c r="J34" s="46">
        <v>5627803.4409999996</v>
      </c>
      <c r="K34" s="46">
        <v>12291935.255000001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233">
        <f t="shared" si="5"/>
        <v>0.74368513818107751</v>
      </c>
      <c r="T34" s="233">
        <f t="shared" si="6"/>
        <v>-0.85197983137900901</v>
      </c>
      <c r="U34" s="233">
        <f t="shared" si="7"/>
        <v>0.76464374369324128</v>
      </c>
      <c r="V34" s="233">
        <f t="shared" si="8"/>
        <v>0.4841232209213418</v>
      </c>
      <c r="W34" s="233">
        <f t="shared" si="9"/>
        <v>1.2704542698596908</v>
      </c>
      <c r="X34" s="233">
        <f t="shared" si="10"/>
        <v>5.6787185902527737E-2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334729.34299999999</v>
      </c>
      <c r="E35" s="46">
        <v>-699782.71400000004</v>
      </c>
      <c r="F35" s="46">
        <v>712680.07299999997</v>
      </c>
      <c r="G35" s="46" t="s">
        <v>175</v>
      </c>
      <c r="H35" s="86">
        <v>315</v>
      </c>
      <c r="I35" s="46">
        <v>16115333.914000001</v>
      </c>
      <c r="J35" s="46">
        <v>8680736.4419999998</v>
      </c>
      <c r="K35" s="46">
        <v>13459858.118000001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233">
        <f t="shared" si="5"/>
        <v>1.4727289338368421</v>
      </c>
      <c r="T35" s="233">
        <f t="shared" si="6"/>
        <v>-0.66142036585162411</v>
      </c>
      <c r="U35" s="233">
        <f t="shared" si="7"/>
        <v>0.58795095261318597</v>
      </c>
      <c r="V35" s="233">
        <f t="shared" si="8"/>
        <v>0.39896134093339564</v>
      </c>
      <c r="W35" s="233">
        <f t="shared" si="9"/>
        <v>1.9596417667895447</v>
      </c>
      <c r="X35" s="233">
        <f t="shared" si="10"/>
        <v>6.2182841782997426E-2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397595.98800000001</v>
      </c>
      <c r="E36" s="46">
        <v>-452195.28200000001</v>
      </c>
      <c r="F36" s="46">
        <v>477142.31599999999</v>
      </c>
      <c r="G36" s="46" t="s">
        <v>176</v>
      </c>
      <c r="H36" s="86">
        <v>330</v>
      </c>
      <c r="I36" s="46">
        <v>10024917.463</v>
      </c>
      <c r="J36" s="46">
        <v>7343825.1490000002</v>
      </c>
      <c r="K36" s="46">
        <v>9752273.3660000004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233">
        <f t="shared" si="5"/>
        <v>1.7493271138319233</v>
      </c>
      <c r="T36" s="233">
        <f t="shared" si="6"/>
        <v>-0.42740576878099101</v>
      </c>
      <c r="U36" s="233">
        <f t="shared" si="7"/>
        <v>0.39363564361124181</v>
      </c>
      <c r="V36" s="233">
        <f t="shared" si="8"/>
        <v>0.24818316115128894</v>
      </c>
      <c r="W36" s="233">
        <f t="shared" si="9"/>
        <v>1.6578393533929447</v>
      </c>
      <c r="X36" s="233">
        <f t="shared" si="10"/>
        <v>4.5054269252031778E-2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366282.04499999998</v>
      </c>
      <c r="E37" s="46">
        <v>-181420.22399999999</v>
      </c>
      <c r="F37" s="46">
        <v>284370.80800000002</v>
      </c>
      <c r="G37" s="46" t="s">
        <v>177</v>
      </c>
      <c r="H37" s="86">
        <v>345</v>
      </c>
      <c r="I37" s="46">
        <v>3855642.3459999999</v>
      </c>
      <c r="J37" s="46">
        <v>11051055.345000001</v>
      </c>
      <c r="K37" s="46">
        <v>2931811.4959999998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233">
        <f t="shared" si="5"/>
        <v>1.6115532650402513</v>
      </c>
      <c r="T37" s="233">
        <f t="shared" si="6"/>
        <v>-0.17147469997517487</v>
      </c>
      <c r="U37" s="233">
        <f t="shared" si="7"/>
        <v>0.23460188350037034</v>
      </c>
      <c r="V37" s="233">
        <f t="shared" si="8"/>
        <v>9.5452706641306714E-2</v>
      </c>
      <c r="W37" s="233">
        <f t="shared" si="9"/>
        <v>2.4947318428406726</v>
      </c>
      <c r="X37" s="233">
        <f t="shared" si="10"/>
        <v>1.3544598226450709E-2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233">
        <f t="shared" ref="S38:X38" si="12">S14</f>
        <v>1.2360781459057371</v>
      </c>
      <c r="T38" s="233">
        <f t="shared" si="12"/>
        <v>9.6874683217140038E-3</v>
      </c>
      <c r="U38" s="233">
        <f t="shared" si="12"/>
        <v>0.17701710867963044</v>
      </c>
      <c r="V38" s="233">
        <f t="shared" si="12"/>
        <v>-5.4299641003505749E-3</v>
      </c>
      <c r="W38" s="233">
        <f t="shared" si="12"/>
        <v>2.3239427074190622</v>
      </c>
      <c r="X38" s="233">
        <f t="shared" si="12"/>
        <v>-1.5138903856124051E-2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233">
        <f t="shared" ref="S39:U46" si="14">D39*(1-2*$N39*S$11)/S$9</f>
        <v>0</v>
      </c>
      <c r="T39" s="233">
        <f t="shared" si="14"/>
        <v>0</v>
      </c>
      <c r="U39" s="233">
        <f t="shared" si="14"/>
        <v>0</v>
      </c>
      <c r="V39" s="233">
        <f t="shared" ref="V39:V46" si="15">(I39+F39*dy-E39*dz)*(1-2*$N39*V$11)/V$9</f>
        <v>0</v>
      </c>
      <c r="W39" s="233">
        <f t="shared" ref="W39:W46" si="16">(J39+D39*dz-F39*dx)*(1-2*$N39*W$11)/W$9</f>
        <v>0</v>
      </c>
      <c r="X39" s="233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233">
        <f t="shared" si="14"/>
        <v>0</v>
      </c>
      <c r="T40" s="233">
        <f t="shared" si="14"/>
        <v>0</v>
      </c>
      <c r="U40" s="233">
        <f t="shared" si="14"/>
        <v>0</v>
      </c>
      <c r="V40" s="233">
        <f t="shared" si="15"/>
        <v>0</v>
      </c>
      <c r="W40" s="233">
        <f t="shared" si="16"/>
        <v>0</v>
      </c>
      <c r="X40" s="233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233">
        <f t="shared" si="14"/>
        <v>0</v>
      </c>
      <c r="T41" s="233">
        <f t="shared" si="14"/>
        <v>0</v>
      </c>
      <c r="U41" s="233">
        <f t="shared" si="14"/>
        <v>0</v>
      </c>
      <c r="V41" s="233">
        <f t="shared" si="15"/>
        <v>0</v>
      </c>
      <c r="W41" s="233">
        <f t="shared" si="16"/>
        <v>0</v>
      </c>
      <c r="X41" s="233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233">
        <f t="shared" si="14"/>
        <v>0</v>
      </c>
      <c r="T42" s="233">
        <f t="shared" si="14"/>
        <v>0</v>
      </c>
      <c r="U42" s="233">
        <f t="shared" si="14"/>
        <v>0</v>
      </c>
      <c r="V42" s="233">
        <f t="shared" si="15"/>
        <v>0</v>
      </c>
      <c r="W42" s="233">
        <f t="shared" si="16"/>
        <v>0</v>
      </c>
      <c r="X42" s="233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233">
        <f t="shared" si="14"/>
        <v>0</v>
      </c>
      <c r="T43" s="233">
        <f t="shared" si="14"/>
        <v>0</v>
      </c>
      <c r="U43" s="233">
        <f t="shared" si="14"/>
        <v>0</v>
      </c>
      <c r="V43" s="233">
        <f t="shared" si="15"/>
        <v>0</v>
      </c>
      <c r="W43" s="233">
        <f t="shared" si="16"/>
        <v>0</v>
      </c>
      <c r="X43" s="233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233">
        <f t="shared" si="14"/>
        <v>0</v>
      </c>
      <c r="T44" s="233">
        <f t="shared" si="14"/>
        <v>0</v>
      </c>
      <c r="U44" s="233">
        <f t="shared" si="14"/>
        <v>0</v>
      </c>
      <c r="V44" s="233">
        <f t="shared" si="15"/>
        <v>0</v>
      </c>
      <c r="W44" s="233">
        <f t="shared" si="16"/>
        <v>0</v>
      </c>
      <c r="X44" s="233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233">
        <f t="shared" si="14"/>
        <v>0</v>
      </c>
      <c r="T45" s="233">
        <f t="shared" si="14"/>
        <v>0</v>
      </c>
      <c r="U45" s="233">
        <f t="shared" si="14"/>
        <v>0</v>
      </c>
      <c r="V45" s="233">
        <f t="shared" si="15"/>
        <v>0</v>
      </c>
      <c r="W45" s="233">
        <f t="shared" si="16"/>
        <v>0</v>
      </c>
      <c r="X45" s="233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233">
        <f t="shared" si="14"/>
        <v>0</v>
      </c>
      <c r="T46" s="233">
        <f t="shared" si="14"/>
        <v>0</v>
      </c>
      <c r="U46" s="233">
        <f t="shared" si="14"/>
        <v>0</v>
      </c>
      <c r="V46" s="233">
        <f t="shared" si="15"/>
        <v>0</v>
      </c>
      <c r="W46" s="233">
        <f t="shared" si="16"/>
        <v>0</v>
      </c>
      <c r="X46" s="233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AMJ67"/>
  <sheetViews>
    <sheetView topLeftCell="J1" zoomScale="85" zoomScaleNormal="85" workbookViewId="0">
      <selection activeCell="R5" sqref="R5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0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Reference_LNGC_full!Afx</f>
        <v>1566</v>
      </c>
      <c r="T5" s="63">
        <f>Reference_LNGC_full!Afy</f>
        <v>7543</v>
      </c>
      <c r="U5" s="63">
        <f>Reference_LNGC_full!Afz</f>
        <v>13570</v>
      </c>
      <c r="V5" s="63">
        <f>Reference_LNGC_full!Amx</f>
        <v>192871</v>
      </c>
      <c r="W5" s="63">
        <f>Reference_LNGC_full!Amy</f>
        <v>26653</v>
      </c>
      <c r="X5" s="63">
        <f>Reference_LNGC_full!Amz</f>
        <v>2225185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Reference_FSTs_light!rho</f>
        <v>1.204</v>
      </c>
      <c r="E7" s="66">
        <f>Reference_FSTs_light!U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212114.69999999998</v>
      </c>
      <c r="T7" s="48">
        <f t="shared" si="0"/>
        <v>1021699.3499999999</v>
      </c>
      <c r="U7" s="48">
        <f t="shared" si="0"/>
        <v>1838056.4999999998</v>
      </c>
      <c r="V7" s="48">
        <f t="shared" si="0"/>
        <v>26124376.949999999</v>
      </c>
      <c r="W7" s="48">
        <f t="shared" si="0"/>
        <v>3610148.8499999996</v>
      </c>
      <c r="X7" s="48">
        <f t="shared" si="0"/>
        <v>301401308.25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212114.69999999998</v>
      </c>
      <c r="T9" s="48">
        <f t="shared" si="1"/>
        <v>1021699.3499999999</v>
      </c>
      <c r="U9" s="48">
        <f t="shared" si="1"/>
        <v>1838056.4999999998</v>
      </c>
      <c r="V9" s="48">
        <f t="shared" si="1"/>
        <v>26124376.949999999</v>
      </c>
      <c r="W9" s="48">
        <f t="shared" si="1"/>
        <v>3610148.8499999996</v>
      </c>
      <c r="X9" s="48">
        <f t="shared" si="1"/>
        <v>301401308.25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132741.22</v>
      </c>
      <c r="E14" s="46">
        <v>-56017.09</v>
      </c>
      <c r="F14" s="46">
        <v>305640.12300000002</v>
      </c>
      <c r="G14" s="46" t="s">
        <v>154</v>
      </c>
      <c r="H14" s="82">
        <v>0</v>
      </c>
      <c r="I14" s="46">
        <v>-1372787.166</v>
      </c>
      <c r="J14" s="46">
        <v>16413498.228</v>
      </c>
      <c r="K14" s="46">
        <v>3867461.9029999999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0.625799249179807</v>
      </c>
      <c r="T14" s="85">
        <f t="shared" ref="T14:T37" si="6">E14*(1-2*$N14*T$11)/T$9</f>
        <v>-5.4827371672498376E-2</v>
      </c>
      <c r="U14" s="85">
        <f t="shared" ref="U14:U37" si="7">F14*(1-2*$N14*U$11)/U$9</f>
        <v>0.16628440039792033</v>
      </c>
      <c r="V14" s="85">
        <f t="shared" ref="V14:V37" si="8">(I14+F14*dy-E14*dz)*(1-2*$N14*V$11)/V$9</f>
        <v>-5.2548130377517002E-2</v>
      </c>
      <c r="W14" s="85">
        <f t="shared" ref="W14:W37" si="9">(J14+D14*dz-F14*dx)*(1-2*$N14*W$11)/W$9</f>
        <v>4.5464879455039648</v>
      </c>
      <c r="X14" s="85">
        <f t="shared" ref="X14:X37" si="10">(K14+E14*dx-D14*dy)*(1-2*$N14*X$11)/X$9</f>
        <v>1.283160290662076E-2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166142.557</v>
      </c>
      <c r="E15" s="46">
        <v>77579.710999999996</v>
      </c>
      <c r="F15" s="46">
        <v>339727.84499999997</v>
      </c>
      <c r="G15" s="46" t="s">
        <v>160</v>
      </c>
      <c r="H15" s="82">
        <v>15</v>
      </c>
      <c r="I15" s="46">
        <v>-4596248.1500000004</v>
      </c>
      <c r="J15" s="46">
        <v>14146856.266000001</v>
      </c>
      <c r="K15" s="46">
        <v>-13522780.861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0.78326752931315002</v>
      </c>
      <c r="T15" s="85">
        <f t="shared" si="6"/>
        <v>7.5932035192153163E-2</v>
      </c>
      <c r="U15" s="85">
        <f t="shared" si="7"/>
        <v>0.18482992497782305</v>
      </c>
      <c r="V15" s="85">
        <f t="shared" si="8"/>
        <v>-0.17593713943099418</v>
      </c>
      <c r="W15" s="85">
        <f t="shared" si="9"/>
        <v>3.9186351737269787</v>
      </c>
      <c r="X15" s="85">
        <f t="shared" si="10"/>
        <v>-4.4866364182412272E-2</v>
      </c>
      <c r="Y15" s="1">
        <f t="shared" si="11"/>
        <v>0</v>
      </c>
    </row>
    <row r="16" spans="1:26" x14ac:dyDescent="0.25">
      <c r="C16" s="82">
        <v>30</v>
      </c>
      <c r="D16" s="46">
        <v>197292.698</v>
      </c>
      <c r="E16" s="46">
        <v>344756.00300000003</v>
      </c>
      <c r="F16" s="46">
        <v>424222.75</v>
      </c>
      <c r="G16" s="46" t="s">
        <v>155</v>
      </c>
      <c r="H16" s="82">
        <v>30</v>
      </c>
      <c r="I16" s="46">
        <v>-8995489.0519999992</v>
      </c>
      <c r="J16" s="46">
        <v>18364174.464000002</v>
      </c>
      <c r="K16" s="46">
        <v>-26826064.565000001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0.93012270248125195</v>
      </c>
      <c r="T16" s="85">
        <f t="shared" si="6"/>
        <v>0.33743390655969396</v>
      </c>
      <c r="U16" s="85">
        <f t="shared" si="7"/>
        <v>0.23079962449467689</v>
      </c>
      <c r="V16" s="85">
        <f t="shared" si="8"/>
        <v>-0.34433315172326051</v>
      </c>
      <c r="W16" s="85">
        <f t="shared" si="9"/>
        <v>5.0868191941725627</v>
      </c>
      <c r="X16" s="85">
        <f t="shared" si="10"/>
        <v>-8.9004472876238749E-2</v>
      </c>
      <c r="Y16" s="1">
        <f t="shared" si="11"/>
        <v>0</v>
      </c>
    </row>
    <row r="17" spans="1:26" x14ac:dyDescent="0.25">
      <c r="C17" s="82">
        <v>45</v>
      </c>
      <c r="D17" s="46">
        <v>128473.969</v>
      </c>
      <c r="E17" s="46">
        <v>612261.22</v>
      </c>
      <c r="F17" s="46">
        <v>487494.67300000001</v>
      </c>
      <c r="G17" s="46" t="s">
        <v>156</v>
      </c>
      <c r="H17" s="82">
        <v>45</v>
      </c>
      <c r="I17" s="46">
        <v>-13701732.352</v>
      </c>
      <c r="J17" s="46">
        <v>13426016.466</v>
      </c>
      <c r="K17" s="46">
        <v>-40149052.031999998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0.60568159113913367</v>
      </c>
      <c r="T17" s="85">
        <f t="shared" si="6"/>
        <v>0.59925771705737119</v>
      </c>
      <c r="U17" s="85">
        <f t="shared" si="7"/>
        <v>0.26522289875202426</v>
      </c>
      <c r="V17" s="85">
        <f t="shared" si="8"/>
        <v>-0.52448073223809455</v>
      </c>
      <c r="W17" s="85">
        <f t="shared" si="9"/>
        <v>3.7189647917148907</v>
      </c>
      <c r="X17" s="85">
        <f t="shared" si="10"/>
        <v>-0.13320795541702829</v>
      </c>
      <c r="Y17" s="1">
        <f t="shared" si="11"/>
        <v>0</v>
      </c>
    </row>
    <row r="18" spans="1:26" x14ac:dyDescent="0.25">
      <c r="C18" s="82">
        <v>60</v>
      </c>
      <c r="D18" s="46">
        <v>21670.108</v>
      </c>
      <c r="E18" s="46">
        <v>875648.11399999994</v>
      </c>
      <c r="F18" s="46">
        <v>705082.61899999995</v>
      </c>
      <c r="G18" s="46" t="s">
        <v>157</v>
      </c>
      <c r="H18" s="86">
        <v>60</v>
      </c>
      <c r="I18" s="46">
        <v>-19465665.465</v>
      </c>
      <c r="J18" s="46">
        <v>2122055.4879999999</v>
      </c>
      <c r="K18" s="46">
        <v>-38784759.530000001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0.10216221695148898</v>
      </c>
      <c r="T18" s="85">
        <f t="shared" si="6"/>
        <v>0.85705067151114467</v>
      </c>
      <c r="U18" s="85">
        <f t="shared" si="7"/>
        <v>0.38360225542577175</v>
      </c>
      <c r="V18" s="85">
        <f t="shared" si="8"/>
        <v>-0.74511501278119474</v>
      </c>
      <c r="W18" s="85">
        <f t="shared" si="9"/>
        <v>0.58780276829859801</v>
      </c>
      <c r="X18" s="85">
        <f t="shared" si="10"/>
        <v>-0.12868145714161811</v>
      </c>
      <c r="Y18" s="1">
        <f t="shared" si="11"/>
        <v>0</v>
      </c>
    </row>
    <row r="19" spans="1:26" x14ac:dyDescent="0.25">
      <c r="C19" s="82">
        <v>75</v>
      </c>
      <c r="D19" s="46">
        <v>-83122.968999999997</v>
      </c>
      <c r="E19" s="46">
        <v>997427.41599999997</v>
      </c>
      <c r="F19" s="46">
        <v>830958.84</v>
      </c>
      <c r="G19" s="46" t="s">
        <v>161</v>
      </c>
      <c r="H19" s="86">
        <v>75</v>
      </c>
      <c r="I19" s="46">
        <v>-21361220.660999998</v>
      </c>
      <c r="J19" s="46">
        <v>-5961474.7810000004</v>
      </c>
      <c r="K19" s="46">
        <v>-23416482.192000002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-0.39187745592361117</v>
      </c>
      <c r="T19" s="85">
        <f t="shared" si="6"/>
        <v>0.97624356519361599</v>
      </c>
      <c r="U19" s="85">
        <f t="shared" si="7"/>
        <v>0.45208558061191267</v>
      </c>
      <c r="V19" s="85">
        <f t="shared" si="8"/>
        <v>-0.81767387991237817</v>
      </c>
      <c r="W19" s="85">
        <f t="shared" si="9"/>
        <v>-1.6513099677316632</v>
      </c>
      <c r="X19" s="85">
        <f t="shared" si="10"/>
        <v>-7.7692038989349677E-2</v>
      </c>
      <c r="Y19" s="1">
        <f t="shared" si="11"/>
        <v>0</v>
      </c>
    </row>
    <row r="20" spans="1:26" x14ac:dyDescent="0.25">
      <c r="C20" s="82">
        <v>90</v>
      </c>
      <c r="D20" s="46">
        <v>-87463.805999999997</v>
      </c>
      <c r="E20" s="46">
        <v>1112048.1599999999</v>
      </c>
      <c r="F20" s="46">
        <v>1065780.5490000001</v>
      </c>
      <c r="G20" s="46" t="s">
        <v>158</v>
      </c>
      <c r="H20" s="86">
        <v>90</v>
      </c>
      <c r="I20" s="46">
        <v>-24718821.842</v>
      </c>
      <c r="J20" s="46">
        <v>-27853257.386999998</v>
      </c>
      <c r="K20" s="46">
        <v>-10223258.187999999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-0.41234203004317949</v>
      </c>
      <c r="T20" s="85">
        <f t="shared" si="6"/>
        <v>1.0884299378285796</v>
      </c>
      <c r="U20" s="85">
        <f t="shared" si="7"/>
        <v>0.57984101631261076</v>
      </c>
      <c r="V20" s="85">
        <f t="shared" si="8"/>
        <v>-0.94619756441693825</v>
      </c>
      <c r="W20" s="85">
        <f t="shared" si="9"/>
        <v>-7.7152656425786992</v>
      </c>
      <c r="X20" s="85">
        <f t="shared" si="10"/>
        <v>-3.3919090289814623E-2</v>
      </c>
      <c r="Y20" s="1">
        <f t="shared" si="11"/>
        <v>0</v>
      </c>
    </row>
    <row r="21" spans="1:26" x14ac:dyDescent="0.25">
      <c r="C21" s="82">
        <v>105</v>
      </c>
      <c r="D21" s="46">
        <v>-94711.130999999994</v>
      </c>
      <c r="E21" s="46">
        <v>980067.80900000001</v>
      </c>
      <c r="F21" s="46">
        <v>938573.16700000002</v>
      </c>
      <c r="G21" s="46" t="s">
        <v>162</v>
      </c>
      <c r="H21" s="86">
        <v>105</v>
      </c>
      <c r="I21" s="46">
        <v>-22060658.509</v>
      </c>
      <c r="J21" s="46">
        <v>-31660404.173999999</v>
      </c>
      <c r="K21" s="46">
        <v>-1819634.254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-0.44650903968466116</v>
      </c>
      <c r="T21" s="85">
        <f t="shared" si="6"/>
        <v>0.95925265000902682</v>
      </c>
      <c r="U21" s="85">
        <f t="shared" si="7"/>
        <v>0.51063346910173879</v>
      </c>
      <c r="V21" s="85">
        <f t="shared" si="8"/>
        <v>-0.84444725901874573</v>
      </c>
      <c r="W21" s="85">
        <f t="shared" si="9"/>
        <v>-8.7698334582520054</v>
      </c>
      <c r="X21" s="85">
        <f t="shared" si="10"/>
        <v>-6.0372473648677332E-3</v>
      </c>
      <c r="Y21" s="1">
        <f t="shared" si="11"/>
        <v>0</v>
      </c>
    </row>
    <row r="22" spans="1:26" x14ac:dyDescent="0.25">
      <c r="C22" s="82">
        <v>120</v>
      </c>
      <c r="D22" s="46">
        <v>-124362.935</v>
      </c>
      <c r="E22" s="46">
        <v>714431.65700000001</v>
      </c>
      <c r="F22" s="46">
        <v>747626.33900000004</v>
      </c>
      <c r="G22" s="46" t="s">
        <v>163</v>
      </c>
      <c r="H22" s="86">
        <v>120</v>
      </c>
      <c r="I22" s="46">
        <v>-17908765.686000001</v>
      </c>
      <c r="J22" s="46">
        <v>-15791470.41</v>
      </c>
      <c r="K22" s="46">
        <v>1896908.0689999999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-0.58630040727964639</v>
      </c>
      <c r="T22" s="85">
        <f t="shared" si="6"/>
        <v>0.69925820839565</v>
      </c>
      <c r="U22" s="85">
        <f t="shared" si="7"/>
        <v>0.40674829038171578</v>
      </c>
      <c r="V22" s="85">
        <f t="shared" si="8"/>
        <v>-0.6855193415818478</v>
      </c>
      <c r="W22" s="85">
        <f t="shared" si="9"/>
        <v>-4.3741881750942211</v>
      </c>
      <c r="X22" s="85">
        <f t="shared" si="10"/>
        <v>6.2936291816842165E-3</v>
      </c>
      <c r="Y22" s="1">
        <f t="shared" si="11"/>
        <v>0</v>
      </c>
    </row>
    <row r="23" spans="1:26" x14ac:dyDescent="0.25">
      <c r="C23" s="82">
        <v>135</v>
      </c>
      <c r="D23" s="46">
        <v>-129742.24400000001</v>
      </c>
      <c r="E23" s="46">
        <v>493828.20500000002</v>
      </c>
      <c r="F23" s="46">
        <v>531539.04700000002</v>
      </c>
      <c r="G23" s="46" t="s">
        <v>164</v>
      </c>
      <c r="H23" s="86">
        <v>135</v>
      </c>
      <c r="I23" s="46">
        <v>-13325629.469000001</v>
      </c>
      <c r="J23" s="46">
        <v>-14308941.881999999</v>
      </c>
      <c r="K23" s="46">
        <v>7320968.2929999996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-0.61166078541468372</v>
      </c>
      <c r="T23" s="85">
        <f t="shared" si="6"/>
        <v>0.48334004029659028</v>
      </c>
      <c r="U23" s="85">
        <f t="shared" si="7"/>
        <v>0.28918536889372015</v>
      </c>
      <c r="V23" s="85">
        <f t="shared" si="8"/>
        <v>-0.5100841062929159</v>
      </c>
      <c r="W23" s="85">
        <f t="shared" si="9"/>
        <v>-3.9635323850981936</v>
      </c>
      <c r="X23" s="85">
        <f t="shared" si="10"/>
        <v>2.4289769462206703E-2</v>
      </c>
      <c r="Y23" s="1">
        <f t="shared" si="11"/>
        <v>0</v>
      </c>
    </row>
    <row r="24" spans="1:26" x14ac:dyDescent="0.25">
      <c r="C24" s="82">
        <v>150</v>
      </c>
      <c r="D24" s="46">
        <v>-136846.323</v>
      </c>
      <c r="E24" s="46">
        <v>264887.80599999998</v>
      </c>
      <c r="F24" s="46">
        <v>361830.30599999998</v>
      </c>
      <c r="G24" s="46" t="s">
        <v>165</v>
      </c>
      <c r="H24" s="86">
        <v>150</v>
      </c>
      <c r="I24" s="46">
        <v>-8449275.9710000008</v>
      </c>
      <c r="J24" s="46">
        <v>-12813570.359999999</v>
      </c>
      <c r="K24" s="46">
        <v>8103524.1849999996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-0.64515247175231138</v>
      </c>
      <c r="T24" s="85">
        <f t="shared" si="6"/>
        <v>0.2592619893513684</v>
      </c>
      <c r="U24" s="85">
        <f t="shared" si="7"/>
        <v>0.19685483335251122</v>
      </c>
      <c r="V24" s="85">
        <f t="shared" si="8"/>
        <v>-0.32342497534663694</v>
      </c>
      <c r="W24" s="85">
        <f t="shared" si="9"/>
        <v>-3.5493191257197054</v>
      </c>
      <c r="X24" s="85">
        <f t="shared" si="10"/>
        <v>2.6886161284603513E-2</v>
      </c>
      <c r="Y24" s="1">
        <f t="shared" si="11"/>
        <v>0</v>
      </c>
    </row>
    <row r="25" spans="1:26" x14ac:dyDescent="0.25">
      <c r="C25" s="82">
        <v>165</v>
      </c>
      <c r="D25" s="46">
        <v>-145106.60800000001</v>
      </c>
      <c r="E25" s="46">
        <v>75828.490999999995</v>
      </c>
      <c r="F25" s="46">
        <v>266320.30800000002</v>
      </c>
      <c r="G25" s="46" t="s">
        <v>166</v>
      </c>
      <c r="H25" s="86">
        <v>165</v>
      </c>
      <c r="I25" s="46">
        <v>-4167252.841</v>
      </c>
      <c r="J25" s="46">
        <v>-12569997.958000001</v>
      </c>
      <c r="K25" s="46">
        <v>4835501.7379999999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-0.6840950108596906</v>
      </c>
      <c r="T25" s="85">
        <f t="shared" si="6"/>
        <v>7.4218008458163356E-2</v>
      </c>
      <c r="U25" s="85">
        <f t="shared" si="7"/>
        <v>0.14489234036059287</v>
      </c>
      <c r="V25" s="85">
        <f t="shared" si="8"/>
        <v>-0.15951587473170342</v>
      </c>
      <c r="W25" s="85">
        <f t="shared" si="9"/>
        <v>-3.4818503281381323</v>
      </c>
      <c r="X25" s="85">
        <f t="shared" si="10"/>
        <v>1.6043399964240201E-2</v>
      </c>
      <c r="Y25" s="1">
        <f t="shared" si="11"/>
        <v>0</v>
      </c>
    </row>
    <row r="26" spans="1:26" x14ac:dyDescent="0.25">
      <c r="C26" s="82">
        <v>180</v>
      </c>
      <c r="D26" s="46">
        <v>-158185.18599999999</v>
      </c>
      <c r="E26" s="46">
        <v>-26517.120999999999</v>
      </c>
      <c r="F26" s="46">
        <v>214785.75399999999</v>
      </c>
      <c r="G26" s="46" t="s">
        <v>167</v>
      </c>
      <c r="H26" s="86">
        <v>180</v>
      </c>
      <c r="I26" s="46">
        <v>-1570307.993</v>
      </c>
      <c r="J26" s="46">
        <v>-8081366.5480000004</v>
      </c>
      <c r="K26" s="46">
        <v>-2727098.7259999998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-0.74575305719028429</v>
      </c>
      <c r="T26" s="85">
        <f t="shared" si="6"/>
        <v>-2.5953937427874454E-2</v>
      </c>
      <c r="U26" s="85">
        <f t="shared" si="7"/>
        <v>0.11685481594281787</v>
      </c>
      <c r="V26" s="85">
        <f t="shared" si="8"/>
        <v>-6.0108916511404112E-2</v>
      </c>
      <c r="W26" s="85">
        <f t="shared" si="9"/>
        <v>-2.2385133920447631</v>
      </c>
      <c r="X26" s="85">
        <f t="shared" si="10"/>
        <v>-9.0480653247131341E-3</v>
      </c>
      <c r="Y26" s="1">
        <f t="shared" si="11"/>
        <v>0</v>
      </c>
    </row>
    <row r="27" spans="1:26" x14ac:dyDescent="0.25">
      <c r="C27" s="82">
        <v>195</v>
      </c>
      <c r="D27" s="46">
        <v>-22447.74</v>
      </c>
      <c r="E27" s="46">
        <v>-37323.635999999999</v>
      </c>
      <c r="F27" s="46">
        <v>197846.21599999999</v>
      </c>
      <c r="G27" s="46" t="s">
        <v>168</v>
      </c>
      <c r="H27" s="86">
        <v>195</v>
      </c>
      <c r="I27" s="46">
        <v>-1148602.8999999999</v>
      </c>
      <c r="J27" s="46">
        <v>-1477231.1270000001</v>
      </c>
      <c r="K27" s="46">
        <v>-1333461.6470000001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-0.10582830892908414</v>
      </c>
      <c r="T27" s="85">
        <f t="shared" si="6"/>
        <v>-3.6530938382215869E-2</v>
      </c>
      <c r="U27" s="85">
        <f t="shared" si="7"/>
        <v>0.10763881088530196</v>
      </c>
      <c r="V27" s="85">
        <f t="shared" si="8"/>
        <v>-4.3966709797456045E-2</v>
      </c>
      <c r="W27" s="85">
        <f t="shared" si="9"/>
        <v>-0.40918842639964836</v>
      </c>
      <c r="X27" s="85">
        <f t="shared" si="10"/>
        <v>-4.4242065661305903E-3</v>
      </c>
      <c r="Y27" s="1">
        <f t="shared" si="11"/>
        <v>0</v>
      </c>
    </row>
    <row r="28" spans="1:26" x14ac:dyDescent="0.25">
      <c r="C28" s="82">
        <v>210</v>
      </c>
      <c r="D28" s="46">
        <v>-10435.523999999999</v>
      </c>
      <c r="E28" s="46">
        <v>16708.7</v>
      </c>
      <c r="F28" s="46">
        <v>349493.27299999999</v>
      </c>
      <c r="G28" s="46" t="s">
        <v>169</v>
      </c>
      <c r="H28" s="86">
        <v>210</v>
      </c>
      <c r="I28" s="46">
        <v>-3109197.801</v>
      </c>
      <c r="J28" s="46">
        <v>-3074250.219</v>
      </c>
      <c r="K28" s="46">
        <v>2224182.5860000001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-4.9197552079134545E-2</v>
      </c>
      <c r="T28" s="85">
        <f t="shared" si="6"/>
        <v>1.6353832465489972E-2</v>
      </c>
      <c r="U28" s="85">
        <f t="shared" si="7"/>
        <v>0.19014283456466111</v>
      </c>
      <c r="V28" s="85">
        <f t="shared" si="8"/>
        <v>-0.11901519438916226</v>
      </c>
      <c r="W28" s="85">
        <f t="shared" si="9"/>
        <v>-0.85155774643474891</v>
      </c>
      <c r="X28" s="85">
        <f t="shared" si="10"/>
        <v>7.3794722355854277E-3</v>
      </c>
      <c r="Y28" s="1">
        <f t="shared" si="11"/>
        <v>0</v>
      </c>
    </row>
    <row r="29" spans="1:26" x14ac:dyDescent="0.25">
      <c r="C29" s="82">
        <v>225</v>
      </c>
      <c r="D29" s="46">
        <v>7692.04</v>
      </c>
      <c r="E29" s="46">
        <v>39690.394999999997</v>
      </c>
      <c r="F29" s="46">
        <v>536568.49199999997</v>
      </c>
      <c r="G29" s="46" t="s">
        <v>170</v>
      </c>
      <c r="H29" s="86">
        <v>225</v>
      </c>
      <c r="I29" s="46">
        <v>-4832983.4119999995</v>
      </c>
      <c r="J29" s="46">
        <v>-7433946.0089999996</v>
      </c>
      <c r="K29" s="46">
        <v>3545298.6770000001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3.6263587577852932E-2</v>
      </c>
      <c r="T29" s="85">
        <f t="shared" si="6"/>
        <v>3.8847430998169862E-2</v>
      </c>
      <c r="U29" s="85">
        <f t="shared" si="7"/>
        <v>0.29192165311566864</v>
      </c>
      <c r="V29" s="85">
        <f t="shared" si="8"/>
        <v>-0.18499899236831369</v>
      </c>
      <c r="W29" s="85">
        <f t="shared" si="9"/>
        <v>-2.0591799169167224</v>
      </c>
      <c r="X29" s="85">
        <f t="shared" si="10"/>
        <v>1.1762718276124139E-2</v>
      </c>
      <c r="Y29" s="1">
        <f t="shared" si="11"/>
        <v>0</v>
      </c>
    </row>
    <row r="30" spans="1:26" x14ac:dyDescent="0.25">
      <c r="C30" s="82">
        <v>240</v>
      </c>
      <c r="D30" s="46">
        <v>26017.884999999998</v>
      </c>
      <c r="E30" s="46">
        <v>86480.650999999998</v>
      </c>
      <c r="F30" s="46">
        <v>667299.57200000004</v>
      </c>
      <c r="G30" s="46" t="s">
        <v>171</v>
      </c>
      <c r="H30" s="86">
        <v>240</v>
      </c>
      <c r="I30" s="46">
        <v>-6607576.9819999998</v>
      </c>
      <c r="J30" s="46">
        <v>-10533317.069</v>
      </c>
      <c r="K30" s="46">
        <v>2064279.6040000001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0.12265950921836158</v>
      </c>
      <c r="T30" s="85">
        <f t="shared" si="6"/>
        <v>8.4643932679412989E-2</v>
      </c>
      <c r="U30" s="85">
        <f t="shared" si="7"/>
        <v>0.36304627850123222</v>
      </c>
      <c r="V30" s="85">
        <f t="shared" si="8"/>
        <v>-0.25292763898815201</v>
      </c>
      <c r="W30" s="85">
        <f t="shared" si="9"/>
        <v>-2.9176960581556082</v>
      </c>
      <c r="X30" s="85">
        <f t="shared" si="10"/>
        <v>6.8489404242657263E-3</v>
      </c>
      <c r="Y30" s="1">
        <f t="shared" si="11"/>
        <v>0</v>
      </c>
    </row>
    <row r="31" spans="1:26" x14ac:dyDescent="0.25">
      <c r="C31" s="87">
        <v>255</v>
      </c>
      <c r="D31" s="46">
        <v>34828.936000000002</v>
      </c>
      <c r="E31" s="46">
        <v>118413.83500000001</v>
      </c>
      <c r="F31" s="46">
        <v>708564.76300000004</v>
      </c>
      <c r="G31" s="46" t="s">
        <v>172</v>
      </c>
      <c r="H31" s="86">
        <v>255</v>
      </c>
      <c r="I31" s="46">
        <v>-7650482.2740000002</v>
      </c>
      <c r="J31" s="46">
        <v>-13376565.575999999</v>
      </c>
      <c r="K31" s="46">
        <v>2168089.824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0.16419859632547865</v>
      </c>
      <c r="T31" s="85">
        <f t="shared" si="6"/>
        <v>0.11589890411499236</v>
      </c>
      <c r="U31" s="85">
        <f t="shared" si="7"/>
        <v>0.38549672602556023</v>
      </c>
      <c r="V31" s="85">
        <f t="shared" si="8"/>
        <v>-0.29284841084028229</v>
      </c>
      <c r="W31" s="85">
        <f t="shared" si="9"/>
        <v>-3.7052670490304025</v>
      </c>
      <c r="X31" s="85">
        <f t="shared" si="10"/>
        <v>7.1933656711325837E-3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-11809.504000000001</v>
      </c>
      <c r="E32" s="46">
        <v>70100.536999999997</v>
      </c>
      <c r="F32" s="46">
        <v>790929.24600000004</v>
      </c>
      <c r="G32" s="46" t="s">
        <v>159</v>
      </c>
      <c r="H32" s="86">
        <v>270</v>
      </c>
      <c r="I32" s="46">
        <v>-7534132.6359999999</v>
      </c>
      <c r="J32" s="46">
        <v>-6016244.091</v>
      </c>
      <c r="K32" s="46">
        <v>2893236.7239999999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-5.5675085225116418E-2</v>
      </c>
      <c r="T32" s="85">
        <f t="shared" si="6"/>
        <v>6.8611707543907122E-2</v>
      </c>
      <c r="U32" s="85">
        <f t="shared" si="7"/>
        <v>0.43030736323937818</v>
      </c>
      <c r="V32" s="85">
        <f t="shared" si="8"/>
        <v>-0.28839472996503368</v>
      </c>
      <c r="W32" s="85">
        <f t="shared" si="9"/>
        <v>-1.6664808962101385</v>
      </c>
      <c r="X32" s="85">
        <f t="shared" si="10"/>
        <v>9.5992838942828302E-3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13891.119000000001</v>
      </c>
      <c r="E33" s="46">
        <v>-48862.277000000002</v>
      </c>
      <c r="F33" s="46">
        <v>801271.98199999996</v>
      </c>
      <c r="G33" s="46" t="s">
        <v>173</v>
      </c>
      <c r="H33" s="86">
        <v>285</v>
      </c>
      <c r="I33" s="46">
        <v>-5533328.4220000003</v>
      </c>
      <c r="J33" s="46">
        <v>-2636392.9210000001</v>
      </c>
      <c r="K33" s="46">
        <v>7064137.1540000001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6.5488714360673744E-2</v>
      </c>
      <c r="T33" s="85">
        <f t="shared" si="6"/>
        <v>-4.7824516086850802E-2</v>
      </c>
      <c r="U33" s="85">
        <f t="shared" si="7"/>
        <v>0.43593435892748678</v>
      </c>
      <c r="V33" s="85">
        <f t="shared" si="8"/>
        <v>-0.21180709620713081</v>
      </c>
      <c r="W33" s="85">
        <f t="shared" si="9"/>
        <v>-0.73027263709639023</v>
      </c>
      <c r="X33" s="85">
        <f t="shared" si="10"/>
        <v>2.3437645957862227E-2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72465.074999999997</v>
      </c>
      <c r="E34" s="46">
        <v>-174274.033</v>
      </c>
      <c r="F34" s="46">
        <v>709323.5</v>
      </c>
      <c r="G34" s="46" t="s">
        <v>174</v>
      </c>
      <c r="H34" s="86">
        <v>300</v>
      </c>
      <c r="I34" s="46">
        <v>-2542546.9840000002</v>
      </c>
      <c r="J34" s="46">
        <v>-1202344.922</v>
      </c>
      <c r="K34" s="46">
        <v>19706070.980999999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0.34163155594591044</v>
      </c>
      <c r="T34" s="85">
        <f t="shared" si="6"/>
        <v>-0.17057271593644452</v>
      </c>
      <c r="U34" s="85">
        <f t="shared" si="7"/>
        <v>0.3859095191034661</v>
      </c>
      <c r="V34" s="85">
        <f t="shared" si="8"/>
        <v>-9.7324693670828397E-2</v>
      </c>
      <c r="W34" s="85">
        <f t="shared" si="9"/>
        <v>-0.33304580280671808</v>
      </c>
      <c r="X34" s="85">
        <f t="shared" si="10"/>
        <v>6.5381504464654225E-2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116831.68799999999</v>
      </c>
      <c r="E35" s="46">
        <v>-166673.93</v>
      </c>
      <c r="F35" s="46">
        <v>568984.054</v>
      </c>
      <c r="G35" s="46" t="s">
        <v>175</v>
      </c>
      <c r="H35" s="86">
        <v>315</v>
      </c>
      <c r="I35" s="46">
        <v>-1571703.5430000001</v>
      </c>
      <c r="J35" s="46">
        <v>7669507.165</v>
      </c>
      <c r="K35" s="46">
        <v>23121616.686999999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0.55079486711670622</v>
      </c>
      <c r="T35" s="85">
        <f t="shared" si="6"/>
        <v>-0.16313402763738669</v>
      </c>
      <c r="U35" s="85">
        <f t="shared" si="7"/>
        <v>0.3095574341702772</v>
      </c>
      <c r="V35" s="85">
        <f t="shared" si="8"/>
        <v>-6.0162335967212419E-2</v>
      </c>
      <c r="W35" s="85">
        <f t="shared" si="9"/>
        <v>2.1244296242798968</v>
      </c>
      <c r="X35" s="85">
        <f t="shared" si="10"/>
        <v>7.6713723710255324E-2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133681.516</v>
      </c>
      <c r="E36" s="46">
        <v>-188506.09099999999</v>
      </c>
      <c r="F36" s="46">
        <v>546970.47</v>
      </c>
      <c r="G36" s="46" t="s">
        <v>176</v>
      </c>
      <c r="H36" s="86">
        <v>330</v>
      </c>
      <c r="I36" s="46">
        <v>-1807263.2849999999</v>
      </c>
      <c r="J36" s="46">
        <v>11972220.868000001</v>
      </c>
      <c r="K36" s="46">
        <v>19051899.118999999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0.63023220927168189</v>
      </c>
      <c r="T36" s="85">
        <f t="shared" si="6"/>
        <v>-0.18450250653482358</v>
      </c>
      <c r="U36" s="85">
        <f t="shared" si="7"/>
        <v>0.29758087958667212</v>
      </c>
      <c r="V36" s="85">
        <f t="shared" si="8"/>
        <v>-6.9179191850544788E-2</v>
      </c>
      <c r="W36" s="85">
        <f t="shared" si="9"/>
        <v>3.3162679339385139</v>
      </c>
      <c r="X36" s="85">
        <f t="shared" si="10"/>
        <v>6.3211069751552745E-2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120713.837</v>
      </c>
      <c r="E37" s="46">
        <v>-126596.25900000001</v>
      </c>
      <c r="F37" s="46">
        <v>399621.23599999998</v>
      </c>
      <c r="G37" s="46" t="s">
        <v>177</v>
      </c>
      <c r="H37" s="86">
        <v>345</v>
      </c>
      <c r="I37" s="46">
        <v>-1122609.1189999999</v>
      </c>
      <c r="J37" s="46">
        <v>17734844.975000001</v>
      </c>
      <c r="K37" s="46">
        <v>17331670.611000001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0.56909698856326318</v>
      </c>
      <c r="T37" s="85">
        <f t="shared" si="6"/>
        <v>-0.1239075457961288</v>
      </c>
      <c r="U37" s="85">
        <f t="shared" si="7"/>
        <v>0.21741509904619363</v>
      </c>
      <c r="V37" s="85">
        <f t="shared" si="8"/>
        <v>-4.2971708804714667E-2</v>
      </c>
      <c r="W37" s="85">
        <f t="shared" si="9"/>
        <v>4.9124968836118779</v>
      </c>
      <c r="X37" s="85">
        <f t="shared" si="10"/>
        <v>5.7503634312775088E-2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0.625799249179807</v>
      </c>
      <c r="T38" s="85">
        <f t="shared" si="12"/>
        <v>-5.4827371672498376E-2</v>
      </c>
      <c r="U38" s="85">
        <f t="shared" si="12"/>
        <v>0.16628440039792033</v>
      </c>
      <c r="V38" s="85">
        <f t="shared" si="12"/>
        <v>-5.2548130377517002E-2</v>
      </c>
      <c r="W38" s="85">
        <f t="shared" si="12"/>
        <v>4.5464879455039648</v>
      </c>
      <c r="X38" s="85">
        <f t="shared" si="12"/>
        <v>1.283160290662076E-2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AMJ67"/>
  <sheetViews>
    <sheetView zoomScale="85" zoomScaleNormal="85" workbookViewId="0">
      <selection activeCell="T5" activeCellId="1" sqref="I161:O185 T5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0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Reference_FSTs_full!Afx</f>
        <v>1360</v>
      </c>
      <c r="T5" s="63">
        <f>Reference_FSTs_full!Afy</f>
        <v>6322</v>
      </c>
      <c r="U5" s="63">
        <f>Reference_FSTs_full!Afz</f>
        <v>8949</v>
      </c>
      <c r="V5" s="63">
        <f>Reference_FSTs_full!Amx</f>
        <v>195355</v>
      </c>
      <c r="W5" s="63">
        <f>Reference_FSTs_full!Amy</f>
        <v>21665</v>
      </c>
      <c r="X5" s="63">
        <f>Reference_FSTs_full!Amz</f>
        <v>1293418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Reference_FSTs_full!rho</f>
        <v>1.204</v>
      </c>
      <c r="E7" s="66">
        <f>Reference_FSTs_full!U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184211.99999999997</v>
      </c>
      <c r="T7" s="48">
        <f t="shared" si="0"/>
        <v>856314.89999999991</v>
      </c>
      <c r="U7" s="48">
        <f t="shared" si="0"/>
        <v>1212142.0499999998</v>
      </c>
      <c r="V7" s="48">
        <f t="shared" si="0"/>
        <v>26460834.749999996</v>
      </c>
      <c r="W7" s="48">
        <f t="shared" si="0"/>
        <v>2934524.2499999995</v>
      </c>
      <c r="X7" s="48">
        <f t="shared" si="0"/>
        <v>175193468.09999999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184211.99999999997</v>
      </c>
      <c r="T9" s="48">
        <f t="shared" si="1"/>
        <v>856314.89999999991</v>
      </c>
      <c r="U9" s="48">
        <f t="shared" si="1"/>
        <v>1212142.0499999998</v>
      </c>
      <c r="V9" s="48">
        <f t="shared" si="1"/>
        <v>26460834.749999996</v>
      </c>
      <c r="W9" s="48">
        <f t="shared" si="1"/>
        <v>2934524.2499999995</v>
      </c>
      <c r="X9" s="48">
        <f t="shared" si="1"/>
        <v>175193468.09999999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42271.444000000003</v>
      </c>
      <c r="E14" s="46">
        <v>-7314.62</v>
      </c>
      <c r="F14" s="46">
        <v>78468.010999999999</v>
      </c>
      <c r="G14" s="46" t="s">
        <v>154</v>
      </c>
      <c r="H14" s="82">
        <v>0</v>
      </c>
      <c r="I14" s="46">
        <v>122575.31200000001</v>
      </c>
      <c r="J14" s="46">
        <v>1941511.605</v>
      </c>
      <c r="K14" s="46">
        <v>-53841.868999999999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0.22947171736911826</v>
      </c>
      <c r="T14" s="85">
        <f t="shared" ref="T14:T37" si="6">E14*(1-2*$N14*T$11)/T$9</f>
        <v>-8.5419744535567468E-3</v>
      </c>
      <c r="U14" s="85">
        <f t="shared" ref="U14:U37" si="7">F14*(1-2*$N14*U$11)/U$9</f>
        <v>6.4734996199496589E-2</v>
      </c>
      <c r="V14" s="85">
        <f t="shared" ref="V14:V37" si="8">(I14+F14*dy-E14*dz)*(1-2*$N14*V$11)/V$9</f>
        <v>4.6323297491588028E-3</v>
      </c>
      <c r="W14" s="85">
        <f t="shared" ref="W14:W37" si="9">(J14+D14*dz-F14*dx)*(1-2*$N14*W$11)/W$9</f>
        <v>0.66161034620858905</v>
      </c>
      <c r="X14" s="85">
        <f t="shared" ref="X14:X37" si="10">(K14+E14*dx-D14*dy)*(1-2*$N14*X$11)/X$9</f>
        <v>-3.0732806185026942E-4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161912.26199999999</v>
      </c>
      <c r="E15" s="46">
        <v>78755.892999999996</v>
      </c>
      <c r="F15" s="46">
        <v>72271.201000000001</v>
      </c>
      <c r="G15" s="46" t="s">
        <v>160</v>
      </c>
      <c r="H15" s="82">
        <v>15</v>
      </c>
      <c r="I15" s="46">
        <v>-1092111.68</v>
      </c>
      <c r="J15" s="46">
        <v>4850378.1260000002</v>
      </c>
      <c r="K15" s="46">
        <v>1283408.976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0.87894524786658856</v>
      </c>
      <c r="T15" s="85">
        <f t="shared" si="6"/>
        <v>9.197071427812363E-2</v>
      </c>
      <c r="U15" s="85">
        <f t="shared" si="7"/>
        <v>5.9622715835986398E-2</v>
      </c>
      <c r="V15" s="85">
        <f t="shared" si="8"/>
        <v>-4.1272759923040601E-2</v>
      </c>
      <c r="W15" s="85">
        <f t="shared" si="9"/>
        <v>1.6528669429124674</v>
      </c>
      <c r="X15" s="85">
        <f t="shared" si="10"/>
        <v>7.3256668180541606E-3</v>
      </c>
      <c r="Y15" s="1">
        <f t="shared" si="11"/>
        <v>0</v>
      </c>
    </row>
    <row r="16" spans="1:26" x14ac:dyDescent="0.25">
      <c r="C16" s="82">
        <v>30</v>
      </c>
      <c r="D16" s="46">
        <v>91137.739000000001</v>
      </c>
      <c r="E16" s="46">
        <v>55553.775000000001</v>
      </c>
      <c r="F16" s="46">
        <v>211639.13399999999</v>
      </c>
      <c r="G16" s="46" t="s">
        <v>155</v>
      </c>
      <c r="H16" s="82">
        <v>30</v>
      </c>
      <c r="I16" s="46">
        <v>-934973.22199999995</v>
      </c>
      <c r="J16" s="46">
        <v>2324357.02</v>
      </c>
      <c r="K16" s="46">
        <v>2624380.6159999999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0.4947437680498557</v>
      </c>
      <c r="T16" s="85">
        <f t="shared" si="6"/>
        <v>6.4875403896393735E-2</v>
      </c>
      <c r="U16" s="85">
        <f t="shared" si="7"/>
        <v>0.17459928397005947</v>
      </c>
      <c r="V16" s="85">
        <f t="shared" si="8"/>
        <v>-3.5334230035959091E-2</v>
      </c>
      <c r="W16" s="85">
        <f t="shared" si="9"/>
        <v>0.79207286155498646</v>
      </c>
      <c r="X16" s="85">
        <f t="shared" si="10"/>
        <v>1.4979899904156302E-2</v>
      </c>
      <c r="Y16" s="1">
        <f t="shared" si="11"/>
        <v>0</v>
      </c>
    </row>
    <row r="17" spans="1:26" x14ac:dyDescent="0.25">
      <c r="C17" s="82">
        <v>45</v>
      </c>
      <c r="D17" s="46">
        <v>90788.547999999995</v>
      </c>
      <c r="E17" s="46">
        <v>129443.68799999999</v>
      </c>
      <c r="F17" s="46">
        <v>275607.3</v>
      </c>
      <c r="G17" s="46" t="s">
        <v>156</v>
      </c>
      <c r="H17" s="82">
        <v>45</v>
      </c>
      <c r="I17" s="46">
        <v>-1660043.1950000001</v>
      </c>
      <c r="J17" s="46">
        <v>5966111.8640000001</v>
      </c>
      <c r="K17" s="46">
        <v>6514845.3859999999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0.49284817492888633</v>
      </c>
      <c r="T17" s="85">
        <f t="shared" si="6"/>
        <v>0.15116365253016151</v>
      </c>
      <c r="U17" s="85">
        <f t="shared" si="7"/>
        <v>0.22737211368915056</v>
      </c>
      <c r="V17" s="85">
        <f t="shared" si="8"/>
        <v>-6.2735858890468316E-2</v>
      </c>
      <c r="W17" s="85">
        <f t="shared" si="9"/>
        <v>2.0330763543698782</v>
      </c>
      <c r="X17" s="85">
        <f t="shared" si="10"/>
        <v>3.7186576969190095E-2</v>
      </c>
      <c r="Y17" s="1">
        <f t="shared" si="11"/>
        <v>0</v>
      </c>
    </row>
    <row r="18" spans="1:26" x14ac:dyDescent="0.25">
      <c r="C18" s="82">
        <v>60</v>
      </c>
      <c r="D18" s="46">
        <v>87901.676000000007</v>
      </c>
      <c r="E18" s="46">
        <v>172300.43400000001</v>
      </c>
      <c r="F18" s="46">
        <v>270608.23499999999</v>
      </c>
      <c r="G18" s="46" t="s">
        <v>157</v>
      </c>
      <c r="H18" s="86">
        <v>60</v>
      </c>
      <c r="I18" s="46">
        <v>-2247391.253</v>
      </c>
      <c r="J18" s="46">
        <v>3597819.548</v>
      </c>
      <c r="K18" s="46">
        <v>6856236.8770000003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0.47717670944346741</v>
      </c>
      <c r="T18" s="85">
        <f t="shared" si="6"/>
        <v>0.2012115332805724</v>
      </c>
      <c r="U18" s="85">
        <f t="shared" si="7"/>
        <v>0.22324795596357708</v>
      </c>
      <c r="V18" s="85">
        <f t="shared" si="8"/>
        <v>-8.4932742078365472E-2</v>
      </c>
      <c r="W18" s="85">
        <f t="shared" si="9"/>
        <v>1.2260316294881533</v>
      </c>
      <c r="X18" s="85">
        <f t="shared" si="10"/>
        <v>3.9135231189592508E-2</v>
      </c>
      <c r="Y18" s="1">
        <f t="shared" si="11"/>
        <v>0</v>
      </c>
    </row>
    <row r="19" spans="1:26" x14ac:dyDescent="0.25">
      <c r="C19" s="82">
        <v>75</v>
      </c>
      <c r="D19" s="46">
        <v>41686.11</v>
      </c>
      <c r="E19" s="46">
        <v>228154.951</v>
      </c>
      <c r="F19" s="46">
        <v>337508.72</v>
      </c>
      <c r="G19" s="46" t="s">
        <v>161</v>
      </c>
      <c r="H19" s="86">
        <v>75</v>
      </c>
      <c r="I19" s="46">
        <v>-2510536.7930000001</v>
      </c>
      <c r="J19" s="46">
        <v>1734429.6529999999</v>
      </c>
      <c r="K19" s="46">
        <v>12337963.564999999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0.22629421536056288</v>
      </c>
      <c r="T19" s="85">
        <f t="shared" si="6"/>
        <v>0.26643814209001854</v>
      </c>
      <c r="U19" s="85">
        <f t="shared" si="7"/>
        <v>0.27843990726994416</v>
      </c>
      <c r="V19" s="85">
        <f t="shared" si="8"/>
        <v>-9.4877460092221783E-2</v>
      </c>
      <c r="W19" s="85">
        <f t="shared" si="9"/>
        <v>0.59104287620046081</v>
      </c>
      <c r="X19" s="85">
        <f t="shared" si="10"/>
        <v>7.0424792081617574E-2</v>
      </c>
      <c r="Y19" s="1">
        <f t="shared" si="11"/>
        <v>0</v>
      </c>
    </row>
    <row r="20" spans="1:26" x14ac:dyDescent="0.25">
      <c r="C20" s="82">
        <v>90</v>
      </c>
      <c r="D20" s="46">
        <v>9986.6139999999996</v>
      </c>
      <c r="E20" s="46">
        <v>322482.38699999999</v>
      </c>
      <c r="F20" s="46">
        <v>399705.61700000003</v>
      </c>
      <c r="G20" s="46" t="s">
        <v>158</v>
      </c>
      <c r="H20" s="86">
        <v>90</v>
      </c>
      <c r="I20" s="46">
        <v>-3089754.889</v>
      </c>
      <c r="J20" s="46">
        <v>-2707632.7930000001</v>
      </c>
      <c r="K20" s="46">
        <v>13704535.618000001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5.4212613727661611E-2</v>
      </c>
      <c r="T20" s="85">
        <f t="shared" si="6"/>
        <v>0.37659322172252291</v>
      </c>
      <c r="U20" s="85">
        <f t="shared" si="7"/>
        <v>0.32975146518512422</v>
      </c>
      <c r="V20" s="85">
        <f t="shared" si="8"/>
        <v>-0.11676709817327287</v>
      </c>
      <c r="W20" s="85">
        <f t="shared" si="9"/>
        <v>-0.92268203031547635</v>
      </c>
      <c r="X20" s="85">
        <f t="shared" si="10"/>
        <v>7.822515169445407E-2</v>
      </c>
      <c r="Y20" s="1">
        <f t="shared" si="11"/>
        <v>0</v>
      </c>
    </row>
    <row r="21" spans="1:26" x14ac:dyDescent="0.25">
      <c r="C21" s="82">
        <v>105</v>
      </c>
      <c r="D21" s="46">
        <v>-97187.498999999996</v>
      </c>
      <c r="E21" s="46">
        <v>432984.91100000002</v>
      </c>
      <c r="F21" s="46">
        <v>444523.33799999999</v>
      </c>
      <c r="G21" s="46" t="s">
        <v>162</v>
      </c>
      <c r="H21" s="86">
        <v>105</v>
      </c>
      <c r="I21" s="46">
        <v>-4113246.1710000001</v>
      </c>
      <c r="J21" s="46">
        <v>-5760189.1009999998</v>
      </c>
      <c r="K21" s="46">
        <v>13089374.294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-0.52758505960523749</v>
      </c>
      <c r="T21" s="85">
        <f t="shared" si="6"/>
        <v>0.50563748336038539</v>
      </c>
      <c r="U21" s="85">
        <f t="shared" si="7"/>
        <v>0.3667254493811184</v>
      </c>
      <c r="V21" s="85">
        <f t="shared" si="8"/>
        <v>-0.15544657641611251</v>
      </c>
      <c r="W21" s="85">
        <f t="shared" si="9"/>
        <v>-1.9629039020549925</v>
      </c>
      <c r="X21" s="85">
        <f t="shared" si="10"/>
        <v>7.4713826011644557E-2</v>
      </c>
      <c r="Y21" s="1">
        <f t="shared" si="11"/>
        <v>0</v>
      </c>
    </row>
    <row r="22" spans="1:26" x14ac:dyDescent="0.25">
      <c r="C22" s="82">
        <v>120</v>
      </c>
      <c r="D22" s="46">
        <v>-214852.467</v>
      </c>
      <c r="E22" s="46">
        <v>491436.60100000002</v>
      </c>
      <c r="F22" s="46">
        <v>434133.49599999998</v>
      </c>
      <c r="G22" s="46" t="s">
        <v>163</v>
      </c>
      <c r="H22" s="86">
        <v>120</v>
      </c>
      <c r="I22" s="46">
        <v>-4749450.5429999996</v>
      </c>
      <c r="J22" s="46">
        <v>-7705401.4850000003</v>
      </c>
      <c r="K22" s="46">
        <v>17285079.175999999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-1.1663326330532215</v>
      </c>
      <c r="T22" s="85">
        <f t="shared" si="6"/>
        <v>0.57389705702890381</v>
      </c>
      <c r="U22" s="85">
        <f t="shared" si="7"/>
        <v>0.3581539770854415</v>
      </c>
      <c r="V22" s="85">
        <f t="shared" si="8"/>
        <v>-0.17948982289759396</v>
      </c>
      <c r="W22" s="85">
        <f t="shared" si="9"/>
        <v>-2.6257753654617102</v>
      </c>
      <c r="X22" s="85">
        <f t="shared" si="10"/>
        <v>9.8662806116342872E-2</v>
      </c>
      <c r="Y22" s="1">
        <f t="shared" si="11"/>
        <v>0</v>
      </c>
    </row>
    <row r="23" spans="1:26" x14ac:dyDescent="0.25">
      <c r="C23" s="82">
        <v>135</v>
      </c>
      <c r="D23" s="46">
        <v>-373818.52799999999</v>
      </c>
      <c r="E23" s="46">
        <v>413602.74900000001</v>
      </c>
      <c r="F23" s="46">
        <v>376141.929</v>
      </c>
      <c r="G23" s="46" t="s">
        <v>164</v>
      </c>
      <c r="H23" s="86">
        <v>135</v>
      </c>
      <c r="I23" s="46">
        <v>-4808352.9979999997</v>
      </c>
      <c r="J23" s="46">
        <v>-7345963.6449999996</v>
      </c>
      <c r="K23" s="46">
        <v>13835993.605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-2.0292843462966585</v>
      </c>
      <c r="T23" s="85">
        <f t="shared" si="6"/>
        <v>0.48300309734187746</v>
      </c>
      <c r="U23" s="85">
        <f t="shared" si="7"/>
        <v>0.31031175677801132</v>
      </c>
      <c r="V23" s="85">
        <f t="shared" si="8"/>
        <v>-0.18171584696510756</v>
      </c>
      <c r="W23" s="85">
        <f t="shared" si="9"/>
        <v>-2.5032894667679098</v>
      </c>
      <c r="X23" s="85">
        <f t="shared" si="10"/>
        <v>7.8975510645764774E-2</v>
      </c>
      <c r="Y23" s="1">
        <f t="shared" si="11"/>
        <v>0</v>
      </c>
    </row>
    <row r="24" spans="1:26" x14ac:dyDescent="0.25">
      <c r="C24" s="82">
        <v>150</v>
      </c>
      <c r="D24" s="46">
        <v>-450357.18800000002</v>
      </c>
      <c r="E24" s="46">
        <v>298791.86700000003</v>
      </c>
      <c r="F24" s="46">
        <v>280782.038</v>
      </c>
      <c r="G24" s="46" t="s">
        <v>165</v>
      </c>
      <c r="H24" s="86">
        <v>150</v>
      </c>
      <c r="I24" s="46">
        <v>-3843667.33</v>
      </c>
      <c r="J24" s="46">
        <v>-5251591.6310000001</v>
      </c>
      <c r="K24" s="46">
        <v>8885933.6300000008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-2.44477660521573</v>
      </c>
      <c r="T24" s="85">
        <f t="shared" si="6"/>
        <v>0.34892755807472237</v>
      </c>
      <c r="U24" s="85">
        <f t="shared" si="7"/>
        <v>0.23164119914823517</v>
      </c>
      <c r="V24" s="85">
        <f t="shared" si="8"/>
        <v>-0.14525873300350059</v>
      </c>
      <c r="W24" s="85">
        <f t="shared" si="9"/>
        <v>-1.7895887658791714</v>
      </c>
      <c r="X24" s="85">
        <f t="shared" si="10"/>
        <v>5.072069025386227E-2</v>
      </c>
      <c r="Y24" s="1">
        <f t="shared" si="11"/>
        <v>0</v>
      </c>
    </row>
    <row r="25" spans="1:26" x14ac:dyDescent="0.25">
      <c r="C25" s="82">
        <v>165</v>
      </c>
      <c r="D25" s="46">
        <v>-403684.82900000003</v>
      </c>
      <c r="E25" s="46">
        <v>145580.08499999999</v>
      </c>
      <c r="F25" s="46">
        <v>158162.78899999999</v>
      </c>
      <c r="G25" s="46" t="s">
        <v>166</v>
      </c>
      <c r="H25" s="86">
        <v>165</v>
      </c>
      <c r="I25" s="46">
        <v>-1946989.9550000001</v>
      </c>
      <c r="J25" s="46">
        <v>-5170293.6409999998</v>
      </c>
      <c r="K25" s="46">
        <v>2590491.517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-2.1914143975419629</v>
      </c>
      <c r="T25" s="85">
        <f t="shared" si="6"/>
        <v>0.17000765139086102</v>
      </c>
      <c r="U25" s="85">
        <f t="shared" si="7"/>
        <v>0.13048205777532429</v>
      </c>
      <c r="V25" s="85">
        <f t="shared" si="8"/>
        <v>-7.3580065534402703E-2</v>
      </c>
      <c r="W25" s="85">
        <f t="shared" si="9"/>
        <v>-1.7618847896724659</v>
      </c>
      <c r="X25" s="85">
        <f t="shared" si="10"/>
        <v>1.4786461761926842E-2</v>
      </c>
      <c r="Y25" s="1">
        <f t="shared" si="11"/>
        <v>0</v>
      </c>
    </row>
    <row r="26" spans="1:26" x14ac:dyDescent="0.25">
      <c r="C26" s="82">
        <v>180</v>
      </c>
      <c r="D26" s="46">
        <v>-248452.79300000001</v>
      </c>
      <c r="E26" s="46">
        <v>9666.99</v>
      </c>
      <c r="F26" s="46">
        <v>105665.886</v>
      </c>
      <c r="G26" s="46" t="s">
        <v>167</v>
      </c>
      <c r="H26" s="86">
        <v>180</v>
      </c>
      <c r="I26" s="46">
        <v>-277722.69400000002</v>
      </c>
      <c r="J26" s="46">
        <v>-4644943.6129999999</v>
      </c>
      <c r="K26" s="46">
        <v>-228387.98499999999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-1.348732943565023</v>
      </c>
      <c r="T26" s="85">
        <f t="shared" si="6"/>
        <v>1.1289059667185519E-2</v>
      </c>
      <c r="U26" s="85">
        <f t="shared" si="7"/>
        <v>8.7172857339616272E-2</v>
      </c>
      <c r="V26" s="85">
        <f t="shared" si="8"/>
        <v>-1.0495613484000162E-2</v>
      </c>
      <c r="W26" s="85">
        <f t="shared" si="9"/>
        <v>-1.5828608719113502</v>
      </c>
      <c r="X26" s="85">
        <f t="shared" si="10"/>
        <v>-1.303632992011076E-3</v>
      </c>
      <c r="Y26" s="1">
        <f t="shared" si="11"/>
        <v>0</v>
      </c>
    </row>
    <row r="27" spans="1:26" x14ac:dyDescent="0.25">
      <c r="C27" s="82">
        <v>195</v>
      </c>
      <c r="D27" s="46">
        <v>-292422.41100000002</v>
      </c>
      <c r="E27" s="46">
        <v>-139768.20600000001</v>
      </c>
      <c r="F27" s="46">
        <v>189401.60399999999</v>
      </c>
      <c r="G27" s="46" t="s">
        <v>168</v>
      </c>
      <c r="H27" s="86">
        <v>195</v>
      </c>
      <c r="I27" s="46">
        <v>2267952.679</v>
      </c>
      <c r="J27" s="46">
        <v>-6330727.6880000001</v>
      </c>
      <c r="K27" s="46">
        <v>-3521213.0260000001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-1.5874232460426034</v>
      </c>
      <c r="T27" s="85">
        <f t="shared" si="6"/>
        <v>-0.16322056990950412</v>
      </c>
      <c r="U27" s="85">
        <f t="shared" si="7"/>
        <v>0.15625363710466114</v>
      </c>
      <c r="V27" s="85">
        <f t="shared" si="8"/>
        <v>8.5709793376794366E-2</v>
      </c>
      <c r="W27" s="85">
        <f t="shared" si="9"/>
        <v>-2.1573267585026774</v>
      </c>
      <c r="X27" s="85">
        <f t="shared" si="10"/>
        <v>-2.009899720684849E-2</v>
      </c>
      <c r="Y27" s="1">
        <f t="shared" si="11"/>
        <v>0</v>
      </c>
    </row>
    <row r="28" spans="1:26" x14ac:dyDescent="0.25">
      <c r="C28" s="82">
        <v>210</v>
      </c>
      <c r="D28" s="46">
        <v>-315856.08799999999</v>
      </c>
      <c r="E28" s="46">
        <v>-354375.58600000001</v>
      </c>
      <c r="F28" s="46">
        <v>366963.51400000002</v>
      </c>
      <c r="G28" s="46" t="s">
        <v>169</v>
      </c>
      <c r="H28" s="86">
        <v>210</v>
      </c>
      <c r="I28" s="46">
        <v>6225193.2149999999</v>
      </c>
      <c r="J28" s="46">
        <v>-7589446.0109999999</v>
      </c>
      <c r="K28" s="46">
        <v>-7688756.915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-1.7146336177882007</v>
      </c>
      <c r="T28" s="85">
        <f t="shared" si="6"/>
        <v>-0.41383793041555161</v>
      </c>
      <c r="U28" s="85">
        <f t="shared" si="7"/>
        <v>0.30273969457622568</v>
      </c>
      <c r="V28" s="85">
        <f t="shared" si="8"/>
        <v>0.23526065121585027</v>
      </c>
      <c r="W28" s="85">
        <f t="shared" si="9"/>
        <v>-2.58626113278839</v>
      </c>
      <c r="X28" s="85">
        <f t="shared" si="10"/>
        <v>-4.3887235057252685E-2</v>
      </c>
      <c r="Y28" s="1">
        <f t="shared" si="11"/>
        <v>0</v>
      </c>
    </row>
    <row r="29" spans="1:26" x14ac:dyDescent="0.25">
      <c r="C29" s="82">
        <v>225</v>
      </c>
      <c r="D29" s="46">
        <v>-261527.851</v>
      </c>
      <c r="E29" s="46">
        <v>-543752.81900000002</v>
      </c>
      <c r="F29" s="46">
        <v>619601.63</v>
      </c>
      <c r="G29" s="46" t="s">
        <v>170</v>
      </c>
      <c r="H29" s="86">
        <v>225</v>
      </c>
      <c r="I29" s="46">
        <v>10284400.52</v>
      </c>
      <c r="J29" s="46">
        <v>-7531587.9780000001</v>
      </c>
      <c r="K29" s="46">
        <v>-11119458.255000001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-1.4197112620241896</v>
      </c>
      <c r="T29" s="85">
        <f t="shared" si="6"/>
        <v>-0.63499165902636989</v>
      </c>
      <c r="U29" s="85">
        <f t="shared" si="7"/>
        <v>0.51116255722668813</v>
      </c>
      <c r="V29" s="85">
        <f t="shared" si="8"/>
        <v>0.38866500687398009</v>
      </c>
      <c r="W29" s="85">
        <f t="shared" si="9"/>
        <v>-2.5665448080723823</v>
      </c>
      <c r="X29" s="85">
        <f t="shared" si="10"/>
        <v>-6.3469593790180814E-2</v>
      </c>
      <c r="Y29" s="1">
        <f t="shared" si="11"/>
        <v>0</v>
      </c>
    </row>
    <row r="30" spans="1:26" x14ac:dyDescent="0.25">
      <c r="C30" s="82">
        <v>240</v>
      </c>
      <c r="D30" s="46">
        <v>-153336.223</v>
      </c>
      <c r="E30" s="46">
        <v>-701984.92700000003</v>
      </c>
      <c r="F30" s="46">
        <v>889851.67700000003</v>
      </c>
      <c r="G30" s="46" t="s">
        <v>171</v>
      </c>
      <c r="H30" s="86">
        <v>240</v>
      </c>
      <c r="I30" s="46">
        <v>13032753.854</v>
      </c>
      <c r="J30" s="46">
        <v>-1531314.71</v>
      </c>
      <c r="K30" s="46">
        <v>-9241485.2550000008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-0.83238998002301712</v>
      </c>
      <c r="T30" s="85">
        <f t="shared" si="6"/>
        <v>-0.8197742757950377</v>
      </c>
      <c r="U30" s="85">
        <f t="shared" si="7"/>
        <v>0.73411501317027994</v>
      </c>
      <c r="V30" s="85">
        <f t="shared" si="8"/>
        <v>0.49252995898022461</v>
      </c>
      <c r="W30" s="85">
        <f t="shared" si="9"/>
        <v>-0.52182724678455128</v>
      </c>
      <c r="X30" s="85">
        <f t="shared" si="10"/>
        <v>-5.2750170170299863E-2</v>
      </c>
      <c r="Y30" s="1">
        <f t="shared" si="11"/>
        <v>0</v>
      </c>
    </row>
    <row r="31" spans="1:26" x14ac:dyDescent="0.25">
      <c r="C31" s="87">
        <v>255</v>
      </c>
      <c r="D31" s="46">
        <v>-53518.99</v>
      </c>
      <c r="E31" s="46">
        <v>-689950.76800000004</v>
      </c>
      <c r="F31" s="46">
        <v>887332.03700000001</v>
      </c>
      <c r="G31" s="46" t="s">
        <v>172</v>
      </c>
      <c r="H31" s="86">
        <v>255</v>
      </c>
      <c r="I31" s="46">
        <v>12585211.460999999</v>
      </c>
      <c r="J31" s="46">
        <v>4858024.6210000003</v>
      </c>
      <c r="K31" s="46">
        <v>-4263608.4919999996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-0.29052933576531392</v>
      </c>
      <c r="T31" s="85">
        <f t="shared" si="6"/>
        <v>-0.80572084872048833</v>
      </c>
      <c r="U31" s="85">
        <f t="shared" si="7"/>
        <v>0.73203634590516853</v>
      </c>
      <c r="V31" s="85">
        <f t="shared" si="8"/>
        <v>0.47561656991943541</v>
      </c>
      <c r="W31" s="85">
        <f t="shared" si="9"/>
        <v>1.6554726446714492</v>
      </c>
      <c r="X31" s="85">
        <f t="shared" si="10"/>
        <v>-2.4336572237763695E-2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6105.2420000000002</v>
      </c>
      <c r="E32" s="46">
        <v>-611941.40099999995</v>
      </c>
      <c r="F32" s="46">
        <v>797739.41899999999</v>
      </c>
      <c r="G32" s="46" t="s">
        <v>159</v>
      </c>
      <c r="H32" s="86">
        <v>270</v>
      </c>
      <c r="I32" s="46">
        <v>11587094.414000001</v>
      </c>
      <c r="J32" s="46">
        <v>6480923.4419999998</v>
      </c>
      <c r="K32" s="46">
        <v>3173628.503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3.3142477145897124E-2</v>
      </c>
      <c r="T32" s="85">
        <f t="shared" si="6"/>
        <v>-0.71462192354705034</v>
      </c>
      <c r="U32" s="85">
        <f t="shared" si="7"/>
        <v>0.6581237067058272</v>
      </c>
      <c r="V32" s="85">
        <f t="shared" si="8"/>
        <v>0.43789602722189264</v>
      </c>
      <c r="W32" s="85">
        <f t="shared" si="9"/>
        <v>2.2085090767268327</v>
      </c>
      <c r="X32" s="85">
        <f t="shared" si="10"/>
        <v>1.8114993312356262E-2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48526.991999999998</v>
      </c>
      <c r="E33" s="46">
        <v>-545499.66700000002</v>
      </c>
      <c r="F33" s="46">
        <v>656760.49</v>
      </c>
      <c r="G33" s="46" t="s">
        <v>173</v>
      </c>
      <c r="H33" s="86">
        <v>285</v>
      </c>
      <c r="I33" s="46">
        <v>10564862.365</v>
      </c>
      <c r="J33" s="46">
        <v>7569016.8090000004</v>
      </c>
      <c r="K33" s="46">
        <v>2495734.1719999998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0.26343013484463557</v>
      </c>
      <c r="T33" s="85">
        <f t="shared" si="6"/>
        <v>-0.63703161885890347</v>
      </c>
      <c r="U33" s="85">
        <f t="shared" si="7"/>
        <v>0.54181808971976519</v>
      </c>
      <c r="V33" s="85">
        <f t="shared" si="8"/>
        <v>0.39926413753821588</v>
      </c>
      <c r="W33" s="85">
        <f t="shared" si="9"/>
        <v>2.5792994585067754</v>
      </c>
      <c r="X33" s="85">
        <f t="shared" si="10"/>
        <v>1.4245589171026861E-2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121335.60400000001</v>
      </c>
      <c r="E34" s="46">
        <v>-449275.47499999998</v>
      </c>
      <c r="F34" s="46">
        <v>611002.67000000004</v>
      </c>
      <c r="G34" s="46" t="s">
        <v>174</v>
      </c>
      <c r="H34" s="86">
        <v>300</v>
      </c>
      <c r="I34" s="46">
        <v>9362342.4149999991</v>
      </c>
      <c r="J34" s="46">
        <v>7493780.0039999997</v>
      </c>
      <c r="K34" s="46">
        <v>1667094.5689999999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0.65867372375306721</v>
      </c>
      <c r="T34" s="85">
        <f t="shared" si="6"/>
        <v>-0.52466151762628443</v>
      </c>
      <c r="U34" s="85">
        <f t="shared" si="7"/>
        <v>0.50406853718176026</v>
      </c>
      <c r="V34" s="85">
        <f t="shared" si="8"/>
        <v>0.35381886109998856</v>
      </c>
      <c r="W34" s="85">
        <f t="shared" si="9"/>
        <v>2.5536609567973416</v>
      </c>
      <c r="X34" s="85">
        <f t="shared" si="10"/>
        <v>9.5157347307516429E-3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182129.448</v>
      </c>
      <c r="E35" s="46">
        <v>-361588.01199999999</v>
      </c>
      <c r="F35" s="46">
        <v>483402.56</v>
      </c>
      <c r="G35" s="46" t="s">
        <v>175</v>
      </c>
      <c r="H35" s="86">
        <v>315</v>
      </c>
      <c r="I35" s="46">
        <v>7494609.6670000004</v>
      </c>
      <c r="J35" s="46">
        <v>7334310.6200000001</v>
      </c>
      <c r="K35" s="46">
        <v>2376196.5350000001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0.98869480815582067</v>
      </c>
      <c r="T35" s="85">
        <f t="shared" si="6"/>
        <v>-0.42226056325774552</v>
      </c>
      <c r="U35" s="85">
        <f t="shared" si="7"/>
        <v>0.39880025612509695</v>
      </c>
      <c r="V35" s="85">
        <f t="shared" si="8"/>
        <v>0.2832340603691651</v>
      </c>
      <c r="W35" s="85">
        <f t="shared" si="9"/>
        <v>2.4993184568162969</v>
      </c>
      <c r="X35" s="85">
        <f t="shared" si="10"/>
        <v>1.3563271283856732E-2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154767.674</v>
      </c>
      <c r="E36" s="46">
        <v>-208882.492</v>
      </c>
      <c r="F36" s="46">
        <v>314533.24900000001</v>
      </c>
      <c r="G36" s="46" t="s">
        <v>176</v>
      </c>
      <c r="H36" s="86">
        <v>330</v>
      </c>
      <c r="I36" s="46">
        <v>4285609.8559999997</v>
      </c>
      <c r="J36" s="46">
        <v>5340355.3229999999</v>
      </c>
      <c r="K36" s="46">
        <v>1158840.362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0.84016065185764244</v>
      </c>
      <c r="T36" s="85">
        <f t="shared" si="6"/>
        <v>-0.24393186665326042</v>
      </c>
      <c r="U36" s="85">
        <f t="shared" si="7"/>
        <v>0.25948546954542173</v>
      </c>
      <c r="V36" s="85">
        <f t="shared" si="8"/>
        <v>0.16196049355548015</v>
      </c>
      <c r="W36" s="85">
        <f t="shared" si="9"/>
        <v>1.8198368348804754</v>
      </c>
      <c r="X36" s="85">
        <f t="shared" si="10"/>
        <v>6.6146322381068273E-3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94653.448000000004</v>
      </c>
      <c r="E37" s="46">
        <v>-65846.771999999997</v>
      </c>
      <c r="F37" s="46">
        <v>160182.82</v>
      </c>
      <c r="G37" s="46" t="s">
        <v>177</v>
      </c>
      <c r="H37" s="86">
        <v>345</v>
      </c>
      <c r="I37" s="46">
        <v>1255324.666</v>
      </c>
      <c r="J37" s="46">
        <v>3318893.898</v>
      </c>
      <c r="K37" s="46">
        <v>-48630.16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0.51382889279742916</v>
      </c>
      <c r="T37" s="85">
        <f t="shared" si="6"/>
        <v>-7.689551121906206E-2</v>
      </c>
      <c r="U37" s="85">
        <f t="shared" si="7"/>
        <v>0.13214855470115902</v>
      </c>
      <c r="V37" s="85">
        <f t="shared" si="8"/>
        <v>4.744085656632583E-2</v>
      </c>
      <c r="W37" s="85">
        <f t="shared" si="9"/>
        <v>1.1309819293536254</v>
      </c>
      <c r="X37" s="85">
        <f t="shared" si="10"/>
        <v>-2.7757975526942607E-4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0.22947171736911826</v>
      </c>
      <c r="T38" s="85">
        <f t="shared" si="12"/>
        <v>-8.5419744535567468E-3</v>
      </c>
      <c r="U38" s="85">
        <f t="shared" si="12"/>
        <v>6.4734996199496589E-2</v>
      </c>
      <c r="V38" s="85">
        <f t="shared" si="12"/>
        <v>4.6323297491588028E-3</v>
      </c>
      <c r="W38" s="85">
        <f t="shared" si="12"/>
        <v>0.66161034620858905</v>
      </c>
      <c r="X38" s="85">
        <f t="shared" si="12"/>
        <v>-3.0732806185026942E-4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AMJ67"/>
  <sheetViews>
    <sheetView topLeftCell="A3" zoomScale="85" zoomScaleNormal="85" workbookViewId="0">
      <selection activeCell="S5" activeCellId="1" sqref="I161:O185 S5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0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Reference_FSTs_full!Afx</f>
        <v>1360</v>
      </c>
      <c r="T5" s="63">
        <f>Reference_FSTs_full!Afy</f>
        <v>6322</v>
      </c>
      <c r="U5" s="63">
        <f>Reference_FSTs_full!Afz</f>
        <v>8949</v>
      </c>
      <c r="V5" s="63">
        <f>Reference_FSTs_full!Amx</f>
        <v>195355</v>
      </c>
      <c r="W5" s="63">
        <f>Reference_FSTs_full!Amy</f>
        <v>21665</v>
      </c>
      <c r="X5" s="63">
        <f>Reference_FSTs_full!Amz</f>
        <v>1293418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Reference_FSTs_full!rho</f>
        <v>1.204</v>
      </c>
      <c r="E7" s="66">
        <f>Reference_FSTs_full!U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184211.99999999997</v>
      </c>
      <c r="T7" s="48">
        <f t="shared" si="0"/>
        <v>856314.89999999991</v>
      </c>
      <c r="U7" s="48">
        <f t="shared" si="0"/>
        <v>1212142.0499999998</v>
      </c>
      <c r="V7" s="48">
        <f t="shared" si="0"/>
        <v>26460834.749999996</v>
      </c>
      <c r="W7" s="48">
        <f t="shared" si="0"/>
        <v>2934524.2499999995</v>
      </c>
      <c r="X7" s="48">
        <f t="shared" si="0"/>
        <v>175193468.09999999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184211.99999999997</v>
      </c>
      <c r="T9" s="48">
        <f t="shared" si="1"/>
        <v>856314.89999999991</v>
      </c>
      <c r="U9" s="48">
        <f t="shared" si="1"/>
        <v>1212142.0499999998</v>
      </c>
      <c r="V9" s="48">
        <f t="shared" si="1"/>
        <v>26460834.749999996</v>
      </c>
      <c r="W9" s="48">
        <f t="shared" si="1"/>
        <v>2934524.2499999995</v>
      </c>
      <c r="X9" s="48">
        <f t="shared" si="1"/>
        <v>175193468.09999999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233411.36499999999</v>
      </c>
      <c r="E14" s="46">
        <v>11136.115</v>
      </c>
      <c r="F14" s="46">
        <v>186866.62700000001</v>
      </c>
      <c r="G14" s="46" t="s">
        <v>154</v>
      </c>
      <c r="H14" s="82">
        <v>0</v>
      </c>
      <c r="I14" s="46">
        <v>-94200.547999999995</v>
      </c>
      <c r="J14" s="46">
        <v>5719240.2699999996</v>
      </c>
      <c r="K14" s="46">
        <v>-2574449.7560000001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1.2670801305018133</v>
      </c>
      <c r="T14" s="85">
        <f t="shared" ref="T14:T37" si="6">E14*(1-2*$N14*T$11)/T$9</f>
        <v>1.3004696052818888E-2</v>
      </c>
      <c r="U14" s="85">
        <f t="shared" ref="U14:U37" si="7">F14*(1-2*$N14*U$11)/U$9</f>
        <v>0.15416231703206734</v>
      </c>
      <c r="V14" s="85">
        <f t="shared" ref="V14:V37" si="8">(I14+F14*dy-E14*dz)*(1-2*$N14*V$11)/V$9</f>
        <v>-3.5599991039587295E-3</v>
      </c>
      <c r="W14" s="85">
        <f t="shared" ref="W14:W37" si="9">(J14+D14*dz-F14*dx)*(1-2*$N14*W$11)/W$9</f>
        <v>1.9489497386160637</v>
      </c>
      <c r="X14" s="85">
        <f t="shared" ref="X14:X37" si="10">(K14+E14*dx-D14*dy)*(1-2*$N14*X$11)/X$9</f>
        <v>-1.4694895785329797E-2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271178.53499999997</v>
      </c>
      <c r="E15" s="46">
        <v>65753.957999999999</v>
      </c>
      <c r="F15" s="46">
        <v>239783.65100000001</v>
      </c>
      <c r="G15" s="46" t="s">
        <v>160</v>
      </c>
      <c r="H15" s="82">
        <v>15</v>
      </c>
      <c r="I15" s="46">
        <v>-967877.93299999996</v>
      </c>
      <c r="J15" s="46">
        <v>6976877.1619999995</v>
      </c>
      <c r="K15" s="46">
        <v>-2473020.9079999998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1.4721002703406945</v>
      </c>
      <c r="T15" s="85">
        <f t="shared" si="6"/>
        <v>7.6787123521966053E-2</v>
      </c>
      <c r="U15" s="85">
        <f t="shared" si="7"/>
        <v>0.19781811133439356</v>
      </c>
      <c r="V15" s="85">
        <f t="shared" si="8"/>
        <v>-3.6577755091418654E-2</v>
      </c>
      <c r="W15" s="85">
        <f t="shared" si="9"/>
        <v>2.3775155928597287</v>
      </c>
      <c r="X15" s="85">
        <f t="shared" si="10"/>
        <v>-1.4115942419659194E-2</v>
      </c>
      <c r="Y15" s="1">
        <f t="shared" si="11"/>
        <v>0</v>
      </c>
    </row>
    <row r="16" spans="1:26" x14ac:dyDescent="0.25">
      <c r="C16" s="82">
        <v>30</v>
      </c>
      <c r="D16" s="46">
        <v>334113.59999999998</v>
      </c>
      <c r="E16" s="46">
        <v>125691.26300000001</v>
      </c>
      <c r="F16" s="46">
        <v>273247.57900000003</v>
      </c>
      <c r="G16" s="46" t="s">
        <v>155</v>
      </c>
      <c r="H16" s="82">
        <v>30</v>
      </c>
      <c r="I16" s="46">
        <v>-2055995.9709999999</v>
      </c>
      <c r="J16" s="46">
        <v>9341681.4079999998</v>
      </c>
      <c r="K16" s="46">
        <v>-4553436.3949999996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1.8137450328968798</v>
      </c>
      <c r="T16" s="85">
        <f t="shared" si="6"/>
        <v>0.14678159051068715</v>
      </c>
      <c r="U16" s="85">
        <f t="shared" si="7"/>
        <v>0.225425377330982</v>
      </c>
      <c r="V16" s="85">
        <f t="shared" si="8"/>
        <v>-7.7699588483314957E-2</v>
      </c>
      <c r="W16" s="85">
        <f t="shared" si="9"/>
        <v>3.1833716855466441</v>
      </c>
      <c r="X16" s="85">
        <f t="shared" si="10"/>
        <v>-2.5990902768138077E-2</v>
      </c>
      <c r="Y16" s="1">
        <f t="shared" si="11"/>
        <v>0</v>
      </c>
    </row>
    <row r="17" spans="1:26" x14ac:dyDescent="0.25">
      <c r="C17" s="82">
        <v>45</v>
      </c>
      <c r="D17" s="46">
        <v>252557.821</v>
      </c>
      <c r="E17" s="46">
        <v>93446.326000000001</v>
      </c>
      <c r="F17" s="46">
        <v>390752.45199999999</v>
      </c>
      <c r="G17" s="46" t="s">
        <v>156</v>
      </c>
      <c r="H17" s="82">
        <v>45</v>
      </c>
      <c r="I17" s="46">
        <v>-1878115.5390000001</v>
      </c>
      <c r="J17" s="46">
        <v>5971442.3480000002</v>
      </c>
      <c r="K17" s="46">
        <v>-7994484.4289999995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1.3710172030052332</v>
      </c>
      <c r="T17" s="85">
        <f t="shared" si="6"/>
        <v>0.1091261240461891</v>
      </c>
      <c r="U17" s="85">
        <f t="shared" si="7"/>
        <v>0.32236523103872194</v>
      </c>
      <c r="V17" s="85">
        <f t="shared" si="8"/>
        <v>-7.097718408146593E-2</v>
      </c>
      <c r="W17" s="85">
        <f t="shared" si="9"/>
        <v>2.0348928273467162</v>
      </c>
      <c r="X17" s="85">
        <f t="shared" si="10"/>
        <v>-4.5632320175525994E-2</v>
      </c>
      <c r="Y17" s="1">
        <f t="shared" si="11"/>
        <v>0</v>
      </c>
    </row>
    <row r="18" spans="1:26" x14ac:dyDescent="0.25">
      <c r="C18" s="82">
        <v>60</v>
      </c>
      <c r="D18" s="46">
        <v>159900.06299999999</v>
      </c>
      <c r="E18" s="46">
        <v>87461.614000000001</v>
      </c>
      <c r="F18" s="46">
        <v>507053.58100000001</v>
      </c>
      <c r="G18" s="46" t="s">
        <v>157</v>
      </c>
      <c r="H18" s="86">
        <v>60</v>
      </c>
      <c r="I18" s="46">
        <v>-2090086.3640000001</v>
      </c>
      <c r="J18" s="46">
        <v>4012292.585</v>
      </c>
      <c r="K18" s="46">
        <v>-5604508.5290000001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0.86802196925281749</v>
      </c>
      <c r="T18" s="85">
        <f t="shared" si="6"/>
        <v>0.10213720910380049</v>
      </c>
      <c r="U18" s="85">
        <f t="shared" si="7"/>
        <v>0.41831201301860627</v>
      </c>
      <c r="V18" s="85">
        <f t="shared" si="8"/>
        <v>-7.8987922480412309E-2</v>
      </c>
      <c r="W18" s="85">
        <f t="shared" si="9"/>
        <v>1.3672719129855548</v>
      </c>
      <c r="X18" s="85">
        <f t="shared" si="10"/>
        <v>-3.1990396615705789E-2</v>
      </c>
      <c r="Y18" s="1">
        <f t="shared" si="11"/>
        <v>0</v>
      </c>
    </row>
    <row r="19" spans="1:26" x14ac:dyDescent="0.25">
      <c r="C19" s="82">
        <v>75</v>
      </c>
      <c r="D19" s="46">
        <v>54796.197999999997</v>
      </c>
      <c r="E19" s="46">
        <v>74213.05</v>
      </c>
      <c r="F19" s="46">
        <v>526897.82499999995</v>
      </c>
      <c r="G19" s="46" t="s">
        <v>161</v>
      </c>
      <c r="H19" s="86">
        <v>75</v>
      </c>
      <c r="I19" s="46">
        <v>-1720980.365</v>
      </c>
      <c r="J19" s="46">
        <v>3243447.6979999999</v>
      </c>
      <c r="K19" s="46">
        <v>-3717946.8930000002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0.29746269515558166</v>
      </c>
      <c r="T19" s="85">
        <f t="shared" si="6"/>
        <v>8.6665606309080934E-2</v>
      </c>
      <c r="U19" s="85">
        <f t="shared" si="7"/>
        <v>0.43468323287687283</v>
      </c>
      <c r="V19" s="85">
        <f t="shared" si="8"/>
        <v>-6.5038778302336064E-2</v>
      </c>
      <c r="W19" s="85">
        <f t="shared" si="9"/>
        <v>1.105272071955105</v>
      </c>
      <c r="X19" s="85">
        <f t="shared" si="10"/>
        <v>-2.1221949273119049E-2</v>
      </c>
      <c r="Y19" s="1">
        <f t="shared" si="11"/>
        <v>0</v>
      </c>
    </row>
    <row r="20" spans="1:26" x14ac:dyDescent="0.25">
      <c r="C20" s="82">
        <v>90</v>
      </c>
      <c r="D20" s="46">
        <v>-43825.050999999999</v>
      </c>
      <c r="E20" s="46">
        <v>-82743.501000000004</v>
      </c>
      <c r="F20" s="46">
        <v>601862.72199999995</v>
      </c>
      <c r="G20" s="46" t="s">
        <v>158</v>
      </c>
      <c r="H20" s="86">
        <v>90</v>
      </c>
      <c r="I20" s="46">
        <v>778700.36</v>
      </c>
      <c r="J20" s="46">
        <v>1069606.027</v>
      </c>
      <c r="K20" s="46">
        <v>-157652.19899999999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-0.23790551647015398</v>
      </c>
      <c r="T20" s="85">
        <f t="shared" si="6"/>
        <v>-9.6627421758047199E-2</v>
      </c>
      <c r="U20" s="85">
        <f t="shared" si="7"/>
        <v>0.49652820970941486</v>
      </c>
      <c r="V20" s="85">
        <f t="shared" si="8"/>
        <v>2.9428412495565739E-2</v>
      </c>
      <c r="W20" s="85">
        <f t="shared" si="9"/>
        <v>0.36449043724889996</v>
      </c>
      <c r="X20" s="85">
        <f t="shared" si="10"/>
        <v>-8.9987486810873859E-4</v>
      </c>
      <c r="Y20" s="1">
        <f t="shared" si="11"/>
        <v>0</v>
      </c>
    </row>
    <row r="21" spans="1:26" x14ac:dyDescent="0.25">
      <c r="C21" s="82">
        <v>105</v>
      </c>
      <c r="D21" s="46">
        <v>-29913.285</v>
      </c>
      <c r="E21" s="46">
        <v>-56077.326999999997</v>
      </c>
      <c r="F21" s="46">
        <v>481930.962</v>
      </c>
      <c r="G21" s="46" t="s">
        <v>162</v>
      </c>
      <c r="H21" s="86">
        <v>105</v>
      </c>
      <c r="I21" s="46">
        <v>349359.50099999999</v>
      </c>
      <c r="J21" s="46">
        <v>-687703.61499999999</v>
      </c>
      <c r="K21" s="46">
        <v>368272.44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-0.16238510520487268</v>
      </c>
      <c r="T21" s="85">
        <f t="shared" si="6"/>
        <v>-6.5486805146097546E-2</v>
      </c>
      <c r="U21" s="85">
        <f t="shared" si="7"/>
        <v>0.39758620864609068</v>
      </c>
      <c r="V21" s="85">
        <f t="shared" si="8"/>
        <v>1.3202890396343224E-2</v>
      </c>
      <c r="W21" s="85">
        <f t="shared" si="9"/>
        <v>-0.23434926973256401</v>
      </c>
      <c r="X21" s="85">
        <f t="shared" si="10"/>
        <v>2.1020900150785929E-3</v>
      </c>
      <c r="Y21" s="1">
        <f t="shared" si="11"/>
        <v>0</v>
      </c>
    </row>
    <row r="22" spans="1:26" x14ac:dyDescent="0.25">
      <c r="C22" s="82">
        <v>120</v>
      </c>
      <c r="D22" s="46">
        <v>-84642.260999999999</v>
      </c>
      <c r="E22" s="46">
        <v>-1690.586</v>
      </c>
      <c r="F22" s="46">
        <v>392789.03700000001</v>
      </c>
      <c r="G22" s="46" t="s">
        <v>163</v>
      </c>
      <c r="H22" s="86">
        <v>120</v>
      </c>
      <c r="I22" s="46">
        <v>-842880.79200000002</v>
      </c>
      <c r="J22" s="46">
        <v>680794.87600000005</v>
      </c>
      <c r="K22" s="46">
        <v>1868575.764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-0.459482883851215</v>
      </c>
      <c r="T22" s="85">
        <f t="shared" si="6"/>
        <v>-1.9742573672372164E-3</v>
      </c>
      <c r="U22" s="85">
        <f t="shared" si="7"/>
        <v>0.32404538477977896</v>
      </c>
      <c r="V22" s="85">
        <f t="shared" si="8"/>
        <v>-3.1853900300707637E-2</v>
      </c>
      <c r="W22" s="85">
        <f t="shared" si="9"/>
        <v>0.23199497363158617</v>
      </c>
      <c r="X22" s="85">
        <f t="shared" si="10"/>
        <v>1.0665784428295133E-2</v>
      </c>
      <c r="Y22" s="1">
        <f t="shared" si="11"/>
        <v>0</v>
      </c>
    </row>
    <row r="23" spans="1:26" x14ac:dyDescent="0.25">
      <c r="C23" s="82">
        <v>135</v>
      </c>
      <c r="D23" s="46">
        <v>-231145.91</v>
      </c>
      <c r="E23" s="46">
        <v>128288.811</v>
      </c>
      <c r="F23" s="46">
        <v>247277.712</v>
      </c>
      <c r="G23" s="46" t="s">
        <v>164</v>
      </c>
      <c r="H23" s="86">
        <v>135</v>
      </c>
      <c r="I23" s="46">
        <v>-2681455.67</v>
      </c>
      <c r="J23" s="46">
        <v>-3468190.98</v>
      </c>
      <c r="K23" s="46">
        <v>5951706.7649999997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-1.2547820446007862</v>
      </c>
      <c r="T23" s="85">
        <f t="shared" si="6"/>
        <v>0.14981499329277118</v>
      </c>
      <c r="U23" s="85">
        <f t="shared" si="7"/>
        <v>0.20400060537459289</v>
      </c>
      <c r="V23" s="85">
        <f t="shared" si="8"/>
        <v>-0.10133677547719844</v>
      </c>
      <c r="W23" s="85">
        <f t="shared" si="9"/>
        <v>-1.1818580064553907</v>
      </c>
      <c r="X23" s="85">
        <f t="shared" si="10"/>
        <v>3.3972195593518252E-2</v>
      </c>
      <c r="Y23" s="1">
        <f t="shared" si="11"/>
        <v>0</v>
      </c>
    </row>
    <row r="24" spans="1:26" x14ac:dyDescent="0.25">
      <c r="C24" s="82">
        <v>150</v>
      </c>
      <c r="D24" s="46">
        <v>-240334.09299999999</v>
      </c>
      <c r="E24" s="46">
        <v>117806.071</v>
      </c>
      <c r="F24" s="46">
        <v>181203.59299999999</v>
      </c>
      <c r="G24" s="46" t="s">
        <v>165</v>
      </c>
      <c r="H24" s="86">
        <v>150</v>
      </c>
      <c r="I24" s="46">
        <v>-2046573.5870000001</v>
      </c>
      <c r="J24" s="46">
        <v>-5543975.9639999997</v>
      </c>
      <c r="K24" s="46">
        <v>1808288.9809999999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-1.3046603532886025</v>
      </c>
      <c r="T24" s="85">
        <f t="shared" si="6"/>
        <v>0.13757330510072874</v>
      </c>
      <c r="U24" s="85">
        <f t="shared" si="7"/>
        <v>0.14949039429825903</v>
      </c>
      <c r="V24" s="85">
        <f t="shared" si="8"/>
        <v>-7.734350054848517E-2</v>
      </c>
      <c r="W24" s="85">
        <f t="shared" si="9"/>
        <v>-1.8892247913780233</v>
      </c>
      <c r="X24" s="85">
        <f t="shared" si="10"/>
        <v>1.0321668956104191E-2</v>
      </c>
      <c r="Y24" s="1">
        <f t="shared" si="11"/>
        <v>0</v>
      </c>
    </row>
    <row r="25" spans="1:26" x14ac:dyDescent="0.25">
      <c r="C25" s="82">
        <v>165</v>
      </c>
      <c r="D25" s="46">
        <v>-172167.97899999999</v>
      </c>
      <c r="E25" s="46">
        <v>64102.724999999999</v>
      </c>
      <c r="F25" s="46">
        <v>158943.74600000001</v>
      </c>
      <c r="G25" s="46" t="s">
        <v>166</v>
      </c>
      <c r="H25" s="86">
        <v>165</v>
      </c>
      <c r="I25" s="46">
        <v>-1028727.323</v>
      </c>
      <c r="J25" s="46">
        <v>-4902072.7779999999</v>
      </c>
      <c r="K25" s="46">
        <v>-181915.19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-0.9346186947647277</v>
      </c>
      <c r="T25" s="85">
        <f t="shared" si="6"/>
        <v>7.4858822379477469E-2</v>
      </c>
      <c r="U25" s="85">
        <f t="shared" si="7"/>
        <v>0.13112633622437242</v>
      </c>
      <c r="V25" s="85">
        <f t="shared" si="8"/>
        <v>-3.8877357147623623E-2</v>
      </c>
      <c r="W25" s="85">
        <f t="shared" si="9"/>
        <v>-1.6704829677246664</v>
      </c>
      <c r="X25" s="85">
        <f t="shared" si="10"/>
        <v>-1.0383674230146711E-3</v>
      </c>
      <c r="Y25" s="1">
        <f t="shared" si="11"/>
        <v>0</v>
      </c>
    </row>
    <row r="26" spans="1:26" x14ac:dyDescent="0.25">
      <c r="C26" s="82">
        <v>180</v>
      </c>
      <c r="D26" s="46">
        <v>-59893.923999999999</v>
      </c>
      <c r="E26" s="46">
        <v>-490.67</v>
      </c>
      <c r="F26" s="46">
        <v>111796.774</v>
      </c>
      <c r="G26" s="46" t="s">
        <v>167</v>
      </c>
      <c r="H26" s="86">
        <v>180</v>
      </c>
      <c r="I26" s="46">
        <v>-213075.13800000001</v>
      </c>
      <c r="J26" s="46">
        <v>-1238535.635</v>
      </c>
      <c r="K26" s="46">
        <v>-118045.999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-0.32513584348468072</v>
      </c>
      <c r="T26" s="85">
        <f t="shared" si="6"/>
        <v>-5.7300182444565667E-4</v>
      </c>
      <c r="U26" s="85">
        <f t="shared" si="7"/>
        <v>9.223075298806771E-2</v>
      </c>
      <c r="V26" s="85">
        <f t="shared" si="8"/>
        <v>-8.0524722675273889E-3</v>
      </c>
      <c r="W26" s="85">
        <f t="shared" si="9"/>
        <v>-0.42205670476227969</v>
      </c>
      <c r="X26" s="85">
        <f t="shared" si="10"/>
        <v>-6.7380365421283652E-4</v>
      </c>
      <c r="Y26" s="1">
        <f t="shared" si="11"/>
        <v>0</v>
      </c>
    </row>
    <row r="27" spans="1:26" x14ac:dyDescent="0.25">
      <c r="C27" s="82">
        <v>195</v>
      </c>
      <c r="D27" s="46">
        <v>-99048.896999999997</v>
      </c>
      <c r="E27" s="46">
        <v>-56927.082999999999</v>
      </c>
      <c r="F27" s="46">
        <v>150640.179</v>
      </c>
      <c r="G27" s="46" t="s">
        <v>168</v>
      </c>
      <c r="H27" s="86">
        <v>195</v>
      </c>
      <c r="I27" s="46">
        <v>1126582.7309999999</v>
      </c>
      <c r="J27" s="46">
        <v>-2421455.7560000001</v>
      </c>
      <c r="K27" s="46">
        <v>106812.155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-0.53768971076802818</v>
      </c>
      <c r="T27" s="85">
        <f t="shared" si="6"/>
        <v>-6.6479145697453126E-2</v>
      </c>
      <c r="U27" s="85">
        <f t="shared" si="7"/>
        <v>0.12427601121502223</v>
      </c>
      <c r="V27" s="85">
        <f t="shared" si="8"/>
        <v>4.257547963410338E-2</v>
      </c>
      <c r="W27" s="85">
        <f t="shared" si="9"/>
        <v>-0.82516126966747694</v>
      </c>
      <c r="X27" s="85">
        <f t="shared" si="10"/>
        <v>6.0968114940810399E-4</v>
      </c>
      <c r="Y27" s="1">
        <f t="shared" si="11"/>
        <v>0</v>
      </c>
    </row>
    <row r="28" spans="1:26" x14ac:dyDescent="0.25">
      <c r="C28" s="82">
        <v>210</v>
      </c>
      <c r="D28" s="46">
        <v>-151435.274</v>
      </c>
      <c r="E28" s="46">
        <v>-194984.014</v>
      </c>
      <c r="F28" s="46">
        <v>292215.77500000002</v>
      </c>
      <c r="G28" s="46" t="s">
        <v>169</v>
      </c>
      <c r="H28" s="86">
        <v>210</v>
      </c>
      <c r="I28" s="46">
        <v>4005025.7439999999</v>
      </c>
      <c r="J28" s="46">
        <v>-5030239.0420000004</v>
      </c>
      <c r="K28" s="46">
        <v>-965863.66700000002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-0.82207062514928464</v>
      </c>
      <c r="T28" s="85">
        <f t="shared" si="6"/>
        <v>-0.22770129773521403</v>
      </c>
      <c r="U28" s="85">
        <f t="shared" si="7"/>
        <v>0.24107387001383218</v>
      </c>
      <c r="V28" s="85">
        <f t="shared" si="8"/>
        <v>0.1513567422131307</v>
      </c>
      <c r="W28" s="85">
        <f t="shared" si="9"/>
        <v>-1.7141582803413538</v>
      </c>
      <c r="X28" s="85">
        <f t="shared" si="10"/>
        <v>-5.513126017053829E-3</v>
      </c>
      <c r="Y28" s="1">
        <f t="shared" si="11"/>
        <v>0</v>
      </c>
    </row>
    <row r="29" spans="1:26" x14ac:dyDescent="0.25">
      <c r="C29" s="82">
        <v>225</v>
      </c>
      <c r="D29" s="46">
        <v>-154063.80600000001</v>
      </c>
      <c r="E29" s="46">
        <v>-337597.576</v>
      </c>
      <c r="F29" s="46">
        <v>448108.24900000001</v>
      </c>
      <c r="G29" s="46" t="s">
        <v>170</v>
      </c>
      <c r="H29" s="86">
        <v>225</v>
      </c>
      <c r="I29" s="46">
        <v>6906198.148</v>
      </c>
      <c r="J29" s="46">
        <v>-7844014.1320000002</v>
      </c>
      <c r="K29" s="46">
        <v>-1795903.669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-0.83633968471109399</v>
      </c>
      <c r="T29" s="85">
        <f t="shared" si="6"/>
        <v>-0.39424465929531299</v>
      </c>
      <c r="U29" s="85">
        <f t="shared" si="7"/>
        <v>0.36968295011298391</v>
      </c>
      <c r="V29" s="85">
        <f t="shared" si="8"/>
        <v>0.26099698717932551</v>
      </c>
      <c r="W29" s="85">
        <f t="shared" si="9"/>
        <v>-2.6730104997428463</v>
      </c>
      <c r="X29" s="85">
        <f t="shared" si="10"/>
        <v>-1.0250973900322029E-2</v>
      </c>
      <c r="Y29" s="1">
        <f t="shared" si="11"/>
        <v>0</v>
      </c>
    </row>
    <row r="30" spans="1:26" x14ac:dyDescent="0.25">
      <c r="C30" s="82">
        <v>240</v>
      </c>
      <c r="D30" s="46">
        <v>-72960.55</v>
      </c>
      <c r="E30" s="46">
        <v>-438654.33799999999</v>
      </c>
      <c r="F30" s="46">
        <v>574489.29799999995</v>
      </c>
      <c r="G30" s="46" t="s">
        <v>171</v>
      </c>
      <c r="H30" s="86">
        <v>240</v>
      </c>
      <c r="I30" s="46">
        <v>8850654.6300000008</v>
      </c>
      <c r="J30" s="46">
        <v>-8783356.602</v>
      </c>
      <c r="K30" s="46">
        <v>-1323146.6200000001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-0.39606838859574844</v>
      </c>
      <c r="T30" s="85">
        <f t="shared" si="6"/>
        <v>-0.51225821015142914</v>
      </c>
      <c r="U30" s="85">
        <f t="shared" si="7"/>
        <v>0.47394552313402544</v>
      </c>
      <c r="V30" s="85">
        <f t="shared" si="8"/>
        <v>0.33448130845532009</v>
      </c>
      <c r="W30" s="85">
        <f t="shared" si="9"/>
        <v>-2.9931109282876096</v>
      </c>
      <c r="X30" s="85">
        <f t="shared" si="10"/>
        <v>-7.5524883110639224E-3</v>
      </c>
      <c r="Y30" s="1">
        <f t="shared" si="11"/>
        <v>0</v>
      </c>
    </row>
    <row r="31" spans="1:26" x14ac:dyDescent="0.25">
      <c r="C31" s="87">
        <v>255</v>
      </c>
      <c r="D31" s="46">
        <v>-34489.000999999997</v>
      </c>
      <c r="E31" s="46">
        <v>-571128.64500000002</v>
      </c>
      <c r="F31" s="46">
        <v>699355.63600000006</v>
      </c>
      <c r="G31" s="46" t="s">
        <v>172</v>
      </c>
      <c r="H31" s="86">
        <v>255</v>
      </c>
      <c r="I31" s="46">
        <v>10811714.422</v>
      </c>
      <c r="J31" s="46">
        <v>-8007379.3389999997</v>
      </c>
      <c r="K31" s="46">
        <v>-2308276.4210000001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-0.18722450763251039</v>
      </c>
      <c r="T31" s="85">
        <f t="shared" si="6"/>
        <v>-0.66696100348131282</v>
      </c>
      <c r="U31" s="85">
        <f t="shared" si="7"/>
        <v>0.57695848106251257</v>
      </c>
      <c r="V31" s="85">
        <f t="shared" si="8"/>
        <v>0.40859309708662922</v>
      </c>
      <c r="W31" s="85">
        <f t="shared" si="9"/>
        <v>-2.7286805822102171</v>
      </c>
      <c r="X31" s="85">
        <f t="shared" si="10"/>
        <v>-1.3175584946365932E-2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-1874.942</v>
      </c>
      <c r="E32" s="46">
        <v>-568591.33299999998</v>
      </c>
      <c r="F32" s="46">
        <v>737484.69299999997</v>
      </c>
      <c r="G32" s="46" t="s">
        <v>159</v>
      </c>
      <c r="H32" s="86">
        <v>270</v>
      </c>
      <c r="I32" s="46">
        <v>11020249.376</v>
      </c>
      <c r="J32" s="46">
        <v>-5305255.5329999998</v>
      </c>
      <c r="K32" s="46">
        <v>-2488104.6039999998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-1.0178175146027405E-2</v>
      </c>
      <c r="T32" s="85">
        <f t="shared" si="6"/>
        <v>-0.66399794398065481</v>
      </c>
      <c r="U32" s="85">
        <f t="shared" si="7"/>
        <v>0.60841441232073423</v>
      </c>
      <c r="V32" s="85">
        <f t="shared" si="8"/>
        <v>0.41647398807023661</v>
      </c>
      <c r="W32" s="85">
        <f t="shared" si="9"/>
        <v>-1.8078758534709674</v>
      </c>
      <c r="X32" s="85">
        <f t="shared" si="10"/>
        <v>-1.4202039784838302E-2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41821.326000000001</v>
      </c>
      <c r="E33" s="46">
        <v>-589885.51800000004</v>
      </c>
      <c r="F33" s="46">
        <v>749236.19900000002</v>
      </c>
      <c r="G33" s="46" t="s">
        <v>173</v>
      </c>
      <c r="H33" s="86">
        <v>285</v>
      </c>
      <c r="I33" s="46">
        <v>11125727.943</v>
      </c>
      <c r="J33" s="46">
        <v>-3613239.1549999998</v>
      </c>
      <c r="K33" s="46">
        <v>4425476.4469999997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0.22702823920265786</v>
      </c>
      <c r="T33" s="85">
        <f t="shared" si="6"/>
        <v>-0.68886518032093114</v>
      </c>
      <c r="U33" s="85">
        <f t="shared" si="7"/>
        <v>0.61810923810456053</v>
      </c>
      <c r="V33" s="85">
        <f t="shared" si="8"/>
        <v>0.42046020271526019</v>
      </c>
      <c r="W33" s="85">
        <f t="shared" si="9"/>
        <v>-1.231286180374894</v>
      </c>
      <c r="X33" s="85">
        <f t="shared" si="10"/>
        <v>2.5260510537264715E-2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187676.63200000001</v>
      </c>
      <c r="E34" s="46">
        <v>-551117.39899999998</v>
      </c>
      <c r="F34" s="46">
        <v>655196.70799999998</v>
      </c>
      <c r="G34" s="46" t="s">
        <v>174</v>
      </c>
      <c r="H34" s="86">
        <v>300</v>
      </c>
      <c r="I34" s="46">
        <v>11098518.234999999</v>
      </c>
      <c r="J34" s="46">
        <v>-1082738.371</v>
      </c>
      <c r="K34" s="46">
        <v>6184540.4479999999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1.0188078518229</v>
      </c>
      <c r="T34" s="85">
        <f t="shared" si="6"/>
        <v>-0.64359197650303646</v>
      </c>
      <c r="U34" s="85">
        <f t="shared" si="7"/>
        <v>0.54052799174816191</v>
      </c>
      <c r="V34" s="85">
        <f t="shared" si="8"/>
        <v>0.41943190152003806</v>
      </c>
      <c r="W34" s="85">
        <f t="shared" si="9"/>
        <v>-0.36896555583072799</v>
      </c>
      <c r="X34" s="85">
        <f t="shared" si="10"/>
        <v>3.5301204520192954E-2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292876.61700000003</v>
      </c>
      <c r="E35" s="46">
        <v>-393116.29700000002</v>
      </c>
      <c r="F35" s="46">
        <v>425002.158</v>
      </c>
      <c r="G35" s="46" t="s">
        <v>175</v>
      </c>
      <c r="H35" s="86">
        <v>315</v>
      </c>
      <c r="I35" s="46">
        <v>8357349.6189999999</v>
      </c>
      <c r="J35" s="46">
        <v>235571.10399999999</v>
      </c>
      <c r="K35" s="46">
        <v>5270640.483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1.5898889160315293</v>
      </c>
      <c r="T35" s="85">
        <f t="shared" si="6"/>
        <v>-0.45907912731636463</v>
      </c>
      <c r="U35" s="85">
        <f t="shared" si="7"/>
        <v>0.35062075274098448</v>
      </c>
      <c r="V35" s="85">
        <f t="shared" si="8"/>
        <v>0.31583847214041505</v>
      </c>
      <c r="W35" s="85">
        <f t="shared" si="9"/>
        <v>8.0275739415000588E-2</v>
      </c>
      <c r="X35" s="85">
        <f t="shared" si="10"/>
        <v>3.0084686034022295E-2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344231.761</v>
      </c>
      <c r="E36" s="46">
        <v>-288084.51899999997</v>
      </c>
      <c r="F36" s="46">
        <v>330674.35499999998</v>
      </c>
      <c r="G36" s="46" t="s">
        <v>176</v>
      </c>
      <c r="H36" s="86">
        <v>330</v>
      </c>
      <c r="I36" s="46">
        <v>5406812.483</v>
      </c>
      <c r="J36" s="46">
        <v>2309561.9840000002</v>
      </c>
      <c r="K36" s="46">
        <v>3827984.3080000002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1.8686717531974033</v>
      </c>
      <c r="T36" s="85">
        <f t="shared" si="6"/>
        <v>-0.33642357385116151</v>
      </c>
      <c r="U36" s="85">
        <f t="shared" si="7"/>
        <v>0.27280165307358162</v>
      </c>
      <c r="V36" s="85">
        <f t="shared" si="8"/>
        <v>0.20433264989873384</v>
      </c>
      <c r="W36" s="85">
        <f t="shared" si="9"/>
        <v>0.78703114619005121</v>
      </c>
      <c r="X36" s="85">
        <f t="shared" si="10"/>
        <v>2.1850040127152436E-2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322123.429</v>
      </c>
      <c r="E37" s="46">
        <v>-111011.29300000001</v>
      </c>
      <c r="F37" s="46">
        <v>228939.04199999999</v>
      </c>
      <c r="G37" s="46" t="s">
        <v>177</v>
      </c>
      <c r="H37" s="86">
        <v>345</v>
      </c>
      <c r="I37" s="46">
        <v>2026253.763</v>
      </c>
      <c r="J37" s="46">
        <v>5129463.07</v>
      </c>
      <c r="K37" s="46">
        <v>281371.897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1.7486560538944262</v>
      </c>
      <c r="T37" s="85">
        <f t="shared" si="6"/>
        <v>-0.1296383993785464</v>
      </c>
      <c r="U37" s="85">
        <f t="shared" si="7"/>
        <v>0.18887146271346664</v>
      </c>
      <c r="V37" s="85">
        <f t="shared" si="8"/>
        <v>7.6575579801011387E-2</v>
      </c>
      <c r="W37" s="85">
        <f t="shared" si="9"/>
        <v>1.7479709257812408</v>
      </c>
      <c r="X37" s="85">
        <f t="shared" si="10"/>
        <v>1.6060638564412322E-3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1.2670801305018133</v>
      </c>
      <c r="T38" s="85">
        <f t="shared" si="12"/>
        <v>1.3004696052818888E-2</v>
      </c>
      <c r="U38" s="85">
        <f t="shared" si="12"/>
        <v>0.15416231703206734</v>
      </c>
      <c r="V38" s="85">
        <f t="shared" si="12"/>
        <v>-3.5599991039587295E-3</v>
      </c>
      <c r="W38" s="85">
        <f t="shared" si="12"/>
        <v>1.9489497386160637</v>
      </c>
      <c r="X38" s="85">
        <f t="shared" si="12"/>
        <v>-1.4694895785329797E-2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AMJ67"/>
  <sheetViews>
    <sheetView zoomScale="85" zoomScaleNormal="85" workbookViewId="0">
      <selection activeCell="S5" activeCellId="1" sqref="I161:O185 S5"/>
    </sheetView>
  </sheetViews>
  <sheetFormatPr defaultColWidth="8.85546875" defaultRowHeight="15" x14ac:dyDescent="0.25"/>
  <cols>
    <col min="1" max="1" width="8.85546875" style="53"/>
    <col min="2" max="2" width="7.42578125" style="53" customWidth="1"/>
    <col min="3" max="3" width="12.7109375" style="54" customWidth="1"/>
    <col min="4" max="5" width="9.42578125" style="55" customWidth="1"/>
    <col min="6" max="6" width="8.7109375" style="55" customWidth="1"/>
    <col min="7" max="7" width="12.85546875" style="55" customWidth="1"/>
    <col min="8" max="8" width="10.7109375" style="56" customWidth="1"/>
    <col min="9" max="11" width="9.42578125" style="55" customWidth="1"/>
    <col min="12" max="12" width="12.85546875" style="55" customWidth="1"/>
    <col min="13" max="13" width="8.85546875" style="57"/>
    <col min="14" max="14" width="9.42578125" style="53" customWidth="1"/>
    <col min="15" max="15" width="8.85546875" style="53"/>
    <col min="16" max="16" width="10" style="58" customWidth="1"/>
    <col min="17" max="17" width="9.140625" style="53" customWidth="1"/>
    <col min="18" max="18" width="10.5703125" style="53" customWidth="1"/>
    <col min="19" max="19" width="9" style="53" customWidth="1"/>
    <col min="20" max="20" width="9.42578125" style="53" customWidth="1"/>
    <col min="21" max="22" width="9" style="53" customWidth="1"/>
    <col min="23" max="23" width="9.42578125" style="53" customWidth="1"/>
    <col min="24" max="24" width="10.5703125" style="53" customWidth="1"/>
    <col min="25" max="25" width="8.85546875" style="1"/>
    <col min="26" max="1024" width="8.85546875" style="53"/>
  </cols>
  <sheetData>
    <row r="2" spans="1:26" x14ac:dyDescent="0.25">
      <c r="R2" s="1"/>
      <c r="S2" s="231"/>
      <c r="T2" s="231"/>
      <c r="U2" s="231"/>
      <c r="V2" s="231"/>
      <c r="W2" s="231"/>
      <c r="X2" s="231"/>
    </row>
    <row r="3" spans="1:26" x14ac:dyDescent="0.25">
      <c r="R3" s="1"/>
      <c r="S3" s="1"/>
      <c r="T3" s="1"/>
      <c r="U3" s="1"/>
      <c r="V3" s="1" t="s">
        <v>130</v>
      </c>
      <c r="W3" s="1" t="s">
        <v>131</v>
      </c>
      <c r="X3" s="1" t="s">
        <v>132</v>
      </c>
    </row>
    <row r="4" spans="1:26" x14ac:dyDescent="0.25">
      <c r="R4" s="1"/>
      <c r="S4" s="1"/>
      <c r="T4" s="1"/>
      <c r="U4" s="1"/>
      <c r="V4" s="1">
        <v>0</v>
      </c>
      <c r="W4" s="1">
        <v>0</v>
      </c>
      <c r="X4" s="1">
        <v>0</v>
      </c>
    </row>
    <row r="5" spans="1:26" x14ac:dyDescent="0.25">
      <c r="A5" s="57"/>
      <c r="B5" s="57"/>
      <c r="C5" s="59" t="s">
        <v>91</v>
      </c>
      <c r="D5" s="60" t="s">
        <v>98</v>
      </c>
      <c r="E5" s="60" t="s">
        <v>128</v>
      </c>
      <c r="F5" s="1"/>
      <c r="G5" s="1"/>
      <c r="H5" s="61"/>
      <c r="I5" s="1"/>
      <c r="J5" s="1"/>
      <c r="K5" s="53"/>
      <c r="L5" s="53"/>
      <c r="R5" s="62" t="s">
        <v>133</v>
      </c>
      <c r="S5" s="63">
        <f>Reference_LNGC_light!Afx</f>
        <v>1658</v>
      </c>
      <c r="T5" s="63">
        <f>Reference_LNGC_light!Afy</f>
        <v>8133</v>
      </c>
      <c r="U5" s="63">
        <f>Reference_LNGC_light!Afz</f>
        <v>13570</v>
      </c>
      <c r="V5" s="63">
        <f>Reference_LNGC_light!Amx</f>
        <v>224223</v>
      </c>
      <c r="W5" s="63">
        <f>Reference_LNGC_light!Amy</f>
        <v>29877</v>
      </c>
      <c r="X5" s="63">
        <f>Reference_LNGC_light!Amz</f>
        <v>2399235</v>
      </c>
    </row>
    <row r="6" spans="1:26" x14ac:dyDescent="0.25">
      <c r="A6" s="57"/>
      <c r="B6" s="57"/>
      <c r="C6" s="59" t="s">
        <v>93</v>
      </c>
      <c r="D6" s="60" t="s">
        <v>99</v>
      </c>
      <c r="E6" s="60" t="s">
        <v>129</v>
      </c>
      <c r="F6" s="1"/>
      <c r="G6" s="1"/>
      <c r="H6" s="61"/>
      <c r="I6" s="1"/>
      <c r="J6" s="1"/>
      <c r="K6" s="53"/>
      <c r="L6" s="53"/>
      <c r="R6" s="62" t="s">
        <v>134</v>
      </c>
      <c r="S6" s="64">
        <v>1</v>
      </c>
      <c r="T6" s="65">
        <f>S6</f>
        <v>1</v>
      </c>
      <c r="U6" s="65">
        <f>T6</f>
        <v>1</v>
      </c>
      <c r="V6" s="65">
        <f>U6</f>
        <v>1</v>
      </c>
      <c r="W6" s="65">
        <f>V6</f>
        <v>1</v>
      </c>
      <c r="X6" s="65">
        <f>W6</f>
        <v>1</v>
      </c>
    </row>
    <row r="7" spans="1:26" x14ac:dyDescent="0.25">
      <c r="A7" s="57"/>
      <c r="B7" s="57"/>
      <c r="C7" s="59" t="s">
        <v>95</v>
      </c>
      <c r="D7" s="43">
        <f>Reference_FSTs_full!rho</f>
        <v>1.204</v>
      </c>
      <c r="E7" s="66">
        <f>Reference_FSTs_full!U</f>
        <v>15</v>
      </c>
      <c r="F7" s="1"/>
      <c r="G7" s="1"/>
      <c r="H7" s="61"/>
      <c r="I7" s="1"/>
      <c r="J7" s="1"/>
      <c r="K7" s="53"/>
      <c r="L7" s="53"/>
      <c r="R7" s="62" t="s">
        <v>135</v>
      </c>
      <c r="S7" s="48">
        <f t="shared" ref="S7:X7" si="0">0.5*rho*U^2*S5</f>
        <v>224576.09999999998</v>
      </c>
      <c r="T7" s="48">
        <f t="shared" si="0"/>
        <v>1101614.8499999999</v>
      </c>
      <c r="U7" s="48">
        <f t="shared" si="0"/>
        <v>1838056.4999999998</v>
      </c>
      <c r="V7" s="48">
        <f t="shared" si="0"/>
        <v>30371005.349999998</v>
      </c>
      <c r="W7" s="48">
        <f t="shared" si="0"/>
        <v>4046839.6499999994</v>
      </c>
      <c r="X7" s="48">
        <f t="shared" si="0"/>
        <v>324976380.75</v>
      </c>
    </row>
    <row r="8" spans="1:26" x14ac:dyDescent="0.25">
      <c r="A8" s="57"/>
      <c r="B8" s="57"/>
      <c r="C8" s="67"/>
      <c r="D8" s="57"/>
      <c r="E8" s="57"/>
      <c r="F8" s="57"/>
      <c r="G8" s="57"/>
      <c r="H8" s="68"/>
      <c r="I8" s="57"/>
      <c r="J8" s="57"/>
      <c r="K8" s="57"/>
      <c r="L8" s="57"/>
      <c r="R8" s="62" t="s">
        <v>136</v>
      </c>
      <c r="S8" s="64">
        <v>1</v>
      </c>
      <c r="T8" s="65">
        <f>S8</f>
        <v>1</v>
      </c>
      <c r="U8" s="65">
        <f>T8</f>
        <v>1</v>
      </c>
      <c r="V8" s="65">
        <f>U8</f>
        <v>1</v>
      </c>
      <c r="W8" s="65">
        <f>V8</f>
        <v>1</v>
      </c>
      <c r="X8" s="65">
        <f>W8</f>
        <v>1</v>
      </c>
    </row>
    <row r="9" spans="1:26" x14ac:dyDescent="0.25">
      <c r="D9" s="232" t="s">
        <v>137</v>
      </c>
      <c r="E9" s="232"/>
      <c r="F9" s="232"/>
      <c r="G9" s="1"/>
      <c r="H9" s="61"/>
      <c r="I9" s="232" t="s">
        <v>137</v>
      </c>
      <c r="J9" s="232"/>
      <c r="K9" s="232"/>
      <c r="L9" s="1"/>
      <c r="R9" s="62" t="s">
        <v>138</v>
      </c>
      <c r="S9" s="48">
        <f t="shared" ref="S9:X9" si="1">(1-S6+S6*S7)*S8</f>
        <v>224576.09999999998</v>
      </c>
      <c r="T9" s="48">
        <f t="shared" si="1"/>
        <v>1101614.8499999999</v>
      </c>
      <c r="U9" s="48">
        <f t="shared" si="1"/>
        <v>1838056.4999999998</v>
      </c>
      <c r="V9" s="48">
        <f t="shared" si="1"/>
        <v>30371005.349999998</v>
      </c>
      <c r="W9" s="48">
        <f t="shared" si="1"/>
        <v>4046839.6499999994</v>
      </c>
      <c r="X9" s="48">
        <f t="shared" si="1"/>
        <v>324976380.75</v>
      </c>
    </row>
    <row r="10" spans="1:26" x14ac:dyDescent="0.25">
      <c r="D10" s="69" t="str">
        <f>CONCATENATE(D12,"'")</f>
        <v>X'</v>
      </c>
      <c r="E10" s="69" t="str">
        <f>CONCATENATE(E12,"'")</f>
        <v>Y'</v>
      </c>
      <c r="F10" s="69" t="str">
        <f>CONCATENATE(F12,"'")</f>
        <v>Z'</v>
      </c>
      <c r="G10" s="1"/>
      <c r="H10" s="61"/>
      <c r="I10" s="69" t="str">
        <f>CONCATENATE(I12,"'")</f>
        <v>K'</v>
      </c>
      <c r="J10" s="69" t="str">
        <f>CONCATENATE(J12,"'")</f>
        <v>M'</v>
      </c>
      <c r="K10" s="69" t="str">
        <f>CONCATENATE(K12,"'")</f>
        <v>N'</v>
      </c>
      <c r="L10" s="1"/>
      <c r="S10" s="230" t="str">
        <f>IF(S8=1000,"[kN]","[N]")</f>
        <v>[N]</v>
      </c>
      <c r="T10" s="230"/>
      <c r="U10" s="230"/>
      <c r="V10" s="230" t="str">
        <f>IF(S8=1000,"[kNm]","[Nm]")</f>
        <v>[Nm]</v>
      </c>
      <c r="W10" s="230"/>
      <c r="X10" s="230"/>
    </row>
    <row r="11" spans="1:26" x14ac:dyDescent="0.25">
      <c r="D11" s="229" t="s">
        <v>139</v>
      </c>
      <c r="E11" s="229"/>
      <c r="F11" s="229"/>
      <c r="G11" s="1"/>
      <c r="H11" s="61"/>
      <c r="I11" s="230" t="s">
        <v>140</v>
      </c>
      <c r="J11" s="230"/>
      <c r="K11" s="230"/>
      <c r="L11" s="1"/>
      <c r="O11" s="53" t="s">
        <v>141</v>
      </c>
      <c r="P11" s="70">
        <v>1</v>
      </c>
      <c r="Q11" s="1"/>
      <c r="R11" s="1"/>
      <c r="S11" s="71">
        <v>0</v>
      </c>
      <c r="T11" s="70">
        <v>1</v>
      </c>
      <c r="U11" s="70">
        <v>0</v>
      </c>
      <c r="V11" s="70">
        <v>1</v>
      </c>
      <c r="W11" s="70">
        <v>0</v>
      </c>
      <c r="X11" s="70">
        <v>1</v>
      </c>
    </row>
    <row r="12" spans="1:26" x14ac:dyDescent="0.25">
      <c r="C12" s="72" t="s">
        <v>142</v>
      </c>
      <c r="D12" s="73" t="s">
        <v>143</v>
      </c>
      <c r="E12" s="73" t="s">
        <v>144</v>
      </c>
      <c r="F12" s="73" t="s">
        <v>145</v>
      </c>
      <c r="G12" s="73"/>
      <c r="H12" s="74" t="str">
        <f>C12</f>
        <v>alpha</v>
      </c>
      <c r="I12" s="73" t="s">
        <v>146</v>
      </c>
      <c r="J12" s="73" t="s">
        <v>147</v>
      </c>
      <c r="K12" s="73" t="s">
        <v>148</v>
      </c>
      <c r="L12" s="73"/>
      <c r="N12" s="75" t="s">
        <v>149</v>
      </c>
      <c r="P12" s="76" t="s">
        <v>142</v>
      </c>
      <c r="Q12" s="77" t="s">
        <v>150</v>
      </c>
      <c r="R12" s="77" t="s">
        <v>151</v>
      </c>
      <c r="S12" s="73" t="str">
        <f>IF(S6=0,D12,D10)</f>
        <v>X'</v>
      </c>
      <c r="T12" s="73" t="str">
        <f>IF(T6=0,E12,E10)</f>
        <v>Y'</v>
      </c>
      <c r="U12" s="73" t="str">
        <f>IF(U6=0,F12,F10)</f>
        <v>Z'</v>
      </c>
      <c r="V12" s="73" t="str">
        <f>IF(V6=0,I12,I10)</f>
        <v>K'</v>
      </c>
      <c r="W12" s="73" t="str">
        <f>IF(W6=0,J12,J10)</f>
        <v>M'</v>
      </c>
      <c r="X12" s="73" t="str">
        <f>IF(X6=0,K12,K10)</f>
        <v>N'</v>
      </c>
    </row>
    <row r="13" spans="1:26" ht="45" x14ac:dyDescent="0.25">
      <c r="C13" s="78" t="s">
        <v>152</v>
      </c>
      <c r="D13" s="75" t="str">
        <f>D11</f>
        <v>[N]</v>
      </c>
      <c r="E13" s="75" t="str">
        <f>D13</f>
        <v>[N]</v>
      </c>
      <c r="F13" s="75" t="str">
        <f>D13</f>
        <v>[N]</v>
      </c>
      <c r="G13" s="75"/>
      <c r="H13" s="79" t="str">
        <f>C13</f>
        <v>Drift angle  [deg]</v>
      </c>
      <c r="I13" s="75" t="str">
        <f>I11</f>
        <v>[Nm]</v>
      </c>
      <c r="J13" s="75" t="str">
        <f>I13</f>
        <v>[Nm]</v>
      </c>
      <c r="K13" s="75" t="str">
        <f>I13</f>
        <v>[Nm]</v>
      </c>
      <c r="L13" s="75"/>
      <c r="N13" s="75" t="s">
        <v>153</v>
      </c>
      <c r="P13" s="80" t="str">
        <f>C13</f>
        <v>Drift angle  [deg]</v>
      </c>
      <c r="Q13" s="81" t="s">
        <v>129</v>
      </c>
      <c r="R13" s="81" t="s">
        <v>129</v>
      </c>
      <c r="S13" s="75" t="str">
        <f>IF(S6=0,S10,$D$9)</f>
        <v>[-]</v>
      </c>
      <c r="T13" s="75" t="str">
        <f>S13</f>
        <v>[-]</v>
      </c>
      <c r="U13" s="75" t="str">
        <f>T13</f>
        <v>[-]</v>
      </c>
      <c r="V13" s="75" t="str">
        <f>IF(V6=0,V10,$D$9)</f>
        <v>[-]</v>
      </c>
      <c r="W13" s="75" t="str">
        <f>V13</f>
        <v>[-]</v>
      </c>
      <c r="X13" s="75" t="str">
        <f>W13</f>
        <v>[-]</v>
      </c>
    </row>
    <row r="14" spans="1:26" x14ac:dyDescent="0.25">
      <c r="C14" s="82">
        <v>0</v>
      </c>
      <c r="D14" s="46">
        <v>140658.16200000001</v>
      </c>
      <c r="E14" s="46">
        <v>-60549.430999999997</v>
      </c>
      <c r="F14" s="46">
        <v>282064.978</v>
      </c>
      <c r="G14" s="46" t="s">
        <v>154</v>
      </c>
      <c r="H14" s="82">
        <v>0</v>
      </c>
      <c r="I14" s="46">
        <v>-981794.01500000001</v>
      </c>
      <c r="J14" s="46">
        <v>16112534.91</v>
      </c>
      <c r="K14" s="46">
        <v>4738995.5559999999</v>
      </c>
      <c r="L14" s="46" t="s">
        <v>154</v>
      </c>
      <c r="N14" s="64"/>
      <c r="P14" s="83">
        <f t="shared" ref="P14:P37" si="2">C14-2*$N14*P$11*C14</f>
        <v>0</v>
      </c>
      <c r="Q14" s="84">
        <f t="shared" ref="Q14:Q46" si="3">COS(P14*PI()/180)*$E$7</f>
        <v>15</v>
      </c>
      <c r="R14" s="84">
        <f t="shared" ref="R14:R46" si="4">SIN(P14*PI()/180)*$E$7</f>
        <v>0</v>
      </c>
      <c r="S14" s="85">
        <f t="shared" ref="S14:S37" si="5">D14*(1-2*$N14*S$11)/S$9</f>
        <v>0.62632738746465022</v>
      </c>
      <c r="T14" s="85">
        <f t="shared" ref="T14:T37" si="6">E14*(1-2*$N14*T$11)/T$9</f>
        <v>-5.496424725937564E-2</v>
      </c>
      <c r="U14" s="85">
        <f t="shared" ref="U14:U37" si="7">F14*(1-2*$N14*U$11)/U$9</f>
        <v>0.15345827399756212</v>
      </c>
      <c r="V14" s="85">
        <f t="shared" ref="V14:V37" si="8">(I14+F14*dy-E14*dz)*(1-2*$N14*V$11)/V$9</f>
        <v>-3.2326688026479838E-2</v>
      </c>
      <c r="W14" s="85">
        <f t="shared" ref="W14:W37" si="9">(J14+D14*dz-F14*dx)*(1-2*$N14*W$11)/W$9</f>
        <v>3.9815105869094669</v>
      </c>
      <c r="X14" s="85">
        <f t="shared" ref="X14:X37" si="10">(K14+E14*dx-D14*dy)*(1-2*$N14*X$11)/X$9</f>
        <v>1.4582584571417348E-2</v>
      </c>
      <c r="Y14" s="1">
        <f t="shared" ref="Y14:Y46" si="11">B14</f>
        <v>0</v>
      </c>
      <c r="Z14" s="1"/>
    </row>
    <row r="15" spans="1:26" x14ac:dyDescent="0.25">
      <c r="C15" s="82">
        <v>15</v>
      </c>
      <c r="D15" s="46">
        <v>170184.747</v>
      </c>
      <c r="E15" s="46">
        <v>113698.659</v>
      </c>
      <c r="F15" s="46">
        <v>347151.50900000002</v>
      </c>
      <c r="G15" s="46" t="s">
        <v>160</v>
      </c>
      <c r="H15" s="82">
        <v>15</v>
      </c>
      <c r="I15" s="46">
        <v>-5349848.6310000001</v>
      </c>
      <c r="J15" s="46">
        <v>15111143.986</v>
      </c>
      <c r="K15" s="46">
        <v>-15481283.806</v>
      </c>
      <c r="L15" s="46" t="s">
        <v>160</v>
      </c>
      <c r="N15" s="64"/>
      <c r="P15" s="83">
        <f t="shared" si="2"/>
        <v>15</v>
      </c>
      <c r="Q15" s="84">
        <f t="shared" si="3"/>
        <v>14.488887394336025</v>
      </c>
      <c r="R15" s="84">
        <f t="shared" si="4"/>
        <v>3.8822856765378111</v>
      </c>
      <c r="S15" s="85">
        <f t="shared" si="5"/>
        <v>0.75780435674143432</v>
      </c>
      <c r="T15" s="85">
        <f t="shared" si="6"/>
        <v>0.10321089898161777</v>
      </c>
      <c r="U15" s="85">
        <f t="shared" si="7"/>
        <v>0.1888687910300908</v>
      </c>
      <c r="V15" s="85">
        <f t="shared" si="8"/>
        <v>-0.17614986956630332</v>
      </c>
      <c r="W15" s="85">
        <f t="shared" si="9"/>
        <v>3.7340604750672544</v>
      </c>
      <c r="X15" s="85">
        <f t="shared" si="10"/>
        <v>-4.7638181489594304E-2</v>
      </c>
      <c r="Y15" s="1">
        <f t="shared" si="11"/>
        <v>0</v>
      </c>
    </row>
    <row r="16" spans="1:26" x14ac:dyDescent="0.25">
      <c r="C16" s="82">
        <v>30</v>
      </c>
      <c r="D16" s="46">
        <v>194795.25599999999</v>
      </c>
      <c r="E16" s="46">
        <v>472046.266</v>
      </c>
      <c r="F16" s="46">
        <v>507025.31800000003</v>
      </c>
      <c r="G16" s="46" t="s">
        <v>155</v>
      </c>
      <c r="H16" s="82">
        <v>30</v>
      </c>
      <c r="I16" s="46">
        <v>-12003677.335000001</v>
      </c>
      <c r="J16" s="46">
        <v>18368649.583999999</v>
      </c>
      <c r="K16" s="46">
        <v>-28911751.557</v>
      </c>
      <c r="L16" s="46" t="s">
        <v>155</v>
      </c>
      <c r="N16" s="64"/>
      <c r="P16" s="83">
        <f t="shared" si="2"/>
        <v>30</v>
      </c>
      <c r="Q16" s="84">
        <f t="shared" si="3"/>
        <v>12.99038105676658</v>
      </c>
      <c r="R16" s="84">
        <f t="shared" si="4"/>
        <v>7.4999999999999991</v>
      </c>
      <c r="S16" s="85">
        <f t="shared" si="5"/>
        <v>0.86739085770925761</v>
      </c>
      <c r="T16" s="85">
        <f t="shared" si="6"/>
        <v>0.42850390587962761</v>
      </c>
      <c r="U16" s="85">
        <f t="shared" si="7"/>
        <v>0.27584860313053494</v>
      </c>
      <c r="V16" s="85">
        <f t="shared" si="8"/>
        <v>-0.39523477068565338</v>
      </c>
      <c r="W16" s="85">
        <f t="shared" si="9"/>
        <v>4.5390109746503056</v>
      </c>
      <c r="X16" s="85">
        <f t="shared" si="10"/>
        <v>-8.8965701108110459E-2</v>
      </c>
      <c r="Y16" s="1">
        <f t="shared" si="11"/>
        <v>0</v>
      </c>
    </row>
    <row r="17" spans="1:26" x14ac:dyDescent="0.25">
      <c r="C17" s="82">
        <v>45</v>
      </c>
      <c r="D17" s="46">
        <v>148131.459</v>
      </c>
      <c r="E17" s="46">
        <v>825557.95900000003</v>
      </c>
      <c r="F17" s="46">
        <v>624800.39099999995</v>
      </c>
      <c r="G17" s="46" t="s">
        <v>156</v>
      </c>
      <c r="H17" s="82">
        <v>45</v>
      </c>
      <c r="I17" s="46">
        <v>-18028068.590999998</v>
      </c>
      <c r="J17" s="46">
        <v>18250725.07</v>
      </c>
      <c r="K17" s="46">
        <v>-43597216.795000002</v>
      </c>
      <c r="L17" s="46" t="s">
        <v>156</v>
      </c>
      <c r="N17" s="64"/>
      <c r="P17" s="83">
        <f t="shared" si="2"/>
        <v>45</v>
      </c>
      <c r="Q17" s="84">
        <f t="shared" si="3"/>
        <v>10.606601717798213</v>
      </c>
      <c r="R17" s="84">
        <f t="shared" si="4"/>
        <v>10.606601717798211</v>
      </c>
      <c r="S17" s="85">
        <f t="shared" si="5"/>
        <v>0.65960473532134545</v>
      </c>
      <c r="T17" s="85">
        <f t="shared" si="6"/>
        <v>0.74940707180917188</v>
      </c>
      <c r="U17" s="85">
        <f t="shared" si="7"/>
        <v>0.33992447511814788</v>
      </c>
      <c r="V17" s="85">
        <f t="shared" si="8"/>
        <v>-0.59359472573402972</v>
      </c>
      <c r="W17" s="85">
        <f t="shared" si="9"/>
        <v>4.5098710718622126</v>
      </c>
      <c r="X17" s="85">
        <f t="shared" si="10"/>
        <v>-0.13415503211151447</v>
      </c>
      <c r="Y17" s="1">
        <f t="shared" si="11"/>
        <v>0</v>
      </c>
    </row>
    <row r="18" spans="1:26" x14ac:dyDescent="0.25">
      <c r="C18" s="82">
        <v>60</v>
      </c>
      <c r="D18" s="46">
        <v>66769.876000000004</v>
      </c>
      <c r="E18" s="46">
        <v>956380.60800000001</v>
      </c>
      <c r="F18" s="46">
        <v>740086.522</v>
      </c>
      <c r="G18" s="46" t="s">
        <v>157</v>
      </c>
      <c r="H18" s="86">
        <v>60</v>
      </c>
      <c r="I18" s="46">
        <v>-21483698.375</v>
      </c>
      <c r="J18" s="46">
        <v>15249815.245999999</v>
      </c>
      <c r="K18" s="46">
        <v>-54124913.713</v>
      </c>
      <c r="L18" s="46" t="s">
        <v>157</v>
      </c>
      <c r="N18" s="64"/>
      <c r="P18" s="83">
        <f t="shared" si="2"/>
        <v>60</v>
      </c>
      <c r="Q18" s="84">
        <f t="shared" si="3"/>
        <v>7.5000000000000018</v>
      </c>
      <c r="R18" s="84">
        <f t="shared" si="4"/>
        <v>12.990381056766578</v>
      </c>
      <c r="S18" s="85">
        <f t="shared" si="5"/>
        <v>0.29731514617984733</v>
      </c>
      <c r="T18" s="85">
        <f t="shared" si="6"/>
        <v>0.86816241447725595</v>
      </c>
      <c r="U18" s="85">
        <f t="shared" si="7"/>
        <v>0.40264623095100727</v>
      </c>
      <c r="V18" s="85">
        <f t="shared" si="8"/>
        <v>-0.70737527873768591</v>
      </c>
      <c r="W18" s="85">
        <f t="shared" si="9"/>
        <v>3.7683270316875546</v>
      </c>
      <c r="X18" s="85">
        <f t="shared" si="10"/>
        <v>-0.16655030001899607</v>
      </c>
      <c r="Y18" s="1">
        <f t="shared" si="11"/>
        <v>0</v>
      </c>
    </row>
    <row r="19" spans="1:26" x14ac:dyDescent="0.25">
      <c r="C19" s="82">
        <v>75</v>
      </c>
      <c r="D19" s="46">
        <v>-32462.249</v>
      </c>
      <c r="E19" s="46">
        <v>1017950.958</v>
      </c>
      <c r="F19" s="46">
        <v>874072.76399999997</v>
      </c>
      <c r="G19" s="46" t="s">
        <v>161</v>
      </c>
      <c r="H19" s="86">
        <v>75</v>
      </c>
      <c r="I19" s="46">
        <v>-24323953.857999999</v>
      </c>
      <c r="J19" s="46">
        <v>-6174710.9299999997</v>
      </c>
      <c r="K19" s="46">
        <v>-30278577.938999999</v>
      </c>
      <c r="L19" s="46" t="s">
        <v>161</v>
      </c>
      <c r="N19" s="64"/>
      <c r="P19" s="83">
        <f t="shared" si="2"/>
        <v>75</v>
      </c>
      <c r="Q19" s="84">
        <f t="shared" si="3"/>
        <v>3.8822856765378111</v>
      </c>
      <c r="R19" s="84">
        <f t="shared" si="4"/>
        <v>14.488887394336025</v>
      </c>
      <c r="S19" s="85">
        <f t="shared" si="5"/>
        <v>-0.14454899252413772</v>
      </c>
      <c r="T19" s="85">
        <f t="shared" si="6"/>
        <v>0.92405340941073921</v>
      </c>
      <c r="U19" s="85">
        <f t="shared" si="7"/>
        <v>0.47554183671720651</v>
      </c>
      <c r="V19" s="85">
        <f t="shared" si="8"/>
        <v>-0.80089393082932636</v>
      </c>
      <c r="W19" s="85">
        <f t="shared" si="9"/>
        <v>-1.5258106236060034</v>
      </c>
      <c r="X19" s="85">
        <f t="shared" si="10"/>
        <v>-9.3171626409037117E-2</v>
      </c>
      <c r="Y19" s="1">
        <f t="shared" si="11"/>
        <v>0</v>
      </c>
    </row>
    <row r="20" spans="1:26" x14ac:dyDescent="0.25">
      <c r="C20" s="82">
        <v>90</v>
      </c>
      <c r="D20" s="46">
        <v>-73852.614000000001</v>
      </c>
      <c r="E20" s="46">
        <v>1182798.236</v>
      </c>
      <c r="F20" s="46">
        <v>901745.13899999997</v>
      </c>
      <c r="G20" s="46" t="s">
        <v>158</v>
      </c>
      <c r="H20" s="86">
        <v>90</v>
      </c>
      <c r="I20" s="46">
        <v>-25537426.298999999</v>
      </c>
      <c r="J20" s="46">
        <v>-22071632.061000001</v>
      </c>
      <c r="K20" s="46">
        <v>-6527273.4620000003</v>
      </c>
      <c r="L20" s="46" t="s">
        <v>158</v>
      </c>
      <c r="N20" s="64"/>
      <c r="P20" s="83">
        <f t="shared" si="2"/>
        <v>90</v>
      </c>
      <c r="Q20" s="84">
        <f t="shared" si="3"/>
        <v>9.1886134118146501E-16</v>
      </c>
      <c r="R20" s="84">
        <f t="shared" si="4"/>
        <v>15</v>
      </c>
      <c r="S20" s="85">
        <f t="shared" si="5"/>
        <v>-0.32885339980523309</v>
      </c>
      <c r="T20" s="85">
        <f t="shared" si="6"/>
        <v>1.0736948907324553</v>
      </c>
      <c r="U20" s="85">
        <f t="shared" si="7"/>
        <v>0.49059707304971317</v>
      </c>
      <c r="V20" s="85">
        <f t="shared" si="8"/>
        <v>-0.84084889534287344</v>
      </c>
      <c r="W20" s="85">
        <f t="shared" si="9"/>
        <v>-5.4540416645863408</v>
      </c>
      <c r="X20" s="85">
        <f t="shared" si="10"/>
        <v>-2.0085378041739422E-2</v>
      </c>
      <c r="Y20" s="1">
        <f t="shared" si="11"/>
        <v>0</v>
      </c>
    </row>
    <row r="21" spans="1:26" x14ac:dyDescent="0.25">
      <c r="C21" s="82">
        <v>105</v>
      </c>
      <c r="D21" s="46">
        <v>-85534.184999999998</v>
      </c>
      <c r="E21" s="46">
        <v>1119946.439</v>
      </c>
      <c r="F21" s="46">
        <v>850991.77300000004</v>
      </c>
      <c r="G21" s="46" t="s">
        <v>162</v>
      </c>
      <c r="H21" s="86">
        <v>105</v>
      </c>
      <c r="I21" s="46">
        <v>-24008287.079</v>
      </c>
      <c r="J21" s="46">
        <v>-31045220.267999999</v>
      </c>
      <c r="K21" s="46">
        <v>7301881.0669999998</v>
      </c>
      <c r="L21" s="46" t="s">
        <v>162</v>
      </c>
      <c r="N21" s="64"/>
      <c r="P21" s="83">
        <f t="shared" si="2"/>
        <v>105</v>
      </c>
      <c r="Q21" s="84">
        <f t="shared" si="3"/>
        <v>-3.8822856765378129</v>
      </c>
      <c r="R21" s="84">
        <f t="shared" si="4"/>
        <v>14.488887394336025</v>
      </c>
      <c r="S21" s="85">
        <f t="shared" si="5"/>
        <v>-0.38086949145523502</v>
      </c>
      <c r="T21" s="85">
        <f t="shared" si="6"/>
        <v>1.0166406516760373</v>
      </c>
      <c r="U21" s="85">
        <f t="shared" si="7"/>
        <v>0.4629845562418784</v>
      </c>
      <c r="V21" s="85">
        <f t="shared" si="8"/>
        <v>-0.79050024200137325</v>
      </c>
      <c r="W21" s="85">
        <f t="shared" si="9"/>
        <v>-7.6714727918611754</v>
      </c>
      <c r="X21" s="85">
        <f t="shared" si="10"/>
        <v>2.2468959282973981E-2</v>
      </c>
      <c r="Y21" s="1">
        <f t="shared" si="11"/>
        <v>0</v>
      </c>
    </row>
    <row r="22" spans="1:26" x14ac:dyDescent="0.25">
      <c r="C22" s="82">
        <v>120</v>
      </c>
      <c r="D22" s="46">
        <v>-107006.272</v>
      </c>
      <c r="E22" s="46">
        <v>891321.74399999995</v>
      </c>
      <c r="F22" s="46">
        <v>849490.43</v>
      </c>
      <c r="G22" s="46" t="s">
        <v>163</v>
      </c>
      <c r="H22" s="86">
        <v>120</v>
      </c>
      <c r="I22" s="46">
        <v>-21209552.048999999</v>
      </c>
      <c r="J22" s="46">
        <v>-31133762.636999998</v>
      </c>
      <c r="K22" s="46">
        <v>11852251.140000001</v>
      </c>
      <c r="L22" s="46" t="s">
        <v>163</v>
      </c>
      <c r="N22" s="64"/>
      <c r="P22" s="83">
        <f t="shared" si="2"/>
        <v>120</v>
      </c>
      <c r="Q22" s="84">
        <f t="shared" si="3"/>
        <v>-7.4999999999999964</v>
      </c>
      <c r="R22" s="84">
        <f t="shared" si="4"/>
        <v>12.99038105676658</v>
      </c>
      <c r="S22" s="85">
        <f t="shared" si="5"/>
        <v>-0.47648112154410022</v>
      </c>
      <c r="T22" s="85">
        <f t="shared" si="6"/>
        <v>0.80910469207999514</v>
      </c>
      <c r="U22" s="85">
        <f t="shared" si="7"/>
        <v>0.46216774620366685</v>
      </c>
      <c r="V22" s="85">
        <f t="shared" si="8"/>
        <v>-0.69834869819348933</v>
      </c>
      <c r="W22" s="85">
        <f t="shared" si="9"/>
        <v>-7.6933521784091452</v>
      </c>
      <c r="X22" s="85">
        <f t="shared" si="10"/>
        <v>3.6471115570450581E-2</v>
      </c>
      <c r="Y22" s="1">
        <f t="shared" si="11"/>
        <v>0</v>
      </c>
    </row>
    <row r="23" spans="1:26" x14ac:dyDescent="0.25">
      <c r="C23" s="82">
        <v>135</v>
      </c>
      <c r="D23" s="46">
        <v>-149387.929</v>
      </c>
      <c r="E23" s="46">
        <v>560788.60600000003</v>
      </c>
      <c r="F23" s="46">
        <v>699055.375</v>
      </c>
      <c r="G23" s="46" t="s">
        <v>164</v>
      </c>
      <c r="H23" s="86">
        <v>135</v>
      </c>
      <c r="I23" s="46">
        <v>-16452594.449999999</v>
      </c>
      <c r="J23" s="46">
        <v>-23709176.642999999</v>
      </c>
      <c r="K23" s="46">
        <v>20655919.232000001</v>
      </c>
      <c r="L23" s="46" t="s">
        <v>164</v>
      </c>
      <c r="N23" s="64"/>
      <c r="P23" s="83">
        <f t="shared" si="2"/>
        <v>135</v>
      </c>
      <c r="Q23" s="84">
        <f t="shared" si="3"/>
        <v>-10.606601717798211</v>
      </c>
      <c r="R23" s="84">
        <f t="shared" si="4"/>
        <v>10.606601717798213</v>
      </c>
      <c r="S23" s="85">
        <f t="shared" si="5"/>
        <v>-0.66519958713327032</v>
      </c>
      <c r="T23" s="85">
        <f t="shared" si="6"/>
        <v>0.50906049968371436</v>
      </c>
      <c r="U23" s="85">
        <f t="shared" si="7"/>
        <v>0.38032311574753014</v>
      </c>
      <c r="V23" s="85">
        <f t="shared" si="8"/>
        <v>-0.54172044225727289</v>
      </c>
      <c r="W23" s="85">
        <f t="shared" si="9"/>
        <v>-5.858689420273917</v>
      </c>
      <c r="X23" s="85">
        <f t="shared" si="10"/>
        <v>6.3561293852584091E-2</v>
      </c>
      <c r="Y23" s="1">
        <f t="shared" si="11"/>
        <v>0</v>
      </c>
    </row>
    <row r="24" spans="1:26" x14ac:dyDescent="0.25">
      <c r="C24" s="82">
        <v>150</v>
      </c>
      <c r="D24" s="46">
        <v>-152652.96599999999</v>
      </c>
      <c r="E24" s="46">
        <v>335596.63</v>
      </c>
      <c r="F24" s="46">
        <v>479729.31099999999</v>
      </c>
      <c r="G24" s="46" t="s">
        <v>165</v>
      </c>
      <c r="H24" s="86">
        <v>150</v>
      </c>
      <c r="I24" s="46">
        <v>-10998384.51</v>
      </c>
      <c r="J24" s="46">
        <v>-15933453.625</v>
      </c>
      <c r="K24" s="46">
        <v>14561203.137</v>
      </c>
      <c r="L24" s="46" t="s">
        <v>165</v>
      </c>
      <c r="N24" s="64"/>
      <c r="P24" s="83">
        <f t="shared" si="2"/>
        <v>150</v>
      </c>
      <c r="Q24" s="84">
        <f t="shared" si="3"/>
        <v>-12.99038105676658</v>
      </c>
      <c r="R24" s="84">
        <f t="shared" si="4"/>
        <v>7.4999999999999991</v>
      </c>
      <c r="S24" s="85">
        <f t="shared" si="5"/>
        <v>-0.67973825353632911</v>
      </c>
      <c r="T24" s="85">
        <f t="shared" si="6"/>
        <v>0.30464061917829088</v>
      </c>
      <c r="U24" s="85">
        <f t="shared" si="7"/>
        <v>0.2609981309062045</v>
      </c>
      <c r="V24" s="85">
        <f t="shared" si="8"/>
        <v>-0.36213435753123663</v>
      </c>
      <c r="W24" s="85">
        <f t="shared" si="9"/>
        <v>-3.9372584542607223</v>
      </c>
      <c r="X24" s="85">
        <f t="shared" si="10"/>
        <v>4.4806958288460166E-2</v>
      </c>
      <c r="Y24" s="1">
        <f t="shared" si="11"/>
        <v>0</v>
      </c>
    </row>
    <row r="25" spans="1:26" x14ac:dyDescent="0.25">
      <c r="C25" s="82">
        <v>165</v>
      </c>
      <c r="D25" s="46">
        <v>-148168.12599999999</v>
      </c>
      <c r="E25" s="46">
        <v>124845.62</v>
      </c>
      <c r="F25" s="46">
        <v>277177.424</v>
      </c>
      <c r="G25" s="46" t="s">
        <v>166</v>
      </c>
      <c r="H25" s="86">
        <v>165</v>
      </c>
      <c r="I25" s="46">
        <v>-5034635.2089999998</v>
      </c>
      <c r="J25" s="46">
        <v>-12393159.308</v>
      </c>
      <c r="K25" s="46">
        <v>7727153.0120000001</v>
      </c>
      <c r="L25" s="46" t="s">
        <v>166</v>
      </c>
      <c r="N25" s="64"/>
      <c r="P25" s="83">
        <f t="shared" si="2"/>
        <v>165</v>
      </c>
      <c r="Q25" s="84">
        <f t="shared" si="3"/>
        <v>-14.488887394336023</v>
      </c>
      <c r="R25" s="84">
        <f t="shared" si="4"/>
        <v>3.8822856765378151</v>
      </c>
      <c r="S25" s="85">
        <f t="shared" si="5"/>
        <v>-0.65976800737033015</v>
      </c>
      <c r="T25" s="85">
        <f t="shared" si="6"/>
        <v>0.11332964511144708</v>
      </c>
      <c r="U25" s="85">
        <f t="shared" si="7"/>
        <v>0.15079918598802597</v>
      </c>
      <c r="V25" s="85">
        <f t="shared" si="8"/>
        <v>-0.16577110803478884</v>
      </c>
      <c r="W25" s="85">
        <f t="shared" si="9"/>
        <v>-3.0624290507779328</v>
      </c>
      <c r="X25" s="85">
        <f t="shared" si="10"/>
        <v>2.3777583448270339E-2</v>
      </c>
      <c r="Y25" s="1">
        <f t="shared" si="11"/>
        <v>0</v>
      </c>
    </row>
    <row r="26" spans="1:26" x14ac:dyDescent="0.25">
      <c r="C26" s="82">
        <v>180</v>
      </c>
      <c r="D26" s="46">
        <v>-167415.755</v>
      </c>
      <c r="E26" s="46">
        <v>-6935.9040000000005</v>
      </c>
      <c r="F26" s="46">
        <v>196553.908</v>
      </c>
      <c r="G26" s="46" t="s">
        <v>167</v>
      </c>
      <c r="H26" s="86">
        <v>180</v>
      </c>
      <c r="I26" s="46">
        <v>-1630803.8019999999</v>
      </c>
      <c r="J26" s="46">
        <v>-8533070.8190000001</v>
      </c>
      <c r="K26" s="46">
        <v>-4281200.1370000001</v>
      </c>
      <c r="L26" s="46" t="s">
        <v>167</v>
      </c>
      <c r="N26" s="64"/>
      <c r="P26" s="83">
        <f t="shared" si="2"/>
        <v>180</v>
      </c>
      <c r="Q26" s="84">
        <f t="shared" si="3"/>
        <v>-15</v>
      </c>
      <c r="R26" s="84">
        <f t="shared" si="4"/>
        <v>1.83772268236293E-15</v>
      </c>
      <c r="S26" s="85">
        <f t="shared" si="5"/>
        <v>-0.74547449617301231</v>
      </c>
      <c r="T26" s="85">
        <f t="shared" si="6"/>
        <v>-6.2961242761024883E-3</v>
      </c>
      <c r="U26" s="85">
        <f t="shared" si="7"/>
        <v>0.10693572694854593</v>
      </c>
      <c r="V26" s="85">
        <f t="shared" si="8"/>
        <v>-5.3696075688189231E-2</v>
      </c>
      <c r="W26" s="85">
        <f t="shared" si="9"/>
        <v>-2.1085764589165281</v>
      </c>
      <c r="X26" s="85">
        <f t="shared" si="10"/>
        <v>-1.3173880905189447E-2</v>
      </c>
      <c r="Y26" s="1">
        <f t="shared" si="11"/>
        <v>0</v>
      </c>
    </row>
    <row r="27" spans="1:26" x14ac:dyDescent="0.25">
      <c r="C27" s="82">
        <v>195</v>
      </c>
      <c r="D27" s="46">
        <v>-32164.625</v>
      </c>
      <c r="E27" s="46">
        <v>-77311.820999999996</v>
      </c>
      <c r="F27" s="46">
        <v>187025.67300000001</v>
      </c>
      <c r="G27" s="46" t="s">
        <v>168</v>
      </c>
      <c r="H27" s="86">
        <v>195</v>
      </c>
      <c r="I27" s="46">
        <v>-443549.18</v>
      </c>
      <c r="J27" s="46">
        <v>-2290504.9759999998</v>
      </c>
      <c r="K27" s="46">
        <v>-1574199.351</v>
      </c>
      <c r="L27" s="46" t="s">
        <v>168</v>
      </c>
      <c r="N27" s="64"/>
      <c r="P27" s="83">
        <f t="shared" si="2"/>
        <v>195</v>
      </c>
      <c r="Q27" s="84">
        <f t="shared" si="3"/>
        <v>-14.488887394336027</v>
      </c>
      <c r="R27" s="84">
        <f t="shared" si="4"/>
        <v>-3.8822856765378053</v>
      </c>
      <c r="S27" s="85">
        <f t="shared" si="5"/>
        <v>-0.14322372238185632</v>
      </c>
      <c r="T27" s="85">
        <f t="shared" si="6"/>
        <v>-7.0180445552272652E-2</v>
      </c>
      <c r="U27" s="85">
        <f t="shared" si="7"/>
        <v>0.10175186290519363</v>
      </c>
      <c r="V27" s="85">
        <f t="shared" si="8"/>
        <v>-1.4604362775893423E-2</v>
      </c>
      <c r="W27" s="85">
        <f t="shared" si="9"/>
        <v>-0.56599845165597307</v>
      </c>
      <c r="X27" s="85">
        <f t="shared" si="10"/>
        <v>-4.8440423496839006E-3</v>
      </c>
      <c r="Y27" s="1">
        <f t="shared" si="11"/>
        <v>0</v>
      </c>
    </row>
    <row r="28" spans="1:26" x14ac:dyDescent="0.25">
      <c r="C28" s="82">
        <v>210</v>
      </c>
      <c r="D28" s="46">
        <v>-18650.423999999999</v>
      </c>
      <c r="E28" s="46">
        <v>-60076.887999999999</v>
      </c>
      <c r="F28" s="46">
        <v>308357.58899999998</v>
      </c>
      <c r="G28" s="46" t="s">
        <v>169</v>
      </c>
      <c r="H28" s="86">
        <v>210</v>
      </c>
      <c r="I28" s="46">
        <v>-1713385.004</v>
      </c>
      <c r="J28" s="46">
        <v>-3710431.4750000001</v>
      </c>
      <c r="K28" s="46">
        <v>694583.53399999999</v>
      </c>
      <c r="L28" s="46" t="s">
        <v>169</v>
      </c>
      <c r="N28" s="64"/>
      <c r="P28" s="83">
        <f t="shared" si="2"/>
        <v>210</v>
      </c>
      <c r="Q28" s="84">
        <f t="shared" si="3"/>
        <v>-12.990381056766578</v>
      </c>
      <c r="R28" s="84">
        <f t="shared" si="4"/>
        <v>-7.5000000000000018</v>
      </c>
      <c r="S28" s="85">
        <f t="shared" si="5"/>
        <v>-8.3047234322797495E-2</v>
      </c>
      <c r="T28" s="85">
        <f t="shared" si="6"/>
        <v>-5.4535292439095211E-2</v>
      </c>
      <c r="U28" s="85">
        <f t="shared" si="7"/>
        <v>0.1677628457014243</v>
      </c>
      <c r="V28" s="85">
        <f t="shared" si="8"/>
        <v>-5.6415155977047694E-2</v>
      </c>
      <c r="W28" s="85">
        <f t="shared" si="9"/>
        <v>-0.91687138505722621</v>
      </c>
      <c r="X28" s="85">
        <f t="shared" si="10"/>
        <v>2.1373354346460455E-3</v>
      </c>
      <c r="Y28" s="1">
        <f t="shared" si="11"/>
        <v>0</v>
      </c>
    </row>
    <row r="29" spans="1:26" x14ac:dyDescent="0.25">
      <c r="C29" s="82">
        <v>225</v>
      </c>
      <c r="D29" s="46">
        <v>7422.5370000000003</v>
      </c>
      <c r="E29" s="46">
        <v>-88867.376000000004</v>
      </c>
      <c r="F29" s="46">
        <v>459956.84499999997</v>
      </c>
      <c r="G29" s="46" t="s">
        <v>170</v>
      </c>
      <c r="H29" s="86">
        <v>225</v>
      </c>
      <c r="I29" s="46">
        <v>-2342552.06</v>
      </c>
      <c r="J29" s="46">
        <v>-6949665.4890000001</v>
      </c>
      <c r="K29" s="46">
        <v>1192635.7150000001</v>
      </c>
      <c r="L29" s="46" t="s">
        <v>170</v>
      </c>
      <c r="N29" s="64"/>
      <c r="P29" s="83">
        <f t="shared" si="2"/>
        <v>225</v>
      </c>
      <c r="Q29" s="84">
        <f t="shared" si="3"/>
        <v>-10.606601717798215</v>
      </c>
      <c r="R29" s="84">
        <f t="shared" si="4"/>
        <v>-10.606601717798211</v>
      </c>
      <c r="S29" s="85">
        <f t="shared" si="5"/>
        <v>3.3051322024026601E-2</v>
      </c>
      <c r="T29" s="85">
        <f t="shared" si="6"/>
        <v>-8.0670096268219346E-2</v>
      </c>
      <c r="U29" s="85">
        <f t="shared" si="7"/>
        <v>0.25024086310730931</v>
      </c>
      <c r="V29" s="85">
        <f t="shared" si="8"/>
        <v>-7.713119908294376E-2</v>
      </c>
      <c r="W29" s="85">
        <f t="shared" si="9"/>
        <v>-1.7173068591931981</v>
      </c>
      <c r="X29" s="85">
        <f t="shared" si="10"/>
        <v>3.669915063511889E-3</v>
      </c>
      <c r="Y29" s="1">
        <f t="shared" si="11"/>
        <v>0</v>
      </c>
    </row>
    <row r="30" spans="1:26" x14ac:dyDescent="0.25">
      <c r="C30" s="82">
        <v>240</v>
      </c>
      <c r="D30" s="46">
        <v>28797.974999999999</v>
      </c>
      <c r="E30" s="46">
        <v>-16622.442999999999</v>
      </c>
      <c r="F30" s="46">
        <v>530330.804</v>
      </c>
      <c r="G30" s="46" t="s">
        <v>171</v>
      </c>
      <c r="H30" s="86">
        <v>240</v>
      </c>
      <c r="I30" s="46">
        <v>-4038649.0959999999</v>
      </c>
      <c r="J30" s="46">
        <v>-9880053.6950000003</v>
      </c>
      <c r="K30" s="46">
        <v>2608404.4449999998</v>
      </c>
      <c r="L30" s="46" t="s">
        <v>171</v>
      </c>
      <c r="N30" s="64"/>
      <c r="P30" s="83">
        <f t="shared" si="2"/>
        <v>240</v>
      </c>
      <c r="Q30" s="84">
        <f t="shared" si="3"/>
        <v>-7.5000000000000071</v>
      </c>
      <c r="R30" s="84">
        <f t="shared" si="4"/>
        <v>-12.990381056766577</v>
      </c>
      <c r="S30" s="85">
        <f t="shared" si="5"/>
        <v>0.12823259019993669</v>
      </c>
      <c r="T30" s="85">
        <f t="shared" si="6"/>
        <v>-1.5089160245071134E-2</v>
      </c>
      <c r="U30" s="85">
        <f t="shared" si="7"/>
        <v>0.28852802076541179</v>
      </c>
      <c r="V30" s="85">
        <f t="shared" si="8"/>
        <v>-0.13297712899056205</v>
      </c>
      <c r="W30" s="85">
        <f t="shared" si="9"/>
        <v>-2.4414245558259275</v>
      </c>
      <c r="X30" s="85">
        <f t="shared" si="10"/>
        <v>8.0264431494380221E-3</v>
      </c>
      <c r="Y30" s="1">
        <f t="shared" si="11"/>
        <v>0</v>
      </c>
    </row>
    <row r="31" spans="1:26" x14ac:dyDescent="0.25">
      <c r="C31" s="87">
        <v>255</v>
      </c>
      <c r="D31" s="46">
        <v>33789.324000000001</v>
      </c>
      <c r="E31" s="46">
        <v>88534.831000000006</v>
      </c>
      <c r="F31" s="46">
        <v>546236.76</v>
      </c>
      <c r="G31" s="46" t="s">
        <v>172</v>
      </c>
      <c r="H31" s="86">
        <v>255</v>
      </c>
      <c r="I31" s="46">
        <v>-5142043.4369999999</v>
      </c>
      <c r="J31" s="46">
        <v>-7950509.4630000005</v>
      </c>
      <c r="K31" s="46">
        <v>5078694.2300000004</v>
      </c>
      <c r="L31" s="46" t="s">
        <v>172</v>
      </c>
      <c r="N31" s="64"/>
      <c r="P31" s="83">
        <f t="shared" si="2"/>
        <v>255</v>
      </c>
      <c r="Q31" s="84">
        <f t="shared" si="3"/>
        <v>-3.8822856765378093</v>
      </c>
      <c r="R31" s="84">
        <f t="shared" si="4"/>
        <v>-14.488887394336025</v>
      </c>
      <c r="S31" s="85">
        <f t="shared" si="5"/>
        <v>0.15045823665118419</v>
      </c>
      <c r="T31" s="85">
        <f t="shared" si="6"/>
        <v>8.0368225791437015E-2</v>
      </c>
      <c r="U31" s="85">
        <f t="shared" si="7"/>
        <v>0.29718170252111403</v>
      </c>
      <c r="V31" s="85">
        <f t="shared" si="8"/>
        <v>-0.16930764647868335</v>
      </c>
      <c r="W31" s="85">
        <f t="shared" si="9"/>
        <v>-1.9646218161868612</v>
      </c>
      <c r="X31" s="85">
        <f t="shared" si="10"/>
        <v>1.562788722761662E-2</v>
      </c>
      <c r="Y31" s="1">
        <f t="shared" si="11"/>
        <v>0</v>
      </c>
    </row>
    <row r="32" spans="1:26" s="1" customFormat="1" x14ac:dyDescent="0.25">
      <c r="A32" s="53"/>
      <c r="B32" s="53"/>
      <c r="C32" s="87">
        <v>270</v>
      </c>
      <c r="D32" s="46">
        <v>-2634.3670000000002</v>
      </c>
      <c r="E32" s="46">
        <v>-57445.19</v>
      </c>
      <c r="F32" s="46">
        <v>556679.38899999997</v>
      </c>
      <c r="G32" s="46" t="s">
        <v>159</v>
      </c>
      <c r="H32" s="86">
        <v>270</v>
      </c>
      <c r="I32" s="46">
        <v>-2626594.963</v>
      </c>
      <c r="J32" s="46">
        <v>-8579650.7880000006</v>
      </c>
      <c r="K32" s="46">
        <v>13374499.732000001</v>
      </c>
      <c r="L32" s="46" t="s">
        <v>159</v>
      </c>
      <c r="M32" s="57"/>
      <c r="N32" s="64"/>
      <c r="O32" s="53"/>
      <c r="P32" s="83">
        <f t="shared" si="2"/>
        <v>270</v>
      </c>
      <c r="Q32" s="84">
        <f t="shared" si="3"/>
        <v>-2.756584023544395E-15</v>
      </c>
      <c r="R32" s="84">
        <f t="shared" si="4"/>
        <v>-15</v>
      </c>
      <c r="S32" s="85">
        <f t="shared" si="5"/>
        <v>-1.1730397847322134E-2</v>
      </c>
      <c r="T32" s="85">
        <f t="shared" si="6"/>
        <v>-5.2146346792619952E-2</v>
      </c>
      <c r="U32" s="85">
        <f t="shared" si="7"/>
        <v>0.30286304528723684</v>
      </c>
      <c r="V32" s="85">
        <f t="shared" si="8"/>
        <v>-8.6483635715404475E-2</v>
      </c>
      <c r="W32" s="85">
        <f t="shared" si="9"/>
        <v>-2.1200866676296406</v>
      </c>
      <c r="X32" s="85">
        <f t="shared" si="10"/>
        <v>4.1155297813131916E-2</v>
      </c>
      <c r="Y32" s="1">
        <f t="shared" si="11"/>
        <v>0</v>
      </c>
      <c r="Z32" s="53"/>
    </row>
    <row r="33" spans="1:26" s="1" customFormat="1" x14ac:dyDescent="0.25">
      <c r="A33" s="53"/>
      <c r="B33" s="53"/>
      <c r="C33" s="87">
        <v>285</v>
      </c>
      <c r="D33" s="46">
        <v>27584.38</v>
      </c>
      <c r="E33" s="46">
        <v>-176783.62899999999</v>
      </c>
      <c r="F33" s="46">
        <v>617946.29299999995</v>
      </c>
      <c r="G33" s="46" t="s">
        <v>173</v>
      </c>
      <c r="H33" s="86">
        <v>285</v>
      </c>
      <c r="I33" s="46">
        <v>-1756580.993</v>
      </c>
      <c r="J33" s="46">
        <v>-4821514.3020000001</v>
      </c>
      <c r="K33" s="46">
        <v>15149418.598999999</v>
      </c>
      <c r="L33" s="46" t="s">
        <v>173</v>
      </c>
      <c r="M33" s="57"/>
      <c r="N33" s="64"/>
      <c r="O33" s="53"/>
      <c r="P33" s="83">
        <f t="shared" si="2"/>
        <v>285</v>
      </c>
      <c r="Q33" s="84">
        <f t="shared" si="3"/>
        <v>3.8822856765378169</v>
      </c>
      <c r="R33" s="84">
        <f t="shared" si="4"/>
        <v>-14.488887394336023</v>
      </c>
      <c r="S33" s="85">
        <f t="shared" si="5"/>
        <v>0.12282865362787938</v>
      </c>
      <c r="T33" s="85">
        <f t="shared" si="6"/>
        <v>-0.16047680275914944</v>
      </c>
      <c r="U33" s="85">
        <f t="shared" si="7"/>
        <v>0.33619548310946917</v>
      </c>
      <c r="V33" s="85">
        <f t="shared" si="8"/>
        <v>-5.7837433195144464E-2</v>
      </c>
      <c r="W33" s="85">
        <f t="shared" si="9"/>
        <v>-1.1914270687745192</v>
      </c>
      <c r="X33" s="85">
        <f t="shared" si="10"/>
        <v>4.6616983560581422E-2</v>
      </c>
      <c r="Y33" s="1">
        <f t="shared" si="11"/>
        <v>0</v>
      </c>
      <c r="Z33" s="53"/>
    </row>
    <row r="34" spans="1:26" s="1" customFormat="1" x14ac:dyDescent="0.25">
      <c r="A34" s="53"/>
      <c r="B34" s="53"/>
      <c r="C34" s="87">
        <v>300</v>
      </c>
      <c r="D34" s="46">
        <v>102141.451</v>
      </c>
      <c r="E34" s="46">
        <v>-266234.071</v>
      </c>
      <c r="F34" s="46">
        <v>617831.65</v>
      </c>
      <c r="G34" s="46" t="s">
        <v>174</v>
      </c>
      <c r="H34" s="86">
        <v>300</v>
      </c>
      <c r="I34" s="46">
        <v>-2902.2829999999999</v>
      </c>
      <c r="J34" s="46">
        <v>5891141.0499999998</v>
      </c>
      <c r="K34" s="46">
        <v>23270144.537999999</v>
      </c>
      <c r="L34" s="46" t="s">
        <v>174</v>
      </c>
      <c r="M34" s="57"/>
      <c r="N34" s="64"/>
      <c r="O34" s="53"/>
      <c r="P34" s="83">
        <f t="shared" si="2"/>
        <v>300</v>
      </c>
      <c r="Q34" s="84">
        <f t="shared" si="3"/>
        <v>7.5000000000000018</v>
      </c>
      <c r="R34" s="84">
        <f t="shared" si="4"/>
        <v>-12.990381056766578</v>
      </c>
      <c r="S34" s="85">
        <f t="shared" si="5"/>
        <v>0.45481888322043179</v>
      </c>
      <c r="T34" s="85">
        <f t="shared" si="6"/>
        <v>-0.24167618201588334</v>
      </c>
      <c r="U34" s="85">
        <f t="shared" si="7"/>
        <v>0.33613311125093276</v>
      </c>
      <c r="V34" s="85">
        <f t="shared" si="8"/>
        <v>-9.5560978853141595E-5</v>
      </c>
      <c r="W34" s="85">
        <f t="shared" si="9"/>
        <v>1.455738689819351</v>
      </c>
      <c r="X34" s="85">
        <f t="shared" si="10"/>
        <v>7.1605648645282349E-2</v>
      </c>
      <c r="Y34" s="1">
        <f t="shared" si="11"/>
        <v>0</v>
      </c>
      <c r="Z34" s="53"/>
    </row>
    <row r="35" spans="1:26" s="1" customFormat="1" x14ac:dyDescent="0.25">
      <c r="A35" s="53"/>
      <c r="B35" s="53"/>
      <c r="C35" s="87">
        <v>315</v>
      </c>
      <c r="D35" s="46">
        <v>128940.897</v>
      </c>
      <c r="E35" s="46">
        <v>-319896.68800000002</v>
      </c>
      <c r="F35" s="46">
        <v>595147.51800000004</v>
      </c>
      <c r="G35" s="46" t="s">
        <v>175</v>
      </c>
      <c r="H35" s="86">
        <v>315</v>
      </c>
      <c r="I35" s="46">
        <v>556319.44099999999</v>
      </c>
      <c r="J35" s="46">
        <v>12811895.934</v>
      </c>
      <c r="K35" s="46">
        <v>29712041.921</v>
      </c>
      <c r="L35" s="46" t="s">
        <v>175</v>
      </c>
      <c r="M35" s="57"/>
      <c r="N35" s="64"/>
      <c r="O35" s="53"/>
      <c r="P35" s="83">
        <f t="shared" si="2"/>
        <v>315</v>
      </c>
      <c r="Q35" s="84">
        <f t="shared" si="3"/>
        <v>10.60660171779821</v>
      </c>
      <c r="R35" s="84">
        <f t="shared" si="4"/>
        <v>-10.606601717798215</v>
      </c>
      <c r="S35" s="85">
        <f t="shared" si="5"/>
        <v>0.57415235637273965</v>
      </c>
      <c r="T35" s="85">
        <f t="shared" si="6"/>
        <v>-0.29038886685305676</v>
      </c>
      <c r="U35" s="85">
        <f t="shared" si="7"/>
        <v>0.32379174307209824</v>
      </c>
      <c r="V35" s="85">
        <f t="shared" si="8"/>
        <v>1.831745227360411E-2</v>
      </c>
      <c r="W35" s="85">
        <f t="shared" si="9"/>
        <v>3.1659015533269281</v>
      </c>
      <c r="X35" s="85">
        <f t="shared" si="10"/>
        <v>9.1428311966638212E-2</v>
      </c>
      <c r="Y35" s="1">
        <f t="shared" si="11"/>
        <v>0</v>
      </c>
      <c r="Z35" s="53"/>
    </row>
    <row r="36" spans="1:26" s="1" customFormat="1" x14ac:dyDescent="0.25">
      <c r="A36" s="53"/>
      <c r="B36" s="53"/>
      <c r="C36" s="87">
        <v>330</v>
      </c>
      <c r="D36" s="46">
        <v>138485.682</v>
      </c>
      <c r="E36" s="46">
        <v>-236585.837</v>
      </c>
      <c r="F36" s="46">
        <v>552044.90599999996</v>
      </c>
      <c r="G36" s="46" t="s">
        <v>176</v>
      </c>
      <c r="H36" s="86">
        <v>330</v>
      </c>
      <c r="I36" s="46">
        <v>-637398.87300000002</v>
      </c>
      <c r="J36" s="46">
        <v>14893043.608999999</v>
      </c>
      <c r="K36" s="46">
        <v>23762158.796</v>
      </c>
      <c r="L36" s="46" t="s">
        <v>176</v>
      </c>
      <c r="M36" s="57"/>
      <c r="N36" s="64"/>
      <c r="O36" s="53"/>
      <c r="P36" s="83">
        <f t="shared" si="2"/>
        <v>330</v>
      </c>
      <c r="Q36" s="84">
        <f t="shared" si="3"/>
        <v>12.990381056766577</v>
      </c>
      <c r="R36" s="84">
        <f t="shared" si="4"/>
        <v>-7.5000000000000071</v>
      </c>
      <c r="S36" s="85">
        <f t="shared" si="5"/>
        <v>0.61665369556243965</v>
      </c>
      <c r="T36" s="85">
        <f t="shared" si="6"/>
        <v>-0.21476275215425794</v>
      </c>
      <c r="U36" s="85">
        <f t="shared" si="7"/>
        <v>0.3003416412933988</v>
      </c>
      <c r="V36" s="85">
        <f t="shared" si="8"/>
        <v>-2.0987085071913832E-2</v>
      </c>
      <c r="W36" s="85">
        <f t="shared" si="9"/>
        <v>3.6801664748441421</v>
      </c>
      <c r="X36" s="85">
        <f t="shared" si="10"/>
        <v>7.311964869926936E-2</v>
      </c>
      <c r="Y36" s="1">
        <f t="shared" si="11"/>
        <v>0</v>
      </c>
      <c r="Z36" s="53"/>
    </row>
    <row r="37" spans="1:26" s="1" customFormat="1" x14ac:dyDescent="0.25">
      <c r="A37" s="53"/>
      <c r="B37" s="53"/>
      <c r="C37" s="87">
        <v>345</v>
      </c>
      <c r="D37" s="46">
        <v>127673.68</v>
      </c>
      <c r="E37" s="46">
        <v>-190223.64</v>
      </c>
      <c r="F37" s="46">
        <v>397424.973</v>
      </c>
      <c r="G37" s="46" t="s">
        <v>177</v>
      </c>
      <c r="H37" s="86">
        <v>345</v>
      </c>
      <c r="I37" s="46">
        <v>140345.992</v>
      </c>
      <c r="J37" s="46">
        <v>16708816.475</v>
      </c>
      <c r="K37" s="46">
        <v>20418013.802000001</v>
      </c>
      <c r="L37" s="46" t="s">
        <v>177</v>
      </c>
      <c r="M37" s="57"/>
      <c r="N37" s="64"/>
      <c r="O37" s="53"/>
      <c r="P37" s="83">
        <f t="shared" si="2"/>
        <v>345</v>
      </c>
      <c r="Q37" s="84">
        <f t="shared" si="3"/>
        <v>14.488887394336025</v>
      </c>
      <c r="R37" s="84">
        <f t="shared" si="4"/>
        <v>-3.8822856765378102</v>
      </c>
      <c r="S37" s="85">
        <f t="shared" si="5"/>
        <v>0.56850964995829922</v>
      </c>
      <c r="T37" s="85">
        <f t="shared" si="6"/>
        <v>-0.17267708400989695</v>
      </c>
      <c r="U37" s="85">
        <f t="shared" si="7"/>
        <v>0.21622021575506523</v>
      </c>
      <c r="V37" s="85">
        <f t="shared" si="8"/>
        <v>4.6210519007399272E-3</v>
      </c>
      <c r="W37" s="85">
        <f t="shared" si="9"/>
        <v>4.1288555811693701</v>
      </c>
      <c r="X37" s="85">
        <f t="shared" si="10"/>
        <v>6.2829223941992599E-2</v>
      </c>
      <c r="Y37" s="1">
        <f t="shared" si="11"/>
        <v>0</v>
      </c>
      <c r="Z37" s="53"/>
    </row>
    <row r="38" spans="1:26" s="1" customFormat="1" x14ac:dyDescent="0.25">
      <c r="A38" s="53"/>
      <c r="B38" s="53"/>
      <c r="C38" s="87"/>
      <c r="D38" s="46"/>
      <c r="E38" s="46"/>
      <c r="F38" s="46"/>
      <c r="G38" s="46"/>
      <c r="H38" s="86"/>
      <c r="I38" s="46"/>
      <c r="J38" s="46"/>
      <c r="K38" s="46"/>
      <c r="L38" s="46"/>
      <c r="M38" s="57"/>
      <c r="N38" s="64"/>
      <c r="O38" s="53"/>
      <c r="P38" s="83">
        <v>360</v>
      </c>
      <c r="Q38" s="84">
        <f t="shared" si="3"/>
        <v>15</v>
      </c>
      <c r="R38" s="84">
        <f t="shared" si="4"/>
        <v>-3.67544536472586E-15</v>
      </c>
      <c r="S38" s="85">
        <f t="shared" ref="S38:X38" si="12">S14</f>
        <v>0.62632738746465022</v>
      </c>
      <c r="T38" s="85">
        <f t="shared" si="12"/>
        <v>-5.496424725937564E-2</v>
      </c>
      <c r="U38" s="85">
        <f t="shared" si="12"/>
        <v>0.15345827399756212</v>
      </c>
      <c r="V38" s="85">
        <f t="shared" si="12"/>
        <v>-3.2326688026479838E-2</v>
      </c>
      <c r="W38" s="85">
        <f t="shared" si="12"/>
        <v>3.9815105869094669</v>
      </c>
      <c r="X38" s="85">
        <f t="shared" si="12"/>
        <v>1.4582584571417348E-2</v>
      </c>
      <c r="Y38" s="1">
        <f t="shared" si="11"/>
        <v>0</v>
      </c>
      <c r="Z38" s="53"/>
    </row>
    <row r="39" spans="1:26" s="1" customFormat="1" x14ac:dyDescent="0.25">
      <c r="A39" s="53"/>
      <c r="B39" s="53"/>
      <c r="C39" s="87"/>
      <c r="D39" s="46"/>
      <c r="E39" s="46"/>
      <c r="F39" s="46"/>
      <c r="G39" s="46"/>
      <c r="H39" s="86"/>
      <c r="I39" s="46"/>
      <c r="J39" s="46"/>
      <c r="K39" s="46"/>
      <c r="L39" s="46"/>
      <c r="M39" s="57"/>
      <c r="N39" s="64"/>
      <c r="O39" s="53"/>
      <c r="P39" s="83">
        <f t="shared" ref="P39:P46" si="13">C39-2*$N39*P$11*C39</f>
        <v>0</v>
      </c>
      <c r="Q39" s="84">
        <f t="shared" si="3"/>
        <v>15</v>
      </c>
      <c r="R39" s="84">
        <f t="shared" si="4"/>
        <v>0</v>
      </c>
      <c r="S39" s="85">
        <f t="shared" ref="S39:U46" si="14">D39*(1-2*$N39*S$11)/S$9</f>
        <v>0</v>
      </c>
      <c r="T39" s="85">
        <f t="shared" si="14"/>
        <v>0</v>
      </c>
      <c r="U39" s="85">
        <f t="shared" si="14"/>
        <v>0</v>
      </c>
      <c r="V39" s="85">
        <f t="shared" ref="V39:V46" si="15">(I39+F39*dy-E39*dz)*(1-2*$N39*V$11)/V$9</f>
        <v>0</v>
      </c>
      <c r="W39" s="85">
        <f t="shared" ref="W39:W46" si="16">(J39+D39*dz-F39*dx)*(1-2*$N39*W$11)/W$9</f>
        <v>0</v>
      </c>
      <c r="X39" s="85">
        <f t="shared" ref="X39:X46" si="17">(K39+E39*dx-D39*dy)*(1-2*$N39*X$11)/X$9</f>
        <v>0</v>
      </c>
      <c r="Y39" s="1">
        <f t="shared" si="11"/>
        <v>0</v>
      </c>
      <c r="Z39" s="53"/>
    </row>
    <row r="40" spans="1:26" s="1" customFormat="1" x14ac:dyDescent="0.25">
      <c r="A40" s="53"/>
      <c r="B40" s="53"/>
      <c r="C40" s="87"/>
      <c r="D40" s="46"/>
      <c r="E40" s="46"/>
      <c r="F40" s="46"/>
      <c r="G40" s="46"/>
      <c r="H40" s="86"/>
      <c r="I40" s="46"/>
      <c r="J40" s="46"/>
      <c r="K40" s="46"/>
      <c r="L40" s="46"/>
      <c r="M40" s="57"/>
      <c r="N40" s="64"/>
      <c r="O40" s="53"/>
      <c r="P40" s="83">
        <f t="shared" si="13"/>
        <v>0</v>
      </c>
      <c r="Q40" s="84">
        <f t="shared" si="3"/>
        <v>15</v>
      </c>
      <c r="R40" s="84">
        <f t="shared" si="4"/>
        <v>0</v>
      </c>
      <c r="S40" s="85">
        <f t="shared" si="14"/>
        <v>0</v>
      </c>
      <c r="T40" s="85">
        <f t="shared" si="14"/>
        <v>0</v>
      </c>
      <c r="U40" s="85">
        <f t="shared" si="14"/>
        <v>0</v>
      </c>
      <c r="V40" s="85">
        <f t="shared" si="15"/>
        <v>0</v>
      </c>
      <c r="W40" s="85">
        <f t="shared" si="16"/>
        <v>0</v>
      </c>
      <c r="X40" s="85">
        <f t="shared" si="17"/>
        <v>0</v>
      </c>
      <c r="Y40" s="1">
        <f t="shared" si="11"/>
        <v>0</v>
      </c>
      <c r="Z40" s="53"/>
    </row>
    <row r="41" spans="1:26" s="1" customFormat="1" x14ac:dyDescent="0.25">
      <c r="A41" s="53"/>
      <c r="B41" s="53"/>
      <c r="C41" s="87"/>
      <c r="D41" s="46"/>
      <c r="E41" s="46"/>
      <c r="F41" s="46"/>
      <c r="G41" s="46"/>
      <c r="H41" s="86"/>
      <c r="I41" s="46"/>
      <c r="J41" s="46"/>
      <c r="K41" s="46"/>
      <c r="L41" s="46"/>
      <c r="M41" s="57"/>
      <c r="N41" s="64"/>
      <c r="O41" s="53"/>
      <c r="P41" s="83">
        <f t="shared" si="13"/>
        <v>0</v>
      </c>
      <c r="Q41" s="84">
        <f t="shared" si="3"/>
        <v>15</v>
      </c>
      <c r="R41" s="84">
        <f t="shared" si="4"/>
        <v>0</v>
      </c>
      <c r="S41" s="85">
        <f t="shared" si="14"/>
        <v>0</v>
      </c>
      <c r="T41" s="85">
        <f t="shared" si="14"/>
        <v>0</v>
      </c>
      <c r="U41" s="85">
        <f t="shared" si="14"/>
        <v>0</v>
      </c>
      <c r="V41" s="85">
        <f t="shared" si="15"/>
        <v>0</v>
      </c>
      <c r="W41" s="85">
        <f t="shared" si="16"/>
        <v>0</v>
      </c>
      <c r="X41" s="85">
        <f t="shared" si="17"/>
        <v>0</v>
      </c>
      <c r="Y41" s="1">
        <f t="shared" si="11"/>
        <v>0</v>
      </c>
      <c r="Z41" s="53"/>
    </row>
    <row r="42" spans="1:26" s="1" customFormat="1" x14ac:dyDescent="0.25">
      <c r="A42" s="53"/>
      <c r="B42" s="53"/>
      <c r="C42" s="87"/>
      <c r="D42" s="46"/>
      <c r="E42" s="46"/>
      <c r="F42" s="46"/>
      <c r="G42" s="46"/>
      <c r="H42" s="86"/>
      <c r="I42" s="46"/>
      <c r="J42" s="46"/>
      <c r="K42" s="46"/>
      <c r="L42" s="46"/>
      <c r="M42" s="57"/>
      <c r="N42" s="64"/>
      <c r="O42" s="53"/>
      <c r="P42" s="83">
        <f t="shared" si="13"/>
        <v>0</v>
      </c>
      <c r="Q42" s="84">
        <f t="shared" si="3"/>
        <v>15</v>
      </c>
      <c r="R42" s="84">
        <f t="shared" si="4"/>
        <v>0</v>
      </c>
      <c r="S42" s="85">
        <f t="shared" si="14"/>
        <v>0</v>
      </c>
      <c r="T42" s="85">
        <f t="shared" si="14"/>
        <v>0</v>
      </c>
      <c r="U42" s="85">
        <f t="shared" si="14"/>
        <v>0</v>
      </c>
      <c r="V42" s="85">
        <f t="shared" si="15"/>
        <v>0</v>
      </c>
      <c r="W42" s="85">
        <f t="shared" si="16"/>
        <v>0</v>
      </c>
      <c r="X42" s="85">
        <f t="shared" si="17"/>
        <v>0</v>
      </c>
      <c r="Y42" s="1">
        <f t="shared" si="11"/>
        <v>0</v>
      </c>
      <c r="Z42" s="53"/>
    </row>
    <row r="43" spans="1:26" s="1" customFormat="1" x14ac:dyDescent="0.25">
      <c r="A43" s="53"/>
      <c r="B43" s="53"/>
      <c r="C43" s="87"/>
      <c r="D43" s="46"/>
      <c r="E43" s="46"/>
      <c r="F43" s="46"/>
      <c r="G43" s="46"/>
      <c r="H43" s="86"/>
      <c r="I43" s="46"/>
      <c r="J43" s="46"/>
      <c r="K43" s="46"/>
      <c r="L43" s="46"/>
      <c r="M43" s="57"/>
      <c r="N43" s="64"/>
      <c r="O43" s="53"/>
      <c r="P43" s="83">
        <f t="shared" si="13"/>
        <v>0</v>
      </c>
      <c r="Q43" s="84">
        <f t="shared" si="3"/>
        <v>15</v>
      </c>
      <c r="R43" s="84">
        <f t="shared" si="4"/>
        <v>0</v>
      </c>
      <c r="S43" s="85">
        <f t="shared" si="14"/>
        <v>0</v>
      </c>
      <c r="T43" s="85">
        <f t="shared" si="14"/>
        <v>0</v>
      </c>
      <c r="U43" s="85">
        <f t="shared" si="14"/>
        <v>0</v>
      </c>
      <c r="V43" s="85">
        <f t="shared" si="15"/>
        <v>0</v>
      </c>
      <c r="W43" s="85">
        <f t="shared" si="16"/>
        <v>0</v>
      </c>
      <c r="X43" s="85">
        <f t="shared" si="17"/>
        <v>0</v>
      </c>
      <c r="Y43" s="1">
        <f t="shared" si="11"/>
        <v>0</v>
      </c>
      <c r="Z43" s="53"/>
    </row>
    <row r="44" spans="1:26" s="1" customFormat="1" x14ac:dyDescent="0.25">
      <c r="A44" s="53"/>
      <c r="B44" s="53"/>
      <c r="C44" s="87"/>
      <c r="D44" s="46"/>
      <c r="E44" s="46"/>
      <c r="F44" s="46"/>
      <c r="G44" s="46"/>
      <c r="H44" s="86"/>
      <c r="I44" s="46"/>
      <c r="J44" s="46"/>
      <c r="K44" s="46"/>
      <c r="L44" s="46"/>
      <c r="M44" s="57"/>
      <c r="N44" s="64"/>
      <c r="O44" s="53"/>
      <c r="P44" s="83">
        <f t="shared" si="13"/>
        <v>0</v>
      </c>
      <c r="Q44" s="84">
        <f t="shared" si="3"/>
        <v>15</v>
      </c>
      <c r="R44" s="84">
        <f t="shared" si="4"/>
        <v>0</v>
      </c>
      <c r="S44" s="85">
        <f t="shared" si="14"/>
        <v>0</v>
      </c>
      <c r="T44" s="85">
        <f t="shared" si="14"/>
        <v>0</v>
      </c>
      <c r="U44" s="85">
        <f t="shared" si="14"/>
        <v>0</v>
      </c>
      <c r="V44" s="85">
        <f t="shared" si="15"/>
        <v>0</v>
      </c>
      <c r="W44" s="85">
        <f t="shared" si="16"/>
        <v>0</v>
      </c>
      <c r="X44" s="85">
        <f t="shared" si="17"/>
        <v>0</v>
      </c>
      <c r="Y44" s="1">
        <f t="shared" si="11"/>
        <v>0</v>
      </c>
      <c r="Z44" s="53"/>
    </row>
    <row r="45" spans="1:26" s="1" customFormat="1" x14ac:dyDescent="0.25">
      <c r="A45" s="53"/>
      <c r="B45" s="53"/>
      <c r="C45" s="87"/>
      <c r="D45" s="46"/>
      <c r="E45" s="46"/>
      <c r="F45" s="46"/>
      <c r="G45" s="46"/>
      <c r="H45" s="86"/>
      <c r="I45" s="46"/>
      <c r="J45" s="46"/>
      <c r="K45" s="46"/>
      <c r="L45" s="46"/>
      <c r="M45" s="57"/>
      <c r="N45" s="64"/>
      <c r="O45" s="53"/>
      <c r="P45" s="83">
        <f t="shared" si="13"/>
        <v>0</v>
      </c>
      <c r="Q45" s="84">
        <f t="shared" si="3"/>
        <v>15</v>
      </c>
      <c r="R45" s="84">
        <f t="shared" si="4"/>
        <v>0</v>
      </c>
      <c r="S45" s="85">
        <f t="shared" si="14"/>
        <v>0</v>
      </c>
      <c r="T45" s="85">
        <f t="shared" si="14"/>
        <v>0</v>
      </c>
      <c r="U45" s="85">
        <f t="shared" si="14"/>
        <v>0</v>
      </c>
      <c r="V45" s="85">
        <f t="shared" si="15"/>
        <v>0</v>
      </c>
      <c r="W45" s="85">
        <f t="shared" si="16"/>
        <v>0</v>
      </c>
      <c r="X45" s="85">
        <f t="shared" si="17"/>
        <v>0</v>
      </c>
      <c r="Y45" s="1">
        <f t="shared" si="11"/>
        <v>0</v>
      </c>
      <c r="Z45" s="53"/>
    </row>
    <row r="46" spans="1:26" s="1" customFormat="1" x14ac:dyDescent="0.25">
      <c r="A46" s="53"/>
      <c r="B46" s="53"/>
      <c r="C46" s="87"/>
      <c r="D46" s="46"/>
      <c r="E46" s="46"/>
      <c r="F46" s="46"/>
      <c r="G46" s="46"/>
      <c r="H46" s="86"/>
      <c r="I46" s="46"/>
      <c r="J46" s="46"/>
      <c r="K46" s="46"/>
      <c r="L46" s="46"/>
      <c r="M46" s="57"/>
      <c r="N46" s="64"/>
      <c r="O46" s="53"/>
      <c r="P46" s="83">
        <f t="shared" si="13"/>
        <v>0</v>
      </c>
      <c r="Q46" s="84">
        <f t="shared" si="3"/>
        <v>15</v>
      </c>
      <c r="R46" s="84">
        <f t="shared" si="4"/>
        <v>0</v>
      </c>
      <c r="S46" s="85">
        <f t="shared" si="14"/>
        <v>0</v>
      </c>
      <c r="T46" s="85">
        <f t="shared" si="14"/>
        <v>0</v>
      </c>
      <c r="U46" s="85">
        <f t="shared" si="14"/>
        <v>0</v>
      </c>
      <c r="V46" s="85">
        <f t="shared" si="15"/>
        <v>0</v>
      </c>
      <c r="W46" s="85">
        <f t="shared" si="16"/>
        <v>0</v>
      </c>
      <c r="X46" s="85">
        <f t="shared" si="17"/>
        <v>0</v>
      </c>
      <c r="Y46" s="1">
        <f t="shared" si="11"/>
        <v>0</v>
      </c>
      <c r="Z46" s="53"/>
    </row>
    <row r="47" spans="1:26" s="1" customFormat="1" x14ac:dyDescent="0.25">
      <c r="A47" s="53"/>
      <c r="B47" s="53"/>
      <c r="C47" s="87"/>
      <c r="D47" s="46"/>
      <c r="E47" s="46"/>
      <c r="F47" s="46"/>
      <c r="G47" s="46"/>
      <c r="H47" s="86"/>
      <c r="I47" s="46"/>
      <c r="J47" s="46"/>
      <c r="K47" s="46"/>
      <c r="L47" s="46"/>
      <c r="M47" s="57"/>
      <c r="N47" s="64"/>
      <c r="O47" s="53"/>
      <c r="P47" s="83"/>
      <c r="Q47" s="84"/>
      <c r="R47" s="84"/>
      <c r="S47" s="85"/>
      <c r="T47" s="85"/>
      <c r="U47" s="85"/>
      <c r="V47" s="85"/>
      <c r="W47" s="85"/>
      <c r="X47" s="85"/>
      <c r="Z47" s="53"/>
    </row>
    <row r="48" spans="1:26" s="1" customFormat="1" x14ac:dyDescent="0.25">
      <c r="A48" s="53"/>
      <c r="B48" s="53"/>
      <c r="C48" s="87"/>
      <c r="D48" s="46"/>
      <c r="E48" s="46"/>
      <c r="F48" s="46"/>
      <c r="G48" s="46"/>
      <c r="H48" s="86"/>
      <c r="I48" s="46"/>
      <c r="J48" s="46"/>
      <c r="K48" s="46"/>
      <c r="L48" s="46"/>
      <c r="M48" s="57"/>
      <c r="N48" s="64"/>
      <c r="O48" s="53"/>
      <c r="P48" s="83"/>
      <c r="Q48" s="84"/>
      <c r="R48" s="84"/>
      <c r="S48" s="85"/>
      <c r="T48" s="85"/>
      <c r="U48" s="85"/>
      <c r="V48" s="85"/>
      <c r="W48" s="85"/>
      <c r="X48" s="85"/>
      <c r="Z48" s="53"/>
    </row>
    <row r="49" spans="1:26" s="1" customFormat="1" x14ac:dyDescent="0.25">
      <c r="A49" s="53"/>
      <c r="B49" s="53"/>
      <c r="C49" s="87"/>
      <c r="D49" s="46"/>
      <c r="E49" s="46"/>
      <c r="F49" s="46"/>
      <c r="G49" s="46"/>
      <c r="H49" s="86"/>
      <c r="I49" s="46"/>
      <c r="J49" s="46"/>
      <c r="K49" s="46"/>
      <c r="L49" s="46"/>
      <c r="M49" s="57"/>
      <c r="N49" s="64"/>
      <c r="O49" s="53"/>
      <c r="P49" s="83"/>
      <c r="Q49" s="84"/>
      <c r="R49" s="84"/>
      <c r="S49" s="85"/>
      <c r="T49" s="85"/>
      <c r="U49" s="85"/>
      <c r="V49" s="85"/>
      <c r="W49" s="85"/>
      <c r="X49" s="85"/>
      <c r="Z49" s="53"/>
    </row>
    <row r="50" spans="1:26" s="1" customFormat="1" x14ac:dyDescent="0.25">
      <c r="A50" s="53"/>
      <c r="B50" s="53"/>
      <c r="C50" s="87"/>
      <c r="D50" s="46"/>
      <c r="E50" s="46"/>
      <c r="F50" s="46"/>
      <c r="G50" s="46"/>
      <c r="H50" s="86"/>
      <c r="I50" s="46"/>
      <c r="J50" s="46"/>
      <c r="K50" s="46"/>
      <c r="L50" s="46"/>
      <c r="M50" s="57"/>
      <c r="N50" s="64"/>
      <c r="O50" s="53"/>
      <c r="P50" s="83"/>
      <c r="Q50" s="84"/>
      <c r="R50" s="84"/>
      <c r="S50" s="85"/>
      <c r="T50" s="85"/>
      <c r="U50" s="85"/>
      <c r="V50" s="85"/>
      <c r="W50" s="85"/>
      <c r="X50" s="85"/>
      <c r="Z50" s="53"/>
    </row>
    <row r="51" spans="1:26" s="1" customFormat="1" x14ac:dyDescent="0.25">
      <c r="A51" s="53"/>
      <c r="B51" s="53"/>
      <c r="C51" s="87"/>
      <c r="D51" s="46"/>
      <c r="E51" s="46"/>
      <c r="F51" s="46"/>
      <c r="G51" s="46"/>
      <c r="H51" s="86"/>
      <c r="I51" s="46"/>
      <c r="J51" s="46"/>
      <c r="K51" s="46"/>
      <c r="L51" s="46"/>
      <c r="M51" s="57"/>
      <c r="N51" s="64"/>
      <c r="O51" s="53"/>
      <c r="P51" s="83"/>
      <c r="Q51" s="84"/>
      <c r="R51" s="84"/>
      <c r="S51" s="85"/>
      <c r="T51" s="85"/>
      <c r="U51" s="85"/>
      <c r="V51" s="85"/>
      <c r="W51" s="85"/>
      <c r="X51" s="85"/>
      <c r="Z51" s="53"/>
    </row>
    <row r="52" spans="1:26" s="1" customFormat="1" x14ac:dyDescent="0.25">
      <c r="A52" s="53"/>
      <c r="B52" s="53"/>
      <c r="C52" s="87"/>
      <c r="D52" s="46"/>
      <c r="E52" s="46"/>
      <c r="F52" s="46"/>
      <c r="G52" s="46"/>
      <c r="H52" s="86"/>
      <c r="I52" s="46"/>
      <c r="J52" s="46"/>
      <c r="K52" s="46"/>
      <c r="L52" s="46"/>
      <c r="M52" s="57"/>
      <c r="N52" s="64"/>
      <c r="O52" s="53"/>
      <c r="P52" s="83"/>
      <c r="Q52" s="84"/>
      <c r="R52" s="84"/>
      <c r="S52" s="85"/>
      <c r="T52" s="85"/>
      <c r="U52" s="85"/>
      <c r="V52" s="85"/>
      <c r="W52" s="85"/>
      <c r="X52" s="85"/>
      <c r="Z52" s="53"/>
    </row>
    <row r="53" spans="1:26" s="1" customFormat="1" x14ac:dyDescent="0.25">
      <c r="A53" s="53"/>
      <c r="B53" s="53"/>
      <c r="C53" s="87"/>
      <c r="D53" s="46"/>
      <c r="E53" s="46"/>
      <c r="F53" s="46"/>
      <c r="G53" s="46"/>
      <c r="H53" s="86"/>
      <c r="I53" s="46"/>
      <c r="J53" s="46"/>
      <c r="K53" s="46"/>
      <c r="L53" s="46"/>
      <c r="M53" s="57"/>
      <c r="N53" s="64"/>
      <c r="O53" s="53"/>
      <c r="P53" s="83"/>
      <c r="Q53" s="84"/>
      <c r="R53" s="84"/>
      <c r="S53" s="85"/>
      <c r="T53" s="85"/>
      <c r="U53" s="85"/>
      <c r="V53" s="85"/>
      <c r="W53" s="85"/>
      <c r="X53" s="85"/>
      <c r="Z53" s="53"/>
    </row>
    <row r="54" spans="1:26" s="1" customFormat="1" x14ac:dyDescent="0.25">
      <c r="A54" s="53"/>
      <c r="B54" s="53"/>
      <c r="C54" s="87"/>
      <c r="D54" s="46"/>
      <c r="E54" s="46"/>
      <c r="F54" s="46"/>
      <c r="G54" s="46"/>
      <c r="H54" s="86"/>
      <c r="I54" s="46"/>
      <c r="J54" s="46"/>
      <c r="K54" s="46"/>
      <c r="L54" s="46"/>
      <c r="M54" s="57"/>
      <c r="N54" s="64"/>
      <c r="O54" s="53"/>
      <c r="P54" s="83"/>
      <c r="Q54" s="84"/>
      <c r="R54" s="84"/>
      <c r="S54" s="85"/>
      <c r="T54" s="85"/>
      <c r="U54" s="85"/>
      <c r="V54" s="85"/>
      <c r="W54" s="85"/>
      <c r="X54" s="85"/>
      <c r="Z54" s="53"/>
    </row>
    <row r="55" spans="1:26" s="1" customFormat="1" x14ac:dyDescent="0.25">
      <c r="A55" s="53"/>
      <c r="B55" s="53"/>
      <c r="C55" s="87"/>
      <c r="D55" s="46"/>
      <c r="E55" s="46"/>
      <c r="F55" s="46"/>
      <c r="G55" s="46"/>
      <c r="H55" s="86"/>
      <c r="I55" s="46"/>
      <c r="J55" s="46"/>
      <c r="K55" s="46"/>
      <c r="L55" s="46"/>
      <c r="M55" s="57"/>
      <c r="N55" s="64"/>
      <c r="O55" s="53"/>
      <c r="P55" s="83"/>
      <c r="Q55" s="84"/>
      <c r="R55" s="84"/>
      <c r="S55" s="85"/>
      <c r="T55" s="85"/>
      <c r="U55" s="85"/>
      <c r="V55" s="85"/>
      <c r="W55" s="85"/>
      <c r="X55" s="85"/>
      <c r="Z55" s="53"/>
    </row>
    <row r="56" spans="1:26" s="1" customFormat="1" x14ac:dyDescent="0.25">
      <c r="A56" s="53"/>
      <c r="B56" s="53"/>
      <c r="C56" s="87"/>
      <c r="D56" s="46"/>
      <c r="E56" s="46"/>
      <c r="F56" s="46"/>
      <c r="G56" s="46"/>
      <c r="H56" s="86"/>
      <c r="I56" s="46"/>
      <c r="J56" s="46"/>
      <c r="K56" s="46"/>
      <c r="L56" s="46"/>
      <c r="M56" s="57"/>
      <c r="N56" s="64"/>
      <c r="O56" s="53"/>
      <c r="P56" s="83"/>
      <c r="Q56" s="84"/>
      <c r="R56" s="84"/>
      <c r="S56" s="85"/>
      <c r="T56" s="85"/>
      <c r="U56" s="85"/>
      <c r="V56" s="85"/>
      <c r="W56" s="85"/>
      <c r="X56" s="85"/>
      <c r="Z56" s="53"/>
    </row>
    <row r="57" spans="1:26" s="1" customFormat="1" x14ac:dyDescent="0.25">
      <c r="A57" s="53"/>
      <c r="B57" s="53"/>
      <c r="C57" s="87"/>
      <c r="D57" s="46"/>
      <c r="E57" s="46"/>
      <c r="F57" s="46"/>
      <c r="G57" s="46"/>
      <c r="H57" s="86"/>
      <c r="I57" s="46"/>
      <c r="J57" s="46"/>
      <c r="K57" s="46"/>
      <c r="L57" s="46"/>
      <c r="M57" s="57"/>
      <c r="N57" s="64"/>
      <c r="O57" s="53"/>
      <c r="P57" s="83"/>
      <c r="Q57" s="84"/>
      <c r="R57" s="84"/>
      <c r="S57" s="85"/>
      <c r="T57" s="85"/>
      <c r="U57" s="85"/>
      <c r="V57" s="85"/>
      <c r="W57" s="85"/>
      <c r="X57" s="85"/>
      <c r="Z57" s="53"/>
    </row>
    <row r="58" spans="1:26" s="1" customFormat="1" x14ac:dyDescent="0.25">
      <c r="A58" s="53"/>
      <c r="B58" s="53"/>
      <c r="C58" s="87"/>
      <c r="D58" s="46"/>
      <c r="E58" s="46"/>
      <c r="F58" s="46"/>
      <c r="G58" s="46"/>
      <c r="H58" s="86"/>
      <c r="I58" s="46"/>
      <c r="J58" s="46"/>
      <c r="K58" s="46"/>
      <c r="L58" s="46"/>
      <c r="M58" s="57"/>
      <c r="N58" s="64"/>
      <c r="O58" s="53"/>
      <c r="P58" s="83"/>
      <c r="Q58" s="84"/>
      <c r="R58" s="84"/>
      <c r="S58" s="85"/>
      <c r="T58" s="85"/>
      <c r="U58" s="85"/>
      <c r="V58" s="85"/>
      <c r="W58" s="85"/>
      <c r="X58" s="85"/>
      <c r="Z58" s="53"/>
    </row>
    <row r="59" spans="1:26" s="1" customFormat="1" x14ac:dyDescent="0.25">
      <c r="A59" s="53"/>
      <c r="B59" s="53"/>
      <c r="C59" s="87"/>
      <c r="D59" s="46"/>
      <c r="E59" s="46"/>
      <c r="F59" s="46"/>
      <c r="G59" s="46"/>
      <c r="H59" s="86"/>
      <c r="I59" s="46"/>
      <c r="J59" s="46"/>
      <c r="K59" s="46"/>
      <c r="L59" s="46"/>
      <c r="M59" s="57"/>
      <c r="N59" s="64"/>
      <c r="O59" s="53"/>
      <c r="P59" s="83"/>
      <c r="Q59" s="84"/>
      <c r="R59" s="84"/>
      <c r="S59" s="85"/>
      <c r="T59" s="85"/>
      <c r="U59" s="85"/>
      <c r="V59" s="85"/>
      <c r="W59" s="85"/>
      <c r="X59" s="85"/>
      <c r="Z59" s="53"/>
    </row>
    <row r="60" spans="1:26" s="1" customFormat="1" x14ac:dyDescent="0.25">
      <c r="A60" s="53"/>
      <c r="B60" s="53"/>
      <c r="C60" s="87"/>
      <c r="D60" s="46"/>
      <c r="E60" s="46"/>
      <c r="F60" s="46"/>
      <c r="G60" s="46"/>
      <c r="H60" s="86"/>
      <c r="I60" s="46"/>
      <c r="J60" s="46"/>
      <c r="K60" s="46"/>
      <c r="L60" s="46"/>
      <c r="M60" s="57"/>
      <c r="N60" s="64"/>
      <c r="O60" s="53"/>
      <c r="P60" s="83"/>
      <c r="Q60" s="84"/>
      <c r="R60" s="84"/>
      <c r="S60" s="85"/>
      <c r="T60" s="85"/>
      <c r="U60" s="85"/>
      <c r="V60" s="85"/>
      <c r="W60" s="85"/>
      <c r="X60" s="85"/>
      <c r="Z60" s="53"/>
    </row>
    <row r="61" spans="1:26" s="1" customFormat="1" x14ac:dyDescent="0.25">
      <c r="A61" s="53"/>
      <c r="B61" s="53"/>
      <c r="C61" s="87"/>
      <c r="D61" s="46"/>
      <c r="E61" s="46"/>
      <c r="F61" s="46"/>
      <c r="G61" s="46"/>
      <c r="H61" s="86"/>
      <c r="I61" s="46"/>
      <c r="J61" s="46"/>
      <c r="K61" s="46"/>
      <c r="L61" s="46"/>
      <c r="M61" s="57"/>
      <c r="N61" s="64"/>
      <c r="O61" s="53"/>
      <c r="P61" s="83"/>
      <c r="Q61" s="84"/>
      <c r="R61" s="84"/>
      <c r="S61" s="85"/>
      <c r="T61" s="85"/>
      <c r="U61" s="85"/>
      <c r="V61" s="85"/>
      <c r="W61" s="85"/>
      <c r="X61" s="85"/>
      <c r="Z61" s="53"/>
    </row>
    <row r="62" spans="1:26" s="1" customFormat="1" x14ac:dyDescent="0.25">
      <c r="A62" s="53"/>
      <c r="B62" s="53"/>
      <c r="C62" s="87"/>
      <c r="D62" s="46"/>
      <c r="E62" s="46"/>
      <c r="F62" s="46"/>
      <c r="G62" s="46"/>
      <c r="H62" s="86"/>
      <c r="I62" s="46"/>
      <c r="J62" s="46"/>
      <c r="K62" s="46"/>
      <c r="L62" s="46"/>
      <c r="M62" s="57"/>
      <c r="N62" s="64"/>
      <c r="O62" s="53"/>
      <c r="P62" s="83"/>
      <c r="Q62" s="84"/>
      <c r="R62" s="84"/>
      <c r="S62" s="85"/>
      <c r="T62" s="85"/>
      <c r="U62" s="85"/>
      <c r="V62" s="85"/>
      <c r="W62" s="85"/>
      <c r="X62" s="85"/>
      <c r="Z62" s="53"/>
    </row>
    <row r="63" spans="1:26" s="1" customFormat="1" x14ac:dyDescent="0.25">
      <c r="A63" s="53"/>
      <c r="B63" s="53"/>
      <c r="C63" s="87"/>
      <c r="D63" s="46"/>
      <c r="E63" s="46"/>
      <c r="F63" s="46"/>
      <c r="G63" s="46"/>
      <c r="H63" s="86"/>
      <c r="I63" s="46"/>
      <c r="J63" s="46"/>
      <c r="K63" s="46"/>
      <c r="L63" s="46"/>
      <c r="M63" s="57"/>
      <c r="N63" s="64"/>
      <c r="O63" s="53"/>
      <c r="P63" s="83"/>
      <c r="Q63" s="84"/>
      <c r="R63" s="84"/>
      <c r="S63" s="85"/>
      <c r="T63" s="85"/>
      <c r="U63" s="85"/>
      <c r="V63" s="85"/>
      <c r="W63" s="85"/>
      <c r="X63" s="85"/>
      <c r="Z63" s="53"/>
    </row>
    <row r="64" spans="1:26" s="1" customFormat="1" x14ac:dyDescent="0.25">
      <c r="A64" s="53"/>
      <c r="B64" s="53"/>
      <c r="C64" s="87"/>
      <c r="D64" s="46"/>
      <c r="E64" s="46"/>
      <c r="F64" s="46"/>
      <c r="G64" s="46"/>
      <c r="H64" s="86"/>
      <c r="I64" s="46"/>
      <c r="J64" s="46"/>
      <c r="K64" s="46"/>
      <c r="L64" s="46"/>
      <c r="M64" s="57"/>
      <c r="N64" s="64"/>
      <c r="O64" s="53"/>
      <c r="P64" s="83"/>
      <c r="Q64" s="84"/>
      <c r="R64" s="84"/>
      <c r="S64" s="85"/>
      <c r="T64" s="85"/>
      <c r="U64" s="85"/>
      <c r="V64" s="85"/>
      <c r="W64" s="85"/>
      <c r="X64" s="85"/>
      <c r="Z64" s="53"/>
    </row>
    <row r="65" spans="1:26" s="1" customFormat="1" x14ac:dyDescent="0.25">
      <c r="A65" s="53"/>
      <c r="B65" s="53"/>
      <c r="C65" s="87"/>
      <c r="D65" s="46"/>
      <c r="E65" s="46"/>
      <c r="F65" s="46"/>
      <c r="G65" s="46"/>
      <c r="H65" s="86"/>
      <c r="I65" s="46"/>
      <c r="J65" s="46"/>
      <c r="K65" s="46"/>
      <c r="L65" s="46"/>
      <c r="M65" s="57"/>
      <c r="N65" s="64"/>
      <c r="O65" s="53"/>
      <c r="P65" s="83"/>
      <c r="Q65" s="84"/>
      <c r="R65" s="84"/>
      <c r="S65" s="85"/>
      <c r="T65" s="85"/>
      <c r="U65" s="85"/>
      <c r="V65" s="85"/>
      <c r="W65" s="85"/>
      <c r="X65" s="85"/>
      <c r="Z65" s="53"/>
    </row>
    <row r="66" spans="1:26" s="1" customFormat="1" x14ac:dyDescent="0.25">
      <c r="A66" s="53"/>
      <c r="B66" s="53"/>
      <c r="C66" s="87"/>
      <c r="D66" s="46"/>
      <c r="E66" s="46"/>
      <c r="F66" s="46"/>
      <c r="G66" s="46"/>
      <c r="H66" s="86"/>
      <c r="I66" s="46"/>
      <c r="J66" s="46"/>
      <c r="K66" s="46"/>
      <c r="L66" s="46"/>
      <c r="M66" s="57"/>
      <c r="N66" s="64"/>
      <c r="O66" s="53"/>
      <c r="P66" s="83"/>
      <c r="Q66" s="84"/>
      <c r="R66" s="84"/>
      <c r="S66" s="85"/>
      <c r="T66" s="85"/>
      <c r="U66" s="85"/>
      <c r="V66" s="85"/>
      <c r="W66" s="85"/>
      <c r="X66" s="85"/>
      <c r="Z66" s="53"/>
    </row>
    <row r="67" spans="1:26" s="1" customFormat="1" x14ac:dyDescent="0.25">
      <c r="A67" s="53"/>
      <c r="B67" s="53"/>
      <c r="C67" s="87"/>
      <c r="D67" s="46"/>
      <c r="E67" s="46"/>
      <c r="F67" s="46"/>
      <c r="G67" s="46"/>
      <c r="H67" s="86"/>
      <c r="I67" s="46"/>
      <c r="J67" s="46"/>
      <c r="K67" s="46"/>
      <c r="L67" s="46"/>
      <c r="M67" s="57"/>
      <c r="N67" s="64"/>
      <c r="O67" s="53"/>
      <c r="P67" s="83"/>
      <c r="Q67" s="84"/>
      <c r="R67" s="84"/>
      <c r="S67" s="85"/>
      <c r="T67" s="85"/>
      <c r="U67" s="85"/>
      <c r="V67" s="85"/>
      <c r="W67" s="85"/>
      <c r="X67" s="85"/>
      <c r="Z67" s="53"/>
    </row>
  </sheetData>
  <mergeCells count="8">
    <mergeCell ref="D11:F11"/>
    <mergeCell ref="I11:K11"/>
    <mergeCell ref="S2:U2"/>
    <mergeCell ref="V2:X2"/>
    <mergeCell ref="D9:F9"/>
    <mergeCell ref="I9:K9"/>
    <mergeCell ref="S10:U10"/>
    <mergeCell ref="V10:X10"/>
  </mergeCells>
  <pageMargins left="0.7" right="0.7" top="0.75" bottom="0.75" header="0.511811023622047" footer="0.511811023622047"/>
  <pageSetup paperSize="9" orientation="portrait" horizontalDpi="300" verticalDpi="300" r:id="rId1"/>
  <headerFooter>
    <oddFooter>&amp;C_x000D_&amp;1#&amp;"Trebuchet MS"&amp;8&amp;K22505F Saipem Classification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31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135</vt:i4>
      </vt:variant>
    </vt:vector>
  </HeadingPairs>
  <TitlesOfParts>
    <vt:vector size="169" baseType="lpstr">
      <vt:lpstr>Intro</vt:lpstr>
      <vt:lpstr>inputs</vt:lpstr>
      <vt:lpstr>Mz-data</vt:lpstr>
      <vt:lpstr>orcaflex_comp</vt:lpstr>
      <vt:lpstr>orcaflex-acma</vt:lpstr>
      <vt:lpstr>longitudinal-acma</vt:lpstr>
      <vt:lpstr>longitudinal-marin</vt:lpstr>
      <vt:lpstr>Report_table_graphs</vt:lpstr>
      <vt:lpstr>Reference_FSTs_light</vt:lpstr>
      <vt:lpstr>Reference_FSTs_full</vt:lpstr>
      <vt:lpstr>Reference_LNGC_light</vt:lpstr>
      <vt:lpstr>Reference_LNGC_full</vt:lpstr>
      <vt:lpstr>openDomain_long_FST1</vt:lpstr>
      <vt:lpstr>openDomain_long_FST2</vt:lpstr>
      <vt:lpstr>topoDomain_long_FST1</vt:lpstr>
      <vt:lpstr>topoDomain_long_FST2</vt:lpstr>
      <vt:lpstr>openDomain_trans_FST1</vt:lpstr>
      <vt:lpstr>openDomain_trans_FST2</vt:lpstr>
      <vt:lpstr>openDomain_trans_FST2_noApp</vt:lpstr>
      <vt:lpstr>openDomain_trans_FST2_hull</vt:lpstr>
      <vt:lpstr>openDomain_trans_FST2_topside</vt:lpstr>
      <vt:lpstr>openDomain_trans_full_FST1</vt:lpstr>
      <vt:lpstr>openDomain_trans_full_FST2</vt:lpstr>
      <vt:lpstr>topoDomain_trans_FST1</vt:lpstr>
      <vt:lpstr>topoDomain_trans_FST2</vt:lpstr>
      <vt:lpstr>openDomain_trans_LNGC_FST1</vt:lpstr>
      <vt:lpstr>openDomain_trans_LNGC_FST2</vt:lpstr>
      <vt:lpstr>openDomain_trans_LNGC_LNGC</vt:lpstr>
      <vt:lpstr>openDomain_trans_full_LNGC_FST1</vt:lpstr>
      <vt:lpstr>openDomain_trans_full_LNGC_FST2</vt:lpstr>
      <vt:lpstr>openDomain_trans_full_LNGC_LNGC</vt:lpstr>
      <vt:lpstr>F</vt:lpstr>
      <vt:lpstr>M</vt:lpstr>
      <vt:lpstr>Mz</vt:lpstr>
      <vt:lpstr>Reference_FSTs_full!Afx</vt:lpstr>
      <vt:lpstr>Reference_FSTs_light!Afx</vt:lpstr>
      <vt:lpstr>Reference_LNGC_full!Afx</vt:lpstr>
      <vt:lpstr>Reference_LNGC_light!Afx</vt:lpstr>
      <vt:lpstr>Reference_FSTs_full!Afy</vt:lpstr>
      <vt:lpstr>Reference_FSTs_light!Afy</vt:lpstr>
      <vt:lpstr>Reference_LNGC_full!Afy</vt:lpstr>
      <vt:lpstr>Reference_LNGC_light!Afy</vt:lpstr>
      <vt:lpstr>Reference_FSTs_full!Afz</vt:lpstr>
      <vt:lpstr>Reference_FSTs_light!Afz</vt:lpstr>
      <vt:lpstr>Reference_LNGC_full!Afz</vt:lpstr>
      <vt:lpstr>Reference_LNGC_light!Afz</vt:lpstr>
      <vt:lpstr>Reference_FSTs_full!Amx</vt:lpstr>
      <vt:lpstr>Reference_FSTs_light!Amx</vt:lpstr>
      <vt:lpstr>Reference_LNGC_full!Amx</vt:lpstr>
      <vt:lpstr>Reference_LNGC_light!Amx</vt:lpstr>
      <vt:lpstr>Reference_FSTs_full!Amy</vt:lpstr>
      <vt:lpstr>Reference_FSTs_light!Amy</vt:lpstr>
      <vt:lpstr>Reference_LNGC_full!Amy</vt:lpstr>
      <vt:lpstr>Reference_LNGC_light!Amy</vt:lpstr>
      <vt:lpstr>Reference_FSTs_full!Amz</vt:lpstr>
      <vt:lpstr>Reference_FSTs_light!Amz</vt:lpstr>
      <vt:lpstr>Reference_LNGC_full!Amz</vt:lpstr>
      <vt:lpstr>Reference_LNGC_light!Amz</vt:lpstr>
      <vt:lpstr>Reference_FSTs_full!B</vt:lpstr>
      <vt:lpstr>Reference_FSTs_light!B</vt:lpstr>
      <vt:lpstr>Reference_LNGC_full!B</vt:lpstr>
      <vt:lpstr>Reference_LNGC_light!B</vt:lpstr>
      <vt:lpstr>openDomain_long_FST2!dx</vt:lpstr>
      <vt:lpstr>openDomain_trans_FST1!dx</vt:lpstr>
      <vt:lpstr>openDomain_trans_FST2!dx</vt:lpstr>
      <vt:lpstr>openDomain_trans_FST2_hull!dx</vt:lpstr>
      <vt:lpstr>openDomain_trans_FST2_noApp!dx</vt:lpstr>
      <vt:lpstr>openDomain_trans_FST2_topside!dx</vt:lpstr>
      <vt:lpstr>openDomain_trans_full_FST1!dx</vt:lpstr>
      <vt:lpstr>openDomain_trans_full_FST2!dx</vt:lpstr>
      <vt:lpstr>openDomain_trans_full_LNGC_FST1!dx</vt:lpstr>
      <vt:lpstr>openDomain_trans_full_LNGC_FST2!dx</vt:lpstr>
      <vt:lpstr>openDomain_trans_full_LNGC_LNGC!dx</vt:lpstr>
      <vt:lpstr>openDomain_trans_LNGC_FST1!dx</vt:lpstr>
      <vt:lpstr>openDomain_trans_LNGC_FST2!dx</vt:lpstr>
      <vt:lpstr>openDomain_trans_LNGC_LNGC!dx</vt:lpstr>
      <vt:lpstr>topoDomain_long_FST1!dx</vt:lpstr>
      <vt:lpstr>topoDomain_long_FST2!dx</vt:lpstr>
      <vt:lpstr>topoDomain_trans_FST1!dx</vt:lpstr>
      <vt:lpstr>topoDomain_trans_FST2!dx</vt:lpstr>
      <vt:lpstr>dx</vt:lpstr>
      <vt:lpstr>openDomain_long_FST2!dy</vt:lpstr>
      <vt:lpstr>openDomain_trans_FST1!dy</vt:lpstr>
      <vt:lpstr>openDomain_trans_FST2!dy</vt:lpstr>
      <vt:lpstr>openDomain_trans_FST2_hull!dy</vt:lpstr>
      <vt:lpstr>openDomain_trans_FST2_noApp!dy</vt:lpstr>
      <vt:lpstr>openDomain_trans_FST2_topside!dy</vt:lpstr>
      <vt:lpstr>openDomain_trans_full_FST1!dy</vt:lpstr>
      <vt:lpstr>openDomain_trans_full_FST2!dy</vt:lpstr>
      <vt:lpstr>openDomain_trans_full_LNGC_FST1!dy</vt:lpstr>
      <vt:lpstr>openDomain_trans_full_LNGC_FST2!dy</vt:lpstr>
      <vt:lpstr>openDomain_trans_full_LNGC_LNGC!dy</vt:lpstr>
      <vt:lpstr>openDomain_trans_LNGC_FST1!dy</vt:lpstr>
      <vt:lpstr>openDomain_trans_LNGC_FST2!dy</vt:lpstr>
      <vt:lpstr>openDomain_trans_LNGC_LNGC!dy</vt:lpstr>
      <vt:lpstr>topoDomain_long_FST1!dy</vt:lpstr>
      <vt:lpstr>topoDomain_long_FST2!dy</vt:lpstr>
      <vt:lpstr>topoDomain_trans_FST1!dy</vt:lpstr>
      <vt:lpstr>topoDomain_trans_FST2!dy</vt:lpstr>
      <vt:lpstr>dy</vt:lpstr>
      <vt:lpstr>openDomain_long_FST2!dz</vt:lpstr>
      <vt:lpstr>openDomain_trans_FST1!dz</vt:lpstr>
      <vt:lpstr>openDomain_trans_FST2!dz</vt:lpstr>
      <vt:lpstr>openDomain_trans_FST2_hull!dz</vt:lpstr>
      <vt:lpstr>openDomain_trans_FST2_noApp!dz</vt:lpstr>
      <vt:lpstr>openDomain_trans_FST2_topside!dz</vt:lpstr>
      <vt:lpstr>openDomain_trans_full_FST1!dz</vt:lpstr>
      <vt:lpstr>openDomain_trans_full_FST2!dz</vt:lpstr>
      <vt:lpstr>openDomain_trans_full_LNGC_FST1!dz</vt:lpstr>
      <vt:lpstr>openDomain_trans_full_LNGC_FST2!dz</vt:lpstr>
      <vt:lpstr>openDomain_trans_full_LNGC_LNGC!dz</vt:lpstr>
      <vt:lpstr>openDomain_trans_LNGC_FST1!dz</vt:lpstr>
      <vt:lpstr>openDomain_trans_LNGC_FST2!dz</vt:lpstr>
      <vt:lpstr>openDomain_trans_LNGC_LNGC!dz</vt:lpstr>
      <vt:lpstr>topoDomain_long_FST1!dz</vt:lpstr>
      <vt:lpstr>topoDomain_long_FST2!dz</vt:lpstr>
      <vt:lpstr>topoDomain_trans_FST1!dz</vt:lpstr>
      <vt:lpstr>topoDomain_trans_FST2!dz</vt:lpstr>
      <vt:lpstr>dz</vt:lpstr>
      <vt:lpstr>Reference_FSTs_full!h</vt:lpstr>
      <vt:lpstr>Reference_LNGC_full!h</vt:lpstr>
      <vt:lpstr>Reference_LNGC_light!h</vt:lpstr>
      <vt:lpstr>h</vt:lpstr>
      <vt:lpstr>Reference_FSTs_full!L</vt:lpstr>
      <vt:lpstr>Reference_FSTs_light!L</vt:lpstr>
      <vt:lpstr>Reference_LNGC_full!L</vt:lpstr>
      <vt:lpstr>Reference_LNGC_light!L</vt:lpstr>
      <vt:lpstr>openDomain_long_FST1!rho</vt:lpstr>
      <vt:lpstr>openDomain_long_FST2!rho</vt:lpstr>
      <vt:lpstr>openDomain_trans_FST1!rho</vt:lpstr>
      <vt:lpstr>openDomain_trans_FST2!rho</vt:lpstr>
      <vt:lpstr>openDomain_trans_FST2_hull!rho</vt:lpstr>
      <vt:lpstr>openDomain_trans_FST2_noApp!rho</vt:lpstr>
      <vt:lpstr>openDomain_trans_FST2_topside!rho</vt:lpstr>
      <vt:lpstr>openDomain_trans_full_FST1!rho</vt:lpstr>
      <vt:lpstr>openDomain_trans_full_FST2!rho</vt:lpstr>
      <vt:lpstr>openDomain_trans_full_LNGC_FST1!rho</vt:lpstr>
      <vt:lpstr>openDomain_trans_full_LNGC_FST2!rho</vt:lpstr>
      <vt:lpstr>openDomain_trans_full_LNGC_LNGC!rho</vt:lpstr>
      <vt:lpstr>openDomain_trans_LNGC_FST1!rho</vt:lpstr>
      <vt:lpstr>openDomain_trans_LNGC_FST2!rho</vt:lpstr>
      <vt:lpstr>openDomain_trans_LNGC_LNGC!rho</vt:lpstr>
      <vt:lpstr>Reference_FSTs_full!rho</vt:lpstr>
      <vt:lpstr>Reference_FSTs_light!rho</vt:lpstr>
      <vt:lpstr>topoDomain_long_FST1!rho</vt:lpstr>
      <vt:lpstr>topoDomain_long_FST2!rho</vt:lpstr>
      <vt:lpstr>topoDomain_trans_FST1!rho</vt:lpstr>
      <vt:lpstr>topoDomain_trans_FST2!rho</vt:lpstr>
      <vt:lpstr>openDomain_long_FST1!U</vt:lpstr>
      <vt:lpstr>openDomain_long_FST2!U</vt:lpstr>
      <vt:lpstr>openDomain_trans_FST1!U</vt:lpstr>
      <vt:lpstr>openDomain_trans_FST2!U</vt:lpstr>
      <vt:lpstr>openDomain_trans_FST2_hull!U</vt:lpstr>
      <vt:lpstr>openDomain_trans_FST2_noApp!U</vt:lpstr>
      <vt:lpstr>openDomain_trans_FST2_topside!U</vt:lpstr>
      <vt:lpstr>openDomain_trans_full_FST1!U</vt:lpstr>
      <vt:lpstr>openDomain_trans_full_FST2!U</vt:lpstr>
      <vt:lpstr>openDomain_trans_full_LNGC_FST1!U</vt:lpstr>
      <vt:lpstr>openDomain_trans_full_LNGC_FST2!U</vt:lpstr>
      <vt:lpstr>openDomain_trans_full_LNGC_LNGC!U</vt:lpstr>
      <vt:lpstr>openDomain_trans_LNGC_FST1!U</vt:lpstr>
      <vt:lpstr>openDomain_trans_LNGC_FST2!U</vt:lpstr>
      <vt:lpstr>openDomain_trans_LNGC_LNGC!U</vt:lpstr>
      <vt:lpstr>Reference_FSTs_full!U</vt:lpstr>
      <vt:lpstr>Reference_FSTs_light!U</vt:lpstr>
      <vt:lpstr>topoDomain_long_FST1!U</vt:lpstr>
      <vt:lpstr>topoDomain_long_FST2!U</vt:lpstr>
      <vt:lpstr>topoDomain_trans_FST1!U</vt:lpstr>
      <vt:lpstr>topoDomain_trans_FST2!U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Vamsee Achanta</cp:lastModifiedBy>
  <cp:revision>0</cp:revision>
  <dcterms:created xsi:type="dcterms:W3CDTF">2015-06-05T18:19:34Z</dcterms:created>
  <dcterms:modified xsi:type="dcterms:W3CDTF">2025-05-30T22:57:37Z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MSIP_Label_797eb324-6c8f-4366-ba47-706b295f9115_Enabled">
    <vt:lpwstr>true</vt:lpwstr>
  </property>
  <property fmtid="{D5CDD505-2E9C-101B-9397-08002B2CF9AE}" pid="4" name="MSIP_Label_797eb324-6c8f-4366-ba47-706b295f9115_SetDate">
    <vt:lpwstr>2024-02-05T00:25:28Z</vt:lpwstr>
  </property>
  <property fmtid="{D5CDD505-2E9C-101B-9397-08002B2CF9AE}" pid="5" name="MSIP_Label_797eb324-6c8f-4366-ba47-706b295f9115_Method">
    <vt:lpwstr>Standard</vt:lpwstr>
  </property>
  <property fmtid="{D5CDD505-2E9C-101B-9397-08002B2CF9AE}" pid="6" name="MSIP_Label_797eb324-6c8f-4366-ba47-706b295f9115_Name">
    <vt:lpwstr>General Use</vt:lpwstr>
  </property>
  <property fmtid="{D5CDD505-2E9C-101B-9397-08002B2CF9AE}" pid="7" name="MSIP_Label_797eb324-6c8f-4366-ba47-706b295f9115_SiteId">
    <vt:lpwstr>7a823e81-3527-485c-a629-67235afb2fa8</vt:lpwstr>
  </property>
  <property fmtid="{D5CDD505-2E9C-101B-9397-08002B2CF9AE}" pid="8" name="MSIP_Label_797eb324-6c8f-4366-ba47-706b295f9115_ActionId">
    <vt:lpwstr>a374c77e-1458-4b3d-b9dc-574867035c2c</vt:lpwstr>
  </property>
  <property fmtid="{D5CDD505-2E9C-101B-9397-08002B2CF9AE}" pid="9" name="MSIP_Label_797eb324-6c8f-4366-ba47-706b295f9115_ContentBits">
    <vt:lpwstr>2</vt:lpwstr>
  </property>
</Properties>
</file>