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9- Programming\APISTD2RD\Rev2\"/>
    </mc:Choice>
  </mc:AlternateContent>
  <bookViews>
    <workbookView xWindow="0" yWindow="0" windowWidth="20490" windowHeight="7755" firstSheet="1" activeTab="1"/>
  </bookViews>
  <sheets>
    <sheet name="Inputs" sheetId="3" r:id="rId1"/>
    <sheet name="APISTD 2RD_1" sheetId="4" r:id="rId2"/>
    <sheet name="BP VS Th" sheetId="7" r:id="rId3"/>
    <sheet name="CP VS TH" sheetId="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9" i="4" l="1"/>
  <c r="J69" i="4"/>
  <c r="I69" i="4"/>
  <c r="H69" i="4"/>
  <c r="G69" i="4"/>
  <c r="F69" i="4"/>
  <c r="E69" i="4"/>
  <c r="K67" i="4"/>
  <c r="J67" i="4"/>
  <c r="I67" i="4"/>
  <c r="H67" i="4"/>
  <c r="G67" i="4"/>
  <c r="F67" i="4"/>
  <c r="E67" i="4"/>
  <c r="K65" i="4"/>
  <c r="J65" i="4"/>
  <c r="I65" i="4"/>
  <c r="H65" i="4"/>
  <c r="G65" i="4"/>
  <c r="F65" i="4"/>
  <c r="E65" i="4"/>
  <c r="E85" i="4"/>
  <c r="K83" i="4"/>
  <c r="J83" i="4"/>
  <c r="I83" i="4"/>
  <c r="H83" i="4"/>
  <c r="G83" i="4"/>
  <c r="F83" i="4"/>
  <c r="E83" i="4"/>
  <c r="F76" i="4"/>
  <c r="G76" i="4"/>
  <c r="H76" i="4"/>
  <c r="I76" i="4"/>
  <c r="J76" i="4"/>
  <c r="K76" i="4"/>
  <c r="E76" i="4"/>
  <c r="K62" i="4"/>
  <c r="J62" i="4"/>
  <c r="I62" i="4"/>
  <c r="I63" i="4" s="1"/>
  <c r="H62" i="4"/>
  <c r="G62" i="4"/>
  <c r="F62" i="4"/>
  <c r="J63" i="4"/>
  <c r="H63" i="4"/>
  <c r="G63" i="4"/>
  <c r="F63" i="4"/>
  <c r="E62" i="4"/>
  <c r="E63" i="4" s="1"/>
  <c r="K63" i="4"/>
  <c r="E27" i="4"/>
  <c r="F55" i="4" l="1"/>
  <c r="F56" i="4" s="1"/>
  <c r="E56" i="4"/>
  <c r="G55" i="4" l="1"/>
  <c r="H55" i="4" l="1"/>
  <c r="G56" i="4"/>
  <c r="H56" i="4" l="1"/>
  <c r="I55" i="4"/>
  <c r="J55" i="4" l="1"/>
  <c r="I56" i="4"/>
  <c r="E87" i="4"/>
  <c r="E38" i="4"/>
  <c r="E41" i="4"/>
  <c r="E40" i="4"/>
  <c r="E39" i="4"/>
  <c r="F23" i="4"/>
  <c r="F24" i="4" s="1"/>
  <c r="F27" i="4"/>
  <c r="G27" i="4"/>
  <c r="H27" i="4"/>
  <c r="I27" i="4"/>
  <c r="J27" i="4"/>
  <c r="K27" i="4"/>
  <c r="E59" i="4"/>
  <c r="E24" i="4"/>
  <c r="K55" i="4" l="1"/>
  <c r="K56" i="4" s="1"/>
  <c r="J56" i="4"/>
  <c r="G23" i="4"/>
  <c r="E49" i="4"/>
  <c r="E50" i="4" s="1"/>
  <c r="E89" i="4" s="1"/>
  <c r="E91" i="4" s="1"/>
  <c r="G24" i="4" l="1"/>
  <c r="H23" i="4"/>
  <c r="E81" i="4"/>
  <c r="E140" i="4" l="1"/>
  <c r="E122" i="4"/>
  <c r="E107" i="4"/>
  <c r="H24" i="4"/>
  <c r="I23" i="4"/>
  <c r="F20" i="4"/>
  <c r="F85" i="4" s="1"/>
  <c r="F87" i="4" s="1"/>
  <c r="F18" i="4"/>
  <c r="G18" i="4" s="1"/>
  <c r="H18" i="4" s="1"/>
  <c r="I18" i="4" s="1"/>
  <c r="J18" i="4" s="1"/>
  <c r="K18" i="4" s="1"/>
  <c r="E71" i="4" l="1"/>
  <c r="G20" i="4"/>
  <c r="G81" i="4" s="1"/>
  <c r="I24" i="4"/>
  <c r="J23" i="4"/>
  <c r="G59" i="4"/>
  <c r="F81" i="4"/>
  <c r="F59" i="4"/>
  <c r="F53" i="4"/>
  <c r="G53" i="4"/>
  <c r="H53" i="4"/>
  <c r="I53" i="4"/>
  <c r="J53" i="4"/>
  <c r="K53" i="4"/>
  <c r="E53" i="4"/>
  <c r="E72" i="4" l="1"/>
  <c r="E78" i="4" s="1"/>
  <c r="E114" i="4"/>
  <c r="E127" i="4"/>
  <c r="H20" i="4"/>
  <c r="H59" i="4" s="1"/>
  <c r="H60" i="4" s="1"/>
  <c r="H74" i="4" s="1"/>
  <c r="G85" i="4"/>
  <c r="G87" i="4" s="1"/>
  <c r="K23" i="4"/>
  <c r="K24" i="4" s="1"/>
  <c r="J24" i="4"/>
  <c r="H81" i="4"/>
  <c r="F60" i="4"/>
  <c r="F74" i="4" s="1"/>
  <c r="G60" i="4"/>
  <c r="G74" i="4" s="1"/>
  <c r="E60" i="4"/>
  <c r="E74" i="4" s="1"/>
  <c r="I20" i="4" l="1"/>
  <c r="I85" i="4" s="1"/>
  <c r="I87" i="4" s="1"/>
  <c r="H85" i="4"/>
  <c r="H87" i="4" s="1"/>
  <c r="I59" i="4"/>
  <c r="I60" i="4" s="1"/>
  <c r="I74" i="4" s="1"/>
  <c r="I81" i="4"/>
  <c r="J20" i="4"/>
  <c r="J85" i="4" s="1"/>
  <c r="J87" i="4" s="1"/>
  <c r="I71" i="4"/>
  <c r="I72" i="4" s="1"/>
  <c r="I78" i="4" s="1"/>
  <c r="G71" i="4"/>
  <c r="G72" i="4" s="1"/>
  <c r="G78" i="4" s="1"/>
  <c r="F71" i="4"/>
  <c r="F72" i="4" s="1"/>
  <c r="F78" i="4" s="1"/>
  <c r="E21" i="4"/>
  <c r="F21" i="4"/>
  <c r="H71" i="4" l="1"/>
  <c r="H72" i="4" s="1"/>
  <c r="H78" i="4" s="1"/>
  <c r="J59" i="4"/>
  <c r="J60" i="4" s="1"/>
  <c r="J74" i="4" s="1"/>
  <c r="K20" i="4"/>
  <c r="K85" i="4" s="1"/>
  <c r="K87" i="4" s="1"/>
  <c r="J81" i="4"/>
  <c r="G21" i="4"/>
  <c r="J71" i="4" l="1"/>
  <c r="J72" i="4" s="1"/>
  <c r="J78" i="4" s="1"/>
  <c r="K59" i="4"/>
  <c r="K60" i="4" s="1"/>
  <c r="K74" i="4" s="1"/>
  <c r="K81" i="4"/>
  <c r="H21" i="4"/>
  <c r="K71" i="4" l="1"/>
  <c r="K72" i="4" s="1"/>
  <c r="K78" i="4" s="1"/>
  <c r="I21" i="4"/>
  <c r="J21" i="4" l="1"/>
  <c r="K21" i="4" l="1"/>
  <c r="D6" i="3" l="1"/>
</calcChain>
</file>

<file path=xl/sharedStrings.xml><?xml version="1.0" encoding="utf-8"?>
<sst xmlns="http://schemas.openxmlformats.org/spreadsheetml/2006/main" count="210" uniqueCount="143">
  <si>
    <t>k</t>
  </si>
  <si>
    <t>D</t>
  </si>
  <si>
    <t>t</t>
  </si>
  <si>
    <t>S</t>
  </si>
  <si>
    <t>ksi</t>
  </si>
  <si>
    <t>pb</t>
  </si>
  <si>
    <t>E</t>
  </si>
  <si>
    <t>pc</t>
  </si>
  <si>
    <t>Units</t>
  </si>
  <si>
    <t>U</t>
  </si>
  <si>
    <t>Geometry</t>
  </si>
  <si>
    <t>NominalOD</t>
  </si>
  <si>
    <t>NominalWT</t>
  </si>
  <si>
    <t>Material Properties</t>
  </si>
  <si>
    <t>Yield Strength</t>
  </si>
  <si>
    <t>m</t>
  </si>
  <si>
    <t>Loading</t>
  </si>
  <si>
    <t>Po</t>
  </si>
  <si>
    <t>Pi</t>
  </si>
  <si>
    <t>N</t>
  </si>
  <si>
    <t>pipeMoment</t>
  </si>
  <si>
    <t>Nm</t>
  </si>
  <si>
    <t>Corrosion/Wear/Erosion Allowance</t>
  </si>
  <si>
    <r>
      <t>t</t>
    </r>
    <r>
      <rPr>
        <sz val="8"/>
        <color theme="1"/>
        <rFont val="Calibri"/>
        <family val="2"/>
        <scheme val="minor"/>
      </rPr>
      <t>fab</t>
    </r>
  </si>
  <si>
    <r>
      <t>t</t>
    </r>
    <r>
      <rPr>
        <sz val="8"/>
        <color theme="1"/>
        <rFont val="Calibri"/>
        <family val="2"/>
        <scheme val="minor"/>
      </rPr>
      <t>ca</t>
    </r>
  </si>
  <si>
    <t>Poisson's Ratio</t>
  </si>
  <si>
    <t>v</t>
  </si>
  <si>
    <t>SMUS</t>
  </si>
  <si>
    <t>SMYS</t>
  </si>
  <si>
    <t>ExternalPressure</t>
  </si>
  <si>
    <t>InternalPressure</t>
  </si>
  <si>
    <t>TensionEffective</t>
  </si>
  <si>
    <t>Collapse Pressure</t>
  </si>
  <si>
    <t>Burst Pressure</t>
  </si>
  <si>
    <t>Mpa</t>
  </si>
  <si>
    <t>WallThickness</t>
  </si>
  <si>
    <t>Young'sModulus</t>
  </si>
  <si>
    <t>Ovality</t>
  </si>
  <si>
    <t>fabrication factor</t>
  </si>
  <si>
    <t>alphafab</t>
  </si>
  <si>
    <t>deltanot</t>
  </si>
  <si>
    <t>Elastic Collapse Pressure</t>
  </si>
  <si>
    <t>Plastic Collapse Pressure</t>
  </si>
  <si>
    <t>Pp</t>
  </si>
  <si>
    <t>collapse Pressure</t>
  </si>
  <si>
    <t>Pc</t>
  </si>
  <si>
    <t>Yield collapse Pressure</t>
  </si>
  <si>
    <t>Py</t>
  </si>
  <si>
    <t>SeamlessPipe</t>
  </si>
  <si>
    <t>UOE Pipe</t>
  </si>
  <si>
    <t>UO/TRB Pipe</t>
  </si>
  <si>
    <t>Plastic Moment</t>
  </si>
  <si>
    <t>Method1</t>
  </si>
  <si>
    <t>Design Factor</t>
  </si>
  <si>
    <t>ALS</t>
  </si>
  <si>
    <t>Production casing with tubing leak</t>
  </si>
  <si>
    <t>Drilling riser with extreme pressure</t>
  </si>
  <si>
    <t>Hydrostatic test</t>
  </si>
  <si>
    <t>Incidental pressure</t>
  </si>
  <si>
    <t>Design pressure</t>
  </si>
  <si>
    <t>SLS,ULS Cold Expanded Pipe</t>
  </si>
  <si>
    <t>SLS,ULS Seamless Pipe</t>
  </si>
  <si>
    <t>kNm</t>
  </si>
  <si>
    <t>kN</t>
  </si>
  <si>
    <t>≤1</t>
  </si>
  <si>
    <t>Method2</t>
  </si>
  <si>
    <t>Ref: DNVOS_F201</t>
  </si>
  <si>
    <t>Method3</t>
  </si>
  <si>
    <t>Method4</t>
  </si>
  <si>
    <t>Internal Over Pressure</t>
  </si>
  <si>
    <t>External Over Pressure</t>
  </si>
  <si>
    <t>FD=1</t>
  </si>
  <si>
    <t>Inputs</t>
  </si>
  <si>
    <t>Pipe Physical Properties</t>
  </si>
  <si>
    <t>Inch</t>
  </si>
  <si>
    <t>Meteres</t>
  </si>
  <si>
    <t>Pb</t>
  </si>
  <si>
    <t>Thickness of Pipe</t>
  </si>
  <si>
    <t>Parameter</t>
  </si>
  <si>
    <t>API Material Grades</t>
  </si>
  <si>
    <t>API Grade</t>
  </si>
  <si>
    <t xml:space="preserve">SMYS </t>
  </si>
  <si>
    <t>SMTS</t>
  </si>
  <si>
    <t>Ksi</t>
  </si>
  <si>
    <t xml:space="preserve">X42 </t>
  </si>
  <si>
    <t xml:space="preserve">X46 </t>
  </si>
  <si>
    <t xml:space="preserve">X52 </t>
  </si>
  <si>
    <t xml:space="preserve">X56 </t>
  </si>
  <si>
    <t xml:space="preserve">X60 </t>
  </si>
  <si>
    <t xml:space="preserve">X65 </t>
  </si>
  <si>
    <t xml:space="preserve">X70 </t>
  </si>
  <si>
    <t xml:space="preserve">X80 </t>
  </si>
  <si>
    <t>Nom.Pipe Size</t>
  </si>
  <si>
    <t>inch</t>
  </si>
  <si>
    <t>Psi</t>
  </si>
  <si>
    <t>Pel</t>
  </si>
  <si>
    <t>V</t>
  </si>
  <si>
    <t>0.3</t>
  </si>
  <si>
    <t>Loading - Pressure</t>
  </si>
  <si>
    <t>OutPuts</t>
  </si>
  <si>
    <t>Design Collapse Pressure</t>
  </si>
  <si>
    <t>Cross Sectional  Area</t>
  </si>
  <si>
    <t>A</t>
  </si>
  <si>
    <t>Tension</t>
  </si>
  <si>
    <t>Ty</t>
  </si>
  <si>
    <t>YieldMoment</t>
  </si>
  <si>
    <t>My</t>
  </si>
  <si>
    <t>EffectiveTension</t>
  </si>
  <si>
    <t>m^2</t>
  </si>
  <si>
    <t>Ai</t>
  </si>
  <si>
    <t>Ao</t>
  </si>
  <si>
    <t>I</t>
  </si>
  <si>
    <t>m^4</t>
  </si>
  <si>
    <t xml:space="preserve">I </t>
  </si>
  <si>
    <t>OD</t>
  </si>
  <si>
    <t xml:space="preserve">Out Side Diameter of pipe </t>
  </si>
  <si>
    <t>ID</t>
  </si>
  <si>
    <t>`</t>
  </si>
  <si>
    <t>Mp</t>
  </si>
  <si>
    <t>Te</t>
  </si>
  <si>
    <t>M</t>
  </si>
  <si>
    <t>FD</t>
  </si>
  <si>
    <t>(M/My)/(sqrt(FD^2-(Pi-Pe/Pb)^2) ≤ 1</t>
  </si>
  <si>
    <t>(M/My)/(sqrt(FD^2-(Pe-Pi/Pc)^2) ≤ 1</t>
  </si>
  <si>
    <t>(M/Mp)/(sqrt(FD^2-(Pi-Pe/pb)^2)*cos(π/2((T/Ty)/(sqrt(FD^2-(Pi-Pe/pb)^2) )≤ 1</t>
  </si>
  <si>
    <t>(M/Mp)/(sqrt(FD^2-(Pe-Pi/pc)^2)*cos(π/2((T/Ty)/(sqrt(FD^2-(Pe-Pi/pc)^2) )≤ 1</t>
  </si>
  <si>
    <t>Pe</t>
  </si>
  <si>
    <r>
      <t>SQRT(((Pi-Pe)/Pb)^2+(Te/Ty)^2/F</t>
    </r>
    <r>
      <rPr>
        <b/>
        <sz val="8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>)</t>
    </r>
  </si>
  <si>
    <t>Axial Tension</t>
  </si>
  <si>
    <t>Ta</t>
  </si>
  <si>
    <r>
      <rPr>
        <sz val="11"/>
        <color theme="1"/>
        <rFont val="Calibri"/>
        <family val="2"/>
      </rPr>
      <t>σ</t>
    </r>
    <r>
      <rPr>
        <sz val="9.35"/>
        <color theme="1"/>
        <rFont val="Calibri"/>
        <family val="2"/>
      </rPr>
      <t>a</t>
    </r>
  </si>
  <si>
    <t>ca</t>
  </si>
  <si>
    <t>Fd</t>
  </si>
  <si>
    <t>psi</t>
  </si>
  <si>
    <t>Design Pressure _Factor_BP</t>
  </si>
  <si>
    <t>Pd_Pb</t>
  </si>
  <si>
    <t>Pd_Pc</t>
  </si>
  <si>
    <t>Design Pressure _Factor_CP</t>
  </si>
  <si>
    <t>Design Pressure_OD</t>
  </si>
  <si>
    <t>Busrt Pressure_OD</t>
  </si>
  <si>
    <t>Busrt Pressure_ID</t>
  </si>
  <si>
    <t xml:space="preserve">InSide Diameter of pipe </t>
  </si>
  <si>
    <t>Design Pressure_ID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</si>
</sst>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222222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FF"/>
      <name val="Arial"/>
    </font>
    <font>
      <sz val="10"/>
      <color rgb="FF000000"/>
      <name val="Arial"/>
    </font>
    <font>
      <b/>
      <sz val="10"/>
      <color rgb="FFFFFFFF"/>
      <name val="Arial"/>
      <family val="2"/>
    </font>
    <font>
      <sz val="10"/>
      <color rgb="FFFFFFFF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.35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0" fillId="2" borderId="1" xfId="0" applyFill="1" applyBorder="1"/>
    <xf numFmtId="0" fontId="1" fillId="2" borderId="1" xfId="0" applyFont="1" applyFill="1" applyBorder="1"/>
    <xf numFmtId="2" fontId="0" fillId="2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6" fillId="3" borderId="0" xfId="0" applyFont="1" applyFill="1" applyBorder="1"/>
    <xf numFmtId="0" fontId="6" fillId="3" borderId="0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2" fontId="6" fillId="0" borderId="0" xfId="0" applyNumberFormat="1" applyFont="1" applyFill="1" applyBorder="1"/>
    <xf numFmtId="2" fontId="7" fillId="0" borderId="0" xfId="0" applyNumberFormat="1" applyFont="1" applyFill="1" applyBorder="1"/>
    <xf numFmtId="2" fontId="7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2" fontId="0" fillId="0" borderId="0" xfId="0" applyNumberFormat="1"/>
    <xf numFmtId="2" fontId="8" fillId="0" borderId="0" xfId="0" quotePrefix="1" applyNumberFormat="1" applyFont="1" applyFill="1" applyBorder="1" applyAlignment="1">
      <alignment horizontal="center"/>
    </xf>
    <xf numFmtId="0" fontId="12" fillId="0" borderId="0" xfId="0" applyFont="1" applyFill="1" applyBorder="1"/>
    <xf numFmtId="0" fontId="12" fillId="0" borderId="0" xfId="0" applyFont="1" applyFill="1" applyBorder="1" applyAlignment="1"/>
    <xf numFmtId="0" fontId="14" fillId="0" borderId="0" xfId="0" applyFont="1" applyFill="1" applyBorder="1"/>
    <xf numFmtId="0" fontId="12" fillId="2" borderId="0" xfId="0" applyFont="1" applyFill="1" applyBorder="1" applyAlignment="1"/>
    <xf numFmtId="0" fontId="15" fillId="2" borderId="0" xfId="0" applyFont="1" applyFill="1"/>
    <xf numFmtId="0" fontId="16" fillId="2" borderId="0" xfId="0" applyFont="1" applyFill="1"/>
    <xf numFmtId="2" fontId="9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/>
    </xf>
    <xf numFmtId="2" fontId="14" fillId="0" borderId="0" xfId="0" applyNumberFormat="1" applyFont="1" applyFill="1" applyBorder="1"/>
    <xf numFmtId="0" fontId="2" fillId="0" borderId="0" xfId="0" applyFont="1"/>
    <xf numFmtId="0" fontId="8" fillId="0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0" fillId="4" borderId="0" xfId="0" applyNumberFormat="1" applyFont="1" applyFill="1" applyBorder="1" applyAlignment="1">
      <alignment horizontal="center"/>
    </xf>
    <xf numFmtId="2" fontId="11" fillId="4" borderId="0" xfId="0" applyNumberFormat="1" applyFont="1" applyFill="1" applyBorder="1" applyAlignment="1">
      <alignment horizontal="center"/>
    </xf>
    <xf numFmtId="2" fontId="13" fillId="0" borderId="0" xfId="0" quotePrefix="1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7" fillId="3" borderId="0" xfId="0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15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500" b="1"/>
              <a:t>Burst Pressure VS Thickness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3431685113719"/>
          <c:y val="0.10401020383449987"/>
          <c:w val="0.84271084864391954"/>
          <c:h val="0.735771361913094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'APISTD 2RD_1'!$A$59</c:f>
              <c:strCache>
                <c:ptCount val="1"/>
                <c:pt idx="0">
                  <c:v>Busrt Pressure_OD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'APISTD 2RD_1'!$E$26:$K$26</c:f>
              <c:numCache>
                <c:formatCode>0.00</c:formatCode>
                <c:ptCount val="7"/>
                <c:pt idx="0">
                  <c:v>0.28100000000000003</c:v>
                </c:pt>
                <c:pt idx="1">
                  <c:v>0.312</c:v>
                </c:pt>
                <c:pt idx="2">
                  <c:v>0.34399999999999997</c:v>
                </c:pt>
                <c:pt idx="3">
                  <c:v>0.375</c:v>
                </c:pt>
                <c:pt idx="4">
                  <c:v>0.40600000000000003</c:v>
                </c:pt>
                <c:pt idx="5">
                  <c:v>0.438</c:v>
                </c:pt>
                <c:pt idx="6">
                  <c:v>0.46899999999999997</c:v>
                </c:pt>
              </c:numCache>
            </c:numRef>
          </c:xVal>
          <c:yVal>
            <c:numRef>
              <c:f>'APISTD 2RD_1'!$E$60:$K$60</c:f>
              <c:numCache>
                <c:formatCode>0.00</c:formatCode>
                <c:ptCount val="7"/>
                <c:pt idx="0">
                  <c:v>3131.3082024778887</c:v>
                </c:pt>
                <c:pt idx="1">
                  <c:v>3484.7452457299478</c:v>
                </c:pt>
                <c:pt idx="2">
                  <c:v>3851.3060160288783</c:v>
                </c:pt>
                <c:pt idx="3">
                  <c:v>4208.0962125407523</c:v>
                </c:pt>
                <c:pt idx="4">
                  <c:v>4566.5598391984986</c:v>
                </c:pt>
                <c:pt idx="5">
                  <c:v>4938.3588045956621</c:v>
                </c:pt>
                <c:pt idx="6">
                  <c:v>5300.272105503328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'APISTD 2RD_1'!$A$74</c:f>
              <c:strCache>
                <c:ptCount val="1"/>
                <c:pt idx="0">
                  <c:v>Design Pressure_OD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'APISTD 2RD_1'!$E$26:$K$26</c:f>
              <c:numCache>
                <c:formatCode>0.00</c:formatCode>
                <c:ptCount val="7"/>
                <c:pt idx="0">
                  <c:v>0.28100000000000003</c:v>
                </c:pt>
                <c:pt idx="1">
                  <c:v>0.312</c:v>
                </c:pt>
                <c:pt idx="2">
                  <c:v>0.34399999999999997</c:v>
                </c:pt>
                <c:pt idx="3">
                  <c:v>0.375</c:v>
                </c:pt>
                <c:pt idx="4">
                  <c:v>0.40600000000000003</c:v>
                </c:pt>
                <c:pt idx="5">
                  <c:v>0.438</c:v>
                </c:pt>
                <c:pt idx="6">
                  <c:v>0.46899999999999997</c:v>
                </c:pt>
              </c:numCache>
            </c:numRef>
          </c:xVal>
          <c:yVal>
            <c:numRef>
              <c:f>'APISTD 2RD_1'!$E$74:$K$74</c:f>
              <c:numCache>
                <c:formatCode>0.00</c:formatCode>
                <c:ptCount val="7"/>
                <c:pt idx="0">
                  <c:v>1878.7849214867331</c:v>
                </c:pt>
                <c:pt idx="1">
                  <c:v>2090.8471474379685</c:v>
                </c:pt>
                <c:pt idx="2">
                  <c:v>2310.7836096173269</c:v>
                </c:pt>
                <c:pt idx="3">
                  <c:v>2524.8577275244511</c:v>
                </c:pt>
                <c:pt idx="4">
                  <c:v>2739.9359035190992</c:v>
                </c:pt>
                <c:pt idx="5">
                  <c:v>2963.015282757397</c:v>
                </c:pt>
                <c:pt idx="6">
                  <c:v>3180.1632633019967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7376"/>
        <c:axId val="166693776"/>
      </c:scatterChart>
      <c:valAx>
        <c:axId val="166707376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500" b="1"/>
                  <a:t>Thickness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3776"/>
        <c:crosses val="autoZero"/>
        <c:crossBetween val="midCat"/>
        <c:majorUnit val="0.1"/>
      </c:valAx>
      <c:valAx>
        <c:axId val="166693776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500" b="1"/>
                  <a:t>Burst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737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500" b="1"/>
              <a:t>Collapse Pressure VS Thickness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3431685113719"/>
          <c:y val="0.10401020383449987"/>
          <c:w val="0.84271084864391954"/>
          <c:h val="0.735771361913094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'APISTD 2RD_1'!$A$71</c:f>
              <c:strCache>
                <c:ptCount val="1"/>
                <c:pt idx="0">
                  <c:v>collapse 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'APISTD 2RD_1'!$E$26:$K$26</c:f>
              <c:numCache>
                <c:formatCode>0.00</c:formatCode>
                <c:ptCount val="7"/>
                <c:pt idx="0">
                  <c:v>0.28100000000000003</c:v>
                </c:pt>
                <c:pt idx="1">
                  <c:v>0.312</c:v>
                </c:pt>
                <c:pt idx="2">
                  <c:v>0.34399999999999997</c:v>
                </c:pt>
                <c:pt idx="3">
                  <c:v>0.375</c:v>
                </c:pt>
                <c:pt idx="4">
                  <c:v>0.40600000000000003</c:v>
                </c:pt>
                <c:pt idx="5">
                  <c:v>0.438</c:v>
                </c:pt>
                <c:pt idx="6">
                  <c:v>0.46899999999999997</c:v>
                </c:pt>
              </c:numCache>
            </c:numRef>
          </c:xVal>
          <c:yVal>
            <c:numRef>
              <c:f>'APISTD 2RD_1'!$E$72:$K$72</c:f>
              <c:numCache>
                <c:formatCode>0.00</c:formatCode>
                <c:ptCount val="7"/>
                <c:pt idx="0">
                  <c:v>826.3497798726404</c:v>
                </c:pt>
                <c:pt idx="1">
                  <c:v>1117.0555940865177</c:v>
                </c:pt>
                <c:pt idx="2">
                  <c:v>1472.0279065056795</c:v>
                </c:pt>
                <c:pt idx="3">
                  <c:v>1867.6145364989725</c:v>
                </c:pt>
                <c:pt idx="4">
                  <c:v>2310.4921976032319</c:v>
                </c:pt>
                <c:pt idx="5">
                  <c:v>2811.4501484869388</c:v>
                </c:pt>
                <c:pt idx="6">
                  <c:v>3332.0650108622081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'APISTD 2RD_1'!$A$78</c:f>
              <c:strCache>
                <c:ptCount val="1"/>
                <c:pt idx="0">
                  <c:v>Design Collapse Pressure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'APISTD 2RD_1'!$E$26:$K$26</c:f>
              <c:numCache>
                <c:formatCode>0.00</c:formatCode>
                <c:ptCount val="7"/>
                <c:pt idx="0">
                  <c:v>0.28100000000000003</c:v>
                </c:pt>
                <c:pt idx="1">
                  <c:v>0.312</c:v>
                </c:pt>
                <c:pt idx="2">
                  <c:v>0.34399999999999997</c:v>
                </c:pt>
                <c:pt idx="3">
                  <c:v>0.375</c:v>
                </c:pt>
                <c:pt idx="4">
                  <c:v>0.40600000000000003</c:v>
                </c:pt>
                <c:pt idx="5">
                  <c:v>0.438</c:v>
                </c:pt>
                <c:pt idx="6">
                  <c:v>0.46899999999999997</c:v>
                </c:pt>
              </c:numCache>
            </c:numRef>
          </c:xVal>
          <c:yVal>
            <c:numRef>
              <c:f>'APISTD 2RD_1'!$E$78:$K$78</c:f>
              <c:numCache>
                <c:formatCode>0.00</c:formatCode>
                <c:ptCount val="7"/>
                <c:pt idx="0">
                  <c:v>578.44484591084824</c:v>
                </c:pt>
                <c:pt idx="1">
                  <c:v>781.93891586056236</c:v>
                </c:pt>
                <c:pt idx="2">
                  <c:v>1030.4195345539756</c:v>
                </c:pt>
                <c:pt idx="3">
                  <c:v>1307.3301755492807</c:v>
                </c:pt>
                <c:pt idx="4">
                  <c:v>1617.3445383222622</c:v>
                </c:pt>
                <c:pt idx="5">
                  <c:v>1968.015103940857</c:v>
                </c:pt>
                <c:pt idx="6">
                  <c:v>2332.4455076035456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3568"/>
        <c:axId val="166700848"/>
      </c:scatterChart>
      <c:valAx>
        <c:axId val="16670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500" b="1"/>
                  <a:t>Thickness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0848"/>
        <c:crosses val="autoZero"/>
        <c:crossBetween val="midCat"/>
        <c:majorUnit val="5.000000000000001E-2"/>
      </c:valAx>
      <c:valAx>
        <c:axId val="16670084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500" b="1"/>
                  <a:t>Collapse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3568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6333366597099"/>
          <c:y val="0.91548228512013774"/>
          <c:w val="0.16536303868468019"/>
          <c:h val="7.1267468825013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15</xdr:row>
      <xdr:rowOff>0</xdr:rowOff>
    </xdr:from>
    <xdr:to>
      <xdr:col>12</xdr:col>
      <xdr:colOff>237562</xdr:colOff>
      <xdr:row>25</xdr:row>
      <xdr:rowOff>18810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2857500"/>
          <a:ext cx="4504762" cy="19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12</xdr:col>
      <xdr:colOff>94705</xdr:colOff>
      <xdr:row>37</xdr:row>
      <xdr:rowOff>95071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38675" y="4953000"/>
          <a:ext cx="4361905" cy="1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37457</xdr:colOff>
      <xdr:row>31</xdr:row>
      <xdr:rowOff>142741</xdr:rowOff>
    </xdr:from>
    <xdr:to>
      <xdr:col>16</xdr:col>
      <xdr:colOff>482324</xdr:colOff>
      <xdr:row>34</xdr:row>
      <xdr:rowOff>112027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725" r="41051" b="71378"/>
        <a:stretch/>
      </xdr:blipFill>
      <xdr:spPr>
        <a:xfrm>
          <a:off x="7931301" y="5012397"/>
          <a:ext cx="2873740" cy="540785"/>
        </a:xfrm>
        <a:prstGeom prst="rect">
          <a:avLst/>
        </a:prstGeom>
      </xdr:spPr>
    </xdr:pic>
    <xdr:clientData/>
  </xdr:twoCellAnchor>
  <xdr:twoCellAnchor editAs="oneCell">
    <xdr:from>
      <xdr:col>11</xdr:col>
      <xdr:colOff>261759</xdr:colOff>
      <xdr:row>69</xdr:row>
      <xdr:rowOff>141510</xdr:rowOff>
    </xdr:from>
    <xdr:to>
      <xdr:col>13</xdr:col>
      <xdr:colOff>259654</xdr:colOff>
      <xdr:row>72</xdr:row>
      <xdr:rowOff>60118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09906" y="13073098"/>
          <a:ext cx="1208130" cy="490108"/>
        </a:xfrm>
        <a:prstGeom prst="rect">
          <a:avLst/>
        </a:prstGeom>
      </xdr:spPr>
    </xdr:pic>
    <xdr:clientData/>
  </xdr:twoCellAnchor>
  <xdr:twoCellAnchor editAs="oneCell">
    <xdr:from>
      <xdr:col>6</xdr:col>
      <xdr:colOff>63100</xdr:colOff>
      <xdr:row>136</xdr:row>
      <xdr:rowOff>10592</xdr:rowOff>
    </xdr:from>
    <xdr:to>
      <xdr:col>10</xdr:col>
      <xdr:colOff>339983</xdr:colOff>
      <xdr:row>140</xdr:row>
      <xdr:rowOff>27705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0218" y="27039180"/>
          <a:ext cx="4266178" cy="969613"/>
        </a:xfrm>
        <a:prstGeom prst="rect">
          <a:avLst/>
        </a:prstGeom>
      </xdr:spPr>
    </xdr:pic>
    <xdr:clientData/>
  </xdr:twoCellAnchor>
  <xdr:twoCellAnchor editAs="oneCell">
    <xdr:from>
      <xdr:col>11</xdr:col>
      <xdr:colOff>417121</xdr:colOff>
      <xdr:row>85</xdr:row>
      <xdr:rowOff>35090</xdr:rowOff>
    </xdr:from>
    <xdr:to>
      <xdr:col>17</xdr:col>
      <xdr:colOff>352716</xdr:colOff>
      <xdr:row>88</xdr:row>
      <xdr:rowOff>44995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25939" y="15153863"/>
          <a:ext cx="3572413" cy="581405"/>
        </a:xfrm>
        <a:prstGeom prst="rect">
          <a:avLst/>
        </a:prstGeom>
      </xdr:spPr>
    </xdr:pic>
    <xdr:clientData/>
  </xdr:twoCellAnchor>
  <xdr:twoCellAnchor editAs="oneCell">
    <xdr:from>
      <xdr:col>11</xdr:col>
      <xdr:colOff>581644</xdr:colOff>
      <xdr:row>83</xdr:row>
      <xdr:rowOff>3257</xdr:rowOff>
    </xdr:from>
    <xdr:to>
      <xdr:col>16</xdr:col>
      <xdr:colOff>586704</xdr:colOff>
      <xdr:row>85</xdr:row>
      <xdr:rowOff>120279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56552"/>
        <a:stretch/>
      </xdr:blipFill>
      <xdr:spPr>
        <a:xfrm>
          <a:off x="8790462" y="14741030"/>
          <a:ext cx="3035742" cy="498022"/>
        </a:xfrm>
        <a:prstGeom prst="rect">
          <a:avLst/>
        </a:prstGeom>
      </xdr:spPr>
    </xdr:pic>
    <xdr:clientData/>
  </xdr:twoCellAnchor>
  <xdr:twoCellAnchor editAs="oneCell">
    <xdr:from>
      <xdr:col>12</xdr:col>
      <xdr:colOff>212643</xdr:colOff>
      <xdr:row>80</xdr:row>
      <xdr:rowOff>69273</xdr:rowOff>
    </xdr:from>
    <xdr:to>
      <xdr:col>13</xdr:col>
      <xdr:colOff>413184</xdr:colOff>
      <xdr:row>82</xdr:row>
      <xdr:rowOff>131356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27598" y="14235546"/>
          <a:ext cx="806677" cy="443083"/>
        </a:xfrm>
        <a:prstGeom prst="rect">
          <a:avLst/>
        </a:prstGeom>
      </xdr:spPr>
    </xdr:pic>
    <xdr:clientData/>
  </xdr:twoCellAnchor>
  <xdr:twoCellAnchor editAs="oneCell">
    <xdr:from>
      <xdr:col>5</xdr:col>
      <xdr:colOff>603902</xdr:colOff>
      <xdr:row>106</xdr:row>
      <xdr:rowOff>260718</xdr:rowOff>
    </xdr:from>
    <xdr:to>
      <xdr:col>9</xdr:col>
      <xdr:colOff>770365</xdr:colOff>
      <xdr:row>113</xdr:row>
      <xdr:rowOff>101795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75902" y="20050306"/>
          <a:ext cx="4155757" cy="1365077"/>
        </a:xfrm>
        <a:prstGeom prst="rect">
          <a:avLst/>
        </a:prstGeom>
      </xdr:spPr>
    </xdr:pic>
    <xdr:clientData/>
  </xdr:twoCellAnchor>
  <xdr:twoCellAnchor editAs="oneCell">
    <xdr:from>
      <xdr:col>6</xdr:col>
      <xdr:colOff>116323</xdr:colOff>
      <xdr:row>121</xdr:row>
      <xdr:rowOff>27845</xdr:rowOff>
    </xdr:from>
    <xdr:to>
      <xdr:col>10</xdr:col>
      <xdr:colOff>35166</xdr:colOff>
      <xdr:row>127</xdr:row>
      <xdr:rowOff>4452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93441" y="23055933"/>
          <a:ext cx="3908138" cy="20721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143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143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7" workbookViewId="0">
      <selection sqref="A1:D28"/>
    </sheetView>
  </sheetViews>
  <sheetFormatPr defaultRowHeight="15" x14ac:dyDescent="0.25"/>
  <cols>
    <col min="1" max="1" width="33" bestFit="1" customWidth="1"/>
    <col min="3" max="4" width="9.140625" style="2"/>
  </cols>
  <sheetData>
    <row r="1" spans="1:4" x14ac:dyDescent="0.25">
      <c r="C1" s="3" t="s">
        <v>8</v>
      </c>
    </row>
    <row r="2" spans="1:4" x14ac:dyDescent="0.25">
      <c r="A2" s="1" t="s">
        <v>10</v>
      </c>
      <c r="C2" s="3"/>
    </row>
    <row r="3" spans="1:4" x14ac:dyDescent="0.25">
      <c r="A3" t="s">
        <v>11</v>
      </c>
      <c r="B3" t="s">
        <v>1</v>
      </c>
      <c r="C3" s="2" t="s">
        <v>15</v>
      </c>
      <c r="D3" s="2">
        <v>0.30159999999999998</v>
      </c>
    </row>
    <row r="4" spans="1:4" x14ac:dyDescent="0.25">
      <c r="A4" t="s">
        <v>12</v>
      </c>
      <c r="B4" t="s">
        <v>23</v>
      </c>
      <c r="C4" s="2" t="s">
        <v>15</v>
      </c>
      <c r="D4" s="2">
        <v>1.4E-2</v>
      </c>
    </row>
    <row r="5" spans="1:4" x14ac:dyDescent="0.25">
      <c r="A5" t="s">
        <v>22</v>
      </c>
      <c r="B5" t="s">
        <v>24</v>
      </c>
      <c r="C5" s="2" t="s">
        <v>15</v>
      </c>
      <c r="D5" s="2">
        <v>1.5E-3</v>
      </c>
    </row>
    <row r="6" spans="1:4" x14ac:dyDescent="0.25">
      <c r="A6" t="s">
        <v>35</v>
      </c>
      <c r="B6" t="s">
        <v>2</v>
      </c>
      <c r="C6" s="2" t="s">
        <v>15</v>
      </c>
      <c r="D6" s="2">
        <f>D4-D5</f>
        <v>1.2500000000000001E-2</v>
      </c>
    </row>
    <row r="10" spans="1:4" x14ac:dyDescent="0.25">
      <c r="A10" s="1" t="s">
        <v>13</v>
      </c>
      <c r="B10" s="1"/>
      <c r="C10" s="3"/>
    </row>
    <row r="11" spans="1:4" x14ac:dyDescent="0.25">
      <c r="A11" t="s">
        <v>14</v>
      </c>
      <c r="C11" s="2" t="s">
        <v>4</v>
      </c>
      <c r="D11" s="2">
        <v>80</v>
      </c>
    </row>
    <row r="12" spans="1:4" x14ac:dyDescent="0.25">
      <c r="A12" t="s">
        <v>25</v>
      </c>
      <c r="B12" t="s">
        <v>26</v>
      </c>
      <c r="D12" s="2">
        <v>0.3</v>
      </c>
    </row>
    <row r="13" spans="1:4" x14ac:dyDescent="0.25">
      <c r="A13" t="s">
        <v>28</v>
      </c>
      <c r="B13" t="s">
        <v>3</v>
      </c>
      <c r="C13" s="2" t="s">
        <v>34</v>
      </c>
      <c r="D13" s="2">
        <v>655</v>
      </c>
    </row>
    <row r="14" spans="1:4" x14ac:dyDescent="0.25">
      <c r="A14" t="s">
        <v>27</v>
      </c>
      <c r="B14" t="s">
        <v>9</v>
      </c>
      <c r="C14" s="2" t="s">
        <v>34</v>
      </c>
      <c r="D14" s="2">
        <v>714</v>
      </c>
    </row>
    <row r="15" spans="1:4" x14ac:dyDescent="0.25">
      <c r="A15" t="s">
        <v>36</v>
      </c>
      <c r="B15" t="s">
        <v>6</v>
      </c>
      <c r="C15" s="2" t="s">
        <v>34</v>
      </c>
      <c r="D15" s="2">
        <v>207000</v>
      </c>
    </row>
    <row r="16" spans="1:4" x14ac:dyDescent="0.25">
      <c r="A16" t="s">
        <v>37</v>
      </c>
      <c r="B16" t="s">
        <v>40</v>
      </c>
      <c r="D16" s="2">
        <v>0.01</v>
      </c>
    </row>
    <row r="17" spans="1:4" x14ac:dyDescent="0.25">
      <c r="A17" t="s">
        <v>38</v>
      </c>
      <c r="B17" t="s">
        <v>39</v>
      </c>
      <c r="D17" s="2">
        <v>1</v>
      </c>
    </row>
    <row r="21" spans="1:4" x14ac:dyDescent="0.25">
      <c r="A21" s="1" t="s">
        <v>16</v>
      </c>
      <c r="B21" s="1"/>
      <c r="C21" s="3"/>
    </row>
    <row r="22" spans="1:4" x14ac:dyDescent="0.25">
      <c r="A22" t="s">
        <v>29</v>
      </c>
      <c r="B22" t="s">
        <v>17</v>
      </c>
      <c r="D22" s="2">
        <v>0</v>
      </c>
    </row>
    <row r="23" spans="1:4" x14ac:dyDescent="0.25">
      <c r="A23" t="s">
        <v>30</v>
      </c>
      <c r="B23" t="s">
        <v>18</v>
      </c>
      <c r="C23" s="2" t="s">
        <v>4</v>
      </c>
      <c r="D23" s="4">
        <v>0</v>
      </c>
    </row>
    <row r="24" spans="1:4" x14ac:dyDescent="0.25">
      <c r="A24" t="s">
        <v>32</v>
      </c>
      <c r="B24" t="s">
        <v>7</v>
      </c>
      <c r="D24" s="4"/>
    </row>
    <row r="25" spans="1:4" x14ac:dyDescent="0.25">
      <c r="A25" t="s">
        <v>33</v>
      </c>
      <c r="B25" t="s">
        <v>5</v>
      </c>
      <c r="D25" s="4"/>
    </row>
    <row r="26" spans="1:4" x14ac:dyDescent="0.25">
      <c r="A26" t="s">
        <v>31</v>
      </c>
      <c r="C26" s="2" t="s">
        <v>19</v>
      </c>
      <c r="D26" s="2">
        <v>0</v>
      </c>
    </row>
    <row r="27" spans="1:4" x14ac:dyDescent="0.25">
      <c r="A27" t="s">
        <v>20</v>
      </c>
      <c r="C27" s="2" t="s">
        <v>21</v>
      </c>
      <c r="D27" s="2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140"/>
  <sheetViews>
    <sheetView tabSelected="1" topLeftCell="F55" zoomScale="85" zoomScaleNormal="85" workbookViewId="0">
      <selection activeCell="L71" sqref="L71"/>
    </sheetView>
  </sheetViews>
  <sheetFormatPr defaultRowHeight="15" x14ac:dyDescent="0.25"/>
  <cols>
    <col min="1" max="1" width="25.7109375" bestFit="1" customWidth="1"/>
    <col min="2" max="2" width="15.5703125" customWidth="1"/>
    <col min="5" max="11" width="15" style="50" bestFit="1" customWidth="1"/>
  </cols>
  <sheetData>
    <row r="3" spans="1:25" x14ac:dyDescent="0.25">
      <c r="A3" s="42" t="s">
        <v>79</v>
      </c>
      <c r="B3" s="42"/>
      <c r="C3" s="42"/>
      <c r="D3" s="42"/>
      <c r="E3" s="42"/>
      <c r="G3" s="51" t="s">
        <v>38</v>
      </c>
      <c r="H3" s="44" t="s">
        <v>39</v>
      </c>
      <c r="I3" s="45"/>
      <c r="J3" s="46"/>
    </row>
    <row r="4" spans="1:25" x14ac:dyDescent="0.25">
      <c r="A4" s="43" t="s">
        <v>80</v>
      </c>
      <c r="B4" s="42" t="s">
        <v>81</v>
      </c>
      <c r="C4" s="42"/>
      <c r="D4" s="42" t="s">
        <v>82</v>
      </c>
      <c r="E4" s="42"/>
      <c r="G4" s="7"/>
      <c r="H4" s="44" t="s">
        <v>48</v>
      </c>
      <c r="I4" s="46"/>
      <c r="J4" s="7">
        <v>1</v>
      </c>
    </row>
    <row r="5" spans="1:25" x14ac:dyDescent="0.25">
      <c r="A5" s="43"/>
      <c r="B5" s="21" t="s">
        <v>83</v>
      </c>
      <c r="C5" s="21" t="s">
        <v>34</v>
      </c>
      <c r="D5" s="21" t="s">
        <v>83</v>
      </c>
      <c r="E5" s="47" t="s">
        <v>34</v>
      </c>
      <c r="G5" s="7"/>
      <c r="H5" s="44" t="s">
        <v>49</v>
      </c>
      <c r="I5" s="46"/>
      <c r="J5" s="7">
        <v>0.85</v>
      </c>
    </row>
    <row r="6" spans="1:25" x14ac:dyDescent="0.25">
      <c r="A6" s="21" t="s">
        <v>84</v>
      </c>
      <c r="B6" s="22">
        <v>42</v>
      </c>
      <c r="C6" s="22">
        <v>289</v>
      </c>
      <c r="D6" s="22">
        <v>60</v>
      </c>
      <c r="E6" s="48">
        <v>413</v>
      </c>
      <c r="G6" s="7"/>
      <c r="H6" s="44" t="s">
        <v>50</v>
      </c>
      <c r="I6" s="46"/>
      <c r="J6" s="7">
        <v>0.92500000000000004</v>
      </c>
    </row>
    <row r="7" spans="1:25" x14ac:dyDescent="0.25">
      <c r="A7" s="21" t="s">
        <v>85</v>
      </c>
      <c r="B7" s="22">
        <v>46</v>
      </c>
      <c r="C7" s="22">
        <v>317</v>
      </c>
      <c r="D7" s="22">
        <v>63</v>
      </c>
      <c r="E7" s="48">
        <v>434</v>
      </c>
    </row>
    <row r="8" spans="1:25" x14ac:dyDescent="0.25">
      <c r="A8" s="21" t="s">
        <v>86</v>
      </c>
      <c r="B8" s="22">
        <v>52</v>
      </c>
      <c r="C8" s="22">
        <v>358</v>
      </c>
      <c r="D8" s="22">
        <v>66</v>
      </c>
      <c r="E8" s="48">
        <v>455</v>
      </c>
    </row>
    <row r="9" spans="1:25" x14ac:dyDescent="0.25">
      <c r="A9" s="21" t="s">
        <v>87</v>
      </c>
      <c r="B9" s="22">
        <v>56</v>
      </c>
      <c r="C9" s="22">
        <v>386</v>
      </c>
      <c r="D9" s="22">
        <v>71</v>
      </c>
      <c r="E9" s="48">
        <v>489</v>
      </c>
    </row>
    <row r="10" spans="1:25" x14ac:dyDescent="0.25">
      <c r="A10" s="21" t="s">
        <v>88</v>
      </c>
      <c r="B10" s="22">
        <v>60</v>
      </c>
      <c r="C10" s="22">
        <v>413</v>
      </c>
      <c r="D10" s="22">
        <v>75</v>
      </c>
      <c r="E10" s="48">
        <v>517</v>
      </c>
    </row>
    <row r="11" spans="1:25" x14ac:dyDescent="0.25">
      <c r="A11" s="21" t="s">
        <v>89</v>
      </c>
      <c r="B11" s="22">
        <v>65</v>
      </c>
      <c r="C11" s="22">
        <v>448</v>
      </c>
      <c r="D11" s="22">
        <v>77</v>
      </c>
      <c r="E11" s="48">
        <v>530</v>
      </c>
    </row>
    <row r="12" spans="1:25" x14ac:dyDescent="0.25">
      <c r="A12" s="21" t="s">
        <v>90</v>
      </c>
      <c r="B12" s="22">
        <v>70</v>
      </c>
      <c r="C12" s="22">
        <v>482</v>
      </c>
      <c r="D12" s="22">
        <v>82</v>
      </c>
      <c r="E12" s="48">
        <v>565</v>
      </c>
    </row>
    <row r="13" spans="1:25" x14ac:dyDescent="0.25">
      <c r="A13" s="21" t="s">
        <v>91</v>
      </c>
      <c r="B13" s="22">
        <v>80</v>
      </c>
      <c r="C13" s="22">
        <v>551</v>
      </c>
      <c r="D13" s="22">
        <v>90</v>
      </c>
      <c r="E13" s="48">
        <v>620</v>
      </c>
    </row>
    <row r="16" spans="1:25" ht="15.75" customHeight="1" x14ac:dyDescent="0.25">
      <c r="A16" s="10" t="s">
        <v>72</v>
      </c>
      <c r="B16" s="10"/>
      <c r="C16" s="10"/>
      <c r="D16" s="11" t="s">
        <v>8</v>
      </c>
      <c r="E16" s="52"/>
      <c r="V16" s="12"/>
      <c r="W16" s="13"/>
      <c r="Y16" s="13"/>
    </row>
    <row r="17" spans="1:23" ht="15.75" customHeight="1" x14ac:dyDescent="0.25">
      <c r="A17" s="13" t="s">
        <v>73</v>
      </c>
      <c r="B17" s="14"/>
      <c r="C17" s="14"/>
      <c r="D17" s="15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16"/>
    </row>
    <row r="18" spans="1:23" s="27" customFormat="1" ht="15.75" customHeight="1" x14ac:dyDescent="0.25">
      <c r="A18" s="39" t="s">
        <v>92</v>
      </c>
      <c r="B18" s="24"/>
      <c r="C18" s="24"/>
      <c r="D18" s="25" t="s">
        <v>93</v>
      </c>
      <c r="E18" s="28">
        <v>14</v>
      </c>
      <c r="F18" s="28">
        <f>E18</f>
        <v>14</v>
      </c>
      <c r="G18" s="28">
        <f t="shared" ref="G18:K18" si="0">F18</f>
        <v>14</v>
      </c>
      <c r="H18" s="28">
        <f t="shared" si="0"/>
        <v>14</v>
      </c>
      <c r="I18" s="28">
        <f t="shared" si="0"/>
        <v>14</v>
      </c>
      <c r="J18" s="28">
        <f t="shared" si="0"/>
        <v>14</v>
      </c>
      <c r="K18" s="28">
        <f t="shared" si="0"/>
        <v>14</v>
      </c>
      <c r="N18" s="26"/>
      <c r="O18" s="26"/>
      <c r="P18" s="26"/>
      <c r="Q18" s="26"/>
      <c r="R18" s="26"/>
      <c r="S18" s="26"/>
      <c r="T18" s="26"/>
      <c r="U18" s="26"/>
    </row>
    <row r="19" spans="1:23" s="27" customFormat="1" ht="15.75" customHeight="1" x14ac:dyDescent="0.25">
      <c r="A19" s="23"/>
      <c r="B19" s="24"/>
      <c r="C19" s="24"/>
      <c r="D19" s="25"/>
      <c r="E19" s="28"/>
      <c r="F19" s="28"/>
      <c r="G19" s="28"/>
      <c r="H19" s="28"/>
      <c r="I19" s="28"/>
      <c r="J19" s="28"/>
      <c r="K19" s="28"/>
      <c r="N19" s="26"/>
      <c r="O19" s="26"/>
      <c r="P19" s="26"/>
      <c r="Q19" s="26"/>
      <c r="R19" s="26"/>
      <c r="S19" s="26"/>
      <c r="T19" s="26"/>
      <c r="U19" s="26"/>
    </row>
    <row r="20" spans="1:23" ht="15.75" customHeight="1" x14ac:dyDescent="0.25">
      <c r="A20" s="14" t="s">
        <v>115</v>
      </c>
      <c r="B20" s="14"/>
      <c r="C20" s="29" t="s">
        <v>114</v>
      </c>
      <c r="D20" s="15" t="s">
        <v>74</v>
      </c>
      <c r="E20" s="26">
        <v>14</v>
      </c>
      <c r="F20" s="26">
        <f>E20</f>
        <v>14</v>
      </c>
      <c r="G20" s="26">
        <f t="shared" ref="G20:K20" si="1">F20</f>
        <v>14</v>
      </c>
      <c r="H20" s="26">
        <f t="shared" si="1"/>
        <v>14</v>
      </c>
      <c r="I20" s="26">
        <f t="shared" si="1"/>
        <v>14</v>
      </c>
      <c r="J20" s="26">
        <f t="shared" si="1"/>
        <v>14</v>
      </c>
      <c r="K20" s="26">
        <f t="shared" si="1"/>
        <v>14</v>
      </c>
      <c r="T20" s="16"/>
      <c r="U20" s="16"/>
      <c r="W20" s="18"/>
    </row>
    <row r="21" spans="1:23" ht="15.75" customHeight="1" x14ac:dyDescent="0.25">
      <c r="B21" s="14"/>
      <c r="C21" s="29"/>
      <c r="D21" s="19" t="s">
        <v>75</v>
      </c>
      <c r="E21" s="35">
        <f>E20*0.0254</f>
        <v>0.35559999999999997</v>
      </c>
      <c r="F21" s="35">
        <f t="shared" ref="F21" si="2">F20*0.0254</f>
        <v>0.35559999999999997</v>
      </c>
      <c r="G21" s="35">
        <f>G20*0.0254</f>
        <v>0.35559999999999997</v>
      </c>
      <c r="H21" s="35">
        <f>H20*0.0254</f>
        <v>0.35559999999999997</v>
      </c>
      <c r="I21" s="35">
        <f>I20*0.0254</f>
        <v>0.35559999999999997</v>
      </c>
      <c r="J21" s="35">
        <f>J20*0.0254</f>
        <v>0.35559999999999997</v>
      </c>
      <c r="K21" s="35">
        <f>K20*0.0254</f>
        <v>0.35559999999999997</v>
      </c>
      <c r="N21" s="20"/>
      <c r="O21" s="20"/>
      <c r="P21" s="20"/>
      <c r="Q21" s="20"/>
      <c r="R21" s="20"/>
      <c r="S21" s="20"/>
      <c r="T21" s="20"/>
      <c r="U21" s="20"/>
      <c r="W21" s="18"/>
    </row>
    <row r="22" spans="1:23" ht="15.75" customHeight="1" x14ac:dyDescent="0.25">
      <c r="A22" s="13"/>
      <c r="B22" s="14"/>
      <c r="C22" s="29"/>
      <c r="D22" s="15"/>
      <c r="E22" s="26"/>
      <c r="F22" s="26"/>
      <c r="G22" s="26"/>
      <c r="H22" s="26"/>
      <c r="I22" s="26"/>
      <c r="J22" s="26"/>
      <c r="K22" s="26"/>
      <c r="N22" s="16"/>
      <c r="O22" s="16"/>
      <c r="P22" s="16"/>
      <c r="Q22" s="16"/>
      <c r="R22" s="16"/>
      <c r="S22" s="16"/>
      <c r="T22" s="16"/>
      <c r="U22" s="16"/>
    </row>
    <row r="23" spans="1:23" ht="15.75" customHeight="1" x14ac:dyDescent="0.25">
      <c r="A23" s="14" t="s">
        <v>141</v>
      </c>
      <c r="B23" s="14"/>
      <c r="C23" s="29" t="s">
        <v>116</v>
      </c>
      <c r="D23" s="15" t="s">
        <v>74</v>
      </c>
      <c r="E23" s="26">
        <v>12</v>
      </c>
      <c r="F23" s="26">
        <f>E23</f>
        <v>12</v>
      </c>
      <c r="G23" s="26">
        <f t="shared" ref="G23:K23" si="3">F23</f>
        <v>12</v>
      </c>
      <c r="H23" s="26">
        <f t="shared" si="3"/>
        <v>12</v>
      </c>
      <c r="I23" s="26">
        <f t="shared" si="3"/>
        <v>12</v>
      </c>
      <c r="J23" s="26">
        <f t="shared" si="3"/>
        <v>12</v>
      </c>
      <c r="K23" s="26">
        <f t="shared" si="3"/>
        <v>12</v>
      </c>
      <c r="N23" s="36"/>
      <c r="O23" s="36"/>
      <c r="P23" s="36"/>
      <c r="Q23" s="36"/>
      <c r="R23" s="36"/>
      <c r="S23" s="36"/>
      <c r="T23" s="36"/>
      <c r="U23" s="36"/>
    </row>
    <row r="24" spans="1:23" ht="15.75" customHeight="1" x14ac:dyDescent="0.25">
      <c r="A24" s="14"/>
      <c r="B24" s="14"/>
      <c r="C24" s="29"/>
      <c r="D24" s="19" t="s">
        <v>75</v>
      </c>
      <c r="E24" s="35">
        <f>E23*0.0254</f>
        <v>0.30479999999999996</v>
      </c>
      <c r="F24" s="35">
        <f t="shared" ref="F24" si="4">F23*0.0254</f>
        <v>0.30479999999999996</v>
      </c>
      <c r="G24" s="35">
        <f t="shared" ref="G24" si="5">G23*0.0254</f>
        <v>0.30479999999999996</v>
      </c>
      <c r="H24" s="35">
        <f t="shared" ref="H24" si="6">H23*0.0254</f>
        <v>0.30479999999999996</v>
      </c>
      <c r="I24" s="35">
        <f t="shared" ref="I24" si="7">I23*0.0254</f>
        <v>0.30479999999999996</v>
      </c>
      <c r="J24" s="35">
        <f t="shared" ref="J24" si="8">J23*0.0254</f>
        <v>0.30479999999999996</v>
      </c>
      <c r="K24" s="35">
        <f t="shared" ref="K24" si="9">K23*0.0254</f>
        <v>0.30479999999999996</v>
      </c>
      <c r="N24" s="36"/>
      <c r="O24" s="36"/>
      <c r="P24" s="36"/>
      <c r="Q24" s="36"/>
      <c r="R24" s="36"/>
      <c r="S24" s="36"/>
      <c r="T24" s="36"/>
      <c r="U24" s="36"/>
    </row>
    <row r="25" spans="1:23" ht="15.75" customHeight="1" x14ac:dyDescent="0.25">
      <c r="A25" s="13"/>
      <c r="B25" s="14"/>
      <c r="C25" s="29"/>
      <c r="D25" s="15"/>
      <c r="E25" s="26"/>
      <c r="F25" s="26"/>
      <c r="G25" s="26"/>
      <c r="H25" s="26"/>
      <c r="I25" s="26"/>
      <c r="J25" s="26"/>
      <c r="K25" s="26"/>
      <c r="N25" s="36"/>
      <c r="O25" s="36"/>
      <c r="P25" s="36"/>
      <c r="Q25" s="36"/>
      <c r="R25" s="36"/>
      <c r="S25" s="36"/>
      <c r="T25" s="36"/>
      <c r="U25" s="36"/>
    </row>
    <row r="26" spans="1:23" ht="15.75" customHeight="1" x14ac:dyDescent="0.25">
      <c r="A26" s="14" t="s">
        <v>77</v>
      </c>
      <c r="B26" s="14"/>
      <c r="C26" s="29" t="s">
        <v>2</v>
      </c>
      <c r="D26" s="15" t="s">
        <v>74</v>
      </c>
      <c r="E26" s="26">
        <v>0.28100000000000003</v>
      </c>
      <c r="F26" s="26">
        <v>0.312</v>
      </c>
      <c r="G26" s="26">
        <v>0.34399999999999997</v>
      </c>
      <c r="H26" s="26">
        <v>0.375</v>
      </c>
      <c r="I26" s="26">
        <v>0.40600000000000003</v>
      </c>
      <c r="J26" s="26">
        <v>0.438</v>
      </c>
      <c r="K26" s="26">
        <v>0.46899999999999997</v>
      </c>
      <c r="M26" t="s">
        <v>117</v>
      </c>
      <c r="N26" s="16"/>
      <c r="O26" s="16"/>
      <c r="P26" s="16"/>
      <c r="Q26" s="16"/>
      <c r="R26" s="16"/>
      <c r="S26" s="16"/>
      <c r="T26" s="16"/>
      <c r="U26" s="16"/>
      <c r="V26" s="17"/>
      <c r="W26" s="18"/>
    </row>
    <row r="27" spans="1:23" ht="15.75" customHeight="1" x14ac:dyDescent="0.25">
      <c r="B27" s="14"/>
      <c r="C27" s="29"/>
      <c r="D27" s="19" t="s">
        <v>75</v>
      </c>
      <c r="E27" s="35">
        <f>E26*0.0254</f>
        <v>7.1374000000000003E-3</v>
      </c>
      <c r="F27" s="35">
        <f>F26*0.0254</f>
        <v>7.9247999999999992E-3</v>
      </c>
      <c r="G27" s="35">
        <f>G26*0.0254</f>
        <v>8.7375999999999981E-3</v>
      </c>
      <c r="H27" s="35">
        <f>H26*0.0254</f>
        <v>9.5249999999999987E-3</v>
      </c>
      <c r="I27" s="35">
        <f>I26*0.0254</f>
        <v>1.0312400000000001E-2</v>
      </c>
      <c r="J27" s="35">
        <f>J26*0.0254</f>
        <v>1.11252E-2</v>
      </c>
      <c r="K27" s="35">
        <f>K26*0.0254</f>
        <v>1.1912599999999999E-2</v>
      </c>
      <c r="N27" s="20"/>
      <c r="O27" s="20"/>
      <c r="P27" s="20"/>
      <c r="Q27" s="20"/>
      <c r="R27" s="20"/>
      <c r="S27" s="20"/>
      <c r="T27" s="20"/>
      <c r="U27" s="20"/>
      <c r="W27" s="18"/>
    </row>
    <row r="28" spans="1:23" ht="15.75" customHeight="1" x14ac:dyDescent="0.25">
      <c r="B28" s="14"/>
      <c r="C28" s="29"/>
      <c r="D28" s="19"/>
      <c r="E28" s="35"/>
      <c r="F28" s="35"/>
      <c r="G28" s="35"/>
      <c r="H28" s="35"/>
      <c r="I28" s="35"/>
      <c r="J28" s="35"/>
      <c r="K28" s="35"/>
      <c r="N28" s="20"/>
      <c r="O28" s="20"/>
      <c r="P28" s="20"/>
      <c r="Q28" s="20"/>
      <c r="R28" s="20"/>
      <c r="S28" s="20"/>
      <c r="T28" s="20"/>
      <c r="U28" s="20"/>
      <c r="W28" s="18"/>
    </row>
    <row r="29" spans="1:23" ht="15.75" customHeight="1" x14ac:dyDescent="0.25">
      <c r="A29" t="s">
        <v>25</v>
      </c>
      <c r="B29" s="14"/>
      <c r="C29" s="29" t="s">
        <v>96</v>
      </c>
      <c r="D29" s="19"/>
      <c r="E29" s="49" t="s">
        <v>97</v>
      </c>
      <c r="F29" s="49" t="s">
        <v>97</v>
      </c>
      <c r="G29" s="49" t="s">
        <v>97</v>
      </c>
      <c r="H29" s="49" t="s">
        <v>97</v>
      </c>
      <c r="I29" s="49" t="s">
        <v>97</v>
      </c>
      <c r="J29" s="49" t="s">
        <v>97</v>
      </c>
      <c r="K29" s="49" t="s">
        <v>97</v>
      </c>
      <c r="N29" s="20"/>
      <c r="O29" s="20"/>
      <c r="P29" s="20"/>
      <c r="Q29" s="20"/>
      <c r="R29" s="20"/>
      <c r="S29" s="20"/>
      <c r="T29" s="20"/>
      <c r="U29" s="20"/>
      <c r="W29" s="18"/>
    </row>
    <row r="30" spans="1:23" ht="15.75" customHeight="1" x14ac:dyDescent="0.25">
      <c r="B30" s="14"/>
      <c r="C30" s="29"/>
      <c r="D30" s="19"/>
      <c r="E30" s="35"/>
      <c r="F30" s="35"/>
      <c r="G30" s="35"/>
      <c r="H30" s="35"/>
      <c r="I30" s="35"/>
      <c r="J30" s="35"/>
      <c r="K30" s="35"/>
      <c r="N30" s="20"/>
      <c r="O30" s="20"/>
      <c r="P30" s="20"/>
      <c r="Q30" s="20"/>
      <c r="R30" s="20"/>
      <c r="S30" s="20"/>
      <c r="T30" s="20"/>
      <c r="U30" s="20"/>
      <c r="W30" s="18"/>
    </row>
    <row r="31" spans="1:23" x14ac:dyDescent="0.25">
      <c r="C31" s="1"/>
    </row>
    <row r="32" spans="1:23" x14ac:dyDescent="0.25">
      <c r="A32" t="s">
        <v>36</v>
      </c>
      <c r="C32" s="1" t="s">
        <v>6</v>
      </c>
      <c r="D32" s="2" t="s">
        <v>34</v>
      </c>
      <c r="E32" s="50">
        <v>207000</v>
      </c>
      <c r="F32" s="50">
        <v>207000</v>
      </c>
      <c r="G32" s="50">
        <v>207000</v>
      </c>
      <c r="H32" s="50">
        <v>207000</v>
      </c>
      <c r="I32" s="50">
        <v>207000</v>
      </c>
      <c r="J32" s="50">
        <v>207000</v>
      </c>
      <c r="K32" s="50">
        <v>207000</v>
      </c>
    </row>
    <row r="33" spans="1:11" x14ac:dyDescent="0.25">
      <c r="C33" s="1"/>
      <c r="D33" s="2"/>
    </row>
    <row r="34" spans="1:11" x14ac:dyDescent="0.25">
      <c r="A34" t="s">
        <v>78</v>
      </c>
      <c r="C34" s="1" t="s">
        <v>0</v>
      </c>
      <c r="E34" s="50">
        <v>0.45</v>
      </c>
      <c r="F34" s="50">
        <v>0.45</v>
      </c>
      <c r="G34" s="50">
        <v>0.45</v>
      </c>
      <c r="H34" s="50">
        <v>0.45</v>
      </c>
      <c r="I34" s="50">
        <v>0.45</v>
      </c>
      <c r="J34" s="50">
        <v>0.45</v>
      </c>
      <c r="K34" s="50">
        <v>0.45</v>
      </c>
    </row>
    <row r="35" spans="1:11" x14ac:dyDescent="0.25">
      <c r="C35" s="1"/>
    </row>
    <row r="36" spans="1:11" x14ac:dyDescent="0.25">
      <c r="A36" s="1" t="s">
        <v>13</v>
      </c>
      <c r="B36" s="1"/>
      <c r="C36" s="1"/>
    </row>
    <row r="37" spans="1:11" x14ac:dyDescent="0.25">
      <c r="A37" s="1"/>
      <c r="B37" s="1"/>
      <c r="C37" s="1"/>
    </row>
    <row r="38" spans="1:11" x14ac:dyDescent="0.25">
      <c r="A38" t="s">
        <v>102</v>
      </c>
      <c r="D38" t="s">
        <v>108</v>
      </c>
      <c r="E38" s="50">
        <f>PI()*(E20-E26)*E26</f>
        <v>12.110962201702142</v>
      </c>
    </row>
    <row r="39" spans="1:11" x14ac:dyDescent="0.25">
      <c r="A39" t="s">
        <v>109</v>
      </c>
      <c r="C39" t="s">
        <v>109</v>
      </c>
      <c r="D39" t="s">
        <v>108</v>
      </c>
      <c r="E39" s="50">
        <f>(PI()/4)*(E20^2)</f>
        <v>153.93804002589985</v>
      </c>
    </row>
    <row r="40" spans="1:11" x14ac:dyDescent="0.25">
      <c r="A40" t="s">
        <v>110</v>
      </c>
      <c r="C40" t="s">
        <v>110</v>
      </c>
      <c r="D40" t="s">
        <v>108</v>
      </c>
      <c r="E40" s="50">
        <f>(PI()/4)*(E20^2)</f>
        <v>153.93804002589985</v>
      </c>
    </row>
    <row r="41" spans="1:11" x14ac:dyDescent="0.25">
      <c r="A41" t="s">
        <v>113</v>
      </c>
      <c r="C41" t="s">
        <v>111</v>
      </c>
      <c r="D41" t="s">
        <v>112</v>
      </c>
      <c r="E41" s="50">
        <f>PI()/64*(E20^4-E23^4)</f>
        <v>867.86497055418033</v>
      </c>
    </row>
    <row r="42" spans="1:11" x14ac:dyDescent="0.25">
      <c r="C42" s="1"/>
    </row>
    <row r="43" spans="1:11" x14ac:dyDescent="0.25">
      <c r="A43" s="1" t="s">
        <v>16</v>
      </c>
      <c r="B43" s="1"/>
      <c r="C43" s="1"/>
    </row>
    <row r="44" spans="1:11" x14ac:dyDescent="0.25">
      <c r="A44" t="s">
        <v>29</v>
      </c>
      <c r="C44" t="s">
        <v>126</v>
      </c>
      <c r="E44" s="50">
        <v>0</v>
      </c>
    </row>
    <row r="45" spans="1:11" x14ac:dyDescent="0.25">
      <c r="A45" t="s">
        <v>30</v>
      </c>
      <c r="C45" t="s">
        <v>18</v>
      </c>
      <c r="D45" t="s">
        <v>4</v>
      </c>
      <c r="E45" s="53">
        <v>0</v>
      </c>
    </row>
    <row r="46" spans="1:11" x14ac:dyDescent="0.25">
      <c r="A46" t="s">
        <v>107</v>
      </c>
      <c r="C46" t="s">
        <v>119</v>
      </c>
      <c r="D46" s="2" t="s">
        <v>19</v>
      </c>
      <c r="E46" s="50">
        <v>0</v>
      </c>
    </row>
    <row r="47" spans="1:11" x14ac:dyDescent="0.25">
      <c r="A47" t="s">
        <v>20</v>
      </c>
      <c r="C47" t="s">
        <v>120</v>
      </c>
      <c r="D47" s="2" t="s">
        <v>21</v>
      </c>
      <c r="E47" s="50">
        <v>0</v>
      </c>
    </row>
    <row r="48" spans="1:11" x14ac:dyDescent="0.25">
      <c r="C48" s="1"/>
    </row>
    <row r="49" spans="1:11" x14ac:dyDescent="0.25">
      <c r="A49" s="40" t="s">
        <v>131</v>
      </c>
      <c r="C49" s="1"/>
      <c r="E49" s="50">
        <f>2/3</f>
        <v>0.66666666666666663</v>
      </c>
    </row>
    <row r="50" spans="1:11" x14ac:dyDescent="0.25">
      <c r="A50" s="40" t="s">
        <v>130</v>
      </c>
      <c r="C50" s="1"/>
      <c r="E50" s="50">
        <f>E49*C13</f>
        <v>367.33333333333331</v>
      </c>
    </row>
    <row r="51" spans="1:11" x14ac:dyDescent="0.25">
      <c r="A51" s="30" t="s">
        <v>98</v>
      </c>
      <c r="C51" s="1"/>
    </row>
    <row r="52" spans="1:11" x14ac:dyDescent="0.25">
      <c r="A52" s="31" t="s">
        <v>134</v>
      </c>
      <c r="C52" s="1" t="s">
        <v>132</v>
      </c>
      <c r="D52" t="s">
        <v>83</v>
      </c>
      <c r="E52" s="26">
        <v>0.6</v>
      </c>
      <c r="F52" s="26">
        <v>0.6</v>
      </c>
      <c r="G52" s="26">
        <v>0.6</v>
      </c>
      <c r="H52" s="26">
        <v>0.6</v>
      </c>
      <c r="I52" s="26">
        <v>0.6</v>
      </c>
      <c r="J52" s="26">
        <v>0.6</v>
      </c>
      <c r="K52" s="26">
        <v>0.6</v>
      </c>
    </row>
    <row r="53" spans="1:11" x14ac:dyDescent="0.25">
      <c r="A53" s="30"/>
      <c r="C53" s="1"/>
      <c r="D53" t="s">
        <v>34</v>
      </c>
      <c r="E53" s="50">
        <f>E52/0.145</f>
        <v>4.1379310344827589</v>
      </c>
      <c r="F53" s="50">
        <f t="shared" ref="F53:K53" si="10">F52/0.145</f>
        <v>4.1379310344827589</v>
      </c>
      <c r="G53" s="50">
        <f t="shared" si="10"/>
        <v>4.1379310344827589</v>
      </c>
      <c r="H53" s="50">
        <f t="shared" si="10"/>
        <v>4.1379310344827589</v>
      </c>
      <c r="I53" s="50">
        <f t="shared" si="10"/>
        <v>4.1379310344827589</v>
      </c>
      <c r="J53" s="50">
        <f t="shared" si="10"/>
        <v>4.1379310344827589</v>
      </c>
      <c r="K53" s="50">
        <f t="shared" si="10"/>
        <v>4.1379310344827589</v>
      </c>
    </row>
    <row r="54" spans="1:11" x14ac:dyDescent="0.25">
      <c r="A54" s="30"/>
      <c r="C54" s="1"/>
    </row>
    <row r="55" spans="1:11" x14ac:dyDescent="0.25">
      <c r="A55" s="31" t="s">
        <v>137</v>
      </c>
      <c r="C55" s="1" t="s">
        <v>132</v>
      </c>
      <c r="D55" t="s">
        <v>83</v>
      </c>
      <c r="E55" s="26">
        <v>0.7</v>
      </c>
      <c r="F55" s="26">
        <f>E55</f>
        <v>0.7</v>
      </c>
      <c r="G55" s="26">
        <f t="shared" ref="G55:K55" si="11">F55</f>
        <v>0.7</v>
      </c>
      <c r="H55" s="26">
        <f t="shared" si="11"/>
        <v>0.7</v>
      </c>
      <c r="I55" s="26">
        <f t="shared" si="11"/>
        <v>0.7</v>
      </c>
      <c r="J55" s="26">
        <f t="shared" si="11"/>
        <v>0.7</v>
      </c>
      <c r="K55" s="26">
        <f t="shared" si="11"/>
        <v>0.7</v>
      </c>
    </row>
    <row r="56" spans="1:11" x14ac:dyDescent="0.25">
      <c r="A56" s="30"/>
      <c r="C56" s="1"/>
      <c r="D56" t="s">
        <v>34</v>
      </c>
      <c r="E56" s="50">
        <f>E55/0.145</f>
        <v>4.8275862068965516</v>
      </c>
      <c r="F56" s="50">
        <f t="shared" ref="F56:K56" si="12">F55/0.145</f>
        <v>4.8275862068965516</v>
      </c>
      <c r="G56" s="50">
        <f t="shared" si="12"/>
        <v>4.8275862068965516</v>
      </c>
      <c r="H56" s="50">
        <f t="shared" si="12"/>
        <v>4.8275862068965516</v>
      </c>
      <c r="I56" s="50">
        <f t="shared" si="12"/>
        <v>4.8275862068965516</v>
      </c>
      <c r="J56" s="50">
        <f t="shared" si="12"/>
        <v>4.8275862068965516</v>
      </c>
      <c r="K56" s="50">
        <f t="shared" si="12"/>
        <v>4.8275862068965516</v>
      </c>
    </row>
    <row r="57" spans="1:11" x14ac:dyDescent="0.25">
      <c r="A57" s="30"/>
      <c r="C57" s="1"/>
    </row>
    <row r="58" spans="1:11" s="33" customFormat="1" x14ac:dyDescent="0.25">
      <c r="A58" s="32" t="s">
        <v>99</v>
      </c>
      <c r="C58" s="34"/>
      <c r="E58" s="54"/>
      <c r="F58" s="54"/>
      <c r="G58" s="54"/>
      <c r="H58" s="54"/>
      <c r="I58" s="54"/>
      <c r="J58" s="54"/>
      <c r="K58" s="54"/>
    </row>
    <row r="59" spans="1:11" x14ac:dyDescent="0.25">
      <c r="A59" s="1" t="s">
        <v>139</v>
      </c>
      <c r="C59" s="1" t="s">
        <v>76</v>
      </c>
      <c r="D59" t="s">
        <v>34</v>
      </c>
      <c r="E59" s="50">
        <f>E34*(C13+E13)*LN(E20/(E20-(2*E26)))</f>
        <v>21.589571026061368</v>
      </c>
      <c r="F59" s="50">
        <f>F34*(C13+E13)*LN(F20/(F20-(2*F26)))</f>
        <v>24.026429251161403</v>
      </c>
      <c r="G59" s="50">
        <f>G34*(C13+E13)*LN(G20/(G20-(2*G26)))</f>
        <v>26.553772225409052</v>
      </c>
      <c r="H59" s="50">
        <f>H34*(C13+E13)*LN(H20/(H20-(2*H26)))</f>
        <v>29.013749586596287</v>
      </c>
      <c r="I59" s="50">
        <f>I34*(C13+E13)*LN(I20/(I20-(2*I26)))</f>
        <v>31.4852648216226</v>
      </c>
      <c r="J59" s="50">
        <f>J34*(C13+E13)*LN(J20/(J20-(2*J26)))</f>
        <v>34.048723814418715</v>
      </c>
      <c r="K59" s="50">
        <f>K34*(C13+E13)*LN(K20/(K20-(2*K26)))</f>
        <v>36.544023673129303</v>
      </c>
    </row>
    <row r="60" spans="1:11" x14ac:dyDescent="0.25">
      <c r="C60" s="1"/>
      <c r="D60" t="s">
        <v>94</v>
      </c>
      <c r="E60" s="50">
        <f>E59*145.038</f>
        <v>3131.3082024778887</v>
      </c>
      <c r="F60" s="50">
        <f t="shared" ref="F60:F63" si="13">F59*145.038</f>
        <v>3484.7452457299478</v>
      </c>
      <c r="G60" s="50">
        <f>G59*145.038</f>
        <v>3851.3060160288783</v>
      </c>
      <c r="H60" s="50">
        <f>H59*145.038</f>
        <v>4208.0962125407523</v>
      </c>
      <c r="I60" s="50">
        <f>I59*145.038</f>
        <v>4566.5598391984986</v>
      </c>
      <c r="J60" s="50">
        <f>J59*145.038</f>
        <v>4938.3588045956621</v>
      </c>
      <c r="K60" s="50">
        <f>K59*145.038</f>
        <v>5300.272105503328</v>
      </c>
    </row>
    <row r="61" spans="1:11" x14ac:dyDescent="0.25">
      <c r="C61" s="1"/>
    </row>
    <row r="62" spans="1:11" x14ac:dyDescent="0.25">
      <c r="A62" s="1" t="s">
        <v>140</v>
      </c>
      <c r="C62" s="1" t="s">
        <v>76</v>
      </c>
      <c r="D62" t="s">
        <v>34</v>
      </c>
      <c r="E62" s="50">
        <f>E34*(C13+E13)*LN(E23/(E23-(2*E26)))</f>
        <v>25.275422488184784</v>
      </c>
      <c r="F62" s="50">
        <f>F34*(C13+E13)*LN(F23/(F23-(2*F26)))</f>
        <v>28.13953929635338</v>
      </c>
      <c r="G62" s="50">
        <f>G34*(C13+E13)*LN(G23/(G23-(2*G26)))</f>
        <v>31.112466786972142</v>
      </c>
      <c r="H62" s="50">
        <f>H34*(C13+E13)*LN(H23/(H23-(2*H26)))</f>
        <v>34.008573713443127</v>
      </c>
      <c r="I62" s="50">
        <f>I34*(C13+E13)*LN(I23/(I23-(2*I26)))</f>
        <v>36.920685590524812</v>
      </c>
      <c r="J62" s="50">
        <f>J34*(C13+E13)*LN(J23/(J23-(2*J26)))</f>
        <v>39.943712884709747</v>
      </c>
      <c r="K62" s="50">
        <f>K34*(C13+E13)*LN(K23/(K23-(2*K26)))</f>
        <v>42.888902197665139</v>
      </c>
    </row>
    <row r="63" spans="1:11" x14ac:dyDescent="0.25">
      <c r="C63" s="1"/>
      <c r="D63" t="s">
        <v>94</v>
      </c>
      <c r="E63" s="50">
        <f>E62*145.038</f>
        <v>3665.8967268413448</v>
      </c>
      <c r="F63" s="50">
        <f t="shared" si="13"/>
        <v>4081.3025004645019</v>
      </c>
      <c r="G63" s="50">
        <f>G62*145.038</f>
        <v>4512.4899578488657</v>
      </c>
      <c r="H63" s="50">
        <f>H62*145.038</f>
        <v>4932.5355142503649</v>
      </c>
      <c r="I63" s="50">
        <f>I62*145.038</f>
        <v>5354.902396678538</v>
      </c>
      <c r="J63" s="50">
        <f>J62*145.038</f>
        <v>5793.3562293725327</v>
      </c>
      <c r="K63" s="50">
        <f>K62*145.038</f>
        <v>6220.5205969449571</v>
      </c>
    </row>
    <row r="64" spans="1:11" x14ac:dyDescent="0.25">
      <c r="C64" s="1"/>
      <c r="G64" s="28"/>
      <c r="H64" s="28"/>
    </row>
    <row r="65" spans="1:11" x14ac:dyDescent="0.25">
      <c r="A65" s="1" t="s">
        <v>41</v>
      </c>
      <c r="C65" s="1" t="s">
        <v>95</v>
      </c>
      <c r="D65" t="s">
        <v>34</v>
      </c>
      <c r="E65" s="50">
        <f>2*E32*(E26/E23)^3/(1-E29^2)</f>
        <v>5.8416316735348008</v>
      </c>
      <c r="F65" s="50">
        <f>2*F32*(F26/F23)^3/(1-F29^2)</f>
        <v>7.9961142857142855</v>
      </c>
      <c r="G65" s="50">
        <f>2*G32*(G26/G23)^3/(1-G29^2)</f>
        <v>10.717427106227102</v>
      </c>
      <c r="H65" s="50">
        <f>2*H32*(H26/H23)^3/(1-H29^2)</f>
        <v>13.883821256868131</v>
      </c>
      <c r="I65" s="50">
        <f>2*I32*(I26/I23)^3/(1-I29^2)</f>
        <v>17.619489102564106</v>
      </c>
      <c r="J65" s="50">
        <f>2*J32*(J26/J23)^3/(1-J29^2)</f>
        <v>22.122670054945054</v>
      </c>
      <c r="K65" s="50">
        <f>2*K32*(K26/K23)^3/(1-K29^2)</f>
        <v>27.160248477564096</v>
      </c>
    </row>
    <row r="66" spans="1:11" x14ac:dyDescent="0.25">
      <c r="C66" s="1"/>
      <c r="G66" s="26"/>
      <c r="H66" s="26"/>
    </row>
    <row r="67" spans="1:11" x14ac:dyDescent="0.25">
      <c r="A67" s="1" t="s">
        <v>42</v>
      </c>
      <c r="C67" s="1" t="s">
        <v>43</v>
      </c>
      <c r="D67" t="s">
        <v>34</v>
      </c>
      <c r="E67" s="50">
        <f>2*(E26/E23)*C13*J4</f>
        <v>25.805166666666668</v>
      </c>
      <c r="F67" s="50">
        <f>2*(F26/F23)*C13*J4</f>
        <v>28.651999999999997</v>
      </c>
      <c r="G67" s="50">
        <f>2*(G26/G23)*C13*J4</f>
        <v>31.590666666666664</v>
      </c>
      <c r="H67" s="50">
        <f>2*(H26/H23)*C13*J4</f>
        <v>34.4375</v>
      </c>
      <c r="I67" s="50">
        <f>2*(I26/I23)*C13*J4</f>
        <v>37.284333333333336</v>
      </c>
      <c r="J67" s="50">
        <f>2*(J26/J23)*C13*J4</f>
        <v>40.222999999999999</v>
      </c>
      <c r="K67" s="50">
        <f>2*(K26/K23)*C13*J4</f>
        <v>43.069833333333328</v>
      </c>
    </row>
    <row r="68" spans="1:11" x14ac:dyDescent="0.25">
      <c r="C68" s="1"/>
      <c r="G68" s="26"/>
      <c r="H68" s="26"/>
    </row>
    <row r="69" spans="1:11" x14ac:dyDescent="0.25">
      <c r="A69" s="1" t="s">
        <v>46</v>
      </c>
      <c r="C69" s="1" t="s">
        <v>47</v>
      </c>
      <c r="D69" t="s">
        <v>34</v>
      </c>
      <c r="E69" s="50">
        <f>2*C13*(E26/E23)</f>
        <v>25.805166666666668</v>
      </c>
      <c r="F69" s="50">
        <f>2*C13*(F26/F23)</f>
        <v>28.651999999999997</v>
      </c>
      <c r="G69" s="50">
        <f>2*C13*(G26/G23)</f>
        <v>31.590666666666664</v>
      </c>
      <c r="H69" s="50">
        <f>2*C13*(H26/H23)</f>
        <v>34.4375</v>
      </c>
      <c r="I69" s="50">
        <f>2*C13*(I26/I23)</f>
        <v>37.284333333333336</v>
      </c>
      <c r="J69" s="50">
        <f>2*C13*(J26/J23)</f>
        <v>40.222999999999999</v>
      </c>
      <c r="K69" s="50">
        <f>2*C13*(K26/K23)</f>
        <v>43.069833333333328</v>
      </c>
    </row>
    <row r="70" spans="1:11" x14ac:dyDescent="0.25">
      <c r="C70" s="1"/>
      <c r="G70" s="35"/>
      <c r="H70" s="35"/>
    </row>
    <row r="71" spans="1:11" x14ac:dyDescent="0.25">
      <c r="A71" s="1" t="s">
        <v>44</v>
      </c>
      <c r="C71" s="1" t="s">
        <v>45</v>
      </c>
      <c r="D71" t="s">
        <v>34</v>
      </c>
      <c r="E71" s="50">
        <f>(E69*E65)/(SQRT(E69^2+E65^2))</f>
        <v>5.6974708688249995</v>
      </c>
      <c r="F71" s="50">
        <f t="shared" ref="F71:K71" si="14">(F69*F65)/(SQRT(F69^2+F65^2))</f>
        <v>7.7018132771171519</v>
      </c>
      <c r="G71" s="50">
        <f t="shared" si="14"/>
        <v>10.149256791362811</v>
      </c>
      <c r="H71" s="50">
        <f t="shared" si="14"/>
        <v>12.876725661543681</v>
      </c>
      <c r="I71" s="50">
        <f t="shared" si="14"/>
        <v>15.930254123769163</v>
      </c>
      <c r="J71" s="50">
        <f t="shared" si="14"/>
        <v>19.384231363414681</v>
      </c>
      <c r="K71" s="50">
        <f t="shared" si="14"/>
        <v>22.973737991851845</v>
      </c>
    </row>
    <row r="72" spans="1:11" x14ac:dyDescent="0.25">
      <c r="D72" t="s">
        <v>94</v>
      </c>
      <c r="E72" s="50">
        <f>E71*145.038</f>
        <v>826.3497798726404</v>
      </c>
      <c r="F72" s="50">
        <f t="shared" ref="F72" si="15">F71*145.038</f>
        <v>1117.0555940865177</v>
      </c>
      <c r="G72" s="50">
        <f>G71*145.038</f>
        <v>1472.0279065056795</v>
      </c>
      <c r="H72" s="50">
        <f>H71*145.038</f>
        <v>1867.6145364989725</v>
      </c>
      <c r="I72" s="50">
        <f>I71*145.038</f>
        <v>2310.4921976032319</v>
      </c>
      <c r="J72" s="50">
        <f>J71*145.038</f>
        <v>2811.4501484869388</v>
      </c>
      <c r="K72" s="50">
        <f>K71*145.038</f>
        <v>3332.0650108622081</v>
      </c>
    </row>
    <row r="74" spans="1:11" x14ac:dyDescent="0.25">
      <c r="A74" t="s">
        <v>138</v>
      </c>
      <c r="C74" t="s">
        <v>135</v>
      </c>
      <c r="D74" t="s">
        <v>94</v>
      </c>
      <c r="E74" s="50">
        <f>E52*E60</f>
        <v>1878.7849214867331</v>
      </c>
      <c r="F74" s="50">
        <f t="shared" ref="F74:K76" si="16">F52*F60</f>
        <v>2090.8471474379685</v>
      </c>
      <c r="G74" s="50">
        <f t="shared" si="16"/>
        <v>2310.7836096173269</v>
      </c>
      <c r="H74" s="50">
        <f t="shared" si="16"/>
        <v>2524.8577275244511</v>
      </c>
      <c r="I74" s="50">
        <f t="shared" si="16"/>
        <v>2739.9359035190992</v>
      </c>
      <c r="J74" s="50">
        <f t="shared" si="16"/>
        <v>2963.015282757397</v>
      </c>
      <c r="K74" s="50">
        <f t="shared" si="16"/>
        <v>3180.1632633019967</v>
      </c>
    </row>
    <row r="76" spans="1:11" x14ac:dyDescent="0.25">
      <c r="A76" t="s">
        <v>142</v>
      </c>
      <c r="C76" t="s">
        <v>135</v>
      </c>
      <c r="D76" t="s">
        <v>94</v>
      </c>
      <c r="E76" s="50">
        <f>E52*E63</f>
        <v>2199.5380361048069</v>
      </c>
      <c r="F76" s="50">
        <f t="shared" ref="F76:K76" si="17">F52*F63</f>
        <v>2448.7815002787011</v>
      </c>
      <c r="G76" s="50">
        <f t="shared" si="17"/>
        <v>2707.4939747093194</v>
      </c>
      <c r="H76" s="50">
        <f t="shared" si="17"/>
        <v>2959.5213085502187</v>
      </c>
      <c r="I76" s="50">
        <f t="shared" si="17"/>
        <v>3212.9414380071225</v>
      </c>
      <c r="J76" s="50">
        <f t="shared" si="17"/>
        <v>3476.0137376235193</v>
      </c>
      <c r="K76" s="50">
        <f t="shared" si="17"/>
        <v>3732.3123581669743</v>
      </c>
    </row>
    <row r="78" spans="1:11" x14ac:dyDescent="0.25">
      <c r="A78" t="s">
        <v>100</v>
      </c>
      <c r="C78" t="s">
        <v>136</v>
      </c>
      <c r="D78" t="s">
        <v>133</v>
      </c>
      <c r="E78" s="50">
        <f>E55*E72</f>
        <v>578.44484591084824</v>
      </c>
      <c r="F78" s="50">
        <f>F55*F72</f>
        <v>781.93891586056236</v>
      </c>
      <c r="G78" s="50">
        <f>G55*G72</f>
        <v>1030.4195345539756</v>
      </c>
      <c r="H78" s="50">
        <f>H55*H72</f>
        <v>1307.3301755492807</v>
      </c>
      <c r="I78" s="50">
        <f>I55*I72</f>
        <v>1617.3445383222622</v>
      </c>
      <c r="J78" s="50">
        <f>J55*J72</f>
        <v>1968.015103940857</v>
      </c>
      <c r="K78" s="50">
        <f>K55*K72</f>
        <v>2332.4455076035456</v>
      </c>
    </row>
    <row r="81" spans="1:11" x14ac:dyDescent="0.25">
      <c r="A81" s="1" t="s">
        <v>101</v>
      </c>
      <c r="C81" t="s">
        <v>102</v>
      </c>
      <c r="E81" s="50">
        <f>PI()*(E20-E26)*E26</f>
        <v>12.110962201702142</v>
      </c>
      <c r="F81" s="50">
        <f>PI()*(F20-F26)*F26</f>
        <v>13.416661515609173</v>
      </c>
      <c r="G81" s="50">
        <f>PI()*(G20-G26)*G26</f>
        <v>14.758146711433241</v>
      </c>
      <c r="H81" s="50">
        <f>PI()*(H20-H26)*H26</f>
        <v>16.051574964435346</v>
      </c>
      <c r="I81" s="50">
        <f>PI()*(I20-I26)*I26</f>
        <v>17.338965076357258</v>
      </c>
      <c r="J81" s="50">
        <f>PI()*(J20-J26)*J26</f>
        <v>18.66155045077733</v>
      </c>
      <c r="K81" s="50">
        <f>PI()*(K20-K26)*K26</f>
        <v>19.936669501794317</v>
      </c>
    </row>
    <row r="82" spans="1:11" x14ac:dyDescent="0.25">
      <c r="A82" s="1"/>
    </row>
    <row r="83" spans="1:11" x14ac:dyDescent="0.25">
      <c r="A83" s="1" t="s">
        <v>103</v>
      </c>
      <c r="C83" t="s">
        <v>104</v>
      </c>
      <c r="D83" s="2" t="s">
        <v>63</v>
      </c>
      <c r="E83" s="50">
        <f>(C13*E81)</f>
        <v>6673.1401731378801</v>
      </c>
      <c r="F83" s="50">
        <f>(C13*F81)</f>
        <v>7392.5804951006539</v>
      </c>
      <c r="G83" s="50">
        <f>(C13*G81)</f>
        <v>8131.7388379997155</v>
      </c>
      <c r="H83" s="50">
        <f>(C13*H81)</f>
        <v>8844.4178054038766</v>
      </c>
      <c r="I83" s="50">
        <f>(C13*I81)</f>
        <v>9553.7697570728487</v>
      </c>
      <c r="J83" s="50">
        <f>(C13*J81)</f>
        <v>10282.51429837831</v>
      </c>
      <c r="K83" s="50">
        <f>(C13*K81)</f>
        <v>10985.104895488668</v>
      </c>
    </row>
    <row r="84" spans="1:11" x14ac:dyDescent="0.25">
      <c r="A84" s="1"/>
    </row>
    <row r="85" spans="1:11" x14ac:dyDescent="0.25">
      <c r="A85" s="1" t="s">
        <v>105</v>
      </c>
      <c r="C85" t="s">
        <v>106</v>
      </c>
      <c r="D85" s="8" t="s">
        <v>62</v>
      </c>
      <c r="E85" s="50">
        <f>(PI()/4*C13*(E20-E26)^2*E26)</f>
        <v>22887.202508819646</v>
      </c>
      <c r="F85" s="50">
        <f>(PI()/4*C13*(F20-F26)^2*F26)/10^6</f>
        <v>2.5297410454234434E-2</v>
      </c>
      <c r="G85" s="50">
        <f>(PI()/4*C13*(G20-G26)^2*G26)/10^6</f>
        <v>2.776175639293103E-2</v>
      </c>
      <c r="H85" s="50">
        <f>(PI()/4*C13*(H20-H26)^2*H26)/10^6</f>
        <v>3.0126298149656956E-2</v>
      </c>
      <c r="I85" s="50">
        <f>(PI()/4*C13*(I20-I26)^2*I26)/10^6</f>
        <v>3.2468486519412074E-2</v>
      </c>
      <c r="J85" s="50">
        <f>(PI()/4*C13*(J20-J26)^2*J26)/10^6</f>
        <v>3.486286472865166E-2</v>
      </c>
      <c r="K85" s="50">
        <f>(PI()/4*C13*(K20-K26)^2*K26)/10^6</f>
        <v>3.7159863585214288E-2</v>
      </c>
    </row>
    <row r="87" spans="1:11" x14ac:dyDescent="0.25">
      <c r="A87" s="1" t="s">
        <v>51</v>
      </c>
      <c r="C87" t="s">
        <v>118</v>
      </c>
      <c r="D87" s="8" t="s">
        <v>62</v>
      </c>
      <c r="E87" s="50">
        <f>4/PI()*E85</f>
        <v>29140.891302591001</v>
      </c>
      <c r="F87" s="50">
        <f t="shared" ref="F87:K87" si="18">4/PI()*F85</f>
        <v>3.2209663369727998E-2</v>
      </c>
      <c r="G87" s="50">
        <f t="shared" si="18"/>
        <v>3.5347366070784002E-2</v>
      </c>
      <c r="H87" s="50">
        <f t="shared" si="18"/>
        <v>3.8357994140624997E-2</v>
      </c>
      <c r="I87" s="50">
        <f t="shared" si="18"/>
        <v>4.1340160994215995E-2</v>
      </c>
      <c r="J87" s="50">
        <f t="shared" si="18"/>
        <v>4.4388778015272003E-2</v>
      </c>
      <c r="K87" s="50">
        <f t="shared" si="18"/>
        <v>4.7313407793658994E-2</v>
      </c>
    </row>
    <row r="89" spans="1:11" x14ac:dyDescent="0.25">
      <c r="A89" s="1" t="s">
        <v>128</v>
      </c>
      <c r="C89" t="s">
        <v>129</v>
      </c>
      <c r="E89" s="50">
        <f>E50*E38</f>
        <v>4448.7601154252534</v>
      </c>
    </row>
    <row r="91" spans="1:11" x14ac:dyDescent="0.25">
      <c r="A91" t="s">
        <v>107</v>
      </c>
      <c r="C91" t="s">
        <v>119</v>
      </c>
      <c r="E91" s="50">
        <f>E89-(E45*E39+E44*E40)</f>
        <v>4448.7601154252534</v>
      </c>
    </row>
    <row r="93" spans="1:11" x14ac:dyDescent="0.25">
      <c r="A93" s="6" t="s">
        <v>53</v>
      </c>
      <c r="B93" s="5" t="s">
        <v>121</v>
      </c>
      <c r="C93" s="5"/>
    </row>
    <row r="94" spans="1:11" ht="45" x14ac:dyDescent="0.25">
      <c r="A94" s="5"/>
      <c r="B94" s="37" t="s">
        <v>55</v>
      </c>
      <c r="C94" s="5">
        <v>0.81</v>
      </c>
    </row>
    <row r="95" spans="1:11" ht="45" x14ac:dyDescent="0.25">
      <c r="A95" s="5"/>
      <c r="B95" s="37" t="s">
        <v>56</v>
      </c>
      <c r="C95" s="5">
        <v>0.81</v>
      </c>
    </row>
    <row r="96" spans="1:11" x14ac:dyDescent="0.25">
      <c r="A96" s="5"/>
      <c r="B96" s="37" t="s">
        <v>57</v>
      </c>
      <c r="C96" s="5">
        <v>0.9</v>
      </c>
    </row>
    <row r="97" spans="1:6" ht="30" x14ac:dyDescent="0.25">
      <c r="A97" s="5"/>
      <c r="B97" s="37" t="s">
        <v>58</v>
      </c>
      <c r="C97" s="5">
        <v>0.67</v>
      </c>
    </row>
    <row r="98" spans="1:6" x14ac:dyDescent="0.25">
      <c r="A98" s="5"/>
      <c r="B98" s="37" t="s">
        <v>59</v>
      </c>
      <c r="C98" s="5">
        <v>0.6</v>
      </c>
    </row>
    <row r="99" spans="1:6" ht="30" x14ac:dyDescent="0.25">
      <c r="A99" s="5"/>
      <c r="B99" s="37" t="s">
        <v>60</v>
      </c>
      <c r="C99" s="5">
        <v>0.8</v>
      </c>
    </row>
    <row r="100" spans="1:6" ht="30" x14ac:dyDescent="0.25">
      <c r="A100" s="5"/>
      <c r="B100" s="37" t="s">
        <v>61</v>
      </c>
      <c r="C100" s="5">
        <v>0.7</v>
      </c>
    </row>
    <row r="101" spans="1:6" x14ac:dyDescent="0.25">
      <c r="A101" s="5"/>
      <c r="B101" s="38" t="s">
        <v>54</v>
      </c>
      <c r="C101" s="5">
        <v>1</v>
      </c>
    </row>
    <row r="103" spans="1:6" x14ac:dyDescent="0.25">
      <c r="A103" s="1" t="s">
        <v>52</v>
      </c>
    </row>
    <row r="105" spans="1:6" x14ac:dyDescent="0.25">
      <c r="A105" s="1" t="s">
        <v>69</v>
      </c>
    </row>
    <row r="107" spans="1:6" ht="30" x14ac:dyDescent="0.25">
      <c r="A107" s="9" t="s">
        <v>122</v>
      </c>
      <c r="E107" s="50">
        <f>(E47/E85)/SQRT((C99)^2-((E45-E44)/E59)^2)-(E91/E83)</f>
        <v>-0.66666666666666663</v>
      </c>
      <c r="F107" s="50" t="s">
        <v>64</v>
      </c>
    </row>
    <row r="112" spans="1:6" x14ac:dyDescent="0.25">
      <c r="A112" s="1" t="s">
        <v>70</v>
      </c>
    </row>
    <row r="114" spans="1:6" ht="30" x14ac:dyDescent="0.25">
      <c r="A114" s="9" t="s">
        <v>123</v>
      </c>
      <c r="E114" s="50">
        <f>(E47/E85)/SQRT((C99)^2-((E44-E45)/E71)^2)-(E91/E83)</f>
        <v>-0.66666666666666663</v>
      </c>
      <c r="F114" s="50" t="s">
        <v>64</v>
      </c>
    </row>
    <row r="118" spans="1:6" x14ac:dyDescent="0.25">
      <c r="A118" s="1" t="s">
        <v>65</v>
      </c>
    </row>
    <row r="120" spans="1:6" x14ac:dyDescent="0.25">
      <c r="A120" s="1" t="s">
        <v>69</v>
      </c>
    </row>
    <row r="122" spans="1:6" ht="60" x14ac:dyDescent="0.25">
      <c r="A122" s="9" t="s">
        <v>124</v>
      </c>
      <c r="E122" s="50">
        <f>(E47/E87)/SQRT(C99^2-(E45-E44)/E59)^2*COS(PI()/2*(E91/E83)/SQRT(C99^2-(E45-E44)/E59)^2)</f>
        <v>0</v>
      </c>
      <c r="F122" s="50" t="s">
        <v>64</v>
      </c>
    </row>
    <row r="125" spans="1:6" x14ac:dyDescent="0.25">
      <c r="A125" s="1" t="s">
        <v>70</v>
      </c>
    </row>
    <row r="127" spans="1:6" ht="45" x14ac:dyDescent="0.25">
      <c r="A127" s="9" t="s">
        <v>125</v>
      </c>
      <c r="E127" s="50">
        <f>(E47/E87)/SQRT(C99^2-(E44-E45)/E71)^2*COS(PI()/2*(E46/E83)/SQRT(C99^2-(E44-E45)/E71)^2)</f>
        <v>0</v>
      </c>
      <c r="F127" s="50" t="s">
        <v>64</v>
      </c>
    </row>
    <row r="134" spans="1:6" x14ac:dyDescent="0.25">
      <c r="A134" s="1" t="s">
        <v>67</v>
      </c>
      <c r="B134" t="s">
        <v>66</v>
      </c>
    </row>
    <row r="138" spans="1:6" x14ac:dyDescent="0.25">
      <c r="A138" s="1" t="s">
        <v>68</v>
      </c>
      <c r="B138" s="1" t="s">
        <v>71</v>
      </c>
      <c r="C138">
        <v>1</v>
      </c>
    </row>
    <row r="140" spans="1:6" ht="30" x14ac:dyDescent="0.25">
      <c r="A140" s="9" t="s">
        <v>127</v>
      </c>
      <c r="E140" s="50">
        <f>SQRT(((E45-E44)/E59)^2+(E46/E83)^2/C138)</f>
        <v>0</v>
      </c>
      <c r="F140" s="50" t="s">
        <v>64</v>
      </c>
    </row>
  </sheetData>
  <mergeCells count="9">
    <mergeCell ref="E17:T17"/>
    <mergeCell ref="A3:E3"/>
    <mergeCell ref="A4:A5"/>
    <mergeCell ref="B4:C4"/>
    <mergeCell ref="D4:E4"/>
    <mergeCell ref="H3:J3"/>
    <mergeCell ref="H4:I4"/>
    <mergeCell ref="H5:I5"/>
    <mergeCell ref="H6: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Inputs</vt:lpstr>
      <vt:lpstr>APISTD 2RD_1</vt:lpstr>
      <vt:lpstr>BP VS Th</vt:lpstr>
      <vt:lpstr>CP VS 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AceEngineer</dc:creator>
  <cp:lastModifiedBy>AceEngineer</cp:lastModifiedBy>
  <dcterms:created xsi:type="dcterms:W3CDTF">2018-05-17T03:42:20Z</dcterms:created>
  <dcterms:modified xsi:type="dcterms:W3CDTF">2018-09-14T12:35:46Z</dcterms:modified>
</cp:coreProperties>
</file>