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Engineer\Dropbox\0119 Programming\001 VMStress2RD\CAL\"/>
    </mc:Choice>
  </mc:AlternateContent>
  <bookViews>
    <workbookView xWindow="0" yWindow="0" windowWidth="20490" windowHeight="7755" firstSheet="1" activeTab="1"/>
  </bookViews>
  <sheets>
    <sheet name="Inputs" sheetId="3" r:id="rId1"/>
    <sheet name="APISTD 2RD_1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4" l="1"/>
  <c r="E75" i="4"/>
  <c r="F75" i="4"/>
  <c r="G75" i="4"/>
  <c r="H75" i="4"/>
  <c r="I75" i="4"/>
  <c r="J75" i="4"/>
  <c r="K75" i="4"/>
  <c r="L75" i="4"/>
  <c r="M75" i="4"/>
  <c r="O75" i="4"/>
  <c r="N75" i="4"/>
  <c r="N73" i="4"/>
  <c r="O73" i="4"/>
  <c r="L73" i="4"/>
  <c r="K73" i="4"/>
  <c r="J73" i="4"/>
  <c r="I73" i="4"/>
  <c r="H73" i="4"/>
  <c r="G73" i="4"/>
  <c r="F73" i="4"/>
  <c r="E71" i="4"/>
  <c r="E77" i="4" s="1"/>
  <c r="F71" i="4"/>
  <c r="G71" i="4"/>
  <c r="G77" i="4" s="1"/>
  <c r="H71" i="4"/>
  <c r="H77" i="4" s="1"/>
  <c r="I71" i="4"/>
  <c r="I77" i="4" s="1"/>
  <c r="J71" i="4"/>
  <c r="J77" i="4" s="1"/>
  <c r="K71" i="4"/>
  <c r="K77" i="4" s="1"/>
  <c r="L71" i="4"/>
  <c r="O71" i="4"/>
  <c r="O77" i="4" s="1"/>
  <c r="N71" i="4"/>
  <c r="N77" i="4" s="1"/>
  <c r="M71" i="4"/>
  <c r="M73" i="4"/>
  <c r="F77" i="4"/>
  <c r="L77" i="4" l="1"/>
  <c r="M77" i="4"/>
  <c r="E93" i="4"/>
  <c r="E95" i="4" s="1"/>
  <c r="F95" i="4" s="1"/>
  <c r="E89" i="4"/>
  <c r="E91" i="4" s="1"/>
  <c r="F91" i="4" s="1"/>
  <c r="E37" i="4"/>
  <c r="F24" i="4"/>
  <c r="G24" i="4"/>
  <c r="H24" i="4"/>
  <c r="I24" i="4"/>
  <c r="J24" i="4"/>
  <c r="K24" i="4"/>
  <c r="L24" i="4"/>
  <c r="M24" i="4"/>
  <c r="N24" i="4"/>
  <c r="O24" i="4"/>
  <c r="E24" i="4"/>
  <c r="F93" i="4" l="1"/>
  <c r="E17" i="4"/>
  <c r="E59" i="4" s="1"/>
  <c r="E65" i="4" s="1"/>
  <c r="F20" i="4"/>
  <c r="G20" i="4" s="1"/>
  <c r="H20" i="4" s="1"/>
  <c r="I20" i="4" s="1"/>
  <c r="J20" i="4" s="1"/>
  <c r="K20" i="4" s="1"/>
  <c r="L20" i="4" s="1"/>
  <c r="E57" i="4" l="1"/>
  <c r="E38" i="4"/>
  <c r="E36" i="4"/>
  <c r="E35" i="4"/>
  <c r="M20" i="4"/>
  <c r="L21" i="4"/>
  <c r="E21" i="4"/>
  <c r="E63" i="4" l="1"/>
  <c r="E61" i="4"/>
  <c r="N20" i="4"/>
  <c r="M21" i="4"/>
  <c r="F52" i="4"/>
  <c r="F53" i="4" s="1"/>
  <c r="E53" i="4"/>
  <c r="O20" i="4" l="1"/>
  <c r="O21" i="4" s="1"/>
  <c r="N21" i="4"/>
  <c r="G52" i="4"/>
  <c r="H52" i="4" l="1"/>
  <c r="G53" i="4"/>
  <c r="H53" i="4" l="1"/>
  <c r="I52" i="4"/>
  <c r="J52" i="4" l="1"/>
  <c r="I53" i="4"/>
  <c r="F21" i="4"/>
  <c r="G21" i="4"/>
  <c r="H21" i="4"/>
  <c r="I21" i="4"/>
  <c r="J21" i="4"/>
  <c r="K21" i="4"/>
  <c r="E18" i="4"/>
  <c r="K52" i="4" l="1"/>
  <c r="K53" i="4" s="1"/>
  <c r="J53" i="4"/>
  <c r="E46" i="4"/>
  <c r="E47" i="4" s="1"/>
  <c r="E97" i="4" s="1"/>
  <c r="E99" i="4" l="1"/>
  <c r="F97" i="4"/>
  <c r="E148" i="4"/>
  <c r="F14" i="4"/>
  <c r="F12" i="4"/>
  <c r="G12" i="4" s="1"/>
  <c r="H12" i="4" s="1"/>
  <c r="I12" i="4" s="1"/>
  <c r="J12" i="4" s="1"/>
  <c r="K12" i="4" s="1"/>
  <c r="L12" i="4" s="1"/>
  <c r="M12" i="4" s="1"/>
  <c r="N12" i="4" s="1"/>
  <c r="O12" i="4" s="1"/>
  <c r="F99" i="4" l="1"/>
  <c r="E115" i="4"/>
  <c r="E130" i="4"/>
  <c r="F17" i="4"/>
  <c r="F59" i="4" s="1"/>
  <c r="F65" i="4" s="1"/>
  <c r="E122" i="4"/>
  <c r="G14" i="4"/>
  <c r="F50" i="4"/>
  <c r="G50" i="4"/>
  <c r="H50" i="4"/>
  <c r="I50" i="4"/>
  <c r="J50" i="4"/>
  <c r="K50" i="4"/>
  <c r="E50" i="4"/>
  <c r="F57" i="4" l="1"/>
  <c r="F18" i="4"/>
  <c r="G17" i="4"/>
  <c r="G59" i="4" s="1"/>
  <c r="G65" i="4" s="1"/>
  <c r="E135" i="4"/>
  <c r="H14" i="4"/>
  <c r="F61" i="4" l="1"/>
  <c r="F63" i="4"/>
  <c r="G57" i="4"/>
  <c r="H17" i="4"/>
  <c r="H59" i="4" s="1"/>
  <c r="H65" i="4" s="1"/>
  <c r="G18" i="4"/>
  <c r="I14" i="4"/>
  <c r="J14" i="4"/>
  <c r="E15" i="4"/>
  <c r="F15" i="4"/>
  <c r="G61" i="4" l="1"/>
  <c r="G63" i="4"/>
  <c r="J57" i="4"/>
  <c r="H57" i="4"/>
  <c r="J17" i="4"/>
  <c r="J59" i="4" s="1"/>
  <c r="J65" i="4" s="1"/>
  <c r="I17" i="4"/>
  <c r="I57" i="4" s="1"/>
  <c r="H18" i="4"/>
  <c r="K14" i="4"/>
  <c r="G15" i="4"/>
  <c r="H61" i="4" l="1"/>
  <c r="H63" i="4"/>
  <c r="J61" i="4"/>
  <c r="J63" i="4"/>
  <c r="I63" i="4"/>
  <c r="I61" i="4"/>
  <c r="I59" i="4"/>
  <c r="I65" i="4" s="1"/>
  <c r="K17" i="4"/>
  <c r="K57" i="4" s="1"/>
  <c r="L14" i="4"/>
  <c r="I18" i="4"/>
  <c r="J18" i="4"/>
  <c r="H15" i="4"/>
  <c r="K59" i="4" l="1"/>
  <c r="K65" i="4" s="1"/>
  <c r="K61" i="4"/>
  <c r="K63" i="4"/>
  <c r="L15" i="4"/>
  <c r="L17" i="4"/>
  <c r="L59" i="4" s="1"/>
  <c r="L65" i="4" s="1"/>
  <c r="M14" i="4"/>
  <c r="K18" i="4"/>
  <c r="I15" i="4"/>
  <c r="L18" i="4" l="1"/>
  <c r="L57" i="4"/>
  <c r="M15" i="4"/>
  <c r="M17" i="4"/>
  <c r="M59" i="4" s="1"/>
  <c r="M65" i="4" s="1"/>
  <c r="N14" i="4"/>
  <c r="J15" i="4"/>
  <c r="M57" i="4" l="1"/>
  <c r="M63" i="4" s="1"/>
  <c r="L61" i="4"/>
  <c r="L63" i="4"/>
  <c r="M61" i="4"/>
  <c r="M18" i="4"/>
  <c r="N17" i="4"/>
  <c r="N59" i="4" s="1"/>
  <c r="N65" i="4" s="1"/>
  <c r="O14" i="4"/>
  <c r="N15" i="4"/>
  <c r="K15" i="4"/>
  <c r="N18" i="4" l="1"/>
  <c r="N57" i="4"/>
  <c r="O15" i="4"/>
  <c r="O17" i="4"/>
  <c r="O59" i="4" s="1"/>
  <c r="O65" i="4" s="1"/>
  <c r="D6" i="3"/>
  <c r="O57" i="4" l="1"/>
  <c r="O61" i="4" s="1"/>
  <c r="N61" i="4"/>
  <c r="N63" i="4"/>
  <c r="O18" i="4"/>
  <c r="O63" i="4" l="1"/>
</calcChain>
</file>

<file path=xl/sharedStrings.xml><?xml version="1.0" encoding="utf-8"?>
<sst xmlns="http://schemas.openxmlformats.org/spreadsheetml/2006/main" count="218" uniqueCount="144">
  <si>
    <t>k</t>
  </si>
  <si>
    <t>D</t>
  </si>
  <si>
    <t>t</t>
  </si>
  <si>
    <t>S</t>
  </si>
  <si>
    <t>ksi</t>
  </si>
  <si>
    <t>pb</t>
  </si>
  <si>
    <t>E</t>
  </si>
  <si>
    <t>pc</t>
  </si>
  <si>
    <t>Units</t>
  </si>
  <si>
    <t>U</t>
  </si>
  <si>
    <t>Geometry</t>
  </si>
  <si>
    <t>NominalOD</t>
  </si>
  <si>
    <t>NominalWT</t>
  </si>
  <si>
    <t>Material Properties</t>
  </si>
  <si>
    <t>Yield Strength</t>
  </si>
  <si>
    <t>m</t>
  </si>
  <si>
    <t>Loading</t>
  </si>
  <si>
    <t>Po</t>
  </si>
  <si>
    <t>Pi</t>
  </si>
  <si>
    <t>N</t>
  </si>
  <si>
    <t>pipeMoment</t>
  </si>
  <si>
    <t>Nm</t>
  </si>
  <si>
    <t>Corrosion/Wear/Erosion Allowance</t>
  </si>
  <si>
    <r>
      <t>t</t>
    </r>
    <r>
      <rPr>
        <sz val="8"/>
        <color theme="1"/>
        <rFont val="Calibri"/>
        <family val="2"/>
        <scheme val="minor"/>
      </rPr>
      <t>fab</t>
    </r>
  </si>
  <si>
    <r>
      <t>t</t>
    </r>
    <r>
      <rPr>
        <sz val="8"/>
        <color theme="1"/>
        <rFont val="Calibri"/>
        <family val="2"/>
        <scheme val="minor"/>
      </rPr>
      <t>ca</t>
    </r>
  </si>
  <si>
    <t>Poisson's Ratio</t>
  </si>
  <si>
    <t>v</t>
  </si>
  <si>
    <t>SMUS</t>
  </si>
  <si>
    <t>SMYS</t>
  </si>
  <si>
    <t>ExternalPressure</t>
  </si>
  <si>
    <t>InternalPressure</t>
  </si>
  <si>
    <t>TensionEffective</t>
  </si>
  <si>
    <t>Collapse Pressure</t>
  </si>
  <si>
    <t>Burst Pressure</t>
  </si>
  <si>
    <t>Mpa</t>
  </si>
  <si>
    <t>WallThickness</t>
  </si>
  <si>
    <t>Young'sModulus</t>
  </si>
  <si>
    <t>Ovality</t>
  </si>
  <si>
    <t>fabrication factor</t>
  </si>
  <si>
    <t>alphafab</t>
  </si>
  <si>
    <t>deltanot</t>
  </si>
  <si>
    <t>Elastic Collapse Pressure</t>
  </si>
  <si>
    <t>Plastic Collapse Pressure</t>
  </si>
  <si>
    <t>Pp</t>
  </si>
  <si>
    <t>collapse Pressure</t>
  </si>
  <si>
    <t>Pc</t>
  </si>
  <si>
    <t>Yield collapse Pressure</t>
  </si>
  <si>
    <t>Py</t>
  </si>
  <si>
    <t>SeamlessPipe</t>
  </si>
  <si>
    <t>UOE Pipe</t>
  </si>
  <si>
    <t>UO/TRB Pipe</t>
  </si>
  <si>
    <t>Plastic Moment</t>
  </si>
  <si>
    <t>Method1</t>
  </si>
  <si>
    <t>Design Factor</t>
  </si>
  <si>
    <t>ALS</t>
  </si>
  <si>
    <t>Production casing with tubing leak</t>
  </si>
  <si>
    <t>Drilling riser with extreme pressure</t>
  </si>
  <si>
    <t>Hydrostatic test</t>
  </si>
  <si>
    <t>Incidental pressure</t>
  </si>
  <si>
    <t>Design pressure</t>
  </si>
  <si>
    <t>SLS,ULS Cold Expanded Pipe</t>
  </si>
  <si>
    <t>SLS,ULS Seamless Pipe</t>
  </si>
  <si>
    <t>kNm</t>
  </si>
  <si>
    <t>kN</t>
  </si>
  <si>
    <t>≤1</t>
  </si>
  <si>
    <t>Method2</t>
  </si>
  <si>
    <t>Ref: DNVOS_F201</t>
  </si>
  <si>
    <t>Method3</t>
  </si>
  <si>
    <t>Method4</t>
  </si>
  <si>
    <t>Internal Over Pressure</t>
  </si>
  <si>
    <t>External Over Pressure</t>
  </si>
  <si>
    <t>FD=1</t>
  </si>
  <si>
    <t>Inputs</t>
  </si>
  <si>
    <t>Pipe Physical Properties</t>
  </si>
  <si>
    <t>Inch</t>
  </si>
  <si>
    <t>Meteres</t>
  </si>
  <si>
    <t>Pb</t>
  </si>
  <si>
    <t>Thickness of Pipe</t>
  </si>
  <si>
    <t>Parameter</t>
  </si>
  <si>
    <t>API Material Grades</t>
  </si>
  <si>
    <t>API Grade</t>
  </si>
  <si>
    <t xml:space="preserve">SMYS </t>
  </si>
  <si>
    <t>SMTS</t>
  </si>
  <si>
    <t>Ksi</t>
  </si>
  <si>
    <t xml:space="preserve">X80 </t>
  </si>
  <si>
    <t>Nom.Pipe Size</t>
  </si>
  <si>
    <t>inch</t>
  </si>
  <si>
    <t>Psi</t>
  </si>
  <si>
    <t>Pel</t>
  </si>
  <si>
    <t>V</t>
  </si>
  <si>
    <t>0.3</t>
  </si>
  <si>
    <t>Loading - Pressure</t>
  </si>
  <si>
    <t>Design Collapse Pressure</t>
  </si>
  <si>
    <t>Cross Sectional  Area</t>
  </si>
  <si>
    <t>A</t>
  </si>
  <si>
    <t>Tension</t>
  </si>
  <si>
    <t>Ty</t>
  </si>
  <si>
    <t>YieldMoment</t>
  </si>
  <si>
    <t>My</t>
  </si>
  <si>
    <t>EffectiveTension</t>
  </si>
  <si>
    <t>m^2</t>
  </si>
  <si>
    <t>Ai</t>
  </si>
  <si>
    <t>Ao</t>
  </si>
  <si>
    <t>I</t>
  </si>
  <si>
    <t>m^4</t>
  </si>
  <si>
    <t xml:space="preserve">I </t>
  </si>
  <si>
    <t>OD</t>
  </si>
  <si>
    <t xml:space="preserve">Out Side Diameter of pipe </t>
  </si>
  <si>
    <t>ID</t>
  </si>
  <si>
    <t>Mp</t>
  </si>
  <si>
    <t>Te</t>
  </si>
  <si>
    <t>M</t>
  </si>
  <si>
    <t>FD</t>
  </si>
  <si>
    <t>(M/My)/(sqrt(FD^2-(Pi-Pe/Pb)^2) ≤ 1</t>
  </si>
  <si>
    <t>(M/My)/(sqrt(FD^2-(Pe-Pi/Pc)^2) ≤ 1</t>
  </si>
  <si>
    <t>(M/Mp)/(sqrt(FD^2-(Pi-Pe/pb)^2)*cos(π/2((T/Ty)/(sqrt(FD^2-(Pi-Pe/pb)^2) )≤ 1</t>
  </si>
  <si>
    <t>(M/Mp)/(sqrt(FD^2-(Pe-Pi/pc)^2)*cos(π/2((T/Ty)/(sqrt(FD^2-(Pe-Pi/pc)^2) )≤ 1</t>
  </si>
  <si>
    <t>Pe</t>
  </si>
  <si>
    <r>
      <t>SQRT(((Pi-Pe)/Pb)^2+(Te/Ty)^2/F</t>
    </r>
    <r>
      <rPr>
        <b/>
        <sz val="8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</t>
    </r>
  </si>
  <si>
    <t>Axial Tension</t>
  </si>
  <si>
    <t>Ta</t>
  </si>
  <si>
    <r>
      <rPr>
        <sz val="11"/>
        <color theme="1"/>
        <rFont val="Calibri"/>
        <family val="2"/>
      </rPr>
      <t>σ</t>
    </r>
    <r>
      <rPr>
        <sz val="9.35"/>
        <color theme="1"/>
        <rFont val="Calibri"/>
        <family val="2"/>
      </rPr>
      <t>a</t>
    </r>
  </si>
  <si>
    <t>ca</t>
  </si>
  <si>
    <t>Fd</t>
  </si>
  <si>
    <t>psi</t>
  </si>
  <si>
    <t>Design Pressure _Factor_BP</t>
  </si>
  <si>
    <t>Pd_Pb</t>
  </si>
  <si>
    <t>Pd_Pc</t>
  </si>
  <si>
    <t>Design Pressure _Factor_CP</t>
  </si>
  <si>
    <t>Design Pressure_OD</t>
  </si>
  <si>
    <t>Busrt Pressure_OD</t>
  </si>
  <si>
    <t xml:space="preserve">InSide Diameter of pipe </t>
  </si>
  <si>
    <t>Design Pressure_ID</t>
  </si>
  <si>
    <t>pa</t>
  </si>
  <si>
    <t>DesignWT</t>
  </si>
  <si>
    <t>Collapse Check</t>
  </si>
  <si>
    <t>Method 1 Calculation</t>
  </si>
  <si>
    <t>CorrosionalAllowance</t>
  </si>
  <si>
    <t>Pd</t>
  </si>
  <si>
    <t>With CA</t>
  </si>
  <si>
    <t>Without CA</t>
  </si>
  <si>
    <t>Pa</t>
  </si>
  <si>
    <t>Pt</t>
  </si>
  <si>
    <t>Burst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</si>
</sst>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FFFFFF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.35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6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2" fontId="6" fillId="0" borderId="0" xfId="0" applyNumberFormat="1" applyFont="1" applyFill="1" applyBorder="1"/>
    <xf numFmtId="2" fontId="7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0" fillId="0" borderId="0" xfId="0" applyNumberFormat="1"/>
    <xf numFmtId="2" fontId="8" fillId="0" borderId="0" xfId="0" quotePrefix="1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/>
    <xf numFmtId="0" fontId="14" fillId="0" borderId="0" xfId="0" applyFont="1" applyFill="1" applyBorder="1"/>
    <xf numFmtId="0" fontId="12" fillId="2" borderId="0" xfId="0" applyFont="1" applyFill="1" applyBorder="1" applyAlignment="1"/>
    <xf numFmtId="0" fontId="15" fillId="2" borderId="0" xfId="0" applyFont="1" applyFill="1"/>
    <xf numFmtId="0" fontId="16" fillId="2" borderId="0" xfId="0" applyFont="1" applyFill="1"/>
    <xf numFmtId="2" fontId="9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2" fontId="14" fillId="0" borderId="0" xfId="0" applyNumberFormat="1" applyFont="1" applyFill="1" applyBorder="1"/>
    <xf numFmtId="0" fontId="2" fillId="0" borderId="0" xfId="0" applyFont="1"/>
    <xf numFmtId="2" fontId="10" fillId="4" borderId="0" xfId="0" applyNumberFormat="1" applyFont="1" applyFill="1" applyBorder="1" applyAlignment="1">
      <alignment horizontal="center"/>
    </xf>
    <xf numFmtId="2" fontId="11" fillId="4" borderId="0" xfId="0" applyNumberFormat="1" applyFont="1" applyFill="1" applyBorder="1" applyAlignment="1">
      <alignment horizontal="center"/>
    </xf>
    <xf numFmtId="2" fontId="13" fillId="0" borderId="0" xfId="0" quotePrefix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1" fillId="4" borderId="0" xfId="0" applyNumberFormat="1" applyFon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/>
    </xf>
    <xf numFmtId="2" fontId="8" fillId="5" borderId="0" xfId="0" quotePrefix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12</xdr:col>
      <xdr:colOff>237562</xdr:colOff>
      <xdr:row>25</xdr:row>
      <xdr:rowOff>18810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857500"/>
          <a:ext cx="4504762" cy="19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12</xdr:col>
      <xdr:colOff>94705</xdr:colOff>
      <xdr:row>37</xdr:row>
      <xdr:rowOff>95071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4953000"/>
          <a:ext cx="4361905" cy="1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541722</xdr:colOff>
      <xdr:row>28</xdr:row>
      <xdr:rowOff>19476</xdr:rowOff>
    </xdr:from>
    <xdr:to>
      <xdr:col>21</xdr:col>
      <xdr:colOff>381469</xdr:colOff>
      <xdr:row>30</xdr:row>
      <xdr:rowOff>179262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25" r="41051" b="71378"/>
        <a:stretch/>
      </xdr:blipFill>
      <xdr:spPr>
        <a:xfrm>
          <a:off x="14515457" y="6093064"/>
          <a:ext cx="2865337" cy="540786"/>
        </a:xfrm>
        <a:prstGeom prst="rect">
          <a:avLst/>
        </a:prstGeom>
      </xdr:spPr>
    </xdr:pic>
    <xdr:clientData/>
  </xdr:twoCellAnchor>
  <xdr:twoCellAnchor editAs="oneCell">
    <xdr:from>
      <xdr:col>15</xdr:col>
      <xdr:colOff>575523</xdr:colOff>
      <xdr:row>74</xdr:row>
      <xdr:rowOff>163921</xdr:rowOff>
    </xdr:from>
    <xdr:to>
      <xdr:col>17</xdr:col>
      <xdr:colOff>573417</xdr:colOff>
      <xdr:row>77</xdr:row>
      <xdr:rowOff>82529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41347" y="14462627"/>
          <a:ext cx="1208129" cy="490108"/>
        </a:xfrm>
        <a:prstGeom prst="rect">
          <a:avLst/>
        </a:prstGeom>
      </xdr:spPr>
    </xdr:pic>
    <xdr:clientData/>
  </xdr:twoCellAnchor>
  <xdr:twoCellAnchor editAs="oneCell">
    <xdr:from>
      <xdr:col>6</xdr:col>
      <xdr:colOff>63100</xdr:colOff>
      <xdr:row>144</xdr:row>
      <xdr:rowOff>10592</xdr:rowOff>
    </xdr:from>
    <xdr:to>
      <xdr:col>10</xdr:col>
      <xdr:colOff>194305</xdr:colOff>
      <xdr:row>148</xdr:row>
      <xdr:rowOff>27705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0218" y="27039180"/>
          <a:ext cx="4266178" cy="969613"/>
        </a:xfrm>
        <a:prstGeom prst="rect">
          <a:avLst/>
        </a:prstGeom>
      </xdr:spPr>
    </xdr:pic>
    <xdr:clientData/>
  </xdr:twoCellAnchor>
  <xdr:twoCellAnchor editAs="oneCell">
    <xdr:from>
      <xdr:col>11</xdr:col>
      <xdr:colOff>417121</xdr:colOff>
      <xdr:row>93</xdr:row>
      <xdr:rowOff>35090</xdr:rowOff>
    </xdr:from>
    <xdr:to>
      <xdr:col>14</xdr:col>
      <xdr:colOff>683289</xdr:colOff>
      <xdr:row>96</xdr:row>
      <xdr:rowOff>44995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25939" y="15153863"/>
          <a:ext cx="3572413" cy="58140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581644</xdr:colOff>
      <xdr:row>91</xdr:row>
      <xdr:rowOff>3257</xdr:rowOff>
    </xdr:from>
    <xdr:to>
      <xdr:col>14</xdr:col>
      <xdr:colOff>306554</xdr:colOff>
      <xdr:row>93</xdr:row>
      <xdr:rowOff>120279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6552"/>
        <a:stretch/>
      </xdr:blipFill>
      <xdr:spPr>
        <a:xfrm>
          <a:off x="8790462" y="14741030"/>
          <a:ext cx="3035742" cy="498022"/>
        </a:xfrm>
        <a:prstGeom prst="rect">
          <a:avLst/>
        </a:prstGeom>
      </xdr:spPr>
    </xdr:pic>
    <xdr:clientData/>
  </xdr:twoCellAnchor>
  <xdr:twoCellAnchor editAs="oneCell">
    <xdr:from>
      <xdr:col>12</xdr:col>
      <xdr:colOff>212643</xdr:colOff>
      <xdr:row>88</xdr:row>
      <xdr:rowOff>69273</xdr:rowOff>
    </xdr:from>
    <xdr:to>
      <xdr:col>12</xdr:col>
      <xdr:colOff>1012696</xdr:colOff>
      <xdr:row>90</xdr:row>
      <xdr:rowOff>131356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7598" y="14235546"/>
          <a:ext cx="806677" cy="443083"/>
        </a:xfrm>
        <a:prstGeom prst="rect">
          <a:avLst/>
        </a:prstGeom>
      </xdr:spPr>
    </xdr:pic>
    <xdr:clientData/>
  </xdr:twoCellAnchor>
  <xdr:twoCellAnchor editAs="oneCell">
    <xdr:from>
      <xdr:col>5</xdr:col>
      <xdr:colOff>603902</xdr:colOff>
      <xdr:row>114</xdr:row>
      <xdr:rowOff>260718</xdr:rowOff>
    </xdr:from>
    <xdr:to>
      <xdr:col>9</xdr:col>
      <xdr:colOff>596671</xdr:colOff>
      <xdr:row>121</xdr:row>
      <xdr:rowOff>101795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75902" y="20050306"/>
          <a:ext cx="4155757" cy="1365077"/>
        </a:xfrm>
        <a:prstGeom prst="rect">
          <a:avLst/>
        </a:prstGeom>
      </xdr:spPr>
    </xdr:pic>
    <xdr:clientData/>
  </xdr:twoCellAnchor>
  <xdr:twoCellAnchor editAs="oneCell">
    <xdr:from>
      <xdr:col>6</xdr:col>
      <xdr:colOff>116323</xdr:colOff>
      <xdr:row>129</xdr:row>
      <xdr:rowOff>27845</xdr:rowOff>
    </xdr:from>
    <xdr:to>
      <xdr:col>9</xdr:col>
      <xdr:colOff>920430</xdr:colOff>
      <xdr:row>135</xdr:row>
      <xdr:rowOff>4452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93441" y="23055933"/>
          <a:ext cx="3908138" cy="2072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sqref="A1:D28"/>
    </sheetView>
  </sheetViews>
  <sheetFormatPr defaultRowHeight="15" x14ac:dyDescent="0.25"/>
  <cols>
    <col min="1" max="1" width="33" bestFit="1" customWidth="1"/>
    <col min="3" max="4" width="9.140625" style="2"/>
  </cols>
  <sheetData>
    <row r="1" spans="1:4" x14ac:dyDescent="0.25">
      <c r="C1" s="3" t="s">
        <v>8</v>
      </c>
    </row>
    <row r="2" spans="1:4" x14ac:dyDescent="0.25">
      <c r="A2" s="1" t="s">
        <v>10</v>
      </c>
      <c r="C2" s="3"/>
    </row>
    <row r="3" spans="1:4" x14ac:dyDescent="0.25">
      <c r="A3" t="s">
        <v>11</v>
      </c>
      <c r="B3" t="s">
        <v>1</v>
      </c>
      <c r="C3" s="2" t="s">
        <v>15</v>
      </c>
      <c r="D3" s="2">
        <v>0.30159999999999998</v>
      </c>
    </row>
    <row r="4" spans="1:4" x14ac:dyDescent="0.25">
      <c r="A4" t="s">
        <v>12</v>
      </c>
      <c r="B4" t="s">
        <v>23</v>
      </c>
      <c r="C4" s="2" t="s">
        <v>15</v>
      </c>
      <c r="D4" s="2">
        <v>1.4E-2</v>
      </c>
    </row>
    <row r="5" spans="1:4" x14ac:dyDescent="0.25">
      <c r="A5" t="s">
        <v>22</v>
      </c>
      <c r="B5" t="s">
        <v>24</v>
      </c>
      <c r="C5" s="2" t="s">
        <v>15</v>
      </c>
      <c r="D5" s="2">
        <v>1.5E-3</v>
      </c>
    </row>
    <row r="6" spans="1:4" x14ac:dyDescent="0.25">
      <c r="A6" t="s">
        <v>35</v>
      </c>
      <c r="B6" t="s">
        <v>2</v>
      </c>
      <c r="C6" s="2" t="s">
        <v>15</v>
      </c>
      <c r="D6" s="2">
        <f>D4-D5</f>
        <v>1.2500000000000001E-2</v>
      </c>
    </row>
    <row r="10" spans="1:4" x14ac:dyDescent="0.25">
      <c r="A10" s="1" t="s">
        <v>13</v>
      </c>
      <c r="B10" s="1"/>
      <c r="C10" s="3"/>
    </row>
    <row r="11" spans="1:4" x14ac:dyDescent="0.25">
      <c r="A11" t="s">
        <v>14</v>
      </c>
      <c r="C11" s="2" t="s">
        <v>4</v>
      </c>
      <c r="D11" s="2">
        <v>80</v>
      </c>
    </row>
    <row r="12" spans="1:4" x14ac:dyDescent="0.25">
      <c r="A12" t="s">
        <v>25</v>
      </c>
      <c r="B12" t="s">
        <v>26</v>
      </c>
      <c r="D12" s="2">
        <v>0.3</v>
      </c>
    </row>
    <row r="13" spans="1:4" x14ac:dyDescent="0.25">
      <c r="A13" t="s">
        <v>28</v>
      </c>
      <c r="B13" t="s">
        <v>3</v>
      </c>
      <c r="C13" s="2" t="s">
        <v>34</v>
      </c>
      <c r="D13" s="2">
        <v>655</v>
      </c>
    </row>
    <row r="14" spans="1:4" x14ac:dyDescent="0.25">
      <c r="A14" t="s">
        <v>27</v>
      </c>
      <c r="B14" t="s">
        <v>9</v>
      </c>
      <c r="C14" s="2" t="s">
        <v>34</v>
      </c>
      <c r="D14" s="2">
        <v>714</v>
      </c>
    </row>
    <row r="15" spans="1:4" x14ac:dyDescent="0.25">
      <c r="A15" t="s">
        <v>36</v>
      </c>
      <c r="B15" t="s">
        <v>6</v>
      </c>
      <c r="C15" s="2" t="s">
        <v>34</v>
      </c>
      <c r="D15" s="2">
        <v>207000</v>
      </c>
    </row>
    <row r="16" spans="1:4" x14ac:dyDescent="0.25">
      <c r="A16" t="s">
        <v>37</v>
      </c>
      <c r="B16" t="s">
        <v>40</v>
      </c>
      <c r="D16" s="2">
        <v>0.01</v>
      </c>
    </row>
    <row r="17" spans="1:4" x14ac:dyDescent="0.25">
      <c r="A17" t="s">
        <v>38</v>
      </c>
      <c r="B17" t="s">
        <v>39</v>
      </c>
      <c r="D17" s="2">
        <v>1</v>
      </c>
    </row>
    <row r="21" spans="1:4" x14ac:dyDescent="0.25">
      <c r="A21" s="1" t="s">
        <v>16</v>
      </c>
      <c r="B21" s="1"/>
      <c r="C21" s="3"/>
    </row>
    <row r="22" spans="1:4" x14ac:dyDescent="0.25">
      <c r="A22" t="s">
        <v>29</v>
      </c>
      <c r="B22" t="s">
        <v>17</v>
      </c>
      <c r="D22" s="2">
        <v>0</v>
      </c>
    </row>
    <row r="23" spans="1:4" x14ac:dyDescent="0.25">
      <c r="A23" t="s">
        <v>30</v>
      </c>
      <c r="B23" t="s">
        <v>18</v>
      </c>
      <c r="C23" s="2" t="s">
        <v>4</v>
      </c>
      <c r="D23" s="4">
        <v>0</v>
      </c>
    </row>
    <row r="24" spans="1:4" x14ac:dyDescent="0.25">
      <c r="A24" t="s">
        <v>32</v>
      </c>
      <c r="B24" t="s">
        <v>7</v>
      </c>
      <c r="D24" s="4"/>
    </row>
    <row r="25" spans="1:4" x14ac:dyDescent="0.25">
      <c r="A25" t="s">
        <v>33</v>
      </c>
      <c r="B25" t="s">
        <v>5</v>
      </c>
      <c r="D25" s="4"/>
    </row>
    <row r="26" spans="1:4" x14ac:dyDescent="0.25">
      <c r="A26" t="s">
        <v>31</v>
      </c>
      <c r="C26" s="2" t="s">
        <v>19</v>
      </c>
      <c r="D26" s="2">
        <v>0</v>
      </c>
    </row>
    <row r="27" spans="1:4" x14ac:dyDescent="0.25">
      <c r="A27" t="s">
        <v>20</v>
      </c>
      <c r="C27" s="2" t="s">
        <v>21</v>
      </c>
      <c r="D27" s="2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48"/>
  <sheetViews>
    <sheetView tabSelected="1" zoomScale="85" zoomScaleNormal="85" workbookViewId="0">
      <selection activeCell="I67" sqref="I67"/>
    </sheetView>
  </sheetViews>
  <sheetFormatPr defaultRowHeight="15" x14ac:dyDescent="0.25"/>
  <cols>
    <col min="1" max="1" width="25.7109375" bestFit="1" customWidth="1"/>
    <col min="2" max="2" width="15.5703125" customWidth="1"/>
    <col min="5" max="6" width="15.85546875" style="44" bestFit="1" customWidth="1"/>
    <col min="7" max="8" width="15.7109375" style="44" bestFit="1" customWidth="1"/>
    <col min="9" max="10" width="15.42578125" style="44" bestFit="1" customWidth="1"/>
    <col min="11" max="11" width="16.140625" style="44" bestFit="1" customWidth="1"/>
    <col min="12" max="12" width="15.7109375" bestFit="1" customWidth="1"/>
    <col min="13" max="13" width="17" bestFit="1" customWidth="1"/>
    <col min="14" max="14" width="16.5703125" bestFit="1" customWidth="1"/>
    <col min="15" max="15" width="15.85546875" bestFit="1" customWidth="1"/>
  </cols>
  <sheetData>
    <row r="3" spans="1:25" x14ac:dyDescent="0.25">
      <c r="A3" s="58" t="s">
        <v>79</v>
      </c>
      <c r="B3" s="58"/>
      <c r="C3" s="58"/>
      <c r="D3" s="58"/>
      <c r="E3" s="58"/>
      <c r="G3" s="45" t="s">
        <v>38</v>
      </c>
      <c r="H3" s="60" t="s">
        <v>39</v>
      </c>
      <c r="I3" s="61"/>
      <c r="J3" s="62"/>
    </row>
    <row r="4" spans="1:25" x14ac:dyDescent="0.25">
      <c r="A4" s="59" t="s">
        <v>80</v>
      </c>
      <c r="B4" s="58" t="s">
        <v>81</v>
      </c>
      <c r="C4" s="58"/>
      <c r="D4" s="58" t="s">
        <v>82</v>
      </c>
      <c r="E4" s="58"/>
      <c r="G4" s="7"/>
      <c r="H4" s="60" t="s">
        <v>48</v>
      </c>
      <c r="I4" s="62"/>
      <c r="J4" s="7">
        <v>1</v>
      </c>
    </row>
    <row r="5" spans="1:25" x14ac:dyDescent="0.25">
      <c r="A5" s="59"/>
      <c r="B5" s="21" t="s">
        <v>83</v>
      </c>
      <c r="C5" s="21" t="s">
        <v>133</v>
      </c>
      <c r="D5" s="21" t="s">
        <v>83</v>
      </c>
      <c r="E5" s="41" t="s">
        <v>133</v>
      </c>
      <c r="G5" s="7"/>
      <c r="H5" s="60" t="s">
        <v>49</v>
      </c>
      <c r="I5" s="62"/>
      <c r="J5" s="7">
        <v>0.85</v>
      </c>
    </row>
    <row r="6" spans="1:25" x14ac:dyDescent="0.25">
      <c r="A6" s="21"/>
      <c r="B6" s="22"/>
      <c r="C6" s="22"/>
      <c r="D6" s="22"/>
      <c r="E6" s="42"/>
      <c r="G6" s="7"/>
      <c r="H6" s="60" t="s">
        <v>50</v>
      </c>
      <c r="I6" s="62"/>
      <c r="J6" s="7">
        <v>0.92500000000000004</v>
      </c>
    </row>
    <row r="7" spans="1:25" x14ac:dyDescent="0.25">
      <c r="A7" s="21" t="s">
        <v>84</v>
      </c>
      <c r="B7" s="22">
        <v>80</v>
      </c>
      <c r="C7" s="22">
        <v>65300</v>
      </c>
      <c r="D7" s="22">
        <v>90</v>
      </c>
      <c r="E7" s="51">
        <v>77600</v>
      </c>
    </row>
    <row r="8" spans="1:25" x14ac:dyDescent="0.25">
      <c r="C8" s="50">
        <v>60357.496562599998</v>
      </c>
      <c r="D8" s="50"/>
      <c r="E8" s="50">
        <v>72657.496562600005</v>
      </c>
    </row>
    <row r="9" spans="1:25" x14ac:dyDescent="0.25">
      <c r="G9" s="44" t="s">
        <v>137</v>
      </c>
      <c r="H9" s="56">
        <v>0.23599999999999999</v>
      </c>
    </row>
    <row r="10" spans="1:25" ht="15.75" customHeight="1" x14ac:dyDescent="0.25">
      <c r="A10" s="10" t="s">
        <v>72</v>
      </c>
      <c r="B10" s="10"/>
      <c r="C10" s="10"/>
      <c r="D10" s="11" t="s">
        <v>8</v>
      </c>
      <c r="E10" s="46"/>
      <c r="V10" s="12"/>
      <c r="W10" s="13"/>
      <c r="Y10" s="13"/>
    </row>
    <row r="11" spans="1:25" ht="15.75" customHeight="1" x14ac:dyDescent="0.25">
      <c r="A11" s="13" t="s">
        <v>73</v>
      </c>
      <c r="B11" s="14"/>
      <c r="C11" s="14"/>
      <c r="D11" s="15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16"/>
    </row>
    <row r="12" spans="1:25" s="27" customFormat="1" ht="15.75" customHeight="1" x14ac:dyDescent="0.25">
      <c r="A12" s="39" t="s">
        <v>85</v>
      </c>
      <c r="B12" s="24"/>
      <c r="C12" s="24"/>
      <c r="D12" s="25" t="s">
        <v>86</v>
      </c>
      <c r="E12" s="28">
        <v>16</v>
      </c>
      <c r="F12" s="28">
        <f>E12</f>
        <v>16</v>
      </c>
      <c r="G12" s="28">
        <f t="shared" ref="G12:K12" si="0">F12</f>
        <v>16</v>
      </c>
      <c r="H12" s="28">
        <f t="shared" si="0"/>
        <v>16</v>
      </c>
      <c r="I12" s="28">
        <f t="shared" si="0"/>
        <v>16</v>
      </c>
      <c r="J12" s="28">
        <f t="shared" si="0"/>
        <v>16</v>
      </c>
      <c r="K12" s="28">
        <f t="shared" si="0"/>
        <v>16</v>
      </c>
      <c r="L12" s="28">
        <f t="shared" ref="L12" si="1">K12</f>
        <v>16</v>
      </c>
      <c r="M12" s="28">
        <f t="shared" ref="M12" si="2">L12</f>
        <v>16</v>
      </c>
      <c r="N12" s="28">
        <f t="shared" ref="N12" si="3">M12</f>
        <v>16</v>
      </c>
      <c r="O12" s="28">
        <f t="shared" ref="O12" si="4">N12</f>
        <v>16</v>
      </c>
      <c r="P12" s="26"/>
      <c r="Q12" s="26"/>
      <c r="R12" s="26"/>
      <c r="S12" s="26"/>
      <c r="T12" s="26"/>
      <c r="U12" s="26"/>
    </row>
    <row r="13" spans="1:25" s="27" customFormat="1" ht="15.75" customHeight="1" x14ac:dyDescent="0.25">
      <c r="A13" s="23"/>
      <c r="B13" s="24"/>
      <c r="C13" s="24"/>
      <c r="D13" s="25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6"/>
      <c r="Q13" s="26"/>
      <c r="R13" s="26"/>
      <c r="S13" s="26"/>
      <c r="T13" s="26"/>
      <c r="U13" s="26"/>
    </row>
    <row r="14" spans="1:25" ht="15.75" customHeight="1" x14ac:dyDescent="0.25">
      <c r="A14" s="14" t="s">
        <v>107</v>
      </c>
      <c r="B14" s="14"/>
      <c r="C14" s="29" t="s">
        <v>106</v>
      </c>
      <c r="D14" s="15" t="s">
        <v>74</v>
      </c>
      <c r="E14" s="26">
        <v>16</v>
      </c>
      <c r="F14" s="26">
        <f>E14</f>
        <v>16</v>
      </c>
      <c r="G14" s="26">
        <f t="shared" ref="G14:K14" si="5">F14</f>
        <v>16</v>
      </c>
      <c r="H14" s="26">
        <f t="shared" si="5"/>
        <v>16</v>
      </c>
      <c r="I14" s="26">
        <f t="shared" si="5"/>
        <v>16</v>
      </c>
      <c r="J14" s="26">
        <f t="shared" si="5"/>
        <v>16</v>
      </c>
      <c r="K14" s="26">
        <f t="shared" si="5"/>
        <v>16</v>
      </c>
      <c r="L14" s="26">
        <f t="shared" ref="L14" si="6">K14</f>
        <v>16</v>
      </c>
      <c r="M14" s="26">
        <f t="shared" ref="M14" si="7">L14</f>
        <v>16</v>
      </c>
      <c r="N14" s="26">
        <f t="shared" ref="N14" si="8">M14</f>
        <v>16</v>
      </c>
      <c r="O14" s="26">
        <f t="shared" ref="O14" si="9">N14</f>
        <v>16</v>
      </c>
      <c r="T14" s="16"/>
      <c r="U14" s="16"/>
      <c r="W14" s="18"/>
    </row>
    <row r="15" spans="1:25" ht="15.75" customHeight="1" x14ac:dyDescent="0.25">
      <c r="B15" s="14"/>
      <c r="C15" s="29"/>
      <c r="D15" s="19" t="s">
        <v>75</v>
      </c>
      <c r="E15" s="35">
        <f>E14*0.0254</f>
        <v>0.40639999999999998</v>
      </c>
      <c r="F15" s="35">
        <f t="shared" ref="F15" si="10">F14*0.0254</f>
        <v>0.40639999999999998</v>
      </c>
      <c r="G15" s="35">
        <f>G14*0.0254</f>
        <v>0.40639999999999998</v>
      </c>
      <c r="H15" s="35">
        <f>H14*0.0254</f>
        <v>0.40639999999999998</v>
      </c>
      <c r="I15" s="35">
        <f>I14*0.0254</f>
        <v>0.40639999999999998</v>
      </c>
      <c r="J15" s="35">
        <f>J14*0.0254</f>
        <v>0.40639999999999998</v>
      </c>
      <c r="K15" s="35">
        <f>K14*0.0254</f>
        <v>0.40639999999999998</v>
      </c>
      <c r="L15" s="35">
        <f t="shared" ref="L15:O15" si="11">L14*0.0254</f>
        <v>0.40639999999999998</v>
      </c>
      <c r="M15" s="35">
        <f t="shared" si="11"/>
        <v>0.40639999999999998</v>
      </c>
      <c r="N15" s="35">
        <f t="shared" si="11"/>
        <v>0.40639999999999998</v>
      </c>
      <c r="O15" s="35">
        <f t="shared" si="11"/>
        <v>0.40639999999999998</v>
      </c>
      <c r="P15" s="20"/>
      <c r="Q15" s="20"/>
      <c r="R15" s="20"/>
      <c r="S15" s="20"/>
      <c r="T15" s="20"/>
      <c r="U15" s="20"/>
      <c r="W15" s="18"/>
    </row>
    <row r="16" spans="1:25" ht="15.75" customHeight="1" x14ac:dyDescent="0.25">
      <c r="A16" s="13"/>
      <c r="B16" s="14"/>
      <c r="C16" s="29"/>
      <c r="D16" s="15"/>
      <c r="E16" s="26"/>
      <c r="F16" s="26"/>
      <c r="G16" s="26"/>
      <c r="H16" s="26"/>
      <c r="I16" s="26"/>
      <c r="J16" s="26"/>
      <c r="K16" s="26"/>
      <c r="N16" s="16"/>
      <c r="O16" s="16"/>
      <c r="P16" s="16"/>
      <c r="Q16" s="16"/>
      <c r="R16" s="16"/>
      <c r="S16" s="16"/>
      <c r="T16" s="16"/>
      <c r="U16" s="16"/>
    </row>
    <row r="17" spans="1:23" ht="15.75" customHeight="1" x14ac:dyDescent="0.25">
      <c r="A17" s="14" t="s">
        <v>131</v>
      </c>
      <c r="B17" s="14"/>
      <c r="C17" s="29" t="s">
        <v>108</v>
      </c>
      <c r="D17" s="15" t="s">
        <v>74</v>
      </c>
      <c r="E17" s="26">
        <f>E14-2*E20</f>
        <v>14</v>
      </c>
      <c r="F17" s="26">
        <f t="shared" ref="F17:O17" si="12">F14-2*F20</f>
        <v>13.8</v>
      </c>
      <c r="G17" s="26">
        <f t="shared" si="12"/>
        <v>13.6</v>
      </c>
      <c r="H17" s="26">
        <f t="shared" si="12"/>
        <v>13.399999999999999</v>
      </c>
      <c r="I17" s="26">
        <f t="shared" si="12"/>
        <v>13.2</v>
      </c>
      <c r="J17" s="26">
        <f t="shared" si="12"/>
        <v>13</v>
      </c>
      <c r="K17" s="26">
        <f t="shared" si="12"/>
        <v>12.799999999999999</v>
      </c>
      <c r="L17" s="26">
        <f t="shared" si="12"/>
        <v>12.599999999999998</v>
      </c>
      <c r="M17" s="26">
        <f t="shared" si="12"/>
        <v>12.399999999999999</v>
      </c>
      <c r="N17" s="26">
        <f t="shared" si="12"/>
        <v>12.2</v>
      </c>
      <c r="O17" s="26">
        <f t="shared" si="12"/>
        <v>11.999999999999998</v>
      </c>
      <c r="P17" s="36"/>
      <c r="Q17" s="36"/>
      <c r="R17" s="36"/>
      <c r="S17" s="36"/>
      <c r="T17" s="36"/>
      <c r="U17" s="36"/>
    </row>
    <row r="18" spans="1:23" ht="15.75" customHeight="1" x14ac:dyDescent="0.25">
      <c r="A18" s="14"/>
      <c r="B18" s="14"/>
      <c r="C18" s="29"/>
      <c r="D18" s="19" t="s">
        <v>75</v>
      </c>
      <c r="E18" s="35">
        <f>E17*0.0254</f>
        <v>0.35559999999999997</v>
      </c>
      <c r="F18" s="35">
        <f t="shared" ref="F18" si="13">F17*0.0254</f>
        <v>0.35052</v>
      </c>
      <c r="G18" s="35">
        <f t="shared" ref="G18" si="14">G17*0.0254</f>
        <v>0.34543999999999997</v>
      </c>
      <c r="H18" s="35">
        <f t="shared" ref="H18" si="15">H17*0.0254</f>
        <v>0.34035999999999994</v>
      </c>
      <c r="I18" s="35">
        <f t="shared" ref="I18" si="16">I17*0.0254</f>
        <v>0.33527999999999997</v>
      </c>
      <c r="J18" s="35">
        <f t="shared" ref="J18" si="17">J17*0.0254</f>
        <v>0.33019999999999999</v>
      </c>
      <c r="K18" s="35">
        <f t="shared" ref="K18:O18" si="18">K17*0.0254</f>
        <v>0.32511999999999996</v>
      </c>
      <c r="L18" s="35">
        <f t="shared" si="18"/>
        <v>0.32003999999999994</v>
      </c>
      <c r="M18" s="35">
        <f t="shared" si="18"/>
        <v>0.31495999999999996</v>
      </c>
      <c r="N18" s="35">
        <f t="shared" si="18"/>
        <v>0.30987999999999999</v>
      </c>
      <c r="O18" s="35">
        <f t="shared" si="18"/>
        <v>0.30479999999999996</v>
      </c>
      <c r="P18" s="36"/>
      <c r="Q18" s="36"/>
      <c r="R18" s="36"/>
      <c r="S18" s="36"/>
      <c r="T18" s="36"/>
      <c r="U18" s="36"/>
    </row>
    <row r="19" spans="1:23" ht="15.75" customHeight="1" x14ac:dyDescent="0.25">
      <c r="A19" s="13"/>
      <c r="B19" s="14"/>
      <c r="C19" s="29"/>
      <c r="D19" s="15"/>
      <c r="E19" s="26"/>
      <c r="F19" s="26"/>
      <c r="G19" s="26"/>
      <c r="H19" s="26"/>
      <c r="I19" s="26"/>
      <c r="J19" s="26"/>
      <c r="K19" s="26"/>
      <c r="N19" s="36"/>
      <c r="O19" s="36"/>
      <c r="P19" s="36"/>
      <c r="Q19" s="36"/>
      <c r="R19" s="36"/>
      <c r="S19" s="36"/>
      <c r="T19" s="36"/>
      <c r="U19" s="36"/>
    </row>
    <row r="20" spans="1:23" ht="15.75" customHeight="1" x14ac:dyDescent="0.25">
      <c r="A20" s="14" t="s">
        <v>77</v>
      </c>
      <c r="B20" s="14"/>
      <c r="C20" s="29" t="s">
        <v>2</v>
      </c>
      <c r="D20" s="15" t="s">
        <v>74</v>
      </c>
      <c r="E20" s="49">
        <v>1</v>
      </c>
      <c r="F20" s="49">
        <f>E20+0.1</f>
        <v>1.1000000000000001</v>
      </c>
      <c r="G20" s="49">
        <f t="shared" ref="G20:O20" si="19">F20+0.1</f>
        <v>1.2000000000000002</v>
      </c>
      <c r="H20" s="49">
        <f t="shared" si="19"/>
        <v>1.3000000000000003</v>
      </c>
      <c r="I20" s="49">
        <f t="shared" si="19"/>
        <v>1.4000000000000004</v>
      </c>
      <c r="J20" s="49">
        <f t="shared" si="19"/>
        <v>1.5000000000000004</v>
      </c>
      <c r="K20" s="49">
        <f t="shared" si="19"/>
        <v>1.6000000000000005</v>
      </c>
      <c r="L20" s="49">
        <f t="shared" si="19"/>
        <v>1.7000000000000006</v>
      </c>
      <c r="M20" s="49">
        <f t="shared" si="19"/>
        <v>1.8000000000000007</v>
      </c>
      <c r="N20" s="49">
        <f t="shared" si="19"/>
        <v>1.9000000000000008</v>
      </c>
      <c r="O20" s="49">
        <f t="shared" si="19"/>
        <v>2.0000000000000009</v>
      </c>
      <c r="P20" s="16"/>
      <c r="Q20" s="16"/>
      <c r="R20" s="16"/>
      <c r="S20" s="16"/>
      <c r="T20" s="16"/>
      <c r="U20" s="16"/>
      <c r="V20" s="17"/>
      <c r="W20" s="18"/>
    </row>
    <row r="21" spans="1:23" ht="15.75" customHeight="1" x14ac:dyDescent="0.25">
      <c r="B21" s="14"/>
      <c r="C21" s="29"/>
      <c r="D21" s="19" t="s">
        <v>75</v>
      </c>
      <c r="E21" s="35">
        <f t="shared" ref="E21:K21" si="20">E20*0.0254</f>
        <v>2.5399999999999999E-2</v>
      </c>
      <c r="F21" s="35">
        <f t="shared" si="20"/>
        <v>2.794E-2</v>
      </c>
      <c r="G21" s="35">
        <f t="shared" si="20"/>
        <v>3.0480000000000004E-2</v>
      </c>
      <c r="H21" s="35">
        <f t="shared" si="20"/>
        <v>3.3020000000000008E-2</v>
      </c>
      <c r="I21" s="35">
        <f t="shared" si="20"/>
        <v>3.5560000000000008E-2</v>
      </c>
      <c r="J21" s="35">
        <f t="shared" si="20"/>
        <v>3.8100000000000009E-2</v>
      </c>
      <c r="K21" s="35">
        <f t="shared" si="20"/>
        <v>4.0640000000000009E-2</v>
      </c>
      <c r="L21" s="35">
        <f t="shared" ref="L21" si="21">L20*0.0254</f>
        <v>4.3180000000000017E-2</v>
      </c>
      <c r="M21" s="35">
        <f t="shared" ref="M21" si="22">M20*0.0254</f>
        <v>4.5720000000000018E-2</v>
      </c>
      <c r="N21" s="35">
        <f t="shared" ref="N21" si="23">N20*0.0254</f>
        <v>4.8260000000000018E-2</v>
      </c>
      <c r="O21" s="35">
        <f t="shared" ref="O21" si="24">O20*0.0254</f>
        <v>5.0800000000000019E-2</v>
      </c>
      <c r="P21" s="20"/>
      <c r="Q21" s="20"/>
      <c r="R21" s="20"/>
      <c r="S21" s="20"/>
      <c r="T21" s="20"/>
      <c r="U21" s="20"/>
      <c r="W21" s="18"/>
    </row>
    <row r="22" spans="1:23" ht="15.75" customHeight="1" x14ac:dyDescent="0.25">
      <c r="B22" s="14"/>
      <c r="C22" s="29"/>
      <c r="D22" s="19"/>
      <c r="E22" s="35"/>
      <c r="F22" s="35"/>
      <c r="G22" s="35"/>
      <c r="H22" s="35"/>
      <c r="I22" s="35"/>
      <c r="J22" s="35"/>
      <c r="K22" s="35"/>
      <c r="N22" s="20"/>
      <c r="O22" s="20"/>
      <c r="P22" s="20"/>
      <c r="Q22" s="20"/>
      <c r="R22" s="20"/>
      <c r="S22" s="20"/>
      <c r="T22" s="20"/>
      <c r="U22" s="20"/>
      <c r="W22" s="18"/>
    </row>
    <row r="23" spans="1:23" ht="15.75" customHeight="1" x14ac:dyDescent="0.25">
      <c r="A23" t="s">
        <v>134</v>
      </c>
      <c r="B23" s="14"/>
      <c r="C23" s="29" t="s">
        <v>2</v>
      </c>
      <c r="D23" s="15" t="s">
        <v>74</v>
      </c>
      <c r="E23" s="26">
        <v>1.56</v>
      </c>
      <c r="F23" s="26">
        <v>1.56</v>
      </c>
      <c r="G23" s="26">
        <v>1.56</v>
      </c>
      <c r="H23" s="26">
        <v>1.56</v>
      </c>
      <c r="I23" s="26">
        <v>1.56</v>
      </c>
      <c r="J23" s="26">
        <v>1.56</v>
      </c>
      <c r="K23" s="26">
        <v>1.56</v>
      </c>
      <c r="L23" s="26">
        <v>1.56</v>
      </c>
      <c r="M23" s="26">
        <v>1.56</v>
      </c>
      <c r="N23" s="26">
        <v>1.56</v>
      </c>
      <c r="O23" s="26">
        <v>1.56</v>
      </c>
      <c r="P23" s="20"/>
      <c r="Q23" s="20"/>
      <c r="R23" s="20"/>
      <c r="S23" s="20"/>
      <c r="T23" s="20"/>
      <c r="U23" s="20"/>
      <c r="W23" s="18"/>
    </row>
    <row r="24" spans="1:23" ht="15.75" customHeight="1" x14ac:dyDescent="0.25">
      <c r="B24" s="14"/>
      <c r="C24" s="29"/>
      <c r="D24" s="19" t="s">
        <v>75</v>
      </c>
      <c r="E24" s="35">
        <f t="shared" ref="E24" si="25">E23*0.0254</f>
        <v>3.9623999999999999E-2</v>
      </c>
      <c r="F24" s="35">
        <f t="shared" ref="F24" si="26">F23*0.0254</f>
        <v>3.9623999999999999E-2</v>
      </c>
      <c r="G24" s="35">
        <f t="shared" ref="G24" si="27">G23*0.0254</f>
        <v>3.9623999999999999E-2</v>
      </c>
      <c r="H24" s="35">
        <f t="shared" ref="H24" si="28">H23*0.0254</f>
        <v>3.9623999999999999E-2</v>
      </c>
      <c r="I24" s="35">
        <f t="shared" ref="I24" si="29">I23*0.0254</f>
        <v>3.9623999999999999E-2</v>
      </c>
      <c r="J24" s="35">
        <f t="shared" ref="J24" si="30">J23*0.0254</f>
        <v>3.9623999999999999E-2</v>
      </c>
      <c r="K24" s="35">
        <f t="shared" ref="K24" si="31">K23*0.0254</f>
        <v>3.9623999999999999E-2</v>
      </c>
      <c r="L24" s="35">
        <f t="shared" ref="L24" si="32">L23*0.0254</f>
        <v>3.9623999999999999E-2</v>
      </c>
      <c r="M24" s="35">
        <f t="shared" ref="M24" si="33">M23*0.0254</f>
        <v>3.9623999999999999E-2</v>
      </c>
      <c r="N24" s="35">
        <f t="shared" ref="N24" si="34">N23*0.0254</f>
        <v>3.9623999999999999E-2</v>
      </c>
      <c r="O24" s="35">
        <f t="shared" ref="O24" si="35">O23*0.0254</f>
        <v>3.9623999999999999E-2</v>
      </c>
      <c r="P24" s="20"/>
      <c r="Q24" s="20"/>
      <c r="R24" s="20"/>
      <c r="S24" s="20"/>
      <c r="T24" s="20"/>
      <c r="U24" s="20"/>
      <c r="W24" s="18"/>
    </row>
    <row r="25" spans="1:23" ht="15.75" customHeight="1" x14ac:dyDescent="0.25">
      <c r="B25" s="14"/>
      <c r="C25" s="29"/>
      <c r="D25" s="19"/>
      <c r="E25" s="35"/>
      <c r="F25" s="35"/>
      <c r="G25" s="35"/>
      <c r="H25" s="35"/>
      <c r="I25" s="35"/>
      <c r="J25" s="35"/>
      <c r="K25" s="35"/>
      <c r="N25" s="20"/>
      <c r="O25" s="20"/>
      <c r="P25" s="20"/>
      <c r="Q25" s="20"/>
      <c r="R25" s="20"/>
      <c r="S25" s="20"/>
      <c r="T25" s="20"/>
      <c r="U25" s="20"/>
      <c r="W25" s="18"/>
    </row>
    <row r="26" spans="1:23" ht="15.75" customHeight="1" x14ac:dyDescent="0.25">
      <c r="A26" t="s">
        <v>25</v>
      </c>
      <c r="B26" s="14"/>
      <c r="C26" s="29" t="s">
        <v>89</v>
      </c>
      <c r="D26" s="19"/>
      <c r="E26" s="43" t="s">
        <v>90</v>
      </c>
      <c r="F26" s="43" t="s">
        <v>90</v>
      </c>
      <c r="G26" s="43" t="s">
        <v>90</v>
      </c>
      <c r="H26" s="43" t="s">
        <v>90</v>
      </c>
      <c r="I26" s="43" t="s">
        <v>90</v>
      </c>
      <c r="J26" s="43" t="s">
        <v>90</v>
      </c>
      <c r="K26" s="43" t="s">
        <v>90</v>
      </c>
      <c r="L26" s="43" t="s">
        <v>90</v>
      </c>
      <c r="M26" s="43" t="s">
        <v>90</v>
      </c>
      <c r="N26" s="43" t="s">
        <v>90</v>
      </c>
      <c r="O26" s="43" t="s">
        <v>90</v>
      </c>
      <c r="P26" s="20"/>
      <c r="Q26" s="20"/>
      <c r="R26" s="20"/>
      <c r="S26" s="20"/>
      <c r="T26" s="20"/>
      <c r="U26" s="20"/>
      <c r="W26" s="18"/>
    </row>
    <row r="27" spans="1:23" ht="15.75" customHeight="1" x14ac:dyDescent="0.25">
      <c r="B27" s="14"/>
      <c r="C27" s="29"/>
      <c r="D27" s="19"/>
      <c r="E27" s="35"/>
      <c r="F27" s="35"/>
      <c r="G27" s="35"/>
      <c r="H27" s="35"/>
      <c r="I27" s="35"/>
      <c r="J27" s="35"/>
      <c r="K27" s="35"/>
      <c r="N27" s="20"/>
      <c r="O27" s="20"/>
      <c r="P27" s="20"/>
      <c r="Q27" s="20"/>
      <c r="R27" s="20"/>
      <c r="S27" s="20"/>
      <c r="T27" s="20"/>
      <c r="U27" s="20"/>
      <c r="W27" s="18"/>
    </row>
    <row r="28" spans="1:23" x14ac:dyDescent="0.25">
      <c r="C28" s="1"/>
    </row>
    <row r="29" spans="1:23" x14ac:dyDescent="0.25">
      <c r="A29" t="s">
        <v>36</v>
      </c>
      <c r="C29" s="1" t="s">
        <v>6</v>
      </c>
      <c r="D29" s="2" t="s">
        <v>34</v>
      </c>
      <c r="E29" s="44">
        <v>30000000</v>
      </c>
      <c r="F29" s="44">
        <v>30000000</v>
      </c>
      <c r="G29" s="44">
        <v>30000000</v>
      </c>
      <c r="H29" s="44">
        <v>30000000</v>
      </c>
      <c r="I29" s="44">
        <v>30000000</v>
      </c>
      <c r="J29" s="44">
        <v>30000000</v>
      </c>
      <c r="K29" s="44">
        <v>30000000</v>
      </c>
      <c r="L29" s="44">
        <v>30000000</v>
      </c>
      <c r="M29" s="44">
        <v>30000000</v>
      </c>
      <c r="N29" s="44">
        <v>30000000</v>
      </c>
      <c r="O29" s="44">
        <v>30000000</v>
      </c>
    </row>
    <row r="30" spans="1:23" x14ac:dyDescent="0.25">
      <c r="C30" s="1"/>
      <c r="D30" s="2"/>
    </row>
    <row r="31" spans="1:23" x14ac:dyDescent="0.25">
      <c r="A31" t="s">
        <v>78</v>
      </c>
      <c r="C31" s="1" t="s">
        <v>0</v>
      </c>
      <c r="E31" s="44">
        <v>0.45</v>
      </c>
      <c r="F31" s="44">
        <v>0.45</v>
      </c>
      <c r="G31" s="44">
        <v>0.45</v>
      </c>
      <c r="H31" s="44">
        <v>0.45</v>
      </c>
      <c r="I31" s="44">
        <v>0.45</v>
      </c>
      <c r="J31" s="44">
        <v>0.45</v>
      </c>
      <c r="K31" s="44">
        <v>0.45</v>
      </c>
      <c r="L31" s="44">
        <v>0.45</v>
      </c>
      <c r="M31" s="44">
        <v>0.45</v>
      </c>
      <c r="N31" s="44">
        <v>0.45</v>
      </c>
      <c r="O31" s="44">
        <v>0.45</v>
      </c>
    </row>
    <row r="32" spans="1:23" x14ac:dyDescent="0.25">
      <c r="C32" s="1"/>
    </row>
    <row r="33" spans="1:5" x14ac:dyDescent="0.25">
      <c r="A33" s="1" t="s">
        <v>13</v>
      </c>
      <c r="B33" s="1"/>
      <c r="C33" s="1"/>
    </row>
    <row r="34" spans="1:5" x14ac:dyDescent="0.25">
      <c r="A34" s="1"/>
      <c r="B34" s="1"/>
      <c r="C34" s="1"/>
    </row>
    <row r="35" spans="1:5" x14ac:dyDescent="0.25">
      <c r="A35" t="s">
        <v>94</v>
      </c>
      <c r="D35" t="s">
        <v>100</v>
      </c>
      <c r="E35" s="44">
        <f>PI()*(E14^2-E17^2)</f>
        <v>188.49555921538757</v>
      </c>
    </row>
    <row r="36" spans="1:5" x14ac:dyDescent="0.25">
      <c r="A36" t="s">
        <v>101</v>
      </c>
      <c r="C36" t="s">
        <v>101</v>
      </c>
      <c r="D36" t="s">
        <v>100</v>
      </c>
      <c r="E36" s="44">
        <f>(PI()/4)*(E17^2)</f>
        <v>153.93804002589985</v>
      </c>
    </row>
    <row r="37" spans="1:5" x14ac:dyDescent="0.25">
      <c r="A37" t="s">
        <v>102</v>
      </c>
      <c r="C37" t="s">
        <v>102</v>
      </c>
      <c r="D37" t="s">
        <v>100</v>
      </c>
      <c r="E37" s="44">
        <f>(PI()/4)*(E14^2)</f>
        <v>201.06192982974676</v>
      </c>
    </row>
    <row r="38" spans="1:5" x14ac:dyDescent="0.25">
      <c r="A38" t="s">
        <v>105</v>
      </c>
      <c r="C38" t="s">
        <v>103</v>
      </c>
      <c r="D38" t="s">
        <v>104</v>
      </c>
      <c r="E38" s="44">
        <f>PI()/64*(E14^4-E17^4)</f>
        <v>1331.2498869586748</v>
      </c>
    </row>
    <row r="39" spans="1:5" x14ac:dyDescent="0.25">
      <c r="C39" s="1"/>
    </row>
    <row r="40" spans="1:5" x14ac:dyDescent="0.25">
      <c r="A40" s="1" t="s">
        <v>16</v>
      </c>
      <c r="B40" s="1"/>
      <c r="C40" s="1"/>
    </row>
    <row r="41" spans="1:5" x14ac:dyDescent="0.25">
      <c r="A41" t="s">
        <v>29</v>
      </c>
      <c r="C41" t="s">
        <v>117</v>
      </c>
      <c r="E41" s="44">
        <v>0</v>
      </c>
    </row>
    <row r="42" spans="1:5" x14ac:dyDescent="0.25">
      <c r="A42" t="s">
        <v>30</v>
      </c>
      <c r="C42" t="s">
        <v>18</v>
      </c>
      <c r="D42" t="s">
        <v>4</v>
      </c>
      <c r="E42" s="47">
        <v>0</v>
      </c>
    </row>
    <row r="43" spans="1:5" x14ac:dyDescent="0.25">
      <c r="A43" t="s">
        <v>99</v>
      </c>
      <c r="C43" t="s">
        <v>110</v>
      </c>
      <c r="D43" s="2" t="s">
        <v>19</v>
      </c>
      <c r="E43" s="44">
        <v>0</v>
      </c>
    </row>
    <row r="44" spans="1:5" x14ac:dyDescent="0.25">
      <c r="A44" t="s">
        <v>20</v>
      </c>
      <c r="C44" t="s">
        <v>111</v>
      </c>
      <c r="D44" s="2" t="s">
        <v>21</v>
      </c>
      <c r="E44" s="44">
        <v>0</v>
      </c>
    </row>
    <row r="45" spans="1:5" x14ac:dyDescent="0.25">
      <c r="C45" s="1"/>
    </row>
    <row r="46" spans="1:5" x14ac:dyDescent="0.25">
      <c r="A46" s="40" t="s">
        <v>122</v>
      </c>
      <c r="C46" s="1"/>
      <c r="E46" s="44">
        <f>2/3</f>
        <v>0.66666666666666663</v>
      </c>
    </row>
    <row r="47" spans="1:5" x14ac:dyDescent="0.25">
      <c r="A47" s="40" t="s">
        <v>121</v>
      </c>
      <c r="C47" s="1"/>
      <c r="E47" s="44">
        <f>E46*C8</f>
        <v>40238.331041733327</v>
      </c>
    </row>
    <row r="48" spans="1:5" x14ac:dyDescent="0.25">
      <c r="A48" s="30" t="s">
        <v>91</v>
      </c>
      <c r="C48" s="1"/>
    </row>
    <row r="49" spans="1:15" x14ac:dyDescent="0.25">
      <c r="A49" s="31" t="s">
        <v>125</v>
      </c>
      <c r="C49" s="1" t="s">
        <v>123</v>
      </c>
      <c r="D49" t="s">
        <v>83</v>
      </c>
      <c r="E49" s="26">
        <v>0.6</v>
      </c>
      <c r="F49" s="26">
        <v>0.6</v>
      </c>
      <c r="G49" s="26">
        <v>0.6</v>
      </c>
      <c r="H49" s="26">
        <v>0.6</v>
      </c>
      <c r="I49" s="26">
        <v>0.6</v>
      </c>
      <c r="J49" s="26">
        <v>0.6</v>
      </c>
      <c r="K49" s="26">
        <v>0.6</v>
      </c>
    </row>
    <row r="50" spans="1:15" x14ac:dyDescent="0.25">
      <c r="A50" s="30"/>
      <c r="C50" s="1"/>
      <c r="D50" t="s">
        <v>34</v>
      </c>
      <c r="E50" s="44">
        <f>E49/0.145</f>
        <v>4.1379310344827589</v>
      </c>
      <c r="F50" s="44">
        <f t="shared" ref="F50:K50" si="36">F49/0.145</f>
        <v>4.1379310344827589</v>
      </c>
      <c r="G50" s="44">
        <f t="shared" si="36"/>
        <v>4.1379310344827589</v>
      </c>
      <c r="H50" s="44">
        <f t="shared" si="36"/>
        <v>4.1379310344827589</v>
      </c>
      <c r="I50" s="44">
        <f t="shared" si="36"/>
        <v>4.1379310344827589</v>
      </c>
      <c r="J50" s="44">
        <f t="shared" si="36"/>
        <v>4.1379310344827589</v>
      </c>
      <c r="K50" s="44">
        <f t="shared" si="36"/>
        <v>4.1379310344827589</v>
      </c>
    </row>
    <row r="51" spans="1:15" x14ac:dyDescent="0.25">
      <c r="A51" s="30"/>
      <c r="C51" s="1"/>
    </row>
    <row r="52" spans="1:15" x14ac:dyDescent="0.25">
      <c r="A52" s="31" t="s">
        <v>128</v>
      </c>
      <c r="C52" s="1" t="s">
        <v>123</v>
      </c>
      <c r="D52" t="s">
        <v>83</v>
      </c>
      <c r="E52" s="26">
        <v>0.7</v>
      </c>
      <c r="F52" s="26">
        <f>E52</f>
        <v>0.7</v>
      </c>
      <c r="G52" s="26">
        <f t="shared" ref="G52:K52" si="37">F52</f>
        <v>0.7</v>
      </c>
      <c r="H52" s="26">
        <f t="shared" si="37"/>
        <v>0.7</v>
      </c>
      <c r="I52" s="26">
        <f t="shared" si="37"/>
        <v>0.7</v>
      </c>
      <c r="J52" s="26">
        <f t="shared" si="37"/>
        <v>0.7</v>
      </c>
      <c r="K52" s="26">
        <f t="shared" si="37"/>
        <v>0.7</v>
      </c>
    </row>
    <row r="53" spans="1:15" x14ac:dyDescent="0.25">
      <c r="A53" s="30"/>
      <c r="C53" s="1"/>
      <c r="D53" t="s">
        <v>34</v>
      </c>
      <c r="E53" s="44">
        <f>E52/0.145</f>
        <v>4.8275862068965516</v>
      </c>
      <c r="F53" s="44">
        <f t="shared" ref="F53:K53" si="38">F52/0.145</f>
        <v>4.8275862068965516</v>
      </c>
      <c r="G53" s="44">
        <f t="shared" si="38"/>
        <v>4.8275862068965516</v>
      </c>
      <c r="H53" s="44">
        <f t="shared" si="38"/>
        <v>4.8275862068965516</v>
      </c>
      <c r="I53" s="44">
        <f t="shared" si="38"/>
        <v>4.8275862068965516</v>
      </c>
      <c r="J53" s="44">
        <f t="shared" si="38"/>
        <v>4.8275862068965516</v>
      </c>
      <c r="K53" s="44">
        <f t="shared" si="38"/>
        <v>4.8275862068965516</v>
      </c>
    </row>
    <row r="54" spans="1:15" x14ac:dyDescent="0.25">
      <c r="A54" s="30"/>
      <c r="C54" s="1"/>
    </row>
    <row r="55" spans="1:15" s="33" customFormat="1" x14ac:dyDescent="0.25">
      <c r="A55" s="32" t="s">
        <v>143</v>
      </c>
      <c r="C55" s="34"/>
      <c r="E55" s="48"/>
      <c r="F55" s="48"/>
      <c r="G55" s="48"/>
      <c r="H55" s="48"/>
      <c r="I55" s="48"/>
      <c r="J55" s="48"/>
      <c r="K55" s="48"/>
    </row>
    <row r="56" spans="1:15" s="33" customFormat="1" x14ac:dyDescent="0.25">
      <c r="A56" s="32"/>
      <c r="C56" s="34"/>
      <c r="E56" s="48"/>
      <c r="F56" s="48"/>
      <c r="G56" s="48"/>
      <c r="H56" s="48"/>
      <c r="I56" s="48"/>
      <c r="J56" s="48"/>
      <c r="K56" s="48"/>
    </row>
    <row r="57" spans="1:15" x14ac:dyDescent="0.25">
      <c r="A57" s="1" t="s">
        <v>130</v>
      </c>
      <c r="B57" s="1" t="s">
        <v>139</v>
      </c>
      <c r="C57" s="1" t="s">
        <v>76</v>
      </c>
      <c r="D57" t="s">
        <v>34</v>
      </c>
      <c r="E57" s="44">
        <f>E31*(C7+E7)*LN(E14/(E17+2*H9))</f>
        <v>6454.4841025091573</v>
      </c>
      <c r="F57" s="44">
        <f>F31*(C7+E7)*LN(F14/(F17+2*H9))</f>
        <v>7349.3635593888148</v>
      </c>
      <c r="G57" s="44">
        <f>G31*(C7+E7)*LN(G14/(G17+2*H9))</f>
        <v>8256.8722705049313</v>
      </c>
      <c r="H57" s="44">
        <f>H31*(C7+E7)*LN(H14/(H17+2*H9))</f>
        <v>9177.3718130735833</v>
      </c>
      <c r="I57" s="44">
        <f>I31*(C7+E7)*LN(I14/(I17+2*H9))</f>
        <v>10111.239518105538</v>
      </c>
      <c r="J57" s="44">
        <f>J31*(C7+E7)*LN(J14/(J17+2*H9))</f>
        <v>11058.869399093501</v>
      </c>
      <c r="K57" s="44">
        <f>K31*(C7+E7)*LN(K14/(K17+2*H9))</f>
        <v>12020.673150157083</v>
      </c>
      <c r="L57" s="44">
        <f>L31*(C7+E7)*LN(L14/(L17+2*H9))</f>
        <v>12997.081219973848</v>
      </c>
      <c r="M57" s="44">
        <f>M31*(C7+E7)*LN(M14/(M17+2*H9))</f>
        <v>13988.543968508417</v>
      </c>
      <c r="N57" s="44">
        <f>N31*(C7+E7)*LN(N14/(N17+2*H9))</f>
        <v>14995.532914319676</v>
      </c>
      <c r="O57" s="44">
        <f>O31*(C7+E7)*LN(O14/(O17+2*H9))</f>
        <v>16018.542081093303</v>
      </c>
    </row>
    <row r="58" spans="1:15" x14ac:dyDescent="0.25">
      <c r="C58" s="1"/>
    </row>
    <row r="59" spans="1:15" x14ac:dyDescent="0.25">
      <c r="A59" s="1" t="s">
        <v>130</v>
      </c>
      <c r="B59" s="1" t="s">
        <v>140</v>
      </c>
      <c r="C59" s="1" t="s">
        <v>76</v>
      </c>
      <c r="D59" t="s">
        <v>34</v>
      </c>
      <c r="E59" s="44">
        <f>E31*(C7+E7)*LN(E14/E17)</f>
        <v>8586.7362027199233</v>
      </c>
      <c r="F59" s="44">
        <f>F31*(C7+E7)*LN(F14/F17)</f>
        <v>9512.0039645771958</v>
      </c>
      <c r="G59" s="44">
        <f>G31*(C7+E7)*LN(G14/G17)</f>
        <v>10450.779761354417</v>
      </c>
      <c r="H59" s="44">
        <f>H31*(C7+E7)*LN(H14/H17)</f>
        <v>11403.463852767891</v>
      </c>
      <c r="I59" s="44">
        <f>I31*(C7+E7)*LN(I14/I17)</f>
        <v>12370.474556694664</v>
      </c>
      <c r="J59" s="44">
        <f>J31*(C7+E7)*LN(J14/J17)</f>
        <v>13352.249352065015</v>
      </c>
      <c r="K59" s="44">
        <f>K31*(C7+E7)*LN(K14/K17)</f>
        <v>14349.246067260259</v>
      </c>
      <c r="L59" s="44">
        <f>L31*(C7+E7)*LN(L14/L17)</f>
        <v>15361.944162096455</v>
      </c>
      <c r="M59" s="44">
        <f>M31*(C7+E7)*LN(M14/M17)</f>
        <v>16390.846112379353</v>
      </c>
      <c r="N59" s="44">
        <f>N31*(C7+E7)*LN(N14/N17)</f>
        <v>17436.478907039185</v>
      </c>
      <c r="O59" s="44">
        <f>O31*(C7+E7)*LN(O14/O17)</f>
        <v>18499.395669011777</v>
      </c>
    </row>
    <row r="60" spans="1:15" x14ac:dyDescent="0.25">
      <c r="C60" s="1"/>
      <c r="L60" s="44"/>
      <c r="M60" s="44"/>
      <c r="N60" s="44"/>
      <c r="O60" s="44"/>
    </row>
    <row r="61" spans="1:15" x14ac:dyDescent="0.25">
      <c r="C61" s="1" t="s">
        <v>141</v>
      </c>
      <c r="D61" t="s">
        <v>34</v>
      </c>
      <c r="E61" s="44">
        <f>E57*C105</f>
        <v>4356.7767691936815</v>
      </c>
      <c r="F61" s="44">
        <f>F57*C105</f>
        <v>4960.8204025874502</v>
      </c>
      <c r="G61" s="44">
        <f>G57*C105</f>
        <v>5573.3887825908287</v>
      </c>
      <c r="H61" s="44">
        <f>H57*C105</f>
        <v>6194.7259738246694</v>
      </c>
      <c r="I61" s="44">
        <f>I57*C105</f>
        <v>6825.0866747212385</v>
      </c>
      <c r="J61" s="44">
        <f>J57*C105</f>
        <v>7464.7368443881132</v>
      </c>
      <c r="K61" s="44">
        <f>K57*C105</f>
        <v>8113.9543763560314</v>
      </c>
      <c r="L61" s="44">
        <f>L57*C105</f>
        <v>8773.0298234823476</v>
      </c>
      <c r="M61" s="44">
        <f>M57*C105</f>
        <v>9442.2671787431809</v>
      </c>
      <c r="N61" s="44">
        <f>N57*C105</f>
        <v>10121.984717165782</v>
      </c>
      <c r="O61" s="44">
        <f>O57*C105</f>
        <v>10812.51590473798</v>
      </c>
    </row>
    <row r="62" spans="1:15" x14ac:dyDescent="0.25">
      <c r="C62" s="1"/>
      <c r="L62" s="44"/>
      <c r="M62" s="44"/>
      <c r="N62" s="44"/>
      <c r="O62" s="44"/>
    </row>
    <row r="63" spans="1:15" x14ac:dyDescent="0.25">
      <c r="C63" s="1" t="s">
        <v>138</v>
      </c>
      <c r="D63" t="s">
        <v>34</v>
      </c>
      <c r="E63" s="44">
        <f>E57*C106</f>
        <v>3872.6904615054941</v>
      </c>
      <c r="F63" s="44">
        <f>F57*C106</f>
        <v>4409.6181356332891</v>
      </c>
      <c r="G63" s="44">
        <f>G57*C106</f>
        <v>4954.1233623029584</v>
      </c>
      <c r="H63" s="44">
        <f>H57*C106</f>
        <v>5506.4230878441494</v>
      </c>
      <c r="I63" s="44">
        <f>I57*C106</f>
        <v>6066.743710863323</v>
      </c>
      <c r="J63" s="44">
        <f>J57*C106</f>
        <v>6635.3216394561005</v>
      </c>
      <c r="K63" s="44">
        <f>K57*C106</f>
        <v>7212.4038900942496</v>
      </c>
      <c r="L63" s="44">
        <f>L57*C106</f>
        <v>7798.2487319843085</v>
      </c>
      <c r="M63" s="44">
        <f>M57*C106</f>
        <v>8393.1263811050503</v>
      </c>
      <c r="N63" s="44">
        <f>N57*C106</f>
        <v>8997.3197485918045</v>
      </c>
      <c r="O63" s="44">
        <f>O57*C106</f>
        <v>9611.1252486559806</v>
      </c>
    </row>
    <row r="64" spans="1:15" x14ac:dyDescent="0.25">
      <c r="C64" s="1"/>
      <c r="L64" s="44"/>
      <c r="M64" s="44"/>
      <c r="N64" s="44"/>
      <c r="O64" s="44"/>
    </row>
    <row r="65" spans="1:15" x14ac:dyDescent="0.25">
      <c r="C65" s="1" t="s">
        <v>142</v>
      </c>
      <c r="D65" t="s">
        <v>34</v>
      </c>
      <c r="E65" s="44">
        <f>E59*C104</f>
        <v>6440.0521520399425</v>
      </c>
      <c r="F65" s="44">
        <f>F59*C104</f>
        <v>7134.0029734328964</v>
      </c>
      <c r="G65" s="44">
        <f>G59*C104</f>
        <v>7838.0848210158128</v>
      </c>
      <c r="H65" s="44">
        <f>H59*C104</f>
        <v>8552.5978895759181</v>
      </c>
      <c r="I65" s="44">
        <f>I59*C104</f>
        <v>9277.8559175209975</v>
      </c>
      <c r="J65" s="44">
        <f>J59*C104</f>
        <v>10014.187014048761</v>
      </c>
      <c r="K65" s="44">
        <f>K59*C104</f>
        <v>10761.934550445194</v>
      </c>
      <c r="L65" s="44">
        <f>L59*C104</f>
        <v>11521.458121572341</v>
      </c>
      <c r="M65" s="44">
        <f>M59*C104</f>
        <v>12293.134584284515</v>
      </c>
      <c r="N65" s="44">
        <f>N59*C104</f>
        <v>13077.359180279389</v>
      </c>
      <c r="O65" s="44">
        <f>O59*C104</f>
        <v>13874.546751758833</v>
      </c>
    </row>
    <row r="66" spans="1:15" x14ac:dyDescent="0.25">
      <c r="C66" s="1"/>
      <c r="L66" s="44"/>
      <c r="M66" s="44"/>
      <c r="N66" s="44"/>
      <c r="O66" s="44"/>
    </row>
    <row r="67" spans="1:15" x14ac:dyDescent="0.25">
      <c r="C67" s="1"/>
      <c r="L67" s="44"/>
      <c r="M67" s="44"/>
      <c r="N67" s="44"/>
      <c r="O67" s="44"/>
    </row>
    <row r="68" spans="1:15" x14ac:dyDescent="0.25">
      <c r="C68" s="1"/>
      <c r="L68" s="44"/>
      <c r="M68" s="44"/>
      <c r="N68" s="44"/>
      <c r="O68" s="44"/>
    </row>
    <row r="69" spans="1:15" s="53" customFormat="1" x14ac:dyDescent="0.25">
      <c r="A69" s="52" t="s">
        <v>135</v>
      </c>
      <c r="C69" s="52"/>
      <c r="E69" s="54"/>
      <c r="F69" s="54"/>
      <c r="G69" s="55"/>
      <c r="H69" s="55"/>
      <c r="I69" s="54"/>
      <c r="J69" s="54"/>
      <c r="K69" s="54"/>
    </row>
    <row r="70" spans="1:15" s="53" customFormat="1" x14ac:dyDescent="0.25">
      <c r="A70" s="52"/>
      <c r="C70" s="52"/>
      <c r="E70" s="54"/>
      <c r="F70" s="54"/>
      <c r="G70" s="55"/>
      <c r="H70" s="55"/>
      <c r="I70" s="54"/>
      <c r="J70" s="54"/>
      <c r="K70" s="54"/>
    </row>
    <row r="71" spans="1:15" x14ac:dyDescent="0.25">
      <c r="A71" s="1" t="s">
        <v>41</v>
      </c>
      <c r="C71" s="1" t="s">
        <v>88</v>
      </c>
      <c r="D71" t="s">
        <v>34</v>
      </c>
      <c r="E71" s="44">
        <f t="shared" ref="E71:M71" si="39">2*E29*(E20/E17)^3/(1-E26^2)</f>
        <v>24028.449684426356</v>
      </c>
      <c r="F71" s="44">
        <f t="shared" si="39"/>
        <v>33392.632225540918</v>
      </c>
      <c r="G71" s="44">
        <f t="shared" si="39"/>
        <v>45293.603201195328</v>
      </c>
      <c r="H71" s="44">
        <f t="shared" si="39"/>
        <v>60204.023956214274</v>
      </c>
      <c r="I71" s="44">
        <f t="shared" si="39"/>
        <v>78663.301803797731</v>
      </c>
      <c r="J71" s="44">
        <f t="shared" si="39"/>
        <v>101286.96974395662</v>
      </c>
      <c r="K71" s="44">
        <f t="shared" si="39"/>
        <v>128777.4725274727</v>
      </c>
      <c r="L71" s="44">
        <f t="shared" si="39"/>
        <v>161936.58888832221</v>
      </c>
      <c r="M71" s="44">
        <f t="shared" si="39"/>
        <v>201679.76094262584</v>
      </c>
      <c r="N71" s="44">
        <f>2*N29*(N20/N14)^3/(1-N26^2)</f>
        <v>110410.5855082419</v>
      </c>
      <c r="O71" s="44">
        <f>2*O29*(O20/O14)^3/(1-O26^2)</f>
        <v>128777.4725274727</v>
      </c>
    </row>
    <row r="72" spans="1:15" x14ac:dyDescent="0.25">
      <c r="C72" s="1"/>
      <c r="G72" s="26"/>
      <c r="H72" s="26"/>
    </row>
    <row r="73" spans="1:15" x14ac:dyDescent="0.25">
      <c r="A73" s="1" t="s">
        <v>42</v>
      </c>
      <c r="C73" s="1" t="s">
        <v>43</v>
      </c>
      <c r="D73" t="s">
        <v>34</v>
      </c>
      <c r="E73" s="44">
        <f>2*(E20/E17)*C7*J4</f>
        <v>9328.5714285714275</v>
      </c>
      <c r="F73" s="44">
        <f>2*(F20/F17)*C7*J4</f>
        <v>10410.144927536232</v>
      </c>
      <c r="G73" s="44">
        <f>2*(G20/G17)*C7*J4</f>
        <v>11523.529411764708</v>
      </c>
      <c r="H73" s="44">
        <f>2*(H20/H17)*C7*J4</f>
        <v>12670.149253731348</v>
      </c>
      <c r="I73" s="44">
        <f>2*(I20/I17)*C7*J4</f>
        <v>13851.515151515156</v>
      </c>
      <c r="J73" s="44">
        <f>2*(J20/J17)*C7*J4</f>
        <v>15069.230769230773</v>
      </c>
      <c r="K73" s="44">
        <f>2*(K20/K17)*C7*J4</f>
        <v>16325.000000000007</v>
      </c>
      <c r="L73" s="44">
        <f>2*(L20/L17)*C7*J4</f>
        <v>17620.63492063493</v>
      </c>
      <c r="M73" s="44">
        <f>2*(M20/M17)*C7*J4</f>
        <v>18958.064516129041</v>
      </c>
      <c r="N73" s="44">
        <f>2*(N20/N17)*C7*J4</f>
        <v>20339.34426229509</v>
      </c>
      <c r="O73" s="44">
        <f>2*(O20/O17)*C7*J4</f>
        <v>21766.666666666679</v>
      </c>
    </row>
    <row r="74" spans="1:15" x14ac:dyDescent="0.25">
      <c r="C74" s="1"/>
      <c r="G74" s="26"/>
      <c r="H74" s="26"/>
    </row>
    <row r="75" spans="1:15" x14ac:dyDescent="0.25">
      <c r="A75" s="1" t="s">
        <v>46</v>
      </c>
      <c r="C75" s="1" t="s">
        <v>47</v>
      </c>
      <c r="D75" t="s">
        <v>34</v>
      </c>
      <c r="E75" s="44">
        <f>2*C7*(E20/E17)</f>
        <v>9328.5714285714275</v>
      </c>
      <c r="F75" s="44">
        <f>2*C7*(F20/F17)</f>
        <v>10410.144927536232</v>
      </c>
      <c r="G75" s="44">
        <f>2*C7*(G20/G17)</f>
        <v>11523.529411764708</v>
      </c>
      <c r="H75" s="44">
        <f>2*C7*(H20/H17)</f>
        <v>12670.149253731348</v>
      </c>
      <c r="I75" s="44">
        <f>2*C7*(I20/I17)</f>
        <v>13851.515151515156</v>
      </c>
      <c r="J75" s="44">
        <f>2*C7*(J20/J17)</f>
        <v>15069.230769230773</v>
      </c>
      <c r="K75" s="44">
        <f>2*C7*(K20/K17)</f>
        <v>16325.000000000007</v>
      </c>
      <c r="L75" s="44">
        <f>2*C7*(L20/L17)</f>
        <v>17620.63492063493</v>
      </c>
      <c r="M75" s="44">
        <f>2*C7*(M20/M17)</f>
        <v>18958.064516129041</v>
      </c>
      <c r="N75" s="44">
        <f>2*C7*(N20/N17)</f>
        <v>20339.34426229509</v>
      </c>
      <c r="O75" s="44">
        <f>2*C7*(O20/O17)</f>
        <v>21766.666666666679</v>
      </c>
    </row>
    <row r="76" spans="1:15" x14ac:dyDescent="0.25">
      <c r="C76" s="1"/>
      <c r="G76" s="35"/>
      <c r="H76" s="35"/>
    </row>
    <row r="77" spans="1:15" x14ac:dyDescent="0.25">
      <c r="A77" s="1" t="s">
        <v>44</v>
      </c>
      <c r="C77" s="1" t="s">
        <v>45</v>
      </c>
      <c r="D77" t="s">
        <v>34</v>
      </c>
      <c r="E77" s="44">
        <f>(E75*E71)/(SQRT(E75^2+E71^2))</f>
        <v>8696.2054902923628</v>
      </c>
      <c r="F77" s="44">
        <f t="shared" ref="F77:O77" si="40">(F75*F71)/(SQRT(F75^2+F71^2))</f>
        <v>9938.3953492889068</v>
      </c>
      <c r="G77" s="44">
        <f t="shared" si="40"/>
        <v>11167.758709689939</v>
      </c>
      <c r="H77" s="44">
        <f t="shared" si="40"/>
        <v>12398.553726305196</v>
      </c>
      <c r="I77" s="44">
        <f t="shared" si="40"/>
        <v>13641.641047111309</v>
      </c>
      <c r="J77" s="44">
        <f t="shared" si="40"/>
        <v>14905.172369042133</v>
      </c>
      <c r="K77" s="44">
        <f t="shared" si="40"/>
        <v>16195.385531919785</v>
      </c>
      <c r="L77" s="44">
        <f t="shared" si="40"/>
        <v>17517.237688192312</v>
      </c>
      <c r="M77" s="44">
        <f t="shared" si="40"/>
        <v>18874.857331050422</v>
      </c>
      <c r="N77" s="44">
        <f t="shared" si="40"/>
        <v>20002.775144796549</v>
      </c>
      <c r="O77" s="44">
        <f t="shared" si="40"/>
        <v>21462.241915548555</v>
      </c>
    </row>
    <row r="81" spans="1:11" x14ac:dyDescent="0.25">
      <c r="A81" t="s">
        <v>129</v>
      </c>
      <c r="C81" t="s">
        <v>126</v>
      </c>
      <c r="D81" t="s">
        <v>87</v>
      </c>
      <c r="E81" s="44">
        <v>10000</v>
      </c>
    </row>
    <row r="83" spans="1:11" x14ac:dyDescent="0.25">
      <c r="A83" t="s">
        <v>132</v>
      </c>
      <c r="C83" t="s">
        <v>126</v>
      </c>
      <c r="D83" t="s">
        <v>87</v>
      </c>
      <c r="E83" s="44">
        <v>10000</v>
      </c>
    </row>
    <row r="85" spans="1:11" x14ac:dyDescent="0.25">
      <c r="A85" t="s">
        <v>92</v>
      </c>
      <c r="C85" t="s">
        <v>127</v>
      </c>
      <c r="D85" t="s">
        <v>124</v>
      </c>
      <c r="E85" s="44">
        <v>10000</v>
      </c>
    </row>
    <row r="87" spans="1:11" s="53" customFormat="1" x14ac:dyDescent="0.25">
      <c r="A87" s="52" t="s">
        <v>136</v>
      </c>
      <c r="E87" s="54"/>
      <c r="F87" s="54"/>
      <c r="G87" s="54"/>
      <c r="H87" s="54"/>
      <c r="I87" s="54"/>
      <c r="J87" s="54"/>
      <c r="K87" s="54"/>
    </row>
    <row r="89" spans="1:11" x14ac:dyDescent="0.25">
      <c r="A89" s="1" t="s">
        <v>93</v>
      </c>
      <c r="C89" t="s">
        <v>94</v>
      </c>
      <c r="E89" s="44">
        <f>PI()*(E14-E23)*E23</f>
        <v>70.768772751825111</v>
      </c>
    </row>
    <row r="90" spans="1:11" x14ac:dyDescent="0.25">
      <c r="A90" s="1"/>
    </row>
    <row r="91" spans="1:11" x14ac:dyDescent="0.25">
      <c r="A91" s="1" t="s">
        <v>95</v>
      </c>
      <c r="C91" t="s">
        <v>96</v>
      </c>
      <c r="D91" s="2" t="s">
        <v>63</v>
      </c>
      <c r="E91" s="44">
        <f>(C8*E89)</f>
        <v>4271425.9581077043</v>
      </c>
      <c r="F91" s="44">
        <f>E91/10^3</f>
        <v>4271.425958107704</v>
      </c>
    </row>
    <row r="92" spans="1:11" x14ac:dyDescent="0.25">
      <c r="A92" s="1"/>
    </row>
    <row r="93" spans="1:11" x14ac:dyDescent="0.25">
      <c r="A93" s="1" t="s">
        <v>97</v>
      </c>
      <c r="C93" t="s">
        <v>98</v>
      </c>
      <c r="D93" s="8" t="s">
        <v>62</v>
      </c>
      <c r="E93" s="44">
        <f>(PI()/4*C8*(E14-E23)^2*E23)</f>
        <v>15419847.708768815</v>
      </c>
      <c r="F93" s="44">
        <f>E93/10^3</f>
        <v>15419.847708768815</v>
      </c>
    </row>
    <row r="95" spans="1:11" x14ac:dyDescent="0.25">
      <c r="A95" s="1" t="s">
        <v>51</v>
      </c>
      <c r="C95" t="s">
        <v>109</v>
      </c>
      <c r="D95" s="8" t="s">
        <v>62</v>
      </c>
      <c r="E95" s="44">
        <f>4/PI()*E93</f>
        <v>19633159.876598347</v>
      </c>
      <c r="F95" s="44">
        <f>E95/10^3</f>
        <v>19633.159876598347</v>
      </c>
    </row>
    <row r="97" spans="1:6" x14ac:dyDescent="0.25">
      <c r="A97" s="1" t="s">
        <v>119</v>
      </c>
      <c r="C97" t="s">
        <v>120</v>
      </c>
      <c r="E97" s="44">
        <f>E47*E89</f>
        <v>2847617.3054051362</v>
      </c>
      <c r="F97" s="44">
        <f>E97/10^3</f>
        <v>2847.617305405136</v>
      </c>
    </row>
    <row r="99" spans="1:6" x14ac:dyDescent="0.25">
      <c r="A99" t="s">
        <v>99</v>
      </c>
      <c r="C99" t="s">
        <v>110</v>
      </c>
      <c r="E99" s="44">
        <f>E97-(E42*E36+E41*E37)</f>
        <v>2847617.3054051362</v>
      </c>
      <c r="F99" s="44">
        <f>E99/10^3</f>
        <v>2847.617305405136</v>
      </c>
    </row>
    <row r="101" spans="1:6" x14ac:dyDescent="0.25">
      <c r="A101" s="6" t="s">
        <v>53</v>
      </c>
      <c r="B101" s="5" t="s">
        <v>112</v>
      </c>
      <c r="C101" s="5"/>
    </row>
    <row r="102" spans="1:6" ht="45" x14ac:dyDescent="0.25">
      <c r="A102" s="5"/>
      <c r="B102" s="37" t="s">
        <v>55</v>
      </c>
      <c r="C102" s="5">
        <v>0.81</v>
      </c>
    </row>
    <row r="103" spans="1:6" ht="45" x14ac:dyDescent="0.25">
      <c r="A103" s="5"/>
      <c r="B103" s="37" t="s">
        <v>56</v>
      </c>
      <c r="C103" s="5">
        <v>0.81</v>
      </c>
    </row>
    <row r="104" spans="1:6" x14ac:dyDescent="0.25">
      <c r="A104" s="5"/>
      <c r="B104" s="37" t="s">
        <v>57</v>
      </c>
      <c r="C104" s="5">
        <v>0.75</v>
      </c>
    </row>
    <row r="105" spans="1:6" ht="30" x14ac:dyDescent="0.25">
      <c r="A105" s="5"/>
      <c r="B105" s="37" t="s">
        <v>58</v>
      </c>
      <c r="C105" s="5">
        <v>0.67500000000000004</v>
      </c>
    </row>
    <row r="106" spans="1:6" x14ac:dyDescent="0.25">
      <c r="A106" s="5"/>
      <c r="B106" s="37" t="s">
        <v>59</v>
      </c>
      <c r="C106" s="5">
        <v>0.6</v>
      </c>
    </row>
    <row r="107" spans="1:6" ht="30" x14ac:dyDescent="0.25">
      <c r="A107" s="5"/>
      <c r="B107" s="37" t="s">
        <v>60</v>
      </c>
      <c r="C107" s="5">
        <v>0.8</v>
      </c>
    </row>
    <row r="108" spans="1:6" ht="30" x14ac:dyDescent="0.25">
      <c r="A108" s="5"/>
      <c r="B108" s="37" t="s">
        <v>61</v>
      </c>
      <c r="C108" s="5">
        <v>0.7</v>
      </c>
    </row>
    <row r="109" spans="1:6" x14ac:dyDescent="0.25">
      <c r="A109" s="5"/>
      <c r="B109" s="38" t="s">
        <v>54</v>
      </c>
      <c r="C109" s="5">
        <v>1</v>
      </c>
    </row>
    <row r="111" spans="1:6" x14ac:dyDescent="0.25">
      <c r="A111" s="1" t="s">
        <v>52</v>
      </c>
    </row>
    <row r="113" spans="1:6" x14ac:dyDescent="0.25">
      <c r="A113" s="1" t="s">
        <v>69</v>
      </c>
    </row>
    <row r="115" spans="1:6" ht="30" x14ac:dyDescent="0.25">
      <c r="A115" s="9" t="s">
        <v>113</v>
      </c>
      <c r="E115" s="44">
        <f>(E44/E93)/SQRT((C107)^2-((E42-E41)/E59)^2)-(E99/E91)</f>
        <v>-0.66666666666666663</v>
      </c>
      <c r="F115" s="44" t="s">
        <v>64</v>
      </c>
    </row>
    <row r="120" spans="1:6" x14ac:dyDescent="0.25">
      <c r="A120" s="1" t="s">
        <v>70</v>
      </c>
    </row>
    <row r="122" spans="1:6" ht="30" x14ac:dyDescent="0.25">
      <c r="A122" s="9" t="s">
        <v>114</v>
      </c>
      <c r="E122" s="44">
        <f>(E44/E93)/SQRT((C107)^2-((E41-E42)/E77)^2)-(E99/E91)</f>
        <v>-0.66666666666666663</v>
      </c>
      <c r="F122" s="44" t="s">
        <v>64</v>
      </c>
    </row>
    <row r="126" spans="1:6" x14ac:dyDescent="0.25">
      <c r="A126" s="1" t="s">
        <v>65</v>
      </c>
    </row>
    <row r="128" spans="1:6" x14ac:dyDescent="0.25">
      <c r="A128" s="1" t="s">
        <v>69</v>
      </c>
    </row>
    <row r="130" spans="1:6" ht="60" x14ac:dyDescent="0.25">
      <c r="A130" s="9" t="s">
        <v>115</v>
      </c>
      <c r="E130" s="44">
        <f>(E44/E95)/SQRT(C107^2-(E42-E41)/E57)^2*COS(PI()/2*(E99/E91)/SQRT(C107^2-(E42-E41)/E57)^2)</f>
        <v>0</v>
      </c>
      <c r="F130" s="44" t="s">
        <v>64</v>
      </c>
    </row>
    <row r="133" spans="1:6" x14ac:dyDescent="0.25">
      <c r="A133" s="1" t="s">
        <v>70</v>
      </c>
    </row>
    <row r="135" spans="1:6" ht="45" x14ac:dyDescent="0.25">
      <c r="A135" s="9" t="s">
        <v>116</v>
      </c>
      <c r="E135" s="44">
        <f>(E44/E95)/SQRT(C107^2-(E41-E42)/E77)^2*COS(PI()/2*(E43/E91)/SQRT(C107^2-(E41-E42)/E77)^2)</f>
        <v>0</v>
      </c>
      <c r="F135" s="44" t="s">
        <v>64</v>
      </c>
    </row>
    <row r="142" spans="1:6" x14ac:dyDescent="0.25">
      <c r="A142" s="1" t="s">
        <v>67</v>
      </c>
      <c r="B142" t="s">
        <v>66</v>
      </c>
    </row>
    <row r="146" spans="1:6" x14ac:dyDescent="0.25">
      <c r="A146" s="1" t="s">
        <v>68</v>
      </c>
      <c r="B146" s="1" t="s">
        <v>71</v>
      </c>
      <c r="C146">
        <v>1</v>
      </c>
    </row>
    <row r="148" spans="1:6" ht="30" x14ac:dyDescent="0.25">
      <c r="A148" s="9" t="s">
        <v>118</v>
      </c>
      <c r="E148" s="44">
        <f>SQRT(((E42-E41)/E57)^2+(E43/E91)^2/C146)</f>
        <v>0</v>
      </c>
      <c r="F148" s="44" t="s">
        <v>64</v>
      </c>
    </row>
  </sheetData>
  <mergeCells count="9">
    <mergeCell ref="E11:T11"/>
    <mergeCell ref="A3:E3"/>
    <mergeCell ref="A4:A5"/>
    <mergeCell ref="B4:C4"/>
    <mergeCell ref="D4:E4"/>
    <mergeCell ref="H3:J3"/>
    <mergeCell ref="H4:I4"/>
    <mergeCell ref="H5:I5"/>
    <mergeCell ref="H6:I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APISTD 2RD_1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AceEngineer</dc:creator>
  <cp:lastModifiedBy>AceEngineer</cp:lastModifiedBy>
  <dcterms:created xsi:type="dcterms:W3CDTF">2018-05-17T03:42:20Z</dcterms:created>
  <dcterms:modified xsi:type="dcterms:W3CDTF">2018-10-02T13:43:06Z</dcterms:modified>
</cp:coreProperties>
</file>