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855"/>
  </bookViews>
  <sheets>
    <sheet name="Summary" sheetId="8" r:id="rId1"/>
    <sheet name="Panel Buckling - T Flange" sheetId="2" r:id="rId2"/>
    <sheet name="Panel Buckling - L Flange " sheetId="12" r:id="rId3"/>
    <sheet name="Panel Buckling - L Flange_Ref" sheetId="11" r:id="rId4"/>
    <sheet name="Web Stiffener" sheetId="9" r:id="rId5"/>
    <sheet name="Stringer" sheetId="10" r:id="rId6"/>
  </sheets>
  <definedNames>
    <definedName name="hw">'Panel Buckling - L Flange_Ref'!$J$17</definedName>
  </definedNames>
  <calcPr calcId="152511"/>
</workbook>
</file>

<file path=xl/calcChain.xml><?xml version="1.0" encoding="utf-8"?>
<calcChain xmlns="http://schemas.openxmlformats.org/spreadsheetml/2006/main">
  <c r="Z43" i="2" l="1"/>
  <c r="Z41" i="2"/>
  <c r="Z39" i="2"/>
  <c r="Y43" i="2"/>
  <c r="Y41" i="2"/>
  <c r="Y39" i="2"/>
  <c r="X41" i="2"/>
  <c r="X39" i="2"/>
  <c r="W43" i="2"/>
  <c r="W41" i="2"/>
  <c r="W39" i="2"/>
  <c r="V43" i="2"/>
  <c r="V41" i="2"/>
  <c r="V39" i="2"/>
  <c r="U43" i="2"/>
  <c r="U41" i="2"/>
  <c r="U39" i="2"/>
  <c r="T41" i="2"/>
  <c r="T39" i="2"/>
  <c r="S43" i="2"/>
  <c r="S41" i="2"/>
  <c r="S39" i="2"/>
  <c r="R43" i="2"/>
  <c r="R41" i="2"/>
  <c r="R39" i="2"/>
  <c r="Q43" i="2"/>
  <c r="Q41" i="2"/>
  <c r="Q39" i="2"/>
  <c r="P43" i="2"/>
  <c r="P41" i="2"/>
  <c r="P39" i="2"/>
  <c r="O43" i="2"/>
  <c r="O41" i="2"/>
  <c r="O39" i="2"/>
  <c r="N43" i="2"/>
  <c r="N41" i="2"/>
  <c r="N39" i="2"/>
  <c r="M43" i="2"/>
  <c r="M41" i="2"/>
  <c r="M39" i="2"/>
  <c r="L41" i="2"/>
  <c r="L39" i="2"/>
  <c r="K43" i="2"/>
  <c r="K41" i="2"/>
  <c r="K39" i="2"/>
  <c r="W30" i="8"/>
  <c r="Y17" i="8"/>
  <c r="X17" i="8"/>
  <c r="W17" i="8"/>
  <c r="V17" i="8"/>
  <c r="Y15" i="8"/>
  <c r="X15" i="8"/>
  <c r="W15" i="8"/>
  <c r="V15" i="8"/>
  <c r="S30" i="8"/>
  <c r="R28" i="8"/>
  <c r="U17" i="8"/>
  <c r="T17" i="8"/>
  <c r="S17" i="8"/>
  <c r="R17" i="8"/>
  <c r="U15" i="8"/>
  <c r="T15" i="8"/>
  <c r="S15" i="8"/>
  <c r="R15" i="8"/>
  <c r="O30" i="8"/>
  <c r="N28" i="8"/>
  <c r="Q17" i="8"/>
  <c r="P17" i="8"/>
  <c r="O17" i="8"/>
  <c r="N17" i="8"/>
  <c r="Q15" i="8"/>
  <c r="P15" i="8"/>
  <c r="O15" i="8"/>
  <c r="N15" i="8"/>
  <c r="K30" i="8"/>
  <c r="J28" i="8"/>
  <c r="M17" i="8"/>
  <c r="L17" i="8"/>
  <c r="K17" i="8"/>
  <c r="J17" i="8"/>
  <c r="M15" i="8"/>
  <c r="L15" i="8"/>
  <c r="K15" i="8"/>
  <c r="J15" i="8"/>
  <c r="Z279" i="2"/>
  <c r="Y279" i="2"/>
  <c r="X279" i="2"/>
  <c r="W279" i="2"/>
  <c r="Z244" i="2"/>
  <c r="Y244" i="2"/>
  <c r="X244" i="2"/>
  <c r="W244" i="2"/>
  <c r="Z243" i="2"/>
  <c r="Y243" i="2"/>
  <c r="X243" i="2"/>
  <c r="W243" i="2"/>
  <c r="Z222" i="2"/>
  <c r="Y222" i="2"/>
  <c r="X222" i="2"/>
  <c r="W222" i="2"/>
  <c r="Z212" i="2"/>
  <c r="Y212" i="2"/>
  <c r="X212" i="2"/>
  <c r="W212" i="2"/>
  <c r="Z203" i="2"/>
  <c r="Y203" i="2"/>
  <c r="X203" i="2"/>
  <c r="W203" i="2"/>
  <c r="Z196" i="2"/>
  <c r="Y196" i="2"/>
  <c r="X196" i="2"/>
  <c r="W196" i="2"/>
  <c r="W189" i="2"/>
  <c r="Z187" i="2"/>
  <c r="Z189" i="2" s="1"/>
  <c r="Y187" i="2"/>
  <c r="Y189" i="2" s="1"/>
  <c r="X187" i="2"/>
  <c r="X189" i="2" s="1"/>
  <c r="W187" i="2"/>
  <c r="W182" i="2"/>
  <c r="Z180" i="2"/>
  <c r="Z182" i="2" s="1"/>
  <c r="Y180" i="2"/>
  <c r="Y182" i="2" s="1"/>
  <c r="X180" i="2"/>
  <c r="X182" i="2" s="1"/>
  <c r="W180" i="2"/>
  <c r="Z176" i="2"/>
  <c r="Y176" i="2"/>
  <c r="X176" i="2"/>
  <c r="W176" i="2"/>
  <c r="Z168" i="2"/>
  <c r="Y168" i="2"/>
  <c r="X168" i="2"/>
  <c r="W168" i="2"/>
  <c r="Z161" i="2"/>
  <c r="Y161" i="2"/>
  <c r="X161" i="2"/>
  <c r="W161" i="2"/>
  <c r="Z160" i="2"/>
  <c r="Y160" i="2"/>
  <c r="X160" i="2"/>
  <c r="W160" i="2"/>
  <c r="Z159" i="2"/>
  <c r="Y159" i="2"/>
  <c r="X159" i="2"/>
  <c r="W159" i="2"/>
  <c r="Z155" i="2"/>
  <c r="Y155" i="2"/>
  <c r="X155" i="2"/>
  <c r="W155" i="2"/>
  <c r="Z154" i="2"/>
  <c r="Y154" i="2"/>
  <c r="X154" i="2"/>
  <c r="W154" i="2"/>
  <c r="Z153" i="2"/>
  <c r="Y153" i="2"/>
  <c r="X153" i="2"/>
  <c r="W153" i="2"/>
  <c r="Z142" i="2"/>
  <c r="Y142" i="2"/>
  <c r="X142" i="2"/>
  <c r="W142" i="2"/>
  <c r="Z137" i="2"/>
  <c r="Y137" i="2"/>
  <c r="X137" i="2"/>
  <c r="W137" i="2"/>
  <c r="W223" i="2" s="1"/>
  <c r="W224" i="2" s="1"/>
  <c r="Z136" i="2"/>
  <c r="Y136" i="2"/>
  <c r="X136" i="2"/>
  <c r="W136" i="2"/>
  <c r="Z129" i="2"/>
  <c r="Y129" i="2"/>
  <c r="X129" i="2"/>
  <c r="W129" i="2"/>
  <c r="Z125" i="2"/>
  <c r="Y125" i="2"/>
  <c r="X125" i="2"/>
  <c r="W125" i="2"/>
  <c r="Z114" i="2"/>
  <c r="Y114" i="2"/>
  <c r="X114" i="2"/>
  <c r="W114" i="2"/>
  <c r="X113" i="2"/>
  <c r="Z111" i="2"/>
  <c r="Y111" i="2"/>
  <c r="X111" i="2"/>
  <c r="W111" i="2"/>
  <c r="Z110" i="2"/>
  <c r="Y110" i="2"/>
  <c r="X110" i="2"/>
  <c r="W110" i="2"/>
  <c r="Z106" i="2"/>
  <c r="Y106" i="2"/>
  <c r="X106" i="2"/>
  <c r="W106" i="2"/>
  <c r="X100" i="2"/>
  <c r="Z96" i="2"/>
  <c r="Y96" i="2"/>
  <c r="X96" i="2"/>
  <c r="W96" i="2"/>
  <c r="Z93" i="2"/>
  <c r="Y93" i="2"/>
  <c r="X93" i="2"/>
  <c r="W93" i="2"/>
  <c r="Z92" i="2"/>
  <c r="Y92" i="2"/>
  <c r="X92" i="2"/>
  <c r="W92" i="2"/>
  <c r="X81" i="2"/>
  <c r="X77" i="2"/>
  <c r="X117" i="2" s="1"/>
  <c r="Z76" i="2"/>
  <c r="Z119" i="2" s="1"/>
  <c r="Y76" i="2"/>
  <c r="Y119" i="2" s="1"/>
  <c r="X76" i="2"/>
  <c r="X119" i="2" s="1"/>
  <c r="W76" i="2"/>
  <c r="W119" i="2" s="1"/>
  <c r="Z75" i="2"/>
  <c r="Z81" i="2" s="1"/>
  <c r="Z113" i="2" s="1"/>
  <c r="Y75" i="2"/>
  <c r="Y81" i="2" s="1"/>
  <c r="Y113" i="2" s="1"/>
  <c r="X75" i="2"/>
  <c r="W75" i="2"/>
  <c r="Z74" i="2"/>
  <c r="Y74" i="2"/>
  <c r="X74" i="2"/>
  <c r="W74" i="2"/>
  <c r="Z73" i="2"/>
  <c r="Y73" i="2"/>
  <c r="X73" i="2"/>
  <c r="W73" i="2"/>
  <c r="Z72" i="2"/>
  <c r="Y72" i="2"/>
  <c r="X72" i="2"/>
  <c r="W72" i="2"/>
  <c r="Z71" i="2"/>
  <c r="Y71" i="2"/>
  <c r="X71" i="2"/>
  <c r="W71" i="2"/>
  <c r="Z70" i="2"/>
  <c r="Z109" i="2" s="1"/>
  <c r="Y70" i="2"/>
  <c r="Y109" i="2" s="1"/>
  <c r="X70" i="2"/>
  <c r="X109" i="2" s="1"/>
  <c r="W70" i="2"/>
  <c r="W109" i="2" s="1"/>
  <c r="Z56" i="2"/>
  <c r="Y56" i="2"/>
  <c r="X56" i="2"/>
  <c r="X86" i="2" s="1"/>
  <c r="X122" i="2" s="1"/>
  <c r="W56" i="2"/>
  <c r="Z55" i="2"/>
  <c r="Z99" i="2" s="1"/>
  <c r="Y55" i="2"/>
  <c r="Y99" i="2" s="1"/>
  <c r="X55" i="2"/>
  <c r="X99" i="2" s="1"/>
  <c r="W55" i="2"/>
  <c r="W99" i="2" s="1"/>
  <c r="Z54" i="2"/>
  <c r="Y54" i="2"/>
  <c r="X54" i="2"/>
  <c r="W54" i="2"/>
  <c r="Z53" i="2"/>
  <c r="Y53" i="2"/>
  <c r="X53" i="2"/>
  <c r="W53" i="2"/>
  <c r="Z52" i="2"/>
  <c r="Y52" i="2"/>
  <c r="X52" i="2"/>
  <c r="W52" i="2"/>
  <c r="Z51" i="2"/>
  <c r="Y51" i="2"/>
  <c r="X51" i="2"/>
  <c r="W51" i="2"/>
  <c r="Z50" i="2"/>
  <c r="Z91" i="2" s="1"/>
  <c r="Y50" i="2"/>
  <c r="Y91" i="2" s="1"/>
  <c r="X50" i="2"/>
  <c r="X91" i="2" s="1"/>
  <c r="W50" i="2"/>
  <c r="W91" i="2" s="1"/>
  <c r="Z44" i="2"/>
  <c r="Y30" i="8" s="1"/>
  <c r="X43" i="2"/>
  <c r="Z42" i="2"/>
  <c r="Y29" i="8" s="1"/>
  <c r="Z35" i="2"/>
  <c r="Y35" i="2"/>
  <c r="X35" i="2"/>
  <c r="W35" i="2"/>
  <c r="Z34" i="2"/>
  <c r="Y34" i="2"/>
  <c r="X34" i="2"/>
  <c r="W34" i="2"/>
  <c r="Z26" i="2"/>
  <c r="Y26" i="2"/>
  <c r="X26" i="2"/>
  <c r="W26" i="2"/>
  <c r="X12" i="2"/>
  <c r="Y12" i="2" s="1"/>
  <c r="Z12" i="2" s="1"/>
  <c r="V279" i="2"/>
  <c r="U279" i="2"/>
  <c r="T279" i="2"/>
  <c r="S279" i="2"/>
  <c r="V244" i="2"/>
  <c r="U244" i="2"/>
  <c r="T244" i="2"/>
  <c r="S244" i="2"/>
  <c r="V243" i="2"/>
  <c r="U243" i="2"/>
  <c r="T243" i="2"/>
  <c r="S243" i="2"/>
  <c r="V222" i="2"/>
  <c r="U222" i="2"/>
  <c r="T222" i="2"/>
  <c r="S222" i="2"/>
  <c r="V212" i="2"/>
  <c r="U212" i="2"/>
  <c r="T212" i="2"/>
  <c r="S212" i="2"/>
  <c r="V203" i="2"/>
  <c r="U203" i="2"/>
  <c r="T203" i="2"/>
  <c r="S203" i="2"/>
  <c r="V196" i="2"/>
  <c r="U196" i="2"/>
  <c r="T196" i="2"/>
  <c r="S196" i="2"/>
  <c r="V187" i="2"/>
  <c r="V189" i="2" s="1"/>
  <c r="U187" i="2"/>
  <c r="U189" i="2" s="1"/>
  <c r="T187" i="2"/>
  <c r="T189" i="2" s="1"/>
  <c r="S187" i="2"/>
  <c r="S189" i="2" s="1"/>
  <c r="V180" i="2"/>
  <c r="V182" i="2" s="1"/>
  <c r="U180" i="2"/>
  <c r="U182" i="2" s="1"/>
  <c r="T180" i="2"/>
  <c r="T182" i="2" s="1"/>
  <c r="S180" i="2"/>
  <c r="S182" i="2" s="1"/>
  <c r="V176" i="2"/>
  <c r="U176" i="2"/>
  <c r="T176" i="2"/>
  <c r="S176" i="2"/>
  <c r="V168" i="2"/>
  <c r="U168" i="2"/>
  <c r="T168" i="2"/>
  <c r="S168" i="2"/>
  <c r="V161" i="2"/>
  <c r="U161" i="2"/>
  <c r="T161" i="2"/>
  <c r="S161" i="2"/>
  <c r="V160" i="2"/>
  <c r="U160" i="2"/>
  <c r="T160" i="2"/>
  <c r="S160" i="2"/>
  <c r="V159" i="2"/>
  <c r="U159" i="2"/>
  <c r="T159" i="2"/>
  <c r="S159" i="2"/>
  <c r="V155" i="2"/>
  <c r="U155" i="2"/>
  <c r="T155" i="2"/>
  <c r="S155" i="2"/>
  <c r="V154" i="2"/>
  <c r="U154" i="2"/>
  <c r="T154" i="2"/>
  <c r="S154" i="2"/>
  <c r="V153" i="2"/>
  <c r="U153" i="2"/>
  <c r="T153" i="2"/>
  <c r="S153" i="2"/>
  <c r="V142" i="2"/>
  <c r="U142" i="2"/>
  <c r="T142" i="2"/>
  <c r="S142" i="2"/>
  <c r="V137" i="2"/>
  <c r="U137" i="2"/>
  <c r="T137" i="2"/>
  <c r="S137" i="2"/>
  <c r="S223" i="2" s="1"/>
  <c r="S224" i="2" s="1"/>
  <c r="V136" i="2"/>
  <c r="U136" i="2"/>
  <c r="T136" i="2"/>
  <c r="S136" i="2"/>
  <c r="V129" i="2"/>
  <c r="U129" i="2"/>
  <c r="T129" i="2"/>
  <c r="S129" i="2"/>
  <c r="V125" i="2"/>
  <c r="U125" i="2"/>
  <c r="T125" i="2"/>
  <c r="S125" i="2"/>
  <c r="T120" i="2"/>
  <c r="V114" i="2"/>
  <c r="U114" i="2"/>
  <c r="T114" i="2"/>
  <c r="S114" i="2"/>
  <c r="V111" i="2"/>
  <c r="U111" i="2"/>
  <c r="T111" i="2"/>
  <c r="S111" i="2"/>
  <c r="V110" i="2"/>
  <c r="U110" i="2"/>
  <c r="T110" i="2"/>
  <c r="S110" i="2"/>
  <c r="T109" i="2"/>
  <c r="V106" i="2"/>
  <c r="U106" i="2"/>
  <c r="T106" i="2"/>
  <c r="S106" i="2"/>
  <c r="V96" i="2"/>
  <c r="U96" i="2"/>
  <c r="T96" i="2"/>
  <c r="S96" i="2"/>
  <c r="V93" i="2"/>
  <c r="U93" i="2"/>
  <c r="T93" i="2"/>
  <c r="S93" i="2"/>
  <c r="V92" i="2"/>
  <c r="U92" i="2"/>
  <c r="T92" i="2"/>
  <c r="S92" i="2"/>
  <c r="T91" i="2"/>
  <c r="T80" i="2"/>
  <c r="T83" i="2" s="1"/>
  <c r="T78" i="2"/>
  <c r="V76" i="2"/>
  <c r="V119" i="2" s="1"/>
  <c r="U76" i="2"/>
  <c r="U119" i="2" s="1"/>
  <c r="T76" i="2"/>
  <c r="T119" i="2" s="1"/>
  <c r="S76" i="2"/>
  <c r="S119" i="2" s="1"/>
  <c r="V75" i="2"/>
  <c r="V81" i="2" s="1"/>
  <c r="V113" i="2" s="1"/>
  <c r="U75" i="2"/>
  <c r="U81" i="2" s="1"/>
  <c r="U113" i="2" s="1"/>
  <c r="T75" i="2"/>
  <c r="T81" i="2" s="1"/>
  <c r="T113" i="2" s="1"/>
  <c r="S75" i="2"/>
  <c r="V74" i="2"/>
  <c r="U74" i="2"/>
  <c r="T74" i="2"/>
  <c r="S74" i="2"/>
  <c r="V73" i="2"/>
  <c r="U73" i="2"/>
  <c r="T73" i="2"/>
  <c r="S73" i="2"/>
  <c r="V72" i="2"/>
  <c r="U72" i="2"/>
  <c r="T72" i="2"/>
  <c r="S72" i="2"/>
  <c r="V71" i="2"/>
  <c r="U71" i="2"/>
  <c r="T71" i="2"/>
  <c r="S71" i="2"/>
  <c r="V70" i="2"/>
  <c r="V109" i="2" s="1"/>
  <c r="U70" i="2"/>
  <c r="U109" i="2" s="1"/>
  <c r="T70" i="2"/>
  <c r="S70" i="2"/>
  <c r="S109" i="2" s="1"/>
  <c r="V56" i="2"/>
  <c r="U56" i="2"/>
  <c r="T56" i="2"/>
  <c r="T100" i="2" s="1"/>
  <c r="S56" i="2"/>
  <c r="V55" i="2"/>
  <c r="V99" i="2" s="1"/>
  <c r="U55" i="2"/>
  <c r="U99" i="2" s="1"/>
  <c r="T55" i="2"/>
  <c r="T60" i="2" s="1"/>
  <c r="T95" i="2" s="1"/>
  <c r="S55" i="2"/>
  <c r="S99" i="2" s="1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V91" i="2" s="1"/>
  <c r="U50" i="2"/>
  <c r="U91" i="2" s="1"/>
  <c r="T50" i="2"/>
  <c r="S50" i="2"/>
  <c r="S91" i="2" s="1"/>
  <c r="T43" i="2"/>
  <c r="V40" i="2"/>
  <c r="U28" i="8" s="1"/>
  <c r="T141" i="2"/>
  <c r="V35" i="2"/>
  <c r="U35" i="2"/>
  <c r="T35" i="2"/>
  <c r="S35" i="2"/>
  <c r="V34" i="2"/>
  <c r="U34" i="2"/>
  <c r="T34" i="2"/>
  <c r="S34" i="2"/>
  <c r="V26" i="2"/>
  <c r="U26" i="2"/>
  <c r="T26" i="2"/>
  <c r="S26" i="2"/>
  <c r="T12" i="2"/>
  <c r="U12" i="2" s="1"/>
  <c r="V12" i="2" s="1"/>
  <c r="R279" i="2"/>
  <c r="Q279" i="2"/>
  <c r="P279" i="2"/>
  <c r="O279" i="2"/>
  <c r="R244" i="2"/>
  <c r="Q244" i="2"/>
  <c r="P244" i="2"/>
  <c r="O244" i="2"/>
  <c r="R243" i="2"/>
  <c r="Q243" i="2"/>
  <c r="P243" i="2"/>
  <c r="O243" i="2"/>
  <c r="R222" i="2"/>
  <c r="Q222" i="2"/>
  <c r="P222" i="2"/>
  <c r="O222" i="2"/>
  <c r="R212" i="2"/>
  <c r="Q212" i="2"/>
  <c r="P212" i="2"/>
  <c r="O212" i="2"/>
  <c r="R203" i="2"/>
  <c r="Q203" i="2"/>
  <c r="P203" i="2"/>
  <c r="O203" i="2"/>
  <c r="R196" i="2"/>
  <c r="Q196" i="2"/>
  <c r="P196" i="2"/>
  <c r="O196" i="2"/>
  <c r="O189" i="2"/>
  <c r="R187" i="2"/>
  <c r="R189" i="2" s="1"/>
  <c r="Q187" i="2"/>
  <c r="Q189" i="2" s="1"/>
  <c r="P187" i="2"/>
  <c r="P189" i="2" s="1"/>
  <c r="O187" i="2"/>
  <c r="O182" i="2"/>
  <c r="R180" i="2"/>
  <c r="R182" i="2" s="1"/>
  <c r="Q180" i="2"/>
  <c r="Q182" i="2" s="1"/>
  <c r="P180" i="2"/>
  <c r="P182" i="2" s="1"/>
  <c r="O180" i="2"/>
  <c r="R176" i="2"/>
  <c r="Q176" i="2"/>
  <c r="P176" i="2"/>
  <c r="O176" i="2"/>
  <c r="R168" i="2"/>
  <c r="Q168" i="2"/>
  <c r="P168" i="2"/>
  <c r="O168" i="2"/>
  <c r="R161" i="2"/>
  <c r="Q161" i="2"/>
  <c r="P161" i="2"/>
  <c r="O161" i="2"/>
  <c r="R160" i="2"/>
  <c r="Q160" i="2"/>
  <c r="P160" i="2"/>
  <c r="O160" i="2"/>
  <c r="R159" i="2"/>
  <c r="Q159" i="2"/>
  <c r="P159" i="2"/>
  <c r="O159" i="2"/>
  <c r="R155" i="2"/>
  <c r="Q155" i="2"/>
  <c r="P155" i="2"/>
  <c r="O155" i="2"/>
  <c r="R154" i="2"/>
  <c r="Q154" i="2"/>
  <c r="P154" i="2"/>
  <c r="O154" i="2"/>
  <c r="R153" i="2"/>
  <c r="Q153" i="2"/>
  <c r="P153" i="2"/>
  <c r="O153" i="2"/>
  <c r="R142" i="2"/>
  <c r="Q142" i="2"/>
  <c r="P142" i="2"/>
  <c r="O142" i="2"/>
  <c r="R137" i="2"/>
  <c r="Q137" i="2"/>
  <c r="P137" i="2"/>
  <c r="O137" i="2"/>
  <c r="O223" i="2" s="1"/>
  <c r="O224" i="2" s="1"/>
  <c r="R136" i="2"/>
  <c r="Q136" i="2"/>
  <c r="P136" i="2"/>
  <c r="O136" i="2"/>
  <c r="R129" i="2"/>
  <c r="Q129" i="2"/>
  <c r="P129" i="2"/>
  <c r="O129" i="2"/>
  <c r="R125" i="2"/>
  <c r="Q125" i="2"/>
  <c r="P125" i="2"/>
  <c r="O125" i="2"/>
  <c r="R114" i="2"/>
  <c r="Q114" i="2"/>
  <c r="P114" i="2"/>
  <c r="O114" i="2"/>
  <c r="P113" i="2"/>
  <c r="R111" i="2"/>
  <c r="Q111" i="2"/>
  <c r="P111" i="2"/>
  <c r="O111" i="2"/>
  <c r="R110" i="2"/>
  <c r="Q110" i="2"/>
  <c r="P110" i="2"/>
  <c r="O110" i="2"/>
  <c r="R106" i="2"/>
  <c r="Q106" i="2"/>
  <c r="P106" i="2"/>
  <c r="O106" i="2"/>
  <c r="P100" i="2"/>
  <c r="R96" i="2"/>
  <c r="Q96" i="2"/>
  <c r="P96" i="2"/>
  <c r="O96" i="2"/>
  <c r="R93" i="2"/>
  <c r="Q93" i="2"/>
  <c r="P93" i="2"/>
  <c r="O93" i="2"/>
  <c r="R92" i="2"/>
  <c r="Q92" i="2"/>
  <c r="P92" i="2"/>
  <c r="O92" i="2"/>
  <c r="P81" i="2"/>
  <c r="P77" i="2"/>
  <c r="P117" i="2" s="1"/>
  <c r="R76" i="2"/>
  <c r="R119" i="2" s="1"/>
  <c r="Q76" i="2"/>
  <c r="Q119" i="2" s="1"/>
  <c r="P76" i="2"/>
  <c r="P119" i="2" s="1"/>
  <c r="O76" i="2"/>
  <c r="O119" i="2" s="1"/>
  <c r="R75" i="2"/>
  <c r="R81" i="2" s="1"/>
  <c r="R113" i="2" s="1"/>
  <c r="Q75" i="2"/>
  <c r="Q81" i="2" s="1"/>
  <c r="Q113" i="2" s="1"/>
  <c r="P75" i="2"/>
  <c r="O75" i="2"/>
  <c r="O81" i="2" s="1"/>
  <c r="O113" i="2" s="1"/>
  <c r="R74" i="2"/>
  <c r="Q74" i="2"/>
  <c r="P74" i="2"/>
  <c r="P78" i="2" s="1"/>
  <c r="O74" i="2"/>
  <c r="R73" i="2"/>
  <c r="Q73" i="2"/>
  <c r="P73" i="2"/>
  <c r="O73" i="2"/>
  <c r="R72" i="2"/>
  <c r="Q72" i="2"/>
  <c r="P72" i="2"/>
  <c r="O72" i="2"/>
  <c r="R71" i="2"/>
  <c r="Q71" i="2"/>
  <c r="P71" i="2"/>
  <c r="O71" i="2"/>
  <c r="R70" i="2"/>
  <c r="R109" i="2" s="1"/>
  <c r="Q70" i="2"/>
  <c r="Q109" i="2" s="1"/>
  <c r="P70" i="2"/>
  <c r="P109" i="2" s="1"/>
  <c r="O70" i="2"/>
  <c r="O109" i="2" s="1"/>
  <c r="R56" i="2"/>
  <c r="Q56" i="2"/>
  <c r="P56" i="2"/>
  <c r="P86" i="2" s="1"/>
  <c r="P122" i="2" s="1"/>
  <c r="O56" i="2"/>
  <c r="O65" i="2" s="1"/>
  <c r="O103" i="2" s="1"/>
  <c r="R55" i="2"/>
  <c r="R99" i="2" s="1"/>
  <c r="Q55" i="2"/>
  <c r="Q99" i="2" s="1"/>
  <c r="P55" i="2"/>
  <c r="P99" i="2" s="1"/>
  <c r="O55" i="2"/>
  <c r="O99" i="2" s="1"/>
  <c r="R54" i="2"/>
  <c r="Q54" i="2"/>
  <c r="P54" i="2"/>
  <c r="O54" i="2"/>
  <c r="R53" i="2"/>
  <c r="Q53" i="2"/>
  <c r="P53" i="2"/>
  <c r="O53" i="2"/>
  <c r="R52" i="2"/>
  <c r="Q52" i="2"/>
  <c r="P52" i="2"/>
  <c r="O52" i="2"/>
  <c r="R51" i="2"/>
  <c r="Q51" i="2"/>
  <c r="P51" i="2"/>
  <c r="O51" i="2"/>
  <c r="R50" i="2"/>
  <c r="R91" i="2" s="1"/>
  <c r="Q50" i="2"/>
  <c r="Q91" i="2" s="1"/>
  <c r="P50" i="2"/>
  <c r="P91" i="2" s="1"/>
  <c r="O50" i="2"/>
  <c r="O91" i="2" s="1"/>
  <c r="O42" i="2"/>
  <c r="N29" i="8" s="1"/>
  <c r="O40" i="2"/>
  <c r="R35" i="2"/>
  <c r="Q35" i="2"/>
  <c r="P35" i="2"/>
  <c r="O35" i="2"/>
  <c r="R34" i="2"/>
  <c r="Q34" i="2"/>
  <c r="P34" i="2"/>
  <c r="O34" i="2"/>
  <c r="R26" i="2"/>
  <c r="Q26" i="2"/>
  <c r="P26" i="2"/>
  <c r="O26" i="2"/>
  <c r="P12" i="2"/>
  <c r="Q12" i="2" s="1"/>
  <c r="R12" i="2" s="1"/>
  <c r="N279" i="2"/>
  <c r="M279" i="2"/>
  <c r="L279" i="2"/>
  <c r="K279" i="2"/>
  <c r="N244" i="2"/>
  <c r="M244" i="2"/>
  <c r="L244" i="2"/>
  <c r="K244" i="2"/>
  <c r="N243" i="2"/>
  <c r="M243" i="2"/>
  <c r="L243" i="2"/>
  <c r="K243" i="2"/>
  <c r="N222" i="2"/>
  <c r="M222" i="2"/>
  <c r="L222" i="2"/>
  <c r="K222" i="2"/>
  <c r="N212" i="2"/>
  <c r="M212" i="2"/>
  <c r="L212" i="2"/>
  <c r="K212" i="2"/>
  <c r="N203" i="2"/>
  <c r="M203" i="2"/>
  <c r="L203" i="2"/>
  <c r="K203" i="2"/>
  <c r="N196" i="2"/>
  <c r="M196" i="2"/>
  <c r="L196" i="2"/>
  <c r="K196" i="2"/>
  <c r="K189" i="2"/>
  <c r="N187" i="2"/>
  <c r="N189" i="2" s="1"/>
  <c r="M187" i="2"/>
  <c r="M189" i="2" s="1"/>
  <c r="L187" i="2"/>
  <c r="L189" i="2" s="1"/>
  <c r="K187" i="2"/>
  <c r="K182" i="2"/>
  <c r="N180" i="2"/>
  <c r="N182" i="2" s="1"/>
  <c r="M180" i="2"/>
  <c r="M182" i="2" s="1"/>
  <c r="L180" i="2"/>
  <c r="L182" i="2" s="1"/>
  <c r="K180" i="2"/>
  <c r="N176" i="2"/>
  <c r="M176" i="2"/>
  <c r="L176" i="2"/>
  <c r="K176" i="2"/>
  <c r="N168" i="2"/>
  <c r="M168" i="2"/>
  <c r="L168" i="2"/>
  <c r="K168" i="2"/>
  <c r="N161" i="2"/>
  <c r="M161" i="2"/>
  <c r="L161" i="2"/>
  <c r="K161" i="2"/>
  <c r="N160" i="2"/>
  <c r="M160" i="2"/>
  <c r="L160" i="2"/>
  <c r="K160" i="2"/>
  <c r="N159" i="2"/>
  <c r="M159" i="2"/>
  <c r="L159" i="2"/>
  <c r="K159" i="2"/>
  <c r="N155" i="2"/>
  <c r="M155" i="2"/>
  <c r="L155" i="2"/>
  <c r="K155" i="2"/>
  <c r="N154" i="2"/>
  <c r="M154" i="2"/>
  <c r="L154" i="2"/>
  <c r="K154" i="2"/>
  <c r="N153" i="2"/>
  <c r="M153" i="2"/>
  <c r="L153" i="2"/>
  <c r="K153" i="2"/>
  <c r="N142" i="2"/>
  <c r="M142" i="2"/>
  <c r="L142" i="2"/>
  <c r="K142" i="2"/>
  <c r="N137" i="2"/>
  <c r="M137" i="2"/>
  <c r="L137" i="2"/>
  <c r="K137" i="2"/>
  <c r="K223" i="2" s="1"/>
  <c r="K224" i="2" s="1"/>
  <c r="N136" i="2"/>
  <c r="M136" i="2"/>
  <c r="L136" i="2"/>
  <c r="K136" i="2"/>
  <c r="N129" i="2"/>
  <c r="M129" i="2"/>
  <c r="L129" i="2"/>
  <c r="K129" i="2"/>
  <c r="N125" i="2"/>
  <c r="M125" i="2"/>
  <c r="L125" i="2"/>
  <c r="K125" i="2"/>
  <c r="L122" i="2"/>
  <c r="N114" i="2"/>
  <c r="M114" i="2"/>
  <c r="L114" i="2"/>
  <c r="K114" i="2"/>
  <c r="L113" i="2"/>
  <c r="N111" i="2"/>
  <c r="M111" i="2"/>
  <c r="L111" i="2"/>
  <c r="K111" i="2"/>
  <c r="N110" i="2"/>
  <c r="M110" i="2"/>
  <c r="L110" i="2"/>
  <c r="K110" i="2"/>
  <c r="N106" i="2"/>
  <c r="M106" i="2"/>
  <c r="L106" i="2"/>
  <c r="K106" i="2"/>
  <c r="L100" i="2"/>
  <c r="N96" i="2"/>
  <c r="M96" i="2"/>
  <c r="L96" i="2"/>
  <c r="K96" i="2"/>
  <c r="N93" i="2"/>
  <c r="M93" i="2"/>
  <c r="L93" i="2"/>
  <c r="K93" i="2"/>
  <c r="N92" i="2"/>
  <c r="M92" i="2"/>
  <c r="L92" i="2"/>
  <c r="K92" i="2"/>
  <c r="L86" i="2"/>
  <c r="L81" i="2"/>
  <c r="L77" i="2"/>
  <c r="L117" i="2" s="1"/>
  <c r="N76" i="2"/>
  <c r="N119" i="2" s="1"/>
  <c r="M76" i="2"/>
  <c r="M119" i="2" s="1"/>
  <c r="L76" i="2"/>
  <c r="L119" i="2" s="1"/>
  <c r="K76" i="2"/>
  <c r="K119" i="2" s="1"/>
  <c r="N75" i="2"/>
  <c r="N81" i="2" s="1"/>
  <c r="N113" i="2" s="1"/>
  <c r="M75" i="2"/>
  <c r="M81" i="2" s="1"/>
  <c r="M113" i="2" s="1"/>
  <c r="L75" i="2"/>
  <c r="K75" i="2"/>
  <c r="K81" i="2" s="1"/>
  <c r="K113" i="2" s="1"/>
  <c r="N74" i="2"/>
  <c r="M74" i="2"/>
  <c r="L74" i="2"/>
  <c r="L78" i="2" s="1"/>
  <c r="L120" i="2" s="1"/>
  <c r="K74" i="2"/>
  <c r="N73" i="2"/>
  <c r="M73" i="2"/>
  <c r="L73" i="2"/>
  <c r="K73" i="2"/>
  <c r="N72" i="2"/>
  <c r="M72" i="2"/>
  <c r="L72" i="2"/>
  <c r="K72" i="2"/>
  <c r="N71" i="2"/>
  <c r="M71" i="2"/>
  <c r="L71" i="2"/>
  <c r="K71" i="2"/>
  <c r="N70" i="2"/>
  <c r="N109" i="2" s="1"/>
  <c r="M70" i="2"/>
  <c r="M109" i="2" s="1"/>
  <c r="L70" i="2"/>
  <c r="L109" i="2" s="1"/>
  <c r="K70" i="2"/>
  <c r="K109" i="2" s="1"/>
  <c r="L65" i="2"/>
  <c r="L103" i="2" s="1"/>
  <c r="N56" i="2"/>
  <c r="M56" i="2"/>
  <c r="M65" i="2" s="1"/>
  <c r="M103" i="2" s="1"/>
  <c r="L56" i="2"/>
  <c r="K56" i="2"/>
  <c r="N55" i="2"/>
  <c r="N99" i="2" s="1"/>
  <c r="M55" i="2"/>
  <c r="M99" i="2" s="1"/>
  <c r="L55" i="2"/>
  <c r="L99" i="2" s="1"/>
  <c r="K55" i="2"/>
  <c r="K99" i="2" s="1"/>
  <c r="N54" i="2"/>
  <c r="M54" i="2"/>
  <c r="L54" i="2"/>
  <c r="K54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N91" i="2" s="1"/>
  <c r="M50" i="2"/>
  <c r="M91" i="2" s="1"/>
  <c r="L50" i="2"/>
  <c r="L91" i="2" s="1"/>
  <c r="K50" i="2"/>
  <c r="K91" i="2" s="1"/>
  <c r="L43" i="2"/>
  <c r="K42" i="2"/>
  <c r="J29" i="8" s="1"/>
  <c r="N35" i="2"/>
  <c r="M35" i="2"/>
  <c r="L35" i="2"/>
  <c r="K35" i="2"/>
  <c r="N34" i="2"/>
  <c r="M34" i="2"/>
  <c r="L34" i="2"/>
  <c r="K34" i="2"/>
  <c r="N26" i="2"/>
  <c r="M26" i="2"/>
  <c r="L26" i="2"/>
  <c r="K26" i="2"/>
  <c r="L12" i="2"/>
  <c r="M12" i="2" s="1"/>
  <c r="N12" i="2" s="1"/>
  <c r="X261" i="2" l="1"/>
  <c r="Z242" i="2"/>
  <c r="Z141" i="2"/>
  <c r="Z128" i="2"/>
  <c r="Z60" i="2"/>
  <c r="Z95" i="2" s="1"/>
  <c r="W141" i="2"/>
  <c r="W128" i="2"/>
  <c r="W40" i="2"/>
  <c r="V28" i="8" s="1"/>
  <c r="W42" i="2"/>
  <c r="V29" i="8" s="1"/>
  <c r="W44" i="2"/>
  <c r="V30" i="8" s="1"/>
  <c r="W100" i="2"/>
  <c r="W86" i="2"/>
  <c r="W122" i="2" s="1"/>
  <c r="W57" i="2"/>
  <c r="W101" i="2" s="1"/>
  <c r="W242" i="2" s="1"/>
  <c r="W60" i="2"/>
  <c r="W95" i="2" s="1"/>
  <c r="W65" i="2"/>
  <c r="W103" i="2" s="1"/>
  <c r="X78" i="2"/>
  <c r="X120" i="2" s="1"/>
  <c r="Z40" i="2"/>
  <c r="Y28" i="8" s="1"/>
  <c r="Z100" i="2"/>
  <c r="Z86" i="2"/>
  <c r="Z122" i="2" s="1"/>
  <c r="Z65" i="2"/>
  <c r="Z103" i="2" s="1"/>
  <c r="W78" i="2"/>
  <c r="W120" i="2" s="1"/>
  <c r="W81" i="2"/>
  <c r="W113" i="2" s="1"/>
  <c r="W77" i="2"/>
  <c r="X242" i="2"/>
  <c r="X40" i="2"/>
  <c r="W28" i="8" s="1"/>
  <c r="X280" i="2"/>
  <c r="X273" i="2"/>
  <c r="X274" i="2" s="1"/>
  <c r="X42" i="2"/>
  <c r="W29" i="8" s="1"/>
  <c r="X44" i="2"/>
  <c r="X57" i="2"/>
  <c r="X101" i="2" s="1"/>
  <c r="X60" i="2"/>
  <c r="X95" i="2" s="1"/>
  <c r="X65" i="2"/>
  <c r="X103" i="2" s="1"/>
  <c r="Z57" i="2"/>
  <c r="Z101" i="2" s="1"/>
  <c r="X118" i="2"/>
  <c r="Y141" i="2"/>
  <c r="Y128" i="2"/>
  <c r="Y40" i="2"/>
  <c r="X28" i="8" s="1"/>
  <c r="Y42" i="2"/>
  <c r="X29" i="8" s="1"/>
  <c r="Y44" i="2"/>
  <c r="X30" i="8" s="1"/>
  <c r="Y100" i="2"/>
  <c r="Y86" i="2"/>
  <c r="Y122" i="2" s="1"/>
  <c r="Y57" i="2"/>
  <c r="Y101" i="2" s="1"/>
  <c r="Y242" i="2" s="1"/>
  <c r="Y60" i="2"/>
  <c r="Y95" i="2" s="1"/>
  <c r="Y65" i="2"/>
  <c r="Y103" i="2" s="1"/>
  <c r="X128" i="2"/>
  <c r="X223" i="2"/>
  <c r="X224" i="2" s="1"/>
  <c r="X141" i="2"/>
  <c r="Y77" i="2"/>
  <c r="Y78" i="2"/>
  <c r="Y120" i="2" s="1"/>
  <c r="Y223" i="2"/>
  <c r="Y224" i="2" s="1"/>
  <c r="Z77" i="2"/>
  <c r="Z78" i="2"/>
  <c r="Z120" i="2" s="1"/>
  <c r="Z80" i="2"/>
  <c r="Z223" i="2"/>
  <c r="Z224" i="2" s="1"/>
  <c r="T115" i="2"/>
  <c r="T84" i="2"/>
  <c r="T116" i="2" s="1"/>
  <c r="V57" i="2"/>
  <c r="V101" i="2" s="1"/>
  <c r="S81" i="2"/>
  <c r="S113" i="2" s="1"/>
  <c r="T85" i="2"/>
  <c r="S141" i="2"/>
  <c r="S128" i="2"/>
  <c r="S40" i="2"/>
  <c r="S42" i="2"/>
  <c r="R29" i="8" s="1"/>
  <c r="S44" i="2"/>
  <c r="R30" i="8" s="1"/>
  <c r="S100" i="2"/>
  <c r="S86" i="2"/>
  <c r="S122" i="2" s="1"/>
  <c r="S57" i="2"/>
  <c r="S101" i="2" s="1"/>
  <c r="S60" i="2"/>
  <c r="S95" i="2" s="1"/>
  <c r="S65" i="2"/>
  <c r="S103" i="2" s="1"/>
  <c r="T77" i="2"/>
  <c r="T86" i="2"/>
  <c r="T122" i="2" s="1"/>
  <c r="T99" i="2"/>
  <c r="T112" i="2"/>
  <c r="T128" i="2"/>
  <c r="T223" i="2"/>
  <c r="T224" i="2" s="1"/>
  <c r="T40" i="2"/>
  <c r="S28" i="8" s="1"/>
  <c r="T42" i="2"/>
  <c r="S29" i="8" s="1"/>
  <c r="T44" i="2"/>
  <c r="T57" i="2"/>
  <c r="T101" i="2" s="1"/>
  <c r="T242" i="2" s="1"/>
  <c r="T65" i="2"/>
  <c r="T103" i="2" s="1"/>
  <c r="S78" i="2"/>
  <c r="S120" i="2" s="1"/>
  <c r="V242" i="2"/>
  <c r="V141" i="2"/>
  <c r="V128" i="2"/>
  <c r="V42" i="2"/>
  <c r="U29" i="8" s="1"/>
  <c r="V44" i="2"/>
  <c r="U30" i="8" s="1"/>
  <c r="V100" i="2"/>
  <c r="V86" i="2"/>
  <c r="V122" i="2" s="1"/>
  <c r="V65" i="2"/>
  <c r="V103" i="2" s="1"/>
  <c r="V60" i="2"/>
  <c r="V95" i="2" s="1"/>
  <c r="S77" i="2"/>
  <c r="U141" i="2"/>
  <c r="U128" i="2"/>
  <c r="U40" i="2"/>
  <c r="T28" i="8" s="1"/>
  <c r="U42" i="2"/>
  <c r="T29" i="8" s="1"/>
  <c r="U44" i="2"/>
  <c r="T30" i="8" s="1"/>
  <c r="U100" i="2"/>
  <c r="U86" i="2"/>
  <c r="U122" i="2" s="1"/>
  <c r="U57" i="2"/>
  <c r="U101" i="2" s="1"/>
  <c r="U242" i="2" s="1"/>
  <c r="U59" i="2"/>
  <c r="U60" i="2"/>
  <c r="U95" i="2" s="1"/>
  <c r="U65" i="2"/>
  <c r="U103" i="2" s="1"/>
  <c r="U77" i="2"/>
  <c r="U78" i="2"/>
  <c r="U120" i="2" s="1"/>
  <c r="U223" i="2"/>
  <c r="U224" i="2" s="1"/>
  <c r="V77" i="2"/>
  <c r="V78" i="2"/>
  <c r="V120" i="2" s="1"/>
  <c r="V223" i="2"/>
  <c r="V224" i="2" s="1"/>
  <c r="P261" i="2"/>
  <c r="P120" i="2"/>
  <c r="P80" i="2"/>
  <c r="O57" i="2"/>
  <c r="O101" i="2" s="1"/>
  <c r="O60" i="2"/>
  <c r="O95" i="2" s="1"/>
  <c r="P242" i="2"/>
  <c r="P40" i="2"/>
  <c r="O28" i="8" s="1"/>
  <c r="P280" i="2"/>
  <c r="P42" i="2"/>
  <c r="O29" i="8" s="1"/>
  <c r="P44" i="2"/>
  <c r="P57" i="2"/>
  <c r="P101" i="2" s="1"/>
  <c r="P59" i="2"/>
  <c r="P60" i="2"/>
  <c r="P95" i="2" s="1"/>
  <c r="P65" i="2"/>
  <c r="P103" i="2" s="1"/>
  <c r="O141" i="2"/>
  <c r="O128" i="2"/>
  <c r="P118" i="2"/>
  <c r="Q141" i="2"/>
  <c r="Q128" i="2"/>
  <c r="Q40" i="2"/>
  <c r="P28" i="8" s="1"/>
  <c r="Q42" i="2"/>
  <c r="P29" i="8" s="1"/>
  <c r="Q44" i="2"/>
  <c r="P30" i="8" s="1"/>
  <c r="Q100" i="2"/>
  <c r="Q86" i="2"/>
  <c r="Q122" i="2" s="1"/>
  <c r="Q57" i="2"/>
  <c r="Q101" i="2" s="1"/>
  <c r="Q60" i="2"/>
  <c r="Q95" i="2" s="1"/>
  <c r="Q65" i="2"/>
  <c r="Q103" i="2" s="1"/>
  <c r="O44" i="2"/>
  <c r="N30" i="8" s="1"/>
  <c r="O100" i="2"/>
  <c r="O86" i="2"/>
  <c r="O122" i="2" s="1"/>
  <c r="R141" i="2"/>
  <c r="R128" i="2"/>
  <c r="R40" i="2"/>
  <c r="Q28" i="8" s="1"/>
  <c r="R42" i="2"/>
  <c r="Q29" i="8" s="1"/>
  <c r="R44" i="2"/>
  <c r="Q30" i="8" s="1"/>
  <c r="R100" i="2"/>
  <c r="R86" i="2"/>
  <c r="R122" i="2" s="1"/>
  <c r="R57" i="2"/>
  <c r="R101" i="2" s="1"/>
  <c r="R59" i="2"/>
  <c r="R60" i="2"/>
  <c r="R95" i="2" s="1"/>
  <c r="R65" i="2"/>
  <c r="R103" i="2" s="1"/>
  <c r="P128" i="2"/>
  <c r="P223" i="2"/>
  <c r="P224" i="2" s="1"/>
  <c r="P141" i="2"/>
  <c r="Q77" i="2"/>
  <c r="Q78" i="2"/>
  <c r="Q120" i="2" s="1"/>
  <c r="Q80" i="2"/>
  <c r="Q223" i="2"/>
  <c r="Q224" i="2" s="1"/>
  <c r="R77" i="2"/>
  <c r="R78" i="2"/>
  <c r="R120" i="2" s="1"/>
  <c r="R80" i="2"/>
  <c r="R85" i="2" s="1"/>
  <c r="R223" i="2"/>
  <c r="R224" i="2" s="1"/>
  <c r="O77" i="2"/>
  <c r="O78" i="2"/>
  <c r="O120" i="2" s="1"/>
  <c r="O80" i="2"/>
  <c r="L261" i="2"/>
  <c r="K141" i="2"/>
  <c r="K128" i="2"/>
  <c r="L118" i="2"/>
  <c r="L242" i="2"/>
  <c r="L40" i="2"/>
  <c r="K28" i="8" s="1"/>
  <c r="L280" i="2"/>
  <c r="L273" i="2"/>
  <c r="L274" i="2" s="1"/>
  <c r="L42" i="2"/>
  <c r="K29" i="8" s="1"/>
  <c r="L44" i="2"/>
  <c r="L57" i="2"/>
  <c r="L101" i="2" s="1"/>
  <c r="L59" i="2"/>
  <c r="L60" i="2"/>
  <c r="L95" i="2" s="1"/>
  <c r="K40" i="2"/>
  <c r="K100" i="2"/>
  <c r="K86" i="2"/>
  <c r="K122" i="2" s="1"/>
  <c r="K65" i="2"/>
  <c r="K103" i="2" s="1"/>
  <c r="K60" i="2"/>
  <c r="K95" i="2" s="1"/>
  <c r="M141" i="2"/>
  <c r="M128" i="2"/>
  <c r="M40" i="2"/>
  <c r="L28" i="8" s="1"/>
  <c r="M42" i="2"/>
  <c r="L29" i="8" s="1"/>
  <c r="M44" i="2"/>
  <c r="L30" i="8" s="1"/>
  <c r="M100" i="2"/>
  <c r="M86" i="2"/>
  <c r="M122" i="2" s="1"/>
  <c r="M57" i="2"/>
  <c r="M101" i="2" s="1"/>
  <c r="M60" i="2"/>
  <c r="M95" i="2" s="1"/>
  <c r="L80" i="2"/>
  <c r="L85" i="2" s="1"/>
  <c r="K44" i="2"/>
  <c r="J30" i="8" s="1"/>
  <c r="K57" i="2"/>
  <c r="K101" i="2" s="1"/>
  <c r="K242" i="2" s="1"/>
  <c r="N141" i="2"/>
  <c r="N128" i="2"/>
  <c r="N40" i="2"/>
  <c r="M28" i="8" s="1"/>
  <c r="N42" i="2"/>
  <c r="M29" i="8" s="1"/>
  <c r="N44" i="2"/>
  <c r="M30" i="8" s="1"/>
  <c r="N100" i="2"/>
  <c r="N86" i="2"/>
  <c r="N122" i="2" s="1"/>
  <c r="N65" i="2"/>
  <c r="N103" i="2" s="1"/>
  <c r="N57" i="2"/>
  <c r="N101" i="2" s="1"/>
  <c r="N242" i="2" s="1"/>
  <c r="N59" i="2"/>
  <c r="N60" i="2"/>
  <c r="N95" i="2" s="1"/>
  <c r="L128" i="2"/>
  <c r="L223" i="2"/>
  <c r="L224" i="2" s="1"/>
  <c r="L141" i="2"/>
  <c r="M77" i="2"/>
  <c r="M78" i="2"/>
  <c r="M120" i="2" s="1"/>
  <c r="M223" i="2"/>
  <c r="M224" i="2" s="1"/>
  <c r="N77" i="2"/>
  <c r="N78" i="2"/>
  <c r="N120" i="2" s="1"/>
  <c r="N223" i="2"/>
  <c r="N224" i="2" s="1"/>
  <c r="K77" i="2"/>
  <c r="K78" i="2"/>
  <c r="K120" i="2" s="1"/>
  <c r="J43" i="2"/>
  <c r="J41" i="2"/>
  <c r="J39" i="2"/>
  <c r="I43" i="2"/>
  <c r="I41" i="2"/>
  <c r="I39" i="2"/>
  <c r="H43" i="2"/>
  <c r="H41" i="2"/>
  <c r="H39" i="2"/>
  <c r="G43" i="2"/>
  <c r="G41" i="2"/>
  <c r="G39" i="2"/>
  <c r="L283" i="2" l="1"/>
  <c r="Z112" i="2"/>
  <c r="Z83" i="2"/>
  <c r="Y118" i="2"/>
  <c r="Y117" i="2"/>
  <c r="W118" i="2"/>
  <c r="W117" i="2"/>
  <c r="X130" i="2"/>
  <c r="X131" i="2" s="1"/>
  <c r="X132" i="2" s="1"/>
  <c r="X133" i="2" s="1"/>
  <c r="X134" i="2" s="1"/>
  <c r="X164" i="2" s="1"/>
  <c r="X165" i="2" s="1"/>
  <c r="X143" i="2"/>
  <c r="X144" i="2" s="1"/>
  <c r="X59" i="2"/>
  <c r="W80" i="2"/>
  <c r="Z59" i="2"/>
  <c r="W59" i="2"/>
  <c r="Z118" i="2"/>
  <c r="Z117" i="2"/>
  <c r="Y80" i="2"/>
  <c r="X145" i="2"/>
  <c r="X146" i="2" s="1"/>
  <c r="X147" i="2" s="1"/>
  <c r="X172" i="2" s="1"/>
  <c r="X173" i="2" s="1"/>
  <c r="X174" i="2" s="1"/>
  <c r="Y59" i="2"/>
  <c r="X230" i="2"/>
  <c r="X283" i="2"/>
  <c r="W230" i="2"/>
  <c r="W143" i="2"/>
  <c r="W144" i="2" s="1"/>
  <c r="W145" i="2" s="1"/>
  <c r="W146" i="2" s="1"/>
  <c r="W147" i="2" s="1"/>
  <c r="W130" i="2"/>
  <c r="W131" i="2" s="1"/>
  <c r="W132" i="2" s="1"/>
  <c r="W133" i="2" s="1"/>
  <c r="W134" i="2" s="1"/>
  <c r="W164" i="2" s="1"/>
  <c r="W165" i="2" s="1"/>
  <c r="Z143" i="2"/>
  <c r="Z144" i="2" s="1"/>
  <c r="Z145" i="2" s="1"/>
  <c r="Z146" i="2" s="1"/>
  <c r="Z147" i="2" s="1"/>
  <c r="Z130" i="2"/>
  <c r="Z131" i="2" s="1"/>
  <c r="Z132" i="2" s="1"/>
  <c r="Z133" i="2" s="1"/>
  <c r="Z134" i="2" s="1"/>
  <c r="Z164" i="2" s="1"/>
  <c r="Z165" i="2" s="1"/>
  <c r="X80" i="2"/>
  <c r="Z85" i="2"/>
  <c r="Y230" i="2"/>
  <c r="Y143" i="2"/>
  <c r="Y144" i="2" s="1"/>
  <c r="Y145" i="2" s="1"/>
  <c r="Y146" i="2" s="1"/>
  <c r="Y147" i="2" s="1"/>
  <c r="Y130" i="2"/>
  <c r="Y131" i="2" s="1"/>
  <c r="Y132" i="2" s="1"/>
  <c r="Y133" i="2" s="1"/>
  <c r="Y134" i="2" s="1"/>
  <c r="Y164" i="2" s="1"/>
  <c r="Y165" i="2" s="1"/>
  <c r="Z230" i="2"/>
  <c r="S230" i="2"/>
  <c r="S143" i="2"/>
  <c r="S144" i="2" s="1"/>
  <c r="S145" i="2" s="1"/>
  <c r="S146" i="2" s="1"/>
  <c r="S147" i="2" s="1"/>
  <c r="S130" i="2"/>
  <c r="S131" i="2" s="1"/>
  <c r="S132" i="2" s="1"/>
  <c r="S133" i="2" s="1"/>
  <c r="S134" i="2" s="1"/>
  <c r="S164" i="2" s="1"/>
  <c r="S165" i="2" s="1"/>
  <c r="V80" i="2"/>
  <c r="U118" i="2"/>
  <c r="U117" i="2"/>
  <c r="V143" i="2"/>
  <c r="V144" i="2" s="1"/>
  <c r="V145" i="2" s="1"/>
  <c r="V146" i="2" s="1"/>
  <c r="V147" i="2" s="1"/>
  <c r="V130" i="2"/>
  <c r="V131" i="2" s="1"/>
  <c r="V132" i="2" s="1"/>
  <c r="V133" i="2" s="1"/>
  <c r="V134" i="2" s="1"/>
  <c r="V164" i="2" s="1"/>
  <c r="V165" i="2" s="1"/>
  <c r="U94" i="2"/>
  <c r="U62" i="2"/>
  <c r="S118" i="2"/>
  <c r="S117" i="2"/>
  <c r="T88" i="2"/>
  <c r="T124" i="2" s="1"/>
  <c r="T87" i="2"/>
  <c r="T123" i="2" s="1"/>
  <c r="T121" i="2"/>
  <c r="V230" i="2"/>
  <c r="V59" i="2"/>
  <c r="U64" i="2"/>
  <c r="T230" i="2"/>
  <c r="T118" i="2"/>
  <c r="T117" i="2"/>
  <c r="V118" i="2"/>
  <c r="V117" i="2"/>
  <c r="U80" i="2"/>
  <c r="U230" i="2"/>
  <c r="U143" i="2"/>
  <c r="U144" i="2" s="1"/>
  <c r="U145" i="2" s="1"/>
  <c r="U146" i="2" s="1"/>
  <c r="U147" i="2" s="1"/>
  <c r="U130" i="2"/>
  <c r="U131" i="2" s="1"/>
  <c r="U132" i="2" s="1"/>
  <c r="U133" i="2" s="1"/>
  <c r="U134" i="2" s="1"/>
  <c r="U164" i="2" s="1"/>
  <c r="U165" i="2" s="1"/>
  <c r="T59" i="2"/>
  <c r="T143" i="2"/>
  <c r="T144" i="2" s="1"/>
  <c r="T145" i="2" s="1"/>
  <c r="T146" i="2" s="1"/>
  <c r="T147" i="2" s="1"/>
  <c r="T130" i="2"/>
  <c r="T131" i="2" s="1"/>
  <c r="T132" i="2" s="1"/>
  <c r="T133" i="2" s="1"/>
  <c r="T134" i="2" s="1"/>
  <c r="T164" i="2" s="1"/>
  <c r="T165" i="2" s="1"/>
  <c r="S59" i="2"/>
  <c r="S242" i="2"/>
  <c r="S80" i="2"/>
  <c r="R121" i="2"/>
  <c r="R88" i="2"/>
  <c r="R124" i="2" s="1"/>
  <c r="R87" i="2"/>
  <c r="R123" i="2" s="1"/>
  <c r="R118" i="2"/>
  <c r="R117" i="2"/>
  <c r="Q230" i="2"/>
  <c r="Q143" i="2"/>
  <c r="Q144" i="2" s="1"/>
  <c r="Q145" i="2" s="1"/>
  <c r="Q146" i="2" s="1"/>
  <c r="Q147" i="2" s="1"/>
  <c r="Q130" i="2"/>
  <c r="Q131" i="2" s="1"/>
  <c r="Q132" i="2" s="1"/>
  <c r="Q133" i="2" s="1"/>
  <c r="Q134" i="2" s="1"/>
  <c r="Q164" i="2" s="1"/>
  <c r="Q165" i="2" s="1"/>
  <c r="P94" i="2"/>
  <c r="P62" i="2"/>
  <c r="O230" i="2"/>
  <c r="R230" i="2"/>
  <c r="R143" i="2"/>
  <c r="R144" i="2" s="1"/>
  <c r="R145" i="2" s="1"/>
  <c r="R146" i="2" s="1"/>
  <c r="R147" i="2" s="1"/>
  <c r="R130" i="2"/>
  <c r="R131" i="2" s="1"/>
  <c r="R132" i="2" s="1"/>
  <c r="R133" i="2" s="1"/>
  <c r="R134" i="2" s="1"/>
  <c r="R164" i="2" s="1"/>
  <c r="R165" i="2" s="1"/>
  <c r="O59" i="2"/>
  <c r="P230" i="2"/>
  <c r="P112" i="2"/>
  <c r="P85" i="2"/>
  <c r="P83" i="2"/>
  <c r="O112" i="2"/>
  <c r="O83" i="2"/>
  <c r="Q112" i="2"/>
  <c r="Q83" i="2"/>
  <c r="R94" i="2"/>
  <c r="R62" i="2"/>
  <c r="O143" i="2"/>
  <c r="O144" i="2" s="1"/>
  <c r="O145" i="2" s="1"/>
  <c r="O146" i="2" s="1"/>
  <c r="O147" i="2" s="1"/>
  <c r="O130" i="2"/>
  <c r="O131" i="2" s="1"/>
  <c r="O132" i="2" s="1"/>
  <c r="O133" i="2" s="1"/>
  <c r="O134" i="2" s="1"/>
  <c r="O164" i="2" s="1"/>
  <c r="O165" i="2" s="1"/>
  <c r="R112" i="2"/>
  <c r="R83" i="2"/>
  <c r="Q118" i="2"/>
  <c r="Q117" i="2"/>
  <c r="Q242" i="2"/>
  <c r="Q85" i="2"/>
  <c r="O85" i="2"/>
  <c r="O118" i="2"/>
  <c r="O117" i="2"/>
  <c r="R270" i="2"/>
  <c r="P143" i="2"/>
  <c r="P144" i="2" s="1"/>
  <c r="P145" i="2" s="1"/>
  <c r="P146" i="2" s="1"/>
  <c r="P147" i="2" s="1"/>
  <c r="P172" i="2" s="1"/>
  <c r="P173" i="2" s="1"/>
  <c r="P174" i="2" s="1"/>
  <c r="P130" i="2"/>
  <c r="P131" i="2" s="1"/>
  <c r="P132" i="2" s="1"/>
  <c r="P133" i="2" s="1"/>
  <c r="P134" i="2" s="1"/>
  <c r="P164" i="2" s="1"/>
  <c r="P165" i="2" s="1"/>
  <c r="R242" i="2"/>
  <c r="Q59" i="2"/>
  <c r="O242" i="2"/>
  <c r="P273" i="2"/>
  <c r="L121" i="2"/>
  <c r="L87" i="2"/>
  <c r="L123" i="2" s="1"/>
  <c r="L88" i="2"/>
  <c r="L124" i="2" s="1"/>
  <c r="M230" i="2"/>
  <c r="K118" i="2"/>
  <c r="K117" i="2"/>
  <c r="N80" i="2"/>
  <c r="M118" i="2"/>
  <c r="M117" i="2"/>
  <c r="K59" i="2"/>
  <c r="M143" i="2"/>
  <c r="M144" i="2" s="1"/>
  <c r="M145" i="2" s="1"/>
  <c r="M146" i="2" s="1"/>
  <c r="M147" i="2" s="1"/>
  <c r="M130" i="2"/>
  <c r="M131" i="2" s="1"/>
  <c r="M132" i="2" s="1"/>
  <c r="M133" i="2" s="1"/>
  <c r="M134" i="2" s="1"/>
  <c r="M164" i="2" s="1"/>
  <c r="M165" i="2" s="1"/>
  <c r="L143" i="2"/>
  <c r="L144" i="2" s="1"/>
  <c r="L130" i="2"/>
  <c r="L131" i="2" s="1"/>
  <c r="L132" i="2" s="1"/>
  <c r="L133" i="2" s="1"/>
  <c r="L134" i="2" s="1"/>
  <c r="L164" i="2" s="1"/>
  <c r="L165" i="2" s="1"/>
  <c r="N94" i="2"/>
  <c r="N62" i="2"/>
  <c r="M242" i="2"/>
  <c r="L94" i="2"/>
  <c r="L62" i="2"/>
  <c r="N64" i="2"/>
  <c r="N143" i="2"/>
  <c r="N144" i="2" s="1"/>
  <c r="N145" i="2" s="1"/>
  <c r="N146" i="2" s="1"/>
  <c r="N147" i="2" s="1"/>
  <c r="N130" i="2"/>
  <c r="N131" i="2" s="1"/>
  <c r="N132" i="2" s="1"/>
  <c r="N133" i="2" s="1"/>
  <c r="N134" i="2" s="1"/>
  <c r="N164" i="2" s="1"/>
  <c r="N165" i="2" s="1"/>
  <c r="L112" i="2"/>
  <c r="L83" i="2"/>
  <c r="K80" i="2"/>
  <c r="N118" i="2"/>
  <c r="N117" i="2"/>
  <c r="M80" i="2"/>
  <c r="L145" i="2"/>
  <c r="L146" i="2" s="1"/>
  <c r="L147" i="2" s="1"/>
  <c r="L172" i="2" s="1"/>
  <c r="L173" i="2" s="1"/>
  <c r="L174" i="2" s="1"/>
  <c r="N230" i="2"/>
  <c r="K230" i="2"/>
  <c r="M59" i="2"/>
  <c r="L230" i="2"/>
  <c r="K143" i="2"/>
  <c r="K144" i="2" s="1"/>
  <c r="K145" i="2" s="1"/>
  <c r="K146" i="2" s="1"/>
  <c r="K147" i="2" s="1"/>
  <c r="K130" i="2"/>
  <c r="K131" i="2" s="1"/>
  <c r="K132" i="2" s="1"/>
  <c r="K133" i="2" s="1"/>
  <c r="K134" i="2" s="1"/>
  <c r="K164" i="2" s="1"/>
  <c r="K165" i="2" s="1"/>
  <c r="I17" i="8"/>
  <c r="I15" i="8"/>
  <c r="J279" i="2"/>
  <c r="J244" i="2"/>
  <c r="J243" i="2"/>
  <c r="J223" i="2"/>
  <c r="J224" i="2" s="1"/>
  <c r="J222" i="2"/>
  <c r="J212" i="2"/>
  <c r="J203" i="2"/>
  <c r="J196" i="2"/>
  <c r="J187" i="2"/>
  <c r="J189" i="2" s="1"/>
  <c r="J180" i="2"/>
  <c r="J176" i="2"/>
  <c r="J168" i="2"/>
  <c r="J161" i="2"/>
  <c r="J160" i="2"/>
  <c r="J159" i="2"/>
  <c r="J155" i="2"/>
  <c r="J154" i="2"/>
  <c r="J153" i="2"/>
  <c r="J142" i="2"/>
  <c r="J137" i="2"/>
  <c r="J136" i="2"/>
  <c r="J129" i="2"/>
  <c r="J125" i="2"/>
  <c r="J114" i="2"/>
  <c r="J111" i="2"/>
  <c r="J110" i="2"/>
  <c r="J106" i="2"/>
  <c r="J96" i="2"/>
  <c r="J93" i="2"/>
  <c r="J92" i="2"/>
  <c r="J76" i="2"/>
  <c r="J77" i="2" s="1"/>
  <c r="J75" i="2"/>
  <c r="J80" i="2" s="1"/>
  <c r="J74" i="2"/>
  <c r="J78" i="2" s="1"/>
  <c r="J120" i="2" s="1"/>
  <c r="J73" i="2"/>
  <c r="J72" i="2"/>
  <c r="J81" i="2" s="1"/>
  <c r="J113" i="2" s="1"/>
  <c r="J71" i="2"/>
  <c r="J85" i="2" s="1"/>
  <c r="J70" i="2"/>
  <c r="J109" i="2" s="1"/>
  <c r="J56" i="2"/>
  <c r="J65" i="2" s="1"/>
  <c r="J103" i="2" s="1"/>
  <c r="J55" i="2"/>
  <c r="J99" i="2" s="1"/>
  <c r="J54" i="2"/>
  <c r="J53" i="2"/>
  <c r="J52" i="2"/>
  <c r="J51" i="2"/>
  <c r="J50" i="2"/>
  <c r="J91" i="2" s="1"/>
  <c r="J42" i="2"/>
  <c r="I29" i="8" s="1"/>
  <c r="J35" i="2"/>
  <c r="J34" i="2"/>
  <c r="J26" i="2"/>
  <c r="J12" i="2"/>
  <c r="W166" i="2" l="1"/>
  <c r="W167" i="2" s="1"/>
  <c r="W169" i="2" s="1"/>
  <c r="W194" i="2" s="1"/>
  <c r="Z166" i="2"/>
  <c r="Z167" i="2" s="1"/>
  <c r="Z169" i="2" s="1"/>
  <c r="Z194" i="2" s="1"/>
  <c r="X166" i="2"/>
  <c r="X167" i="2" s="1"/>
  <c r="X169" i="2"/>
  <c r="X194" i="2" s="1"/>
  <c r="W273" i="2"/>
  <c r="Z115" i="2"/>
  <c r="Z84" i="2"/>
  <c r="Z116" i="2" s="1"/>
  <c r="Y94" i="2"/>
  <c r="Y62" i="2"/>
  <c r="Y64" i="2"/>
  <c r="Z273" i="2"/>
  <c r="W112" i="2"/>
  <c r="W83" i="2"/>
  <c r="W85" i="2"/>
  <c r="Z121" i="2"/>
  <c r="Z88" i="2"/>
  <c r="Z124" i="2" s="1"/>
  <c r="Z87" i="2"/>
  <c r="Z123" i="2" s="1"/>
  <c r="Z261" i="2"/>
  <c r="Z172" i="2"/>
  <c r="Z173" i="2" s="1"/>
  <c r="Z174" i="2" s="1"/>
  <c r="Z280" i="2"/>
  <c r="Y166" i="2"/>
  <c r="Y167" i="2" s="1"/>
  <c r="Y169" i="2" s="1"/>
  <c r="Y194" i="2" s="1"/>
  <c r="X112" i="2"/>
  <c r="X83" i="2"/>
  <c r="X85" i="2"/>
  <c r="X177" i="2"/>
  <c r="X175" i="2"/>
  <c r="X201" i="2" s="1"/>
  <c r="X94" i="2"/>
  <c r="X62" i="2"/>
  <c r="X64" i="2"/>
  <c r="Y261" i="2"/>
  <c r="Y172" i="2"/>
  <c r="Y173" i="2" s="1"/>
  <c r="Y174" i="2" s="1"/>
  <c r="Y280" i="2"/>
  <c r="Z94" i="2"/>
  <c r="Z62" i="2"/>
  <c r="Z64" i="2"/>
  <c r="Y112" i="2"/>
  <c r="Y83" i="2"/>
  <c r="Y85" i="2"/>
  <c r="W94" i="2"/>
  <c r="W62" i="2"/>
  <c r="W64" i="2"/>
  <c r="W172" i="2"/>
  <c r="W173" i="2" s="1"/>
  <c r="W174" i="2" s="1"/>
  <c r="W261" i="2"/>
  <c r="W280" i="2"/>
  <c r="Y273" i="2"/>
  <c r="V166" i="2"/>
  <c r="V167" i="2" s="1"/>
  <c r="V169" i="2" s="1"/>
  <c r="V194" i="2" s="1"/>
  <c r="S166" i="2"/>
  <c r="S167" i="2" s="1"/>
  <c r="S169" i="2" s="1"/>
  <c r="S194" i="2" s="1"/>
  <c r="T166" i="2"/>
  <c r="T167" i="2" s="1"/>
  <c r="T169" i="2" s="1"/>
  <c r="T194" i="2" s="1"/>
  <c r="U166" i="2"/>
  <c r="U167" i="2" s="1"/>
  <c r="U169" i="2" s="1"/>
  <c r="U194" i="2" s="1"/>
  <c r="V261" i="2"/>
  <c r="V172" i="2"/>
  <c r="V173" i="2" s="1"/>
  <c r="V174" i="2" s="1"/>
  <c r="V280" i="2"/>
  <c r="S112" i="2"/>
  <c r="S83" i="2"/>
  <c r="S85" i="2"/>
  <c r="V273" i="2"/>
  <c r="T208" i="2"/>
  <c r="T215" i="2" s="1"/>
  <c r="T216" i="2" s="1"/>
  <c r="T158" i="2"/>
  <c r="T270" i="2"/>
  <c r="S172" i="2"/>
  <c r="S173" i="2" s="1"/>
  <c r="S174" i="2" s="1"/>
  <c r="S261" i="2"/>
  <c r="S280" i="2"/>
  <c r="U102" i="2"/>
  <c r="U67" i="2"/>
  <c r="U105" i="2" s="1"/>
  <c r="U225" i="2" s="1"/>
  <c r="U226" i="2" s="1"/>
  <c r="U227" i="2" s="1"/>
  <c r="U245" i="2" s="1"/>
  <c r="U66" i="2"/>
  <c r="U104" i="2" s="1"/>
  <c r="S273" i="2"/>
  <c r="U261" i="2"/>
  <c r="U172" i="2"/>
  <c r="U173" i="2" s="1"/>
  <c r="U174" i="2" s="1"/>
  <c r="U280" i="2"/>
  <c r="T273" i="2"/>
  <c r="T265" i="2"/>
  <c r="T264" i="2"/>
  <c r="T266" i="2" s="1"/>
  <c r="T209" i="2"/>
  <c r="V112" i="2"/>
  <c r="V83" i="2"/>
  <c r="V85" i="2"/>
  <c r="S94" i="2"/>
  <c r="S62" i="2"/>
  <c r="S64" i="2" s="1"/>
  <c r="T62" i="2"/>
  <c r="T94" i="2"/>
  <c r="U112" i="2"/>
  <c r="U83" i="2"/>
  <c r="U85" i="2"/>
  <c r="T261" i="2"/>
  <c r="T172" i="2"/>
  <c r="T173" i="2" s="1"/>
  <c r="T174" i="2" s="1"/>
  <c r="T280" i="2"/>
  <c r="V94" i="2"/>
  <c r="V62" i="2"/>
  <c r="U97" i="2"/>
  <c r="U63" i="2"/>
  <c r="U98" i="2" s="1"/>
  <c r="U273" i="2"/>
  <c r="P177" i="2"/>
  <c r="P175" i="2"/>
  <c r="P201" i="2" s="1"/>
  <c r="O166" i="2"/>
  <c r="O167" i="2" s="1"/>
  <c r="O169" i="2" s="1"/>
  <c r="O194" i="2" s="1"/>
  <c r="Q166" i="2"/>
  <c r="Q167" i="2" s="1"/>
  <c r="Q169" i="2" s="1"/>
  <c r="Q194" i="2" s="1"/>
  <c r="R166" i="2"/>
  <c r="R167" i="2" s="1"/>
  <c r="R169" i="2" s="1"/>
  <c r="R194" i="2" s="1"/>
  <c r="Q273" i="2"/>
  <c r="Q115" i="2"/>
  <c r="Q84" i="2"/>
  <c r="Q116" i="2" s="1"/>
  <c r="O94" i="2"/>
  <c r="O62" i="2"/>
  <c r="O64" i="2"/>
  <c r="Q121" i="2"/>
  <c r="Q88" i="2"/>
  <c r="Q124" i="2" s="1"/>
  <c r="Q87" i="2"/>
  <c r="Q123" i="2" s="1"/>
  <c r="R115" i="2"/>
  <c r="R84" i="2"/>
  <c r="R116" i="2" s="1"/>
  <c r="P121" i="2"/>
  <c r="P88" i="2"/>
  <c r="P124" i="2" s="1"/>
  <c r="P87" i="2"/>
  <c r="P123" i="2" s="1"/>
  <c r="R261" i="2"/>
  <c r="R172" i="2"/>
  <c r="R173" i="2" s="1"/>
  <c r="R174" i="2" s="1"/>
  <c r="R280" i="2"/>
  <c r="R208" i="2"/>
  <c r="R215" i="2" s="1"/>
  <c r="R216" i="2" s="1"/>
  <c r="R158" i="2"/>
  <c r="Q94" i="2"/>
  <c r="Q62" i="2"/>
  <c r="Q64" i="2"/>
  <c r="P115" i="2"/>
  <c r="P84" i="2"/>
  <c r="P116" i="2" s="1"/>
  <c r="P166" i="2"/>
  <c r="P167" i="2" s="1"/>
  <c r="P169" i="2" s="1"/>
  <c r="P194" i="2" s="1"/>
  <c r="O172" i="2"/>
  <c r="O173" i="2" s="1"/>
  <c r="O174" i="2" s="1"/>
  <c r="O261" i="2"/>
  <c r="O280" i="2"/>
  <c r="R97" i="2"/>
  <c r="R63" i="2"/>
  <c r="R98" i="2" s="1"/>
  <c r="O115" i="2"/>
  <c r="O84" i="2"/>
  <c r="O116" i="2" s="1"/>
  <c r="R273" i="2"/>
  <c r="P274" i="2"/>
  <c r="P283" i="2"/>
  <c r="O121" i="2"/>
  <c r="O88" i="2"/>
  <c r="O124" i="2" s="1"/>
  <c r="O87" i="2"/>
  <c r="O123" i="2" s="1"/>
  <c r="P97" i="2"/>
  <c r="P63" i="2"/>
  <c r="P98" i="2" s="1"/>
  <c r="O273" i="2"/>
  <c r="R64" i="2"/>
  <c r="Q261" i="2"/>
  <c r="Q172" i="2"/>
  <c r="Q173" i="2" s="1"/>
  <c r="Q174" i="2" s="1"/>
  <c r="Q280" i="2"/>
  <c r="P64" i="2"/>
  <c r="R265" i="2"/>
  <c r="R209" i="2"/>
  <c r="K166" i="2"/>
  <c r="K167" i="2" s="1"/>
  <c r="K169" i="2" s="1"/>
  <c r="K194" i="2" s="1"/>
  <c r="N166" i="2"/>
  <c r="N167" i="2" s="1"/>
  <c r="N169" i="2" s="1"/>
  <c r="N194" i="2" s="1"/>
  <c r="M166" i="2"/>
  <c r="M167" i="2" s="1"/>
  <c r="M169" i="2" s="1"/>
  <c r="M194" i="2" s="1"/>
  <c r="L166" i="2"/>
  <c r="L167" i="2" s="1"/>
  <c r="L169" i="2" s="1"/>
  <c r="L194" i="2" s="1"/>
  <c r="K172" i="2"/>
  <c r="K173" i="2" s="1"/>
  <c r="K174" i="2" s="1"/>
  <c r="K261" i="2"/>
  <c r="K280" i="2"/>
  <c r="M94" i="2"/>
  <c r="M62" i="2"/>
  <c r="M64" i="2"/>
  <c r="N273" i="2"/>
  <c r="L97" i="2"/>
  <c r="L63" i="2"/>
  <c r="L98" i="2" s="1"/>
  <c r="L64" i="2"/>
  <c r="M261" i="2"/>
  <c r="M172" i="2"/>
  <c r="M173" i="2" s="1"/>
  <c r="M174" i="2" s="1"/>
  <c r="M280" i="2"/>
  <c r="K273" i="2"/>
  <c r="L208" i="2"/>
  <c r="L215" i="2" s="1"/>
  <c r="L216" i="2" s="1"/>
  <c r="L158" i="2"/>
  <c r="L270" i="2"/>
  <c r="N261" i="2"/>
  <c r="N172" i="2"/>
  <c r="N173" i="2" s="1"/>
  <c r="N174" i="2" s="1"/>
  <c r="N280" i="2"/>
  <c r="N97" i="2"/>
  <c r="N63" i="2"/>
  <c r="N98" i="2" s="1"/>
  <c r="L177" i="2"/>
  <c r="L175" i="2"/>
  <c r="L201" i="2" s="1"/>
  <c r="K112" i="2"/>
  <c r="K83" i="2"/>
  <c r="K85" i="2"/>
  <c r="K94" i="2"/>
  <c r="K62" i="2"/>
  <c r="K64" i="2"/>
  <c r="M273" i="2"/>
  <c r="L265" i="2"/>
  <c r="L209" i="2"/>
  <c r="N102" i="2"/>
  <c r="N67" i="2"/>
  <c r="N105" i="2" s="1"/>
  <c r="N225" i="2" s="1"/>
  <c r="N226" i="2" s="1"/>
  <c r="N227" i="2" s="1"/>
  <c r="N245" i="2" s="1"/>
  <c r="N66" i="2"/>
  <c r="N104" i="2" s="1"/>
  <c r="M112" i="2"/>
  <c r="M83" i="2"/>
  <c r="M85" i="2"/>
  <c r="L115" i="2"/>
  <c r="L84" i="2"/>
  <c r="L116" i="2" s="1"/>
  <c r="N112" i="2"/>
  <c r="N83" i="2"/>
  <c r="N85" i="2"/>
  <c r="J121" i="2"/>
  <c r="J87" i="2"/>
  <c r="J123" i="2" s="1"/>
  <c r="J88" i="2"/>
  <c r="J124" i="2" s="1"/>
  <c r="J117" i="2"/>
  <c r="J118" i="2"/>
  <c r="J112" i="2"/>
  <c r="J83" i="2"/>
  <c r="J270" i="2"/>
  <c r="J86" i="2"/>
  <c r="J122" i="2" s="1"/>
  <c r="J100" i="2"/>
  <c r="J40" i="2"/>
  <c r="I28" i="8" s="1"/>
  <c r="J44" i="2"/>
  <c r="I30" i="8" s="1"/>
  <c r="J119" i="2"/>
  <c r="J273" i="2" s="1"/>
  <c r="J182" i="2"/>
  <c r="J280" i="2"/>
  <c r="J128" i="2"/>
  <c r="J57" i="2"/>
  <c r="J101" i="2" s="1"/>
  <c r="J242" i="2" s="1"/>
  <c r="J60" i="2"/>
  <c r="J95" i="2" s="1"/>
  <c r="J141" i="2"/>
  <c r="Y274" i="2" l="1"/>
  <c r="Y283" i="2"/>
  <c r="W121" i="2"/>
  <c r="W88" i="2"/>
  <c r="W124" i="2" s="1"/>
  <c r="W87" i="2"/>
  <c r="W123" i="2" s="1"/>
  <c r="W97" i="2"/>
  <c r="W63" i="2"/>
  <c r="W98" i="2" s="1"/>
  <c r="Z177" i="2"/>
  <c r="Z175" i="2"/>
  <c r="Z201" i="2" s="1"/>
  <c r="Z208" i="2"/>
  <c r="Z215" i="2" s="1"/>
  <c r="Z216" i="2" s="1"/>
  <c r="Z158" i="2"/>
  <c r="Z270" i="2"/>
  <c r="W115" i="2"/>
  <c r="W84" i="2"/>
  <c r="W116" i="2" s="1"/>
  <c r="W175" i="2"/>
  <c r="W201" i="2" s="1"/>
  <c r="W177" i="2"/>
  <c r="Y177" i="2"/>
  <c r="Y175" i="2"/>
  <c r="Y201" i="2" s="1"/>
  <c r="X67" i="2"/>
  <c r="X105" i="2" s="1"/>
  <c r="X225" i="2" s="1"/>
  <c r="X226" i="2" s="1"/>
  <c r="X227" i="2" s="1"/>
  <c r="X245" i="2" s="1"/>
  <c r="X102" i="2"/>
  <c r="X66" i="2"/>
  <c r="X104" i="2" s="1"/>
  <c r="Y102" i="2"/>
  <c r="Y67" i="2"/>
  <c r="Y105" i="2" s="1"/>
  <c r="Y225" i="2" s="1"/>
  <c r="Y226" i="2" s="1"/>
  <c r="Y227" i="2" s="1"/>
  <c r="Y245" i="2" s="1"/>
  <c r="Y66" i="2"/>
  <c r="Y104" i="2" s="1"/>
  <c r="W102" i="2"/>
  <c r="W66" i="2"/>
  <c r="W104" i="2" s="1"/>
  <c r="W67" i="2"/>
  <c r="W105" i="2" s="1"/>
  <c r="W225" i="2" s="1"/>
  <c r="W226" i="2" s="1"/>
  <c r="W227" i="2" s="1"/>
  <c r="W245" i="2" s="1"/>
  <c r="Y115" i="2"/>
  <c r="Y84" i="2"/>
  <c r="Y116" i="2" s="1"/>
  <c r="X115" i="2"/>
  <c r="X84" i="2"/>
  <c r="X116" i="2" s="1"/>
  <c r="Z102" i="2"/>
  <c r="Z67" i="2"/>
  <c r="Z105" i="2" s="1"/>
  <c r="Z225" i="2" s="1"/>
  <c r="Z226" i="2" s="1"/>
  <c r="Z227" i="2" s="1"/>
  <c r="Z245" i="2" s="1"/>
  <c r="Z66" i="2"/>
  <c r="Z104" i="2" s="1"/>
  <c r="Y121" i="2"/>
  <c r="Y88" i="2"/>
  <c r="Y124" i="2" s="1"/>
  <c r="Y87" i="2"/>
  <c r="Y123" i="2" s="1"/>
  <c r="Z97" i="2"/>
  <c r="Z63" i="2"/>
  <c r="Z98" i="2" s="1"/>
  <c r="X63" i="2"/>
  <c r="X98" i="2" s="1"/>
  <c r="X97" i="2"/>
  <c r="X121" i="2"/>
  <c r="X88" i="2"/>
  <c r="X124" i="2" s="1"/>
  <c r="X87" i="2"/>
  <c r="X123" i="2" s="1"/>
  <c r="Z265" i="2"/>
  <c r="Z264" i="2"/>
  <c r="Z266" i="2" s="1"/>
  <c r="Z209" i="2"/>
  <c r="Z274" i="2"/>
  <c r="Z283" i="2"/>
  <c r="Y97" i="2"/>
  <c r="Y63" i="2"/>
  <c r="Y98" i="2" s="1"/>
  <c r="W274" i="2"/>
  <c r="W283" i="2"/>
  <c r="S102" i="2"/>
  <c r="S67" i="2"/>
  <c r="S105" i="2" s="1"/>
  <c r="S225" i="2" s="1"/>
  <c r="S226" i="2" s="1"/>
  <c r="S227" i="2" s="1"/>
  <c r="S245" i="2" s="1"/>
  <c r="S66" i="2"/>
  <c r="S104" i="2" s="1"/>
  <c r="V97" i="2"/>
  <c r="V63" i="2"/>
  <c r="V98" i="2" s="1"/>
  <c r="U115" i="2"/>
  <c r="U84" i="2"/>
  <c r="U116" i="2" s="1"/>
  <c r="S175" i="2"/>
  <c r="S201" i="2" s="1"/>
  <c r="S177" i="2"/>
  <c r="S121" i="2"/>
  <c r="S88" i="2"/>
  <c r="S124" i="2" s="1"/>
  <c r="S87" i="2"/>
  <c r="S123" i="2" s="1"/>
  <c r="V177" i="2"/>
  <c r="V175" i="2"/>
  <c r="V201" i="2" s="1"/>
  <c r="V115" i="2"/>
  <c r="V84" i="2"/>
  <c r="V116" i="2" s="1"/>
  <c r="T269" i="2"/>
  <c r="U152" i="2"/>
  <c r="U239" i="2"/>
  <c r="V274" i="2"/>
  <c r="V283" i="2"/>
  <c r="S115" i="2"/>
  <c r="S84" i="2"/>
  <c r="S116" i="2" s="1"/>
  <c r="T97" i="2"/>
  <c r="T63" i="2"/>
  <c r="T98" i="2" s="1"/>
  <c r="S97" i="2"/>
  <c r="S63" i="2"/>
  <c r="S98" i="2" s="1"/>
  <c r="U177" i="2"/>
  <c r="U175" i="2"/>
  <c r="U201" i="2" s="1"/>
  <c r="U149" i="2" s="1"/>
  <c r="U202" i="2" s="1"/>
  <c r="U204" i="2" s="1"/>
  <c r="U205" i="2" s="1"/>
  <c r="U263" i="2" s="1"/>
  <c r="S274" i="2"/>
  <c r="S283" i="2"/>
  <c r="V121" i="2"/>
  <c r="V88" i="2"/>
  <c r="V124" i="2" s="1"/>
  <c r="V87" i="2"/>
  <c r="V123" i="2" s="1"/>
  <c r="U274" i="2"/>
  <c r="U283" i="2"/>
  <c r="T64" i="2"/>
  <c r="T274" i="2"/>
  <c r="T283" i="2"/>
  <c r="V64" i="2"/>
  <c r="T177" i="2"/>
  <c r="T175" i="2"/>
  <c r="T201" i="2" s="1"/>
  <c r="T268" i="2" s="1"/>
  <c r="U121" i="2"/>
  <c r="U88" i="2"/>
  <c r="U124" i="2" s="1"/>
  <c r="U87" i="2"/>
  <c r="U123" i="2" s="1"/>
  <c r="T211" i="2"/>
  <c r="T210" i="2"/>
  <c r="U234" i="2"/>
  <c r="U233" i="2"/>
  <c r="U235" i="2" s="1"/>
  <c r="O175" i="2"/>
  <c r="O201" i="2" s="1"/>
  <c r="O177" i="2"/>
  <c r="P208" i="2"/>
  <c r="P215" i="2" s="1"/>
  <c r="P216" i="2" s="1"/>
  <c r="P158" i="2"/>
  <c r="P270" i="2"/>
  <c r="P102" i="2"/>
  <c r="P67" i="2"/>
  <c r="P105" i="2" s="1"/>
  <c r="P225" i="2" s="1"/>
  <c r="P226" i="2" s="1"/>
  <c r="P227" i="2" s="1"/>
  <c r="P245" i="2" s="1"/>
  <c r="P66" i="2"/>
  <c r="P104" i="2" s="1"/>
  <c r="O158" i="2"/>
  <c r="O208" i="2"/>
  <c r="O215" i="2" s="1"/>
  <c r="O216" i="2" s="1"/>
  <c r="O270" i="2"/>
  <c r="Q208" i="2"/>
  <c r="Q215" i="2" s="1"/>
  <c r="Q216" i="2" s="1"/>
  <c r="Q158" i="2"/>
  <c r="Q270" i="2"/>
  <c r="O97" i="2"/>
  <c r="O63" i="2"/>
  <c r="O98" i="2" s="1"/>
  <c r="Q274" i="2"/>
  <c r="Q283" i="2"/>
  <c r="R269" i="2"/>
  <c r="R211" i="2"/>
  <c r="R210" i="2"/>
  <c r="R274" i="2"/>
  <c r="R283" i="2"/>
  <c r="Q102" i="2"/>
  <c r="Q67" i="2"/>
  <c r="Q105" i="2" s="1"/>
  <c r="Q225" i="2" s="1"/>
  <c r="Q226" i="2" s="1"/>
  <c r="Q227" i="2" s="1"/>
  <c r="Q245" i="2" s="1"/>
  <c r="Q66" i="2"/>
  <c r="Q104" i="2" s="1"/>
  <c r="P265" i="2"/>
  <c r="P264" i="2"/>
  <c r="P266" i="2" s="1"/>
  <c r="P209" i="2"/>
  <c r="O274" i="2"/>
  <c r="O283" i="2"/>
  <c r="R177" i="2"/>
  <c r="R175" i="2"/>
  <c r="R201" i="2" s="1"/>
  <c r="R267" i="2" s="1"/>
  <c r="O102" i="2"/>
  <c r="O67" i="2"/>
  <c r="O105" i="2" s="1"/>
  <c r="O225" i="2" s="1"/>
  <c r="O226" i="2" s="1"/>
  <c r="O227" i="2" s="1"/>
  <c r="O245" i="2" s="1"/>
  <c r="O66" i="2"/>
  <c r="O104" i="2" s="1"/>
  <c r="R264" i="2"/>
  <c r="R266" i="2" s="1"/>
  <c r="Q177" i="2"/>
  <c r="Q175" i="2"/>
  <c r="Q201" i="2" s="1"/>
  <c r="R102" i="2"/>
  <c r="R67" i="2"/>
  <c r="R105" i="2" s="1"/>
  <c r="R225" i="2" s="1"/>
  <c r="R226" i="2" s="1"/>
  <c r="R227" i="2" s="1"/>
  <c r="R245" i="2" s="1"/>
  <c r="R66" i="2"/>
  <c r="R104" i="2" s="1"/>
  <c r="O265" i="2"/>
  <c r="O209" i="2"/>
  <c r="O264" i="2"/>
  <c r="O266" i="2" s="1"/>
  <c r="Q97" i="2"/>
  <c r="Q63" i="2"/>
  <c r="Q98" i="2" s="1"/>
  <c r="Q265" i="2"/>
  <c r="Q264" i="2"/>
  <c r="Q266" i="2" s="1"/>
  <c r="Q209" i="2"/>
  <c r="N115" i="2"/>
  <c r="N84" i="2"/>
  <c r="N116" i="2" s="1"/>
  <c r="K102" i="2"/>
  <c r="K67" i="2"/>
  <c r="K105" i="2" s="1"/>
  <c r="K225" i="2" s="1"/>
  <c r="K226" i="2" s="1"/>
  <c r="K227" i="2" s="1"/>
  <c r="K245" i="2" s="1"/>
  <c r="K66" i="2"/>
  <c r="K104" i="2" s="1"/>
  <c r="K115" i="2"/>
  <c r="K84" i="2"/>
  <c r="K116" i="2" s="1"/>
  <c r="M102" i="2"/>
  <c r="M67" i="2"/>
  <c r="M105" i="2" s="1"/>
  <c r="M225" i="2" s="1"/>
  <c r="M226" i="2" s="1"/>
  <c r="M227" i="2" s="1"/>
  <c r="M245" i="2" s="1"/>
  <c r="M66" i="2"/>
  <c r="M104" i="2" s="1"/>
  <c r="M115" i="2"/>
  <c r="M84" i="2"/>
  <c r="M116" i="2" s="1"/>
  <c r="N234" i="2"/>
  <c r="N233" i="2"/>
  <c r="N235" i="2" s="1"/>
  <c r="M274" i="2"/>
  <c r="M283" i="2"/>
  <c r="K97" i="2"/>
  <c r="K63" i="2"/>
  <c r="K98" i="2" s="1"/>
  <c r="N274" i="2"/>
  <c r="N283" i="2"/>
  <c r="M97" i="2"/>
  <c r="M63" i="2"/>
  <c r="M98" i="2" s="1"/>
  <c r="M121" i="2"/>
  <c r="M88" i="2"/>
  <c r="M124" i="2" s="1"/>
  <c r="M87" i="2"/>
  <c r="M123" i="2" s="1"/>
  <c r="L269" i="2"/>
  <c r="L268" i="2"/>
  <c r="L267" i="2"/>
  <c r="K274" i="2"/>
  <c r="K283" i="2"/>
  <c r="M177" i="2"/>
  <c r="M175" i="2"/>
  <c r="M201" i="2" s="1"/>
  <c r="L67" i="2"/>
  <c r="L105" i="2" s="1"/>
  <c r="L225" i="2" s="1"/>
  <c r="L226" i="2" s="1"/>
  <c r="L227" i="2" s="1"/>
  <c r="L245" i="2" s="1"/>
  <c r="L102" i="2"/>
  <c r="L66" i="2"/>
  <c r="L104" i="2" s="1"/>
  <c r="K175" i="2"/>
  <c r="K201" i="2" s="1"/>
  <c r="K177" i="2"/>
  <c r="L211" i="2"/>
  <c r="L210" i="2"/>
  <c r="N121" i="2"/>
  <c r="N88" i="2"/>
  <c r="N124" i="2" s="1"/>
  <c r="N87" i="2"/>
  <c r="N123" i="2" s="1"/>
  <c r="N152" i="2"/>
  <c r="N239" i="2"/>
  <c r="L264" i="2"/>
  <c r="L266" i="2" s="1"/>
  <c r="K121" i="2"/>
  <c r="K88" i="2"/>
  <c r="K124" i="2" s="1"/>
  <c r="K87" i="2"/>
  <c r="K123" i="2" s="1"/>
  <c r="N177" i="2"/>
  <c r="N175" i="2"/>
  <c r="N201" i="2" s="1"/>
  <c r="N149" i="2" s="1"/>
  <c r="N202" i="2" s="1"/>
  <c r="N204" i="2" s="1"/>
  <c r="N205" i="2" s="1"/>
  <c r="N263" i="2" s="1"/>
  <c r="J274" i="2"/>
  <c r="J283" i="2"/>
  <c r="J59" i="2"/>
  <c r="J261" i="2"/>
  <c r="J158" i="2"/>
  <c r="J208" i="2"/>
  <c r="J215" i="2" s="1"/>
  <c r="J216" i="2" s="1"/>
  <c r="J130" i="2"/>
  <c r="J131" i="2" s="1"/>
  <c r="J132" i="2" s="1"/>
  <c r="J133" i="2" s="1"/>
  <c r="J134" i="2" s="1"/>
  <c r="J164" i="2" s="1"/>
  <c r="J165" i="2" s="1"/>
  <c r="J143" i="2"/>
  <c r="J144" i="2" s="1"/>
  <c r="J145" i="2" s="1"/>
  <c r="J146" i="2" s="1"/>
  <c r="J147" i="2" s="1"/>
  <c r="J172" i="2" s="1"/>
  <c r="J173" i="2" s="1"/>
  <c r="J174" i="2" s="1"/>
  <c r="J230" i="2"/>
  <c r="J84" i="2"/>
  <c r="J116" i="2" s="1"/>
  <c r="J265" i="2" s="1"/>
  <c r="J115" i="2"/>
  <c r="J264" i="2" s="1"/>
  <c r="J266" i="2" s="1"/>
  <c r="J209" i="2"/>
  <c r="F15" i="8"/>
  <c r="S13" i="8"/>
  <c r="R13" i="8"/>
  <c r="S11" i="8"/>
  <c r="R11" i="8"/>
  <c r="X234" i="2" l="1"/>
  <c r="X233" i="2"/>
  <c r="X235" i="2" s="1"/>
  <c r="Z269" i="2"/>
  <c r="Z268" i="2"/>
  <c r="Z267" i="2"/>
  <c r="Y208" i="2"/>
  <c r="Y215" i="2" s="1"/>
  <c r="Y216" i="2" s="1"/>
  <c r="Y158" i="2"/>
  <c r="Y270" i="2"/>
  <c r="W233" i="2"/>
  <c r="W235" i="2" s="1"/>
  <c r="W234" i="2"/>
  <c r="X265" i="2"/>
  <c r="X264" i="2"/>
  <c r="X266" i="2" s="1"/>
  <c r="X209" i="2"/>
  <c r="W152" i="2"/>
  <c r="W239" i="2"/>
  <c r="X208" i="2"/>
  <c r="X215" i="2" s="1"/>
  <c r="X216" i="2" s="1"/>
  <c r="X158" i="2"/>
  <c r="X270" i="2"/>
  <c r="Z234" i="2"/>
  <c r="Z233" i="2"/>
  <c r="Z235" i="2" s="1"/>
  <c r="Y234" i="2"/>
  <c r="Y233" i="2"/>
  <c r="Y235" i="2" s="1"/>
  <c r="Y149" i="2"/>
  <c r="W265" i="2"/>
  <c r="W209" i="2"/>
  <c r="W264" i="2"/>
  <c r="W266" i="2" s="1"/>
  <c r="Z152" i="2"/>
  <c r="Z239" i="2"/>
  <c r="Y152" i="2"/>
  <c r="Y239" i="2"/>
  <c r="W158" i="2"/>
  <c r="W208" i="2"/>
  <c r="W215" i="2" s="1"/>
  <c r="W216" i="2" s="1"/>
  <c r="W270" i="2"/>
  <c r="Y202" i="2"/>
  <c r="Y204" i="2" s="1"/>
  <c r="Y205" i="2" s="1"/>
  <c r="Y263" i="2" s="1"/>
  <c r="Z211" i="2"/>
  <c r="Z210" i="2"/>
  <c r="Y265" i="2"/>
  <c r="Y264" i="2"/>
  <c r="Y266" i="2" s="1"/>
  <c r="Y209" i="2"/>
  <c r="X152" i="2"/>
  <c r="X239" i="2"/>
  <c r="Z149" i="2"/>
  <c r="Z202" i="2" s="1"/>
  <c r="Z204" i="2" s="1"/>
  <c r="Z205" i="2" s="1"/>
  <c r="Z263" i="2" s="1"/>
  <c r="T214" i="2"/>
  <c r="T213" i="2"/>
  <c r="S233" i="2"/>
  <c r="S235" i="2" s="1"/>
  <c r="S234" i="2"/>
  <c r="U208" i="2"/>
  <c r="U215" i="2" s="1"/>
  <c r="U216" i="2" s="1"/>
  <c r="U158" i="2"/>
  <c r="U270" i="2"/>
  <c r="T67" i="2"/>
  <c r="T105" i="2" s="1"/>
  <c r="T225" i="2" s="1"/>
  <c r="T226" i="2" s="1"/>
  <c r="T227" i="2" s="1"/>
  <c r="T245" i="2" s="1"/>
  <c r="T102" i="2"/>
  <c r="T66" i="2"/>
  <c r="T104" i="2" s="1"/>
  <c r="V208" i="2"/>
  <c r="V215" i="2" s="1"/>
  <c r="V216" i="2" s="1"/>
  <c r="V158" i="2"/>
  <c r="V270" i="2"/>
  <c r="V102" i="2"/>
  <c r="V67" i="2"/>
  <c r="V105" i="2" s="1"/>
  <c r="V225" i="2" s="1"/>
  <c r="V226" i="2" s="1"/>
  <c r="V227" i="2" s="1"/>
  <c r="V245" i="2" s="1"/>
  <c r="V66" i="2"/>
  <c r="V104" i="2" s="1"/>
  <c r="U148" i="2"/>
  <c r="U191" i="2" s="1"/>
  <c r="U262" i="2" s="1"/>
  <c r="U135" i="2"/>
  <c r="S265" i="2"/>
  <c r="S209" i="2"/>
  <c r="S264" i="2"/>
  <c r="S266" i="2" s="1"/>
  <c r="S152" i="2"/>
  <c r="S239" i="2"/>
  <c r="S158" i="2"/>
  <c r="S208" i="2"/>
  <c r="S215" i="2" s="1"/>
  <c r="S216" i="2" s="1"/>
  <c r="S270" i="2"/>
  <c r="U238" i="2"/>
  <c r="U237" i="2"/>
  <c r="U236" i="2"/>
  <c r="U265" i="2"/>
  <c r="U264" i="2"/>
  <c r="U266" i="2" s="1"/>
  <c r="U209" i="2"/>
  <c r="V265" i="2"/>
  <c r="V264" i="2"/>
  <c r="V266" i="2" s="1"/>
  <c r="V209" i="2"/>
  <c r="T267" i="2"/>
  <c r="U138" i="2"/>
  <c r="U198" i="2" s="1"/>
  <c r="U232" i="2" s="1"/>
  <c r="P152" i="2"/>
  <c r="P239" i="2"/>
  <c r="Q269" i="2"/>
  <c r="Q268" i="2"/>
  <c r="Q267" i="2"/>
  <c r="R234" i="2"/>
  <c r="R233" i="2"/>
  <c r="R235" i="2" s="1"/>
  <c r="O152" i="2"/>
  <c r="O149" i="2" s="1"/>
  <c r="O202" i="2" s="1"/>
  <c r="O204" i="2" s="1"/>
  <c r="O205" i="2" s="1"/>
  <c r="O263" i="2" s="1"/>
  <c r="O239" i="2"/>
  <c r="P211" i="2"/>
  <c r="P210" i="2"/>
  <c r="Q152" i="2"/>
  <c r="Q149" i="2" s="1"/>
  <c r="Q202" i="2" s="1"/>
  <c r="Q204" i="2" s="1"/>
  <c r="Q205" i="2" s="1"/>
  <c r="Q263" i="2" s="1"/>
  <c r="Q239" i="2"/>
  <c r="R214" i="2"/>
  <c r="R213" i="2"/>
  <c r="R268" i="2"/>
  <c r="P234" i="2"/>
  <c r="P233" i="2"/>
  <c r="P235" i="2" s="1"/>
  <c r="O269" i="2"/>
  <c r="O268" i="2"/>
  <c r="O267" i="2"/>
  <c r="Q211" i="2"/>
  <c r="Q210" i="2"/>
  <c r="O210" i="2"/>
  <c r="O211" i="2"/>
  <c r="R152" i="2"/>
  <c r="R149" i="2" s="1"/>
  <c r="R202" i="2" s="1"/>
  <c r="R204" i="2" s="1"/>
  <c r="R205" i="2" s="1"/>
  <c r="R263" i="2" s="1"/>
  <c r="R239" i="2"/>
  <c r="O233" i="2"/>
  <c r="O235" i="2" s="1"/>
  <c r="O234" i="2"/>
  <c r="P269" i="2"/>
  <c r="P268" i="2"/>
  <c r="P267" i="2"/>
  <c r="Q234" i="2"/>
  <c r="Q233" i="2"/>
  <c r="Q235" i="2" s="1"/>
  <c r="M234" i="2"/>
  <c r="M233" i="2"/>
  <c r="M235" i="2" s="1"/>
  <c r="K152" i="2"/>
  <c r="K239" i="2"/>
  <c r="K158" i="2"/>
  <c r="K208" i="2"/>
  <c r="K215" i="2" s="1"/>
  <c r="K216" i="2" s="1"/>
  <c r="K270" i="2"/>
  <c r="L152" i="2"/>
  <c r="L239" i="2"/>
  <c r="N148" i="2"/>
  <c r="N191" i="2" s="1"/>
  <c r="N262" i="2" s="1"/>
  <c r="N135" i="2"/>
  <c r="N265" i="2"/>
  <c r="N264" i="2"/>
  <c r="N266" i="2" s="1"/>
  <c r="N209" i="2"/>
  <c r="L234" i="2"/>
  <c r="L233" i="2"/>
  <c r="L235" i="2" s="1"/>
  <c r="M265" i="2"/>
  <c r="M264" i="2"/>
  <c r="M266" i="2" s="1"/>
  <c r="M209" i="2"/>
  <c r="N238" i="2"/>
  <c r="N237" i="2"/>
  <c r="N236" i="2"/>
  <c r="M152" i="2"/>
  <c r="M239" i="2"/>
  <c r="K233" i="2"/>
  <c r="K235" i="2" s="1"/>
  <c r="K234" i="2"/>
  <c r="N138" i="2"/>
  <c r="N198" i="2" s="1"/>
  <c r="N232" i="2" s="1"/>
  <c r="N208" i="2"/>
  <c r="N215" i="2" s="1"/>
  <c r="N216" i="2" s="1"/>
  <c r="N158" i="2"/>
  <c r="N270" i="2"/>
  <c r="L214" i="2"/>
  <c r="L213" i="2"/>
  <c r="M208" i="2"/>
  <c r="M215" i="2" s="1"/>
  <c r="M216" i="2" s="1"/>
  <c r="M158" i="2"/>
  <c r="M270" i="2"/>
  <c r="K265" i="2"/>
  <c r="K209" i="2"/>
  <c r="K264" i="2"/>
  <c r="K266" i="2" s="1"/>
  <c r="J166" i="2"/>
  <c r="J167" i="2" s="1"/>
  <c r="J169" i="2" s="1"/>
  <c r="J194" i="2" s="1"/>
  <c r="J177" i="2"/>
  <c r="J175" i="2"/>
  <c r="J201" i="2" s="1"/>
  <c r="J269" i="2"/>
  <c r="J62" i="2"/>
  <c r="J64" i="2" s="1"/>
  <c r="J94" i="2"/>
  <c r="J211" i="2"/>
  <c r="J210" i="2"/>
  <c r="Z48" i="8"/>
  <c r="Z46" i="8"/>
  <c r="Z36" i="8"/>
  <c r="Y48" i="8"/>
  <c r="Y36" i="8"/>
  <c r="X48" i="8"/>
  <c r="X36" i="8"/>
  <c r="W48" i="8"/>
  <c r="W36" i="8"/>
  <c r="V48" i="8"/>
  <c r="V36" i="8"/>
  <c r="U48" i="8"/>
  <c r="U36" i="8"/>
  <c r="T48" i="8"/>
  <c r="T36" i="8"/>
  <c r="S48" i="8"/>
  <c r="S47" i="8"/>
  <c r="S46" i="8"/>
  <c r="S36" i="8"/>
  <c r="R48" i="8"/>
  <c r="R47" i="8"/>
  <c r="R46" i="8"/>
  <c r="R36" i="8"/>
  <c r="Q48" i="8"/>
  <c r="Q36" i="8"/>
  <c r="P48" i="8"/>
  <c r="P47" i="8"/>
  <c r="P46" i="8"/>
  <c r="P36" i="8"/>
  <c r="O48" i="8"/>
  <c r="O47" i="8"/>
  <c r="O46" i="8"/>
  <c r="O36" i="8"/>
  <c r="N48" i="8"/>
  <c r="N36" i="8"/>
  <c r="M48" i="8"/>
  <c r="M47" i="8"/>
  <c r="M46" i="8"/>
  <c r="M36" i="8"/>
  <c r="L48" i="8"/>
  <c r="L47" i="8"/>
  <c r="L46" i="8"/>
  <c r="L36" i="8"/>
  <c r="K48" i="8"/>
  <c r="K36" i="8"/>
  <c r="J48" i="8"/>
  <c r="J47" i="8"/>
  <c r="J46" i="8"/>
  <c r="J36" i="8"/>
  <c r="I48" i="8"/>
  <c r="I47" i="8"/>
  <c r="I46" i="8"/>
  <c r="I36" i="8"/>
  <c r="Y34" i="8"/>
  <c r="Z34" i="8" s="1"/>
  <c r="V34" i="8"/>
  <c r="W34" i="8" s="1"/>
  <c r="S34" i="8"/>
  <c r="T34" i="8" s="1"/>
  <c r="P34" i="8"/>
  <c r="Q34" i="8" s="1"/>
  <c r="M34" i="8"/>
  <c r="N34" i="8" s="1"/>
  <c r="J34" i="8"/>
  <c r="K34" i="8" s="1"/>
  <c r="G34" i="8"/>
  <c r="H34" i="8" s="1"/>
  <c r="H48" i="8"/>
  <c r="H36" i="8"/>
  <c r="H17" i="8"/>
  <c r="Y47" i="8"/>
  <c r="V47" i="8"/>
  <c r="I12" i="2"/>
  <c r="H15" i="8" s="1"/>
  <c r="H12" i="2"/>
  <c r="G15" i="8" s="1"/>
  <c r="T46" i="8"/>
  <c r="Y238" i="2" l="1"/>
  <c r="Y237" i="2"/>
  <c r="Y236" i="2"/>
  <c r="W148" i="2"/>
  <c r="W191" i="2" s="1"/>
  <c r="W262" i="2" s="1"/>
  <c r="W135" i="2"/>
  <c r="W138" i="2"/>
  <c r="Y148" i="2"/>
  <c r="Y191" i="2" s="1"/>
  <c r="Y262" i="2" s="1"/>
  <c r="Y135" i="2"/>
  <c r="Y138" i="2"/>
  <c r="W210" i="2"/>
  <c r="W211" i="2"/>
  <c r="X211" i="2"/>
  <c r="X210" i="2"/>
  <c r="W149" i="2"/>
  <c r="W202" i="2" s="1"/>
  <c r="W204" i="2" s="1"/>
  <c r="W205" i="2" s="1"/>
  <c r="W263" i="2" s="1"/>
  <c r="X238" i="2"/>
  <c r="X237" i="2"/>
  <c r="X236" i="2"/>
  <c r="Y211" i="2"/>
  <c r="Y210" i="2"/>
  <c r="Y269" i="2"/>
  <c r="Y268" i="2"/>
  <c r="Y267" i="2"/>
  <c r="Z214" i="2"/>
  <c r="Z213" i="2"/>
  <c r="W269" i="2"/>
  <c r="W268" i="2"/>
  <c r="W267" i="2"/>
  <c r="W237" i="2"/>
  <c r="W236" i="2"/>
  <c r="W238" i="2"/>
  <c r="X148" i="2"/>
  <c r="X191" i="2" s="1"/>
  <c r="X262" i="2" s="1"/>
  <c r="X135" i="2"/>
  <c r="X138" i="2"/>
  <c r="X149" i="2"/>
  <c r="X202" i="2" s="1"/>
  <c r="X204" i="2" s="1"/>
  <c r="X205" i="2" s="1"/>
  <c r="X263" i="2" s="1"/>
  <c r="Z148" i="2"/>
  <c r="Z191" i="2" s="1"/>
  <c r="Z262" i="2" s="1"/>
  <c r="Z135" i="2"/>
  <c r="Z138" i="2"/>
  <c r="Z238" i="2"/>
  <c r="Z237" i="2"/>
  <c r="Z236" i="2"/>
  <c r="X269" i="2"/>
  <c r="X268" i="2"/>
  <c r="X267" i="2"/>
  <c r="T152" i="2"/>
  <c r="T239" i="2"/>
  <c r="V211" i="2"/>
  <c r="V210" i="2"/>
  <c r="U211" i="2"/>
  <c r="U210" i="2"/>
  <c r="S148" i="2"/>
  <c r="S191" i="2" s="1"/>
  <c r="S262" i="2" s="1"/>
  <c r="S135" i="2"/>
  <c r="S138" i="2"/>
  <c r="S269" i="2"/>
  <c r="S268" i="2"/>
  <c r="S267" i="2"/>
  <c r="T234" i="2"/>
  <c r="T233" i="2"/>
  <c r="T235" i="2" s="1"/>
  <c r="S149" i="2"/>
  <c r="S202" i="2" s="1"/>
  <c r="S204" i="2" s="1"/>
  <c r="S205" i="2" s="1"/>
  <c r="S263" i="2" s="1"/>
  <c r="T219" i="2"/>
  <c r="T217" i="2"/>
  <c r="U254" i="2"/>
  <c r="U248" i="2"/>
  <c r="U251" i="2"/>
  <c r="U256" i="2"/>
  <c r="U250" i="2"/>
  <c r="U255" i="2"/>
  <c r="U188" i="2"/>
  <c r="U190" i="2" s="1"/>
  <c r="V152" i="2"/>
  <c r="V239" i="2"/>
  <c r="S237" i="2"/>
  <c r="S236" i="2"/>
  <c r="S238" i="2"/>
  <c r="S210" i="2"/>
  <c r="S211" i="2"/>
  <c r="V234" i="2"/>
  <c r="V233" i="2"/>
  <c r="V235" i="2" s="1"/>
  <c r="V269" i="2"/>
  <c r="V268" i="2"/>
  <c r="V267" i="2"/>
  <c r="U269" i="2"/>
  <c r="U268" i="2"/>
  <c r="U267" i="2"/>
  <c r="U184" i="2"/>
  <c r="U231" i="2" s="1"/>
  <c r="U181" i="2"/>
  <c r="U183" i="2" s="1"/>
  <c r="U195" i="2"/>
  <c r="U197" i="2" s="1"/>
  <c r="Q238" i="2"/>
  <c r="Q237" i="2"/>
  <c r="Q236" i="2"/>
  <c r="R219" i="2"/>
  <c r="R217" i="2"/>
  <c r="R238" i="2"/>
  <c r="R237" i="2"/>
  <c r="R236" i="2"/>
  <c r="O237" i="2"/>
  <c r="O236" i="2"/>
  <c r="O238" i="2"/>
  <c r="O214" i="2"/>
  <c r="O213" i="2"/>
  <c r="Q214" i="2"/>
  <c r="Q213" i="2"/>
  <c r="Q148" i="2"/>
  <c r="Q191" i="2" s="1"/>
  <c r="Q262" i="2" s="1"/>
  <c r="Q135" i="2"/>
  <c r="Q138" i="2"/>
  <c r="O148" i="2"/>
  <c r="O191" i="2" s="1"/>
  <c r="O262" i="2" s="1"/>
  <c r="O135" i="2"/>
  <c r="O138" i="2"/>
  <c r="R148" i="2"/>
  <c r="R191" i="2" s="1"/>
  <c r="R262" i="2" s="1"/>
  <c r="R135" i="2"/>
  <c r="R138" i="2"/>
  <c r="P214" i="2"/>
  <c r="P213" i="2"/>
  <c r="P238" i="2"/>
  <c r="P237" i="2"/>
  <c r="P236" i="2"/>
  <c r="P148" i="2"/>
  <c r="P191" i="2" s="1"/>
  <c r="P262" i="2" s="1"/>
  <c r="P135" i="2"/>
  <c r="P138" i="2"/>
  <c r="P149" i="2"/>
  <c r="P202" i="2" s="1"/>
  <c r="P204" i="2" s="1"/>
  <c r="P205" i="2" s="1"/>
  <c r="P263" i="2" s="1"/>
  <c r="M148" i="2"/>
  <c r="M191" i="2" s="1"/>
  <c r="M262" i="2" s="1"/>
  <c r="M135" i="2"/>
  <c r="M138" i="2"/>
  <c r="N188" i="2"/>
  <c r="N190" i="2" s="1"/>
  <c r="K148" i="2"/>
  <c r="K191" i="2" s="1"/>
  <c r="K262" i="2" s="1"/>
  <c r="K135" i="2"/>
  <c r="K138" i="2"/>
  <c r="K237" i="2"/>
  <c r="K236" i="2"/>
  <c r="K238" i="2"/>
  <c r="N269" i="2"/>
  <c r="N268" i="2"/>
  <c r="N267" i="2"/>
  <c r="M149" i="2"/>
  <c r="M202" i="2" s="1"/>
  <c r="M204" i="2" s="1"/>
  <c r="M205" i="2" s="1"/>
  <c r="M263" i="2" s="1"/>
  <c r="L219" i="2"/>
  <c r="L217" i="2"/>
  <c r="M269" i="2"/>
  <c r="M268" i="2"/>
  <c r="M267" i="2"/>
  <c r="M211" i="2"/>
  <c r="M210" i="2"/>
  <c r="L238" i="2"/>
  <c r="L237" i="2"/>
  <c r="L236" i="2"/>
  <c r="N184" i="2"/>
  <c r="N231" i="2" s="1"/>
  <c r="N181" i="2"/>
  <c r="N183" i="2" s="1"/>
  <c r="N195" i="2"/>
  <c r="N197" i="2" s="1"/>
  <c r="K149" i="2"/>
  <c r="K202" i="2" s="1"/>
  <c r="K204" i="2" s="1"/>
  <c r="K205" i="2" s="1"/>
  <c r="K263" i="2" s="1"/>
  <c r="M238" i="2"/>
  <c r="M237" i="2"/>
  <c r="M236" i="2"/>
  <c r="N254" i="2"/>
  <c r="N248" i="2"/>
  <c r="N251" i="2"/>
  <c r="N256" i="2"/>
  <c r="N250" i="2"/>
  <c r="N255" i="2"/>
  <c r="K210" i="2"/>
  <c r="K211" i="2"/>
  <c r="K269" i="2"/>
  <c r="K268" i="2"/>
  <c r="K267" i="2"/>
  <c r="N211" i="2"/>
  <c r="N210" i="2"/>
  <c r="L148" i="2"/>
  <c r="L191" i="2" s="1"/>
  <c r="L262" i="2" s="1"/>
  <c r="L135" i="2"/>
  <c r="L149" i="2"/>
  <c r="L202" i="2" s="1"/>
  <c r="L204" i="2" s="1"/>
  <c r="L205" i="2" s="1"/>
  <c r="L263" i="2" s="1"/>
  <c r="L138" i="2"/>
  <c r="J67" i="2"/>
  <c r="J105" i="2" s="1"/>
  <c r="J225" i="2" s="1"/>
  <c r="J226" i="2" s="1"/>
  <c r="J227" i="2" s="1"/>
  <c r="J245" i="2" s="1"/>
  <c r="J102" i="2"/>
  <c r="J66" i="2"/>
  <c r="J104" i="2" s="1"/>
  <c r="J214" i="2"/>
  <c r="J213" i="2"/>
  <c r="J268" i="2"/>
  <c r="J97" i="2"/>
  <c r="J63" i="2"/>
  <c r="J98" i="2" s="1"/>
  <c r="J267" i="2"/>
  <c r="Y46" i="8"/>
  <c r="W46" i="8"/>
  <c r="V46" i="8"/>
  <c r="Q46" i="8"/>
  <c r="I44" i="2"/>
  <c r="H30" i="8" s="1"/>
  <c r="I42" i="2"/>
  <c r="I40" i="2"/>
  <c r="H44" i="2"/>
  <c r="G30" i="8" s="1"/>
  <c r="H42" i="2"/>
  <c r="H40" i="2"/>
  <c r="G44" i="2"/>
  <c r="F30" i="8" s="1"/>
  <c r="G42" i="2"/>
  <c r="G40" i="2"/>
  <c r="X198" i="2" l="1"/>
  <c r="X232" i="2" s="1"/>
  <c r="X188" i="2"/>
  <c r="X190" i="2" s="1"/>
  <c r="X214" i="2"/>
  <c r="X213" i="2"/>
  <c r="Y184" i="2"/>
  <c r="Y231" i="2" s="1"/>
  <c r="Y195" i="2"/>
  <c r="Y197" i="2" s="1"/>
  <c r="Y181" i="2"/>
  <c r="Y183" i="2" s="1"/>
  <c r="Z184" i="2"/>
  <c r="Z231" i="2" s="1"/>
  <c r="Z181" i="2"/>
  <c r="Z183" i="2" s="1"/>
  <c r="Z195" i="2"/>
  <c r="Z197" i="2" s="1"/>
  <c r="X184" i="2"/>
  <c r="X231" i="2" s="1"/>
  <c r="X181" i="2"/>
  <c r="X183" i="2" s="1"/>
  <c r="X195" i="2"/>
  <c r="X197" i="2" s="1"/>
  <c r="Z219" i="2"/>
  <c r="Z217" i="2"/>
  <c r="W214" i="2"/>
  <c r="W213" i="2"/>
  <c r="Y214" i="2"/>
  <c r="Y213" i="2"/>
  <c r="W198" i="2"/>
  <c r="W232" i="2" s="1"/>
  <c r="W188" i="2"/>
  <c r="W190" i="2" s="1"/>
  <c r="Z198" i="2"/>
  <c r="Z232" i="2" s="1"/>
  <c r="Z188" i="2"/>
  <c r="Z190" i="2" s="1"/>
  <c r="Y198" i="2"/>
  <c r="Y232" i="2" s="1"/>
  <c r="Y188" i="2"/>
  <c r="Y190" i="2" s="1"/>
  <c r="W184" i="2"/>
  <c r="W231" i="2" s="1"/>
  <c r="W195" i="2"/>
  <c r="W197" i="2" s="1"/>
  <c r="W181" i="2"/>
  <c r="W183" i="2" s="1"/>
  <c r="S214" i="2"/>
  <c r="S213" i="2"/>
  <c r="T275" i="2"/>
  <c r="T278" i="2" s="1"/>
  <c r="T276" i="2"/>
  <c r="T277" i="2" s="1"/>
  <c r="T238" i="2"/>
  <c r="T237" i="2"/>
  <c r="T236" i="2"/>
  <c r="S198" i="2"/>
  <c r="S232" i="2" s="1"/>
  <c r="S188" i="2"/>
  <c r="S190" i="2" s="1"/>
  <c r="U214" i="2"/>
  <c r="U213" i="2"/>
  <c r="T148" i="2"/>
  <c r="T191" i="2" s="1"/>
  <c r="T262" i="2" s="1"/>
  <c r="T135" i="2"/>
  <c r="T138" i="2"/>
  <c r="T149" i="2"/>
  <c r="T202" i="2" s="1"/>
  <c r="T204" i="2" s="1"/>
  <c r="T205" i="2" s="1"/>
  <c r="T263" i="2" s="1"/>
  <c r="U257" i="2"/>
  <c r="U258" i="2" s="1"/>
  <c r="T31" i="8" s="1"/>
  <c r="U249" i="2"/>
  <c r="U252" i="2" s="1"/>
  <c r="S184" i="2"/>
  <c r="S231" i="2" s="1"/>
  <c r="S181" i="2"/>
  <c r="S183" i="2" s="1"/>
  <c r="S195" i="2"/>
  <c r="S197" i="2" s="1"/>
  <c r="V238" i="2"/>
  <c r="V237" i="2"/>
  <c r="V236" i="2"/>
  <c r="V148" i="2"/>
  <c r="V191" i="2" s="1"/>
  <c r="V262" i="2" s="1"/>
  <c r="V135" i="2"/>
  <c r="V138" i="2"/>
  <c r="V149" i="2"/>
  <c r="V202" i="2" s="1"/>
  <c r="V204" i="2" s="1"/>
  <c r="V205" i="2" s="1"/>
  <c r="V263" i="2" s="1"/>
  <c r="V214" i="2"/>
  <c r="V213" i="2"/>
  <c r="Q198" i="2"/>
  <c r="Q232" i="2" s="1"/>
  <c r="Q188" i="2"/>
  <c r="Q190" i="2" s="1"/>
  <c r="P219" i="2"/>
  <c r="P217" i="2"/>
  <c r="O198" i="2"/>
  <c r="O232" i="2" s="1"/>
  <c r="O188" i="2"/>
  <c r="O190" i="2" s="1"/>
  <c r="Q184" i="2"/>
  <c r="Q231" i="2" s="1"/>
  <c r="Q195" i="2"/>
  <c r="Q197" i="2" s="1"/>
  <c r="Q181" i="2"/>
  <c r="Q183" i="2" s="1"/>
  <c r="P198" i="2"/>
  <c r="P232" i="2" s="1"/>
  <c r="P188" i="2"/>
  <c r="P190" i="2" s="1"/>
  <c r="R198" i="2"/>
  <c r="R232" i="2" s="1"/>
  <c r="R188" i="2"/>
  <c r="R190" i="2" s="1"/>
  <c r="O184" i="2"/>
  <c r="O231" i="2" s="1"/>
  <c r="O195" i="2"/>
  <c r="O197" i="2" s="1"/>
  <c r="O181" i="2"/>
  <c r="O183" i="2" s="1"/>
  <c r="O219" i="2"/>
  <c r="O217" i="2"/>
  <c r="R275" i="2"/>
  <c r="R278" i="2" s="1"/>
  <c r="R276" i="2"/>
  <c r="R277" i="2" s="1"/>
  <c r="Q219" i="2"/>
  <c r="Q217" i="2"/>
  <c r="P184" i="2"/>
  <c r="P231" i="2" s="1"/>
  <c r="P181" i="2"/>
  <c r="P183" i="2" s="1"/>
  <c r="P195" i="2"/>
  <c r="P197" i="2" s="1"/>
  <c r="R184" i="2"/>
  <c r="R231" i="2" s="1"/>
  <c r="R195" i="2"/>
  <c r="R197" i="2" s="1"/>
  <c r="R181" i="2"/>
  <c r="R183" i="2" s="1"/>
  <c r="L184" i="2"/>
  <c r="L231" i="2" s="1"/>
  <c r="L195" i="2"/>
  <c r="L197" i="2" s="1"/>
  <c r="L181" i="2"/>
  <c r="L183" i="2" s="1"/>
  <c r="N252" i="2"/>
  <c r="N257" i="2"/>
  <c r="N249" i="2"/>
  <c r="K198" i="2"/>
  <c r="K232" i="2" s="1"/>
  <c r="K188" i="2"/>
  <c r="K190" i="2" s="1"/>
  <c r="M198" i="2"/>
  <c r="M232" i="2" s="1"/>
  <c r="M188" i="2"/>
  <c r="M190" i="2" s="1"/>
  <c r="L275" i="2"/>
  <c r="L278" i="2" s="1"/>
  <c r="L276" i="2"/>
  <c r="L277" i="2" s="1"/>
  <c r="N214" i="2"/>
  <c r="N213" i="2"/>
  <c r="N258" i="2"/>
  <c r="M31" i="8" s="1"/>
  <c r="M214" i="2"/>
  <c r="M213" i="2"/>
  <c r="K184" i="2"/>
  <c r="K231" i="2" s="1"/>
  <c r="K181" i="2"/>
  <c r="K183" i="2" s="1"/>
  <c r="K195" i="2"/>
  <c r="K197" i="2" s="1"/>
  <c r="M184" i="2"/>
  <c r="M231" i="2" s="1"/>
  <c r="M195" i="2"/>
  <c r="M197" i="2" s="1"/>
  <c r="M181" i="2"/>
  <c r="M183" i="2" s="1"/>
  <c r="L198" i="2"/>
  <c r="L232" i="2" s="1"/>
  <c r="L188" i="2"/>
  <c r="L190" i="2" s="1"/>
  <c r="K214" i="2"/>
  <c r="K213" i="2"/>
  <c r="J152" i="2"/>
  <c r="J239" i="2"/>
  <c r="J219" i="2"/>
  <c r="J217" i="2"/>
  <c r="J233" i="2"/>
  <c r="J235" i="2" s="1"/>
  <c r="J234" i="2"/>
  <c r="Z47" i="8"/>
  <c r="X46" i="8"/>
  <c r="X47" i="8"/>
  <c r="W47" i="8"/>
  <c r="U46" i="8"/>
  <c r="U47" i="8"/>
  <c r="T47" i="8"/>
  <c r="Q47" i="8"/>
  <c r="N47" i="8"/>
  <c r="K46" i="8"/>
  <c r="K47" i="8"/>
  <c r="H46" i="8"/>
  <c r="H29" i="8"/>
  <c r="H47" i="8"/>
  <c r="H28" i="8"/>
  <c r="X219" i="2" l="1"/>
  <c r="X217" i="2"/>
  <c r="W255" i="2"/>
  <c r="W250" i="2"/>
  <c r="W248" i="2"/>
  <c r="W256" i="2"/>
  <c r="W254" i="2"/>
  <c r="W251" i="2"/>
  <c r="W257" i="2"/>
  <c r="W249" i="2"/>
  <c r="Z254" i="2"/>
  <c r="Z248" i="2"/>
  <c r="Z251" i="2"/>
  <c r="Z256" i="2"/>
  <c r="Z250" i="2"/>
  <c r="Z255" i="2"/>
  <c r="W219" i="2"/>
  <c r="W217" i="2"/>
  <c r="Z257" i="2"/>
  <c r="Z249" i="2"/>
  <c r="Y254" i="2"/>
  <c r="Y248" i="2"/>
  <c r="Y251" i="2"/>
  <c r="Y256" i="2"/>
  <c r="Y250" i="2"/>
  <c r="Y255" i="2"/>
  <c r="Y219" i="2"/>
  <c r="Y217" i="2"/>
  <c r="Z276" i="2"/>
  <c r="Z277" i="2" s="1"/>
  <c r="Z275" i="2"/>
  <c r="Z278" i="2" s="1"/>
  <c r="X249" i="2"/>
  <c r="X257" i="2"/>
  <c r="Y257" i="2"/>
  <c r="Y249" i="2"/>
  <c r="X256" i="2"/>
  <c r="X250" i="2"/>
  <c r="X255" i="2"/>
  <c r="X251" i="2"/>
  <c r="X254" i="2"/>
  <c r="X248" i="2"/>
  <c r="X252" i="2" s="1"/>
  <c r="V184" i="2"/>
  <c r="V231" i="2" s="1"/>
  <c r="V195" i="2"/>
  <c r="V197" i="2" s="1"/>
  <c r="V181" i="2"/>
  <c r="V183" i="2" s="1"/>
  <c r="S256" i="2"/>
  <c r="S254" i="2"/>
  <c r="S251" i="2"/>
  <c r="S250" i="2"/>
  <c r="S255" i="2"/>
  <c r="S248" i="2"/>
  <c r="T294" i="2"/>
  <c r="T282" i="2"/>
  <c r="T288" i="2" s="1"/>
  <c r="T281" i="2"/>
  <c r="T286" i="2" s="1"/>
  <c r="T198" i="2"/>
  <c r="T232" i="2" s="1"/>
  <c r="T188" i="2"/>
  <c r="T190" i="2" s="1"/>
  <c r="U219" i="2"/>
  <c r="U217" i="2"/>
  <c r="V219" i="2"/>
  <c r="V217" i="2"/>
  <c r="V198" i="2"/>
  <c r="V232" i="2" s="1"/>
  <c r="V188" i="2"/>
  <c r="V190" i="2" s="1"/>
  <c r="S249" i="2"/>
  <c r="S257" i="2"/>
  <c r="T184" i="2"/>
  <c r="T231" i="2" s="1"/>
  <c r="T181" i="2"/>
  <c r="T183" i="2" s="1"/>
  <c r="T195" i="2"/>
  <c r="T197" i="2" s="1"/>
  <c r="S219" i="2"/>
  <c r="S217" i="2"/>
  <c r="R251" i="2"/>
  <c r="R256" i="2"/>
  <c r="R250" i="2"/>
  <c r="R254" i="2"/>
  <c r="R255" i="2"/>
  <c r="R248" i="2"/>
  <c r="P249" i="2"/>
  <c r="P257" i="2"/>
  <c r="O276" i="2"/>
  <c r="O277" i="2" s="1"/>
  <c r="O275" i="2"/>
  <c r="O278" i="2" s="1"/>
  <c r="Q249" i="2"/>
  <c r="Q257" i="2"/>
  <c r="P276" i="2"/>
  <c r="P277" i="2" s="1"/>
  <c r="P275" i="2"/>
  <c r="P278" i="2" s="1"/>
  <c r="Q256" i="2"/>
  <c r="Q250" i="2"/>
  <c r="Q255" i="2"/>
  <c r="Q254" i="2"/>
  <c r="Q248" i="2"/>
  <c r="Q251" i="2"/>
  <c r="O249" i="2"/>
  <c r="O257" i="2"/>
  <c r="R257" i="2"/>
  <c r="R249" i="2"/>
  <c r="P256" i="2"/>
  <c r="P250" i="2"/>
  <c r="P251" i="2"/>
  <c r="P255" i="2"/>
  <c r="P254" i="2"/>
  <c r="P248" i="2"/>
  <c r="P252" i="2" s="1"/>
  <c r="Q276" i="2"/>
  <c r="Q277" i="2" s="1"/>
  <c r="Q275" i="2"/>
  <c r="Q278" i="2" s="1"/>
  <c r="R282" i="2"/>
  <c r="R281" i="2"/>
  <c r="O256" i="2"/>
  <c r="O254" i="2"/>
  <c r="O251" i="2"/>
  <c r="O255" i="2"/>
  <c r="O248" i="2"/>
  <c r="O250" i="2"/>
  <c r="L255" i="2"/>
  <c r="L254" i="2"/>
  <c r="L248" i="2"/>
  <c r="L251" i="2"/>
  <c r="L256" i="2"/>
  <c r="L250" i="2"/>
  <c r="M219" i="2"/>
  <c r="M217" i="2"/>
  <c r="N219" i="2"/>
  <c r="N217" i="2"/>
  <c r="M255" i="2"/>
  <c r="M254" i="2"/>
  <c r="M248" i="2"/>
  <c r="M251" i="2"/>
  <c r="M256" i="2"/>
  <c r="M250" i="2"/>
  <c r="K257" i="2"/>
  <c r="K249" i="2"/>
  <c r="K219" i="2"/>
  <c r="K217" i="2"/>
  <c r="M249" i="2"/>
  <c r="M257" i="2"/>
  <c r="L282" i="2"/>
  <c r="L281" i="2"/>
  <c r="K250" i="2"/>
  <c r="K256" i="2"/>
  <c r="K254" i="2"/>
  <c r="K251" i="2"/>
  <c r="K255" i="2"/>
  <c r="K248" i="2"/>
  <c r="L249" i="2"/>
  <c r="L257" i="2"/>
  <c r="J236" i="2"/>
  <c r="J238" i="2"/>
  <c r="J237" i="2"/>
  <c r="J275" i="2"/>
  <c r="J278" i="2" s="1"/>
  <c r="J276" i="2"/>
  <c r="J277" i="2" s="1"/>
  <c r="J135" i="2"/>
  <c r="J148" i="2"/>
  <c r="J191" i="2" s="1"/>
  <c r="J262" i="2" s="1"/>
  <c r="J149" i="2"/>
  <c r="J202" i="2" s="1"/>
  <c r="J204" i="2" s="1"/>
  <c r="J205" i="2" s="1"/>
  <c r="J263" i="2" s="1"/>
  <c r="J138" i="2"/>
  <c r="N46" i="8"/>
  <c r="I141" i="2"/>
  <c r="T287" i="2" l="1"/>
  <c r="T292" i="2"/>
  <c r="T293" i="2"/>
  <c r="R258" i="2"/>
  <c r="Q31" i="8" s="1"/>
  <c r="O258" i="2"/>
  <c r="N31" i="8" s="1"/>
  <c r="M258" i="2"/>
  <c r="L31" i="8" s="1"/>
  <c r="X258" i="2"/>
  <c r="W31" i="8" s="1"/>
  <c r="Y276" i="2"/>
  <c r="Y277" i="2" s="1"/>
  <c r="Y275" i="2"/>
  <c r="Y278" i="2" s="1"/>
  <c r="Z258" i="2"/>
  <c r="Y31" i="8" s="1"/>
  <c r="W258" i="2"/>
  <c r="V31" i="8" s="1"/>
  <c r="Z282" i="2"/>
  <c r="Z281" i="2"/>
  <c r="Y252" i="2"/>
  <c r="Z252" i="2"/>
  <c r="Y258" i="2"/>
  <c r="X31" i="8" s="1"/>
  <c r="W276" i="2"/>
  <c r="W277" i="2" s="1"/>
  <c r="W275" i="2"/>
  <c r="W278" i="2" s="1"/>
  <c r="W252" i="2"/>
  <c r="X275" i="2"/>
  <c r="X278" i="2" s="1"/>
  <c r="X276" i="2"/>
  <c r="X277" i="2" s="1"/>
  <c r="V276" i="2"/>
  <c r="V277" i="2" s="1"/>
  <c r="V275" i="2"/>
  <c r="V278" i="2" s="1"/>
  <c r="T249" i="2"/>
  <c r="T257" i="2"/>
  <c r="V251" i="2"/>
  <c r="V254" i="2"/>
  <c r="V256" i="2"/>
  <c r="V250" i="2"/>
  <c r="V248" i="2"/>
  <c r="V255" i="2"/>
  <c r="U275" i="2"/>
  <c r="U278" i="2" s="1"/>
  <c r="U276" i="2"/>
  <c r="U277" i="2" s="1"/>
  <c r="T296" i="2"/>
  <c r="S32" i="8" s="1"/>
  <c r="T255" i="2"/>
  <c r="T254" i="2"/>
  <c r="T258" i="2" s="1"/>
  <c r="S31" i="8" s="1"/>
  <c r="T248" i="2"/>
  <c r="T251" i="2"/>
  <c r="T256" i="2"/>
  <c r="T250" i="2"/>
  <c r="S275" i="2"/>
  <c r="S278" i="2" s="1"/>
  <c r="S276" i="2"/>
  <c r="S277" i="2" s="1"/>
  <c r="T295" i="2"/>
  <c r="T289" i="2"/>
  <c r="T290" i="2" s="1"/>
  <c r="S252" i="2"/>
  <c r="S258" i="2"/>
  <c r="R31" i="8" s="1"/>
  <c r="V257" i="2"/>
  <c r="V249" i="2"/>
  <c r="O252" i="2"/>
  <c r="Q252" i="2"/>
  <c r="Q282" i="2"/>
  <c r="Q281" i="2"/>
  <c r="R286" i="2"/>
  <c r="R293" i="2"/>
  <c r="R292" i="2"/>
  <c r="R287" i="2"/>
  <c r="Q258" i="2"/>
  <c r="P31" i="8" s="1"/>
  <c r="P282" i="2"/>
  <c r="P281" i="2"/>
  <c r="O281" i="2"/>
  <c r="O282" i="2"/>
  <c r="R252" i="2"/>
  <c r="R289" i="2"/>
  <c r="R294" i="2"/>
  <c r="R288" i="2"/>
  <c r="R295" i="2"/>
  <c r="P258" i="2"/>
  <c r="O31" i="8" s="1"/>
  <c r="L286" i="2"/>
  <c r="L293" i="2"/>
  <c r="L287" i="2"/>
  <c r="L292" i="2"/>
  <c r="K258" i="2"/>
  <c r="J31" i="8" s="1"/>
  <c r="L288" i="2"/>
  <c r="L289" i="2"/>
  <c r="L295" i="2"/>
  <c r="L294" i="2"/>
  <c r="K275" i="2"/>
  <c r="K278" i="2" s="1"/>
  <c r="K276" i="2"/>
  <c r="K277" i="2" s="1"/>
  <c r="M276" i="2"/>
  <c r="M277" i="2" s="1"/>
  <c r="M275" i="2"/>
  <c r="M278" i="2" s="1"/>
  <c r="L252" i="2"/>
  <c r="K252" i="2"/>
  <c r="L258" i="2"/>
  <c r="K31" i="8" s="1"/>
  <c r="M252" i="2"/>
  <c r="N276" i="2"/>
  <c r="N277" i="2" s="1"/>
  <c r="N275" i="2"/>
  <c r="N278" i="2" s="1"/>
  <c r="J281" i="2"/>
  <c r="J293" i="2" s="1"/>
  <c r="J282" i="2"/>
  <c r="J294" i="2" s="1"/>
  <c r="J184" i="2"/>
  <c r="J231" i="2" s="1"/>
  <c r="J181" i="2"/>
  <c r="J183" i="2" s="1"/>
  <c r="J195" i="2"/>
  <c r="J197" i="2" s="1"/>
  <c r="J198" i="2"/>
  <c r="J232" i="2" s="1"/>
  <c r="J188" i="2"/>
  <c r="J190" i="2" s="1"/>
  <c r="I35" i="2"/>
  <c r="I34" i="2"/>
  <c r="I26" i="2"/>
  <c r="I279" i="2"/>
  <c r="I244" i="2"/>
  <c r="I243" i="2"/>
  <c r="I222" i="2"/>
  <c r="I212" i="2"/>
  <c r="I203" i="2"/>
  <c r="I196" i="2"/>
  <c r="I187" i="2"/>
  <c r="I189" i="2" s="1"/>
  <c r="I180" i="2"/>
  <c r="I182" i="2" s="1"/>
  <c r="I176" i="2"/>
  <c r="I168" i="2"/>
  <c r="I161" i="2"/>
  <c r="I160" i="2"/>
  <c r="I159" i="2"/>
  <c r="I155" i="2"/>
  <c r="I154" i="2"/>
  <c r="I153" i="2"/>
  <c r="I142" i="2"/>
  <c r="I137" i="2"/>
  <c r="I223" i="2" s="1"/>
  <c r="I224" i="2" s="1"/>
  <c r="I136" i="2"/>
  <c r="I129" i="2"/>
  <c r="I128" i="2"/>
  <c r="I125" i="2"/>
  <c r="I114" i="2"/>
  <c r="I111" i="2"/>
  <c r="I110" i="2"/>
  <c r="I106" i="2"/>
  <c r="I96" i="2"/>
  <c r="I93" i="2"/>
  <c r="I92" i="2"/>
  <c r="I76" i="2"/>
  <c r="I119" i="2" s="1"/>
  <c r="I75" i="2"/>
  <c r="I74" i="2"/>
  <c r="I73" i="2"/>
  <c r="I72" i="2"/>
  <c r="I71" i="2"/>
  <c r="I70" i="2"/>
  <c r="I109" i="2" s="1"/>
  <c r="I56" i="2"/>
  <c r="I100" i="2" s="1"/>
  <c r="I55" i="2"/>
  <c r="I54" i="2"/>
  <c r="I53" i="2"/>
  <c r="I52" i="2"/>
  <c r="I51" i="2"/>
  <c r="I50" i="2"/>
  <c r="I91" i="2" s="1"/>
  <c r="Z292" i="2" l="1"/>
  <c r="Z286" i="2"/>
  <c r="Z293" i="2"/>
  <c r="Z287" i="2"/>
  <c r="Y282" i="2"/>
  <c r="Y281" i="2"/>
  <c r="X282" i="2"/>
  <c r="X281" i="2"/>
  <c r="Z294" i="2"/>
  <c r="Z288" i="2"/>
  <c r="Z289" i="2"/>
  <c r="Z295" i="2"/>
  <c r="W281" i="2"/>
  <c r="W282" i="2"/>
  <c r="U282" i="2"/>
  <c r="U281" i="2"/>
  <c r="V258" i="2"/>
  <c r="U31" i="8" s="1"/>
  <c r="V282" i="2"/>
  <c r="V281" i="2"/>
  <c r="V252" i="2"/>
  <c r="S281" i="2"/>
  <c r="S282" i="2"/>
  <c r="T252" i="2"/>
  <c r="O292" i="2"/>
  <c r="O286" i="2"/>
  <c r="O293" i="2"/>
  <c r="O287" i="2"/>
  <c r="Q286" i="2"/>
  <c r="Q293" i="2"/>
  <c r="Q292" i="2"/>
  <c r="Q287" i="2"/>
  <c r="P292" i="2"/>
  <c r="P287" i="2"/>
  <c r="P286" i="2"/>
  <c r="P293" i="2"/>
  <c r="R296" i="2"/>
  <c r="Q32" i="8" s="1"/>
  <c r="Q294" i="2"/>
  <c r="Q288" i="2"/>
  <c r="Q289" i="2"/>
  <c r="Q295" i="2"/>
  <c r="P295" i="2"/>
  <c r="P289" i="2"/>
  <c r="P294" i="2"/>
  <c r="P288" i="2"/>
  <c r="O294" i="2"/>
  <c r="O288" i="2"/>
  <c r="O289" i="2"/>
  <c r="O295" i="2"/>
  <c r="R290" i="2"/>
  <c r="L296" i="2"/>
  <c r="K32" i="8" s="1"/>
  <c r="N282" i="2"/>
  <c r="N281" i="2"/>
  <c r="K281" i="2"/>
  <c r="K282" i="2"/>
  <c r="M282" i="2"/>
  <c r="M281" i="2"/>
  <c r="L290" i="2"/>
  <c r="J287" i="2"/>
  <c r="J292" i="2"/>
  <c r="J257" i="2"/>
  <c r="J249" i="2"/>
  <c r="J295" i="2"/>
  <c r="J289" i="2"/>
  <c r="J256" i="2"/>
  <c r="J248" i="2"/>
  <c r="J251" i="2"/>
  <c r="J254" i="2"/>
  <c r="J255" i="2"/>
  <c r="J250" i="2"/>
  <c r="J288" i="2"/>
  <c r="J286" i="2"/>
  <c r="I57" i="2"/>
  <c r="I101" i="2" s="1"/>
  <c r="I143" i="2"/>
  <c r="I144" i="2" s="1"/>
  <c r="I145" i="2" s="1"/>
  <c r="I146" i="2" s="1"/>
  <c r="I147" i="2" s="1"/>
  <c r="I130" i="2"/>
  <c r="I131" i="2" s="1"/>
  <c r="I132" i="2" s="1"/>
  <c r="I133" i="2" s="1"/>
  <c r="I134" i="2" s="1"/>
  <c r="I60" i="2"/>
  <c r="I95" i="2" s="1"/>
  <c r="I99" i="2"/>
  <c r="I77" i="2"/>
  <c r="I81" i="2"/>
  <c r="I113" i="2" s="1"/>
  <c r="I65" i="2"/>
  <c r="I103" i="2" s="1"/>
  <c r="I78" i="2"/>
  <c r="I120" i="2" s="1"/>
  <c r="I86" i="2"/>
  <c r="I122" i="2" s="1"/>
  <c r="I59" i="2"/>
  <c r="G79" i="12"/>
  <c r="G77" i="12"/>
  <c r="G76" i="12"/>
  <c r="G75" i="12"/>
  <c r="G74" i="12"/>
  <c r="G72" i="12"/>
  <c r="H58" i="12"/>
  <c r="G58" i="12"/>
  <c r="H50" i="12"/>
  <c r="H51" i="12"/>
  <c r="H52" i="12"/>
  <c r="H53" i="12"/>
  <c r="G53" i="12"/>
  <c r="G73" i="12"/>
  <c r="G52" i="12"/>
  <c r="G51" i="12"/>
  <c r="H79" i="12"/>
  <c r="H70" i="12"/>
  <c r="H71" i="12"/>
  <c r="H72" i="12"/>
  <c r="H73" i="12"/>
  <c r="H74" i="12"/>
  <c r="H75" i="12"/>
  <c r="H78" i="12" s="1"/>
  <c r="H76" i="12"/>
  <c r="H119" i="12" s="1"/>
  <c r="G78" i="12"/>
  <c r="G81" i="12"/>
  <c r="G113" i="12" s="1"/>
  <c r="G70" i="12"/>
  <c r="J63" i="11"/>
  <c r="J61" i="11"/>
  <c r="G50" i="12"/>
  <c r="H279" i="12"/>
  <c r="G279" i="12"/>
  <c r="H244" i="12"/>
  <c r="G244" i="12"/>
  <c r="H243" i="12"/>
  <c r="G243" i="12"/>
  <c r="H223" i="12"/>
  <c r="H224" i="12" s="1"/>
  <c r="G223" i="12"/>
  <c r="G224" i="12" s="1"/>
  <c r="H222" i="12"/>
  <c r="G222" i="12"/>
  <c r="H212" i="12"/>
  <c r="G212" i="12"/>
  <c r="H203" i="12"/>
  <c r="G203" i="12"/>
  <c r="H196" i="12"/>
  <c r="G196" i="12"/>
  <c r="H187" i="12"/>
  <c r="H189" i="12" s="1"/>
  <c r="G187" i="12"/>
  <c r="G189" i="12" s="1"/>
  <c r="H180" i="12"/>
  <c r="G180" i="12"/>
  <c r="H176" i="12"/>
  <c r="G176" i="12"/>
  <c r="H168" i="12"/>
  <c r="G168" i="12"/>
  <c r="H161" i="12"/>
  <c r="G161" i="12"/>
  <c r="H160" i="12"/>
  <c r="G160" i="12"/>
  <c r="H159" i="12"/>
  <c r="G159" i="12"/>
  <c r="H155" i="12"/>
  <c r="G155" i="12"/>
  <c r="H154" i="12"/>
  <c r="G154" i="12"/>
  <c r="H153" i="12"/>
  <c r="G153" i="12"/>
  <c r="H142" i="12"/>
  <c r="G142" i="12"/>
  <c r="H141" i="12"/>
  <c r="G141" i="12"/>
  <c r="H137" i="12"/>
  <c r="G137" i="12"/>
  <c r="H136" i="12"/>
  <c r="G136" i="12"/>
  <c r="H129" i="12"/>
  <c r="G129" i="12"/>
  <c r="H128" i="12"/>
  <c r="G128" i="12"/>
  <c r="H125" i="12"/>
  <c r="G125" i="12"/>
  <c r="H114" i="12"/>
  <c r="G114" i="12"/>
  <c r="H111" i="12"/>
  <c r="G111" i="12"/>
  <c r="H110" i="12"/>
  <c r="G110" i="12"/>
  <c r="H106" i="12"/>
  <c r="G106" i="12"/>
  <c r="H96" i="12"/>
  <c r="G96" i="12"/>
  <c r="H93" i="12"/>
  <c r="G93" i="12"/>
  <c r="H92" i="12"/>
  <c r="G92" i="12"/>
  <c r="H86" i="12"/>
  <c r="H122" i="12" s="1"/>
  <c r="G86" i="12"/>
  <c r="G122" i="12" s="1"/>
  <c r="G119" i="12"/>
  <c r="G120" i="12"/>
  <c r="G71" i="12"/>
  <c r="H109" i="12"/>
  <c r="G109" i="12"/>
  <c r="H56" i="12"/>
  <c r="H65" i="12" s="1"/>
  <c r="H103" i="12" s="1"/>
  <c r="G56" i="12"/>
  <c r="G65" i="12" s="1"/>
  <c r="G103" i="12" s="1"/>
  <c r="H55" i="12"/>
  <c r="H99" i="12" s="1"/>
  <c r="G55" i="12"/>
  <c r="G99" i="12" s="1"/>
  <c r="H54" i="12"/>
  <c r="G54" i="12"/>
  <c r="H91" i="12"/>
  <c r="G91" i="12"/>
  <c r="H44" i="12"/>
  <c r="G44" i="12"/>
  <c r="H42" i="12"/>
  <c r="G42" i="12"/>
  <c r="H40" i="12"/>
  <c r="G40" i="12"/>
  <c r="H35" i="12"/>
  <c r="G35" i="12"/>
  <c r="H34" i="12"/>
  <c r="G34" i="12"/>
  <c r="H26" i="12"/>
  <c r="G26" i="12"/>
  <c r="G7" i="12"/>
  <c r="X295" i="2" l="1"/>
  <c r="X294" i="2"/>
  <c r="X289" i="2"/>
  <c r="X288" i="2"/>
  <c r="W295" i="2"/>
  <c r="W294" i="2"/>
  <c r="W288" i="2"/>
  <c r="W289" i="2"/>
  <c r="Y286" i="2"/>
  <c r="Y293" i="2"/>
  <c r="Y292" i="2"/>
  <c r="Y287" i="2"/>
  <c r="Z290" i="2"/>
  <c r="X292" i="2"/>
  <c r="X287" i="2"/>
  <c r="X293" i="2"/>
  <c r="X286" i="2"/>
  <c r="W286" i="2"/>
  <c r="W292" i="2"/>
  <c r="W293" i="2"/>
  <c r="W287" i="2"/>
  <c r="Y288" i="2"/>
  <c r="Y289" i="2"/>
  <c r="Y294" i="2"/>
  <c r="Y295" i="2"/>
  <c r="Z296" i="2"/>
  <c r="Y32" i="8" s="1"/>
  <c r="V294" i="2"/>
  <c r="V295" i="2"/>
  <c r="V288" i="2"/>
  <c r="V289" i="2"/>
  <c r="S286" i="2"/>
  <c r="S293" i="2"/>
  <c r="S287" i="2"/>
  <c r="S292" i="2"/>
  <c r="U292" i="2"/>
  <c r="U286" i="2"/>
  <c r="U293" i="2"/>
  <c r="U287" i="2"/>
  <c r="S295" i="2"/>
  <c r="S288" i="2"/>
  <c r="S289" i="2"/>
  <c r="S294" i="2"/>
  <c r="V292" i="2"/>
  <c r="V287" i="2"/>
  <c r="V286" i="2"/>
  <c r="V293" i="2"/>
  <c r="U288" i="2"/>
  <c r="U289" i="2"/>
  <c r="U294" i="2"/>
  <c r="U295" i="2"/>
  <c r="P290" i="2"/>
  <c r="Q296" i="2"/>
  <c r="P32" i="8" s="1"/>
  <c r="O290" i="2"/>
  <c r="P296" i="2"/>
  <c r="O32" i="8" s="1"/>
  <c r="Q290" i="2"/>
  <c r="O296" i="2"/>
  <c r="N32" i="8" s="1"/>
  <c r="K292" i="2"/>
  <c r="K287" i="2"/>
  <c r="K293" i="2"/>
  <c r="K286" i="2"/>
  <c r="M292" i="2"/>
  <c r="M287" i="2"/>
  <c r="M286" i="2"/>
  <c r="M293" i="2"/>
  <c r="N286" i="2"/>
  <c r="N293" i="2"/>
  <c r="N292" i="2"/>
  <c r="N287" i="2"/>
  <c r="M289" i="2"/>
  <c r="M294" i="2"/>
  <c r="M295" i="2"/>
  <c r="M288" i="2"/>
  <c r="N289" i="2"/>
  <c r="N294" i="2"/>
  <c r="N288" i="2"/>
  <c r="N295" i="2"/>
  <c r="K295" i="2"/>
  <c r="K289" i="2"/>
  <c r="K294" i="2"/>
  <c r="K288" i="2"/>
  <c r="J296" i="2"/>
  <c r="I32" i="8" s="1"/>
  <c r="J252" i="2"/>
  <c r="J290" i="2"/>
  <c r="J258" i="2"/>
  <c r="I31" i="8" s="1"/>
  <c r="I230" i="2"/>
  <c r="I242" i="2"/>
  <c r="I94" i="2"/>
  <c r="I62" i="2"/>
  <c r="I80" i="2"/>
  <c r="I118" i="2"/>
  <c r="I117" i="2"/>
  <c r="H81" i="12"/>
  <c r="H113" i="12" s="1"/>
  <c r="H77" i="12"/>
  <c r="G80" i="12"/>
  <c r="G100" i="12"/>
  <c r="G143" i="12"/>
  <c r="G144" i="12" s="1"/>
  <c r="G145" i="12" s="1"/>
  <c r="G146" i="12" s="1"/>
  <c r="G147" i="12" s="1"/>
  <c r="G130" i="12"/>
  <c r="G131" i="12" s="1"/>
  <c r="G132" i="12" s="1"/>
  <c r="G133" i="12" s="1"/>
  <c r="G134" i="12" s="1"/>
  <c r="G164" i="12" s="1"/>
  <c r="G165" i="12" s="1"/>
  <c r="G182" i="12"/>
  <c r="G85" i="12"/>
  <c r="H120" i="12"/>
  <c r="H100" i="12"/>
  <c r="H164" i="12" s="1"/>
  <c r="H165" i="12" s="1"/>
  <c r="H143" i="12"/>
  <c r="H144" i="12" s="1"/>
  <c r="H145" i="12" s="1"/>
  <c r="H146" i="12" s="1"/>
  <c r="H147" i="12" s="1"/>
  <c r="H130" i="12"/>
  <c r="H131" i="12" s="1"/>
  <c r="H132" i="12" s="1"/>
  <c r="H133" i="12" s="1"/>
  <c r="H134" i="12" s="1"/>
  <c r="H182" i="12"/>
  <c r="G57" i="12"/>
  <c r="G60" i="12"/>
  <c r="G95" i="12" s="1"/>
  <c r="H57" i="12"/>
  <c r="H60" i="12"/>
  <c r="H95" i="12" s="1"/>
  <c r="J75" i="11"/>
  <c r="J76" i="11"/>
  <c r="J77" i="11"/>
  <c r="J78" i="11"/>
  <c r="J79" i="11" s="1"/>
  <c r="J80" i="11"/>
  <c r="J83" i="11"/>
  <c r="J84" i="11"/>
  <c r="J121" i="11" s="1"/>
  <c r="J277" i="11" s="1"/>
  <c r="J86" i="11"/>
  <c r="J123" i="11" s="1"/>
  <c r="J272" i="11" s="1"/>
  <c r="J273" i="11" s="1"/>
  <c r="J88" i="11"/>
  <c r="J113" i="11"/>
  <c r="J114" i="11"/>
  <c r="J115" i="11"/>
  <c r="J118" i="11"/>
  <c r="J122" i="11"/>
  <c r="J125" i="11"/>
  <c r="J128" i="11"/>
  <c r="J129" i="11"/>
  <c r="J7" i="11"/>
  <c r="J25" i="11"/>
  <c r="J30" i="11"/>
  <c r="J85" i="11" s="1"/>
  <c r="J46" i="11"/>
  <c r="J48" i="11"/>
  <c r="J50" i="11"/>
  <c r="J59" i="11"/>
  <c r="J95" i="11" s="1"/>
  <c r="J60" i="11"/>
  <c r="J96" i="11" s="1"/>
  <c r="J97" i="11"/>
  <c r="J62" i="11"/>
  <c r="J65" i="11" s="1"/>
  <c r="J66" i="11" s="1"/>
  <c r="J64" i="11"/>
  <c r="J100" i="11" s="1"/>
  <c r="J67" i="11"/>
  <c r="J103" i="11" s="1"/>
  <c r="J68" i="11"/>
  <c r="J106" i="11" s="1"/>
  <c r="J72" i="11"/>
  <c r="J104" i="11" s="1"/>
  <c r="J110" i="11"/>
  <c r="J132" i="11"/>
  <c r="J133" i="11"/>
  <c r="J140" i="11"/>
  <c r="J141" i="11"/>
  <c r="J222" i="11" s="1"/>
  <c r="J223" i="11" s="1"/>
  <c r="J144" i="11"/>
  <c r="J145" i="11"/>
  <c r="J156" i="11"/>
  <c r="J157" i="11"/>
  <c r="J158" i="11"/>
  <c r="J161" i="11"/>
  <c r="J162" i="11"/>
  <c r="J163" i="11"/>
  <c r="J170" i="11"/>
  <c r="J177" i="11"/>
  <c r="J181" i="11"/>
  <c r="J183" i="11"/>
  <c r="J187" i="11"/>
  <c r="J189" i="11" s="1"/>
  <c r="J196" i="11"/>
  <c r="J202" i="11"/>
  <c r="J211" i="11"/>
  <c r="J221" i="11"/>
  <c r="J242" i="11"/>
  <c r="J243" i="11"/>
  <c r="W296" i="2" l="1"/>
  <c r="V32" i="8" s="1"/>
  <c r="Y296" i="2"/>
  <c r="X32" i="8" s="1"/>
  <c r="W290" i="2"/>
  <c r="X296" i="2"/>
  <c r="W32" i="8" s="1"/>
  <c r="X290" i="2"/>
  <c r="Y290" i="2"/>
  <c r="V290" i="2"/>
  <c r="U290" i="2"/>
  <c r="S296" i="2"/>
  <c r="R32" i="8" s="1"/>
  <c r="V296" i="2"/>
  <c r="U32" i="8" s="1"/>
  <c r="U296" i="2"/>
  <c r="T32" i="8" s="1"/>
  <c r="S290" i="2"/>
  <c r="K290" i="2"/>
  <c r="N296" i="2"/>
  <c r="M32" i="8" s="1"/>
  <c r="M290" i="2"/>
  <c r="N290" i="2"/>
  <c r="M296" i="2"/>
  <c r="L32" i="8" s="1"/>
  <c r="K296" i="2"/>
  <c r="J32" i="8" s="1"/>
  <c r="I273" i="2"/>
  <c r="I97" i="2"/>
  <c r="I63" i="2"/>
  <c r="I98" i="2" s="1"/>
  <c r="I280" i="2"/>
  <c r="I261" i="2"/>
  <c r="I64" i="2"/>
  <c r="I112" i="2"/>
  <c r="I83" i="2"/>
  <c r="I85" i="2"/>
  <c r="G166" i="12"/>
  <c r="G167" i="12" s="1"/>
  <c r="G169" i="12" s="1"/>
  <c r="G194" i="12" s="1"/>
  <c r="H166" i="12"/>
  <c r="H167" i="12" s="1"/>
  <c r="H169" i="12" s="1"/>
  <c r="H194" i="12" s="1"/>
  <c r="G121" i="12"/>
  <c r="G87" i="12"/>
  <c r="G123" i="12" s="1"/>
  <c r="G88" i="12"/>
  <c r="G124" i="12" s="1"/>
  <c r="H80" i="12"/>
  <c r="H101" i="12"/>
  <c r="H59" i="12"/>
  <c r="H117" i="12"/>
  <c r="H118" i="12"/>
  <c r="G101" i="12"/>
  <c r="G59" i="12"/>
  <c r="G117" i="12"/>
  <c r="G118" i="12"/>
  <c r="G83" i="12"/>
  <c r="G112" i="12"/>
  <c r="J87" i="11"/>
  <c r="J90" i="11" s="1"/>
  <c r="J127" i="11" s="1"/>
  <c r="J117" i="11"/>
  <c r="J81" i="11"/>
  <c r="J116" i="11"/>
  <c r="J89" i="11"/>
  <c r="J124" i="11"/>
  <c r="J99" i="11"/>
  <c r="J134" i="11"/>
  <c r="J135" i="11" s="1"/>
  <c r="J136" i="11" s="1"/>
  <c r="J137" i="11" s="1"/>
  <c r="J138" i="11" s="1"/>
  <c r="J146" i="11"/>
  <c r="J147" i="11" s="1"/>
  <c r="J148" i="11" s="1"/>
  <c r="J149" i="11" s="1"/>
  <c r="J150" i="11" s="1"/>
  <c r="J69" i="11"/>
  <c r="J260" i="11"/>
  <c r="J279" i="11"/>
  <c r="J73" i="11"/>
  <c r="J70" i="11" s="1"/>
  <c r="I102" i="2" l="1"/>
  <c r="I67" i="2"/>
  <c r="I105" i="2" s="1"/>
  <c r="I225" i="2" s="1"/>
  <c r="I226" i="2" s="1"/>
  <c r="I227" i="2" s="1"/>
  <c r="I245" i="2" s="1"/>
  <c r="I66" i="2"/>
  <c r="I104" i="2" s="1"/>
  <c r="I88" i="2"/>
  <c r="I124" i="2" s="1"/>
  <c r="I87" i="2"/>
  <c r="I123" i="2" s="1"/>
  <c r="I121" i="2"/>
  <c r="I274" i="2"/>
  <c r="I283" i="2"/>
  <c r="I84" i="2"/>
  <c r="I116" i="2" s="1"/>
  <c r="I115" i="2"/>
  <c r="H62" i="12"/>
  <c r="H94" i="12"/>
  <c r="G115" i="12"/>
  <c r="G264" i="12" s="1"/>
  <c r="G266" i="12" s="1"/>
  <c r="G84" i="12"/>
  <c r="G116" i="12" s="1"/>
  <c r="G265" i="12" s="1"/>
  <c r="G242" i="12"/>
  <c r="G230" i="12"/>
  <c r="H242" i="12"/>
  <c r="H230" i="12"/>
  <c r="G209" i="12"/>
  <c r="G261" i="12"/>
  <c r="G280" i="12"/>
  <c r="G172" i="12"/>
  <c r="G173" i="12" s="1"/>
  <c r="G174" i="12" s="1"/>
  <c r="H261" i="12"/>
  <c r="H280" i="12"/>
  <c r="H172" i="12"/>
  <c r="H173" i="12" s="1"/>
  <c r="H174" i="12" s="1"/>
  <c r="G94" i="12"/>
  <c r="G62" i="12"/>
  <c r="G208" i="12"/>
  <c r="G215" i="12" s="1"/>
  <c r="G216" i="12" s="1"/>
  <c r="G158" i="12"/>
  <c r="G270" i="12"/>
  <c r="G273" i="12"/>
  <c r="H273" i="12"/>
  <c r="H83" i="12"/>
  <c r="H112" i="12"/>
  <c r="H85" i="12"/>
  <c r="J91" i="11"/>
  <c r="J126" i="11"/>
  <c r="J173" i="11" s="1"/>
  <c r="J174" i="11" s="1"/>
  <c r="J175" i="11" s="1"/>
  <c r="J82" i="11"/>
  <c r="J120" i="11" s="1"/>
  <c r="J119" i="11"/>
  <c r="J71" i="11"/>
  <c r="J109" i="11" s="1"/>
  <c r="J224" i="11" s="1"/>
  <c r="J225" i="11" s="1"/>
  <c r="J226" i="11" s="1"/>
  <c r="J244" i="11" s="1"/>
  <c r="J107" i="11"/>
  <c r="J166" i="11" s="1"/>
  <c r="J167" i="11" s="1"/>
  <c r="J168" i="11" s="1"/>
  <c r="J169" i="11" s="1"/>
  <c r="J171" i="11" s="1"/>
  <c r="J194" i="11" s="1"/>
  <c r="J142" i="11" s="1"/>
  <c r="J108" i="11"/>
  <c r="J155" i="11" s="1"/>
  <c r="J151" i="11" s="1"/>
  <c r="J105" i="11"/>
  <c r="J238" i="11" s="1"/>
  <c r="J98" i="11"/>
  <c r="J160" i="11"/>
  <c r="J207" i="11"/>
  <c r="J214" i="11" s="1"/>
  <c r="J215" i="11" s="1"/>
  <c r="J269" i="11"/>
  <c r="J264" i="11"/>
  <c r="J208" i="11"/>
  <c r="I152" i="2" l="1"/>
  <c r="I239" i="2"/>
  <c r="I264" i="2"/>
  <c r="I266" i="2" s="1"/>
  <c r="I265" i="2"/>
  <c r="I209" i="2"/>
  <c r="I208" i="2"/>
  <c r="I215" i="2" s="1"/>
  <c r="I216" i="2" s="1"/>
  <c r="I158" i="2"/>
  <c r="I270" i="2"/>
  <c r="I233" i="2"/>
  <c r="I235" i="2" s="1"/>
  <c r="I234" i="2"/>
  <c r="G269" i="12"/>
  <c r="G268" i="12"/>
  <c r="G97" i="12"/>
  <c r="G63" i="12"/>
  <c r="G98" i="12" s="1"/>
  <c r="H115" i="12"/>
  <c r="H84" i="12"/>
  <c r="H116" i="12" s="1"/>
  <c r="G283" i="12"/>
  <c r="G274" i="12"/>
  <c r="G211" i="12"/>
  <c r="G210" i="12"/>
  <c r="H97" i="12"/>
  <c r="H63" i="12"/>
  <c r="H98" i="12" s="1"/>
  <c r="H283" i="12"/>
  <c r="H274" i="12"/>
  <c r="H177" i="12"/>
  <c r="H175" i="12"/>
  <c r="H201" i="12" s="1"/>
  <c r="H121" i="12"/>
  <c r="H87" i="12"/>
  <c r="H123" i="12" s="1"/>
  <c r="H88" i="12"/>
  <c r="H124" i="12" s="1"/>
  <c r="G64" i="12"/>
  <c r="G177" i="12"/>
  <c r="G175" i="12"/>
  <c r="G201" i="12" s="1"/>
  <c r="G267" i="12" s="1"/>
  <c r="H64" i="12"/>
  <c r="J176" i="11"/>
  <c r="J200" i="11" s="1"/>
  <c r="J152" i="11" s="1"/>
  <c r="J178" i="11"/>
  <c r="J139" i="11"/>
  <c r="J241" i="11"/>
  <c r="J229" i="11"/>
  <c r="J188" i="11"/>
  <c r="J190" i="11" s="1"/>
  <c r="J263" i="11"/>
  <c r="J265" i="11" s="1"/>
  <c r="J209" i="11"/>
  <c r="J210" i="11"/>
  <c r="J191" i="11"/>
  <c r="J262" i="11" s="1"/>
  <c r="J267" i="11"/>
  <c r="J266" i="11"/>
  <c r="J268" i="11"/>
  <c r="J102" i="11"/>
  <c r="J101" i="11"/>
  <c r="I210" i="2" l="1"/>
  <c r="I211" i="2"/>
  <c r="I238" i="2"/>
  <c r="I269" i="2"/>
  <c r="I148" i="2"/>
  <c r="I191" i="2" s="1"/>
  <c r="I262" i="2" s="1"/>
  <c r="I135" i="2"/>
  <c r="H265" i="12"/>
  <c r="H209" i="12"/>
  <c r="H264" i="12"/>
  <c r="H266" i="12" s="1"/>
  <c r="H67" i="12"/>
  <c r="H105" i="12" s="1"/>
  <c r="H225" i="12" s="1"/>
  <c r="H226" i="12" s="1"/>
  <c r="H227" i="12" s="1"/>
  <c r="H245" i="12" s="1"/>
  <c r="H66" i="12"/>
  <c r="H104" i="12" s="1"/>
  <c r="H102" i="12"/>
  <c r="G213" i="12"/>
  <c r="G214" i="12"/>
  <c r="G67" i="12"/>
  <c r="G105" i="12" s="1"/>
  <c r="G225" i="12" s="1"/>
  <c r="G226" i="12" s="1"/>
  <c r="G227" i="12" s="1"/>
  <c r="G245" i="12" s="1"/>
  <c r="G102" i="12"/>
  <c r="G66" i="12"/>
  <c r="G104" i="12" s="1"/>
  <c r="H208" i="12"/>
  <c r="H215" i="12" s="1"/>
  <c r="H216" i="12" s="1"/>
  <c r="H158" i="12"/>
  <c r="H270" i="12"/>
  <c r="J290" i="11"/>
  <c r="J285" i="11"/>
  <c r="J282" i="11"/>
  <c r="J284" i="11"/>
  <c r="J288" i="11"/>
  <c r="J289" i="11"/>
  <c r="J212" i="11"/>
  <c r="J213" i="11" s="1"/>
  <c r="J201" i="11"/>
  <c r="J203" i="11" s="1"/>
  <c r="J204" i="11" s="1"/>
  <c r="J261" i="11" s="1"/>
  <c r="J195" i="11"/>
  <c r="J197" i="11" s="1"/>
  <c r="J198" i="11" s="1"/>
  <c r="J231" i="11" s="1"/>
  <c r="J233" i="11"/>
  <c r="J182" i="11"/>
  <c r="J184" i="11" s="1"/>
  <c r="J185" i="11" s="1"/>
  <c r="J230" i="11" s="1"/>
  <c r="J232" i="11"/>
  <c r="J234" i="11" s="1"/>
  <c r="I184" i="2" l="1"/>
  <c r="I231" i="2" s="1"/>
  <c r="I181" i="2"/>
  <c r="I183" i="2" s="1"/>
  <c r="I195" i="2"/>
  <c r="I214" i="2"/>
  <c r="I213" i="2"/>
  <c r="G152" i="12"/>
  <c r="G239" i="12"/>
  <c r="H152" i="12"/>
  <c r="H239" i="12"/>
  <c r="G234" i="12"/>
  <c r="G233" i="12"/>
  <c r="G235" i="12" s="1"/>
  <c r="H211" i="12"/>
  <c r="H210" i="12"/>
  <c r="G219" i="12"/>
  <c r="G217" i="12"/>
  <c r="H234" i="12"/>
  <c r="H233" i="12"/>
  <c r="H235" i="12" s="1"/>
  <c r="H269" i="12"/>
  <c r="H267" i="12"/>
  <c r="H268" i="12"/>
  <c r="J218" i="11"/>
  <c r="J216" i="11"/>
  <c r="J248" i="11"/>
  <c r="J256" i="11"/>
  <c r="J236" i="11"/>
  <c r="J235" i="11"/>
  <c r="J247" i="11" s="1"/>
  <c r="J237" i="11"/>
  <c r="J253" i="11" s="1"/>
  <c r="J255" i="11"/>
  <c r="J250" i="11"/>
  <c r="J254" i="11"/>
  <c r="J291" i="11"/>
  <c r="J283" i="11"/>
  <c r="I219" i="2" l="1"/>
  <c r="I217" i="2"/>
  <c r="I257" i="2"/>
  <c r="I249" i="2"/>
  <c r="H238" i="12"/>
  <c r="H236" i="12"/>
  <c r="H237" i="12"/>
  <c r="G275" i="12"/>
  <c r="G278" i="12" s="1"/>
  <c r="G276" i="12"/>
  <c r="G277" i="12" s="1"/>
  <c r="H148" i="12"/>
  <c r="H191" i="12" s="1"/>
  <c r="H262" i="12" s="1"/>
  <c r="H135" i="12"/>
  <c r="H138" i="12"/>
  <c r="H149" i="12"/>
  <c r="H202" i="12" s="1"/>
  <c r="H204" i="12" s="1"/>
  <c r="H205" i="12" s="1"/>
  <c r="H263" i="12" s="1"/>
  <c r="G238" i="12"/>
  <c r="G236" i="12"/>
  <c r="G237" i="12"/>
  <c r="H213" i="12"/>
  <c r="H214" i="12"/>
  <c r="G148" i="12"/>
  <c r="G191" i="12" s="1"/>
  <c r="G262" i="12" s="1"/>
  <c r="G135" i="12"/>
  <c r="G138" i="12"/>
  <c r="G149" i="12"/>
  <c r="G202" i="12" s="1"/>
  <c r="G204" i="12" s="1"/>
  <c r="G205" i="12" s="1"/>
  <c r="G263" i="12" s="1"/>
  <c r="J249" i="11"/>
  <c r="J251" i="11" s="1"/>
  <c r="J257" i="11"/>
  <c r="J274" i="11"/>
  <c r="J278" i="11" s="1"/>
  <c r="J275" i="11"/>
  <c r="J276" i="11" s="1"/>
  <c r="I276" i="2" l="1"/>
  <c r="I277" i="2" s="1"/>
  <c r="I275" i="2"/>
  <c r="I278" i="2" s="1"/>
  <c r="G184" i="12"/>
  <c r="G231" i="12" s="1"/>
  <c r="G195" i="12"/>
  <c r="G197" i="12" s="1"/>
  <c r="G181" i="12"/>
  <c r="G183" i="12" s="1"/>
  <c r="H198" i="12"/>
  <c r="H232" i="12" s="1"/>
  <c r="H188" i="12"/>
  <c r="H190" i="12" s="1"/>
  <c r="H184" i="12"/>
  <c r="H231" i="12" s="1"/>
  <c r="H181" i="12"/>
  <c r="H183" i="12" s="1"/>
  <c r="H195" i="12"/>
  <c r="H197" i="12" s="1"/>
  <c r="H219" i="12"/>
  <c r="H217" i="12"/>
  <c r="G281" i="12"/>
  <c r="G287" i="12" s="1"/>
  <c r="G282" i="12"/>
  <c r="G295" i="12" s="1"/>
  <c r="G198" i="12"/>
  <c r="G232" i="12" s="1"/>
  <c r="G188" i="12"/>
  <c r="G190" i="12" s="1"/>
  <c r="I281" i="2" l="1"/>
  <c r="I282" i="2"/>
  <c r="G293" i="12"/>
  <c r="G288" i="12"/>
  <c r="G286" i="12"/>
  <c r="G294" i="12"/>
  <c r="G296" i="12" s="1"/>
  <c r="G292" i="12"/>
  <c r="H249" i="12"/>
  <c r="H257" i="12"/>
  <c r="G248" i="12"/>
  <c r="G251" i="12"/>
  <c r="G254" i="12"/>
  <c r="G255" i="12"/>
  <c r="G250" i="12"/>
  <c r="G256" i="12"/>
  <c r="G289" i="12"/>
  <c r="G290" i="12" s="1"/>
  <c r="H248" i="12"/>
  <c r="H256" i="12"/>
  <c r="H255" i="12"/>
  <c r="H251" i="12"/>
  <c r="H250" i="12"/>
  <c r="H254" i="12"/>
  <c r="H276" i="12"/>
  <c r="H277" i="12" s="1"/>
  <c r="H275" i="12"/>
  <c r="H278" i="12" s="1"/>
  <c r="G257" i="12"/>
  <c r="G249" i="12"/>
  <c r="G48" i="8"/>
  <c r="F48" i="8"/>
  <c r="G36" i="8"/>
  <c r="F36" i="8"/>
  <c r="G17" i="8"/>
  <c r="F17" i="8"/>
  <c r="H279" i="2"/>
  <c r="H244" i="2"/>
  <c r="H243" i="2"/>
  <c r="H222" i="2"/>
  <c r="H212" i="2"/>
  <c r="H203" i="2"/>
  <c r="H196" i="2"/>
  <c r="H187" i="2"/>
  <c r="H189" i="2" s="1"/>
  <c r="H180" i="2"/>
  <c r="H176" i="2"/>
  <c r="H168" i="2"/>
  <c r="H161" i="2"/>
  <c r="H160" i="2"/>
  <c r="H159" i="2"/>
  <c r="H155" i="2"/>
  <c r="H154" i="2"/>
  <c r="H153" i="2"/>
  <c r="H142" i="2"/>
  <c r="H141" i="2"/>
  <c r="H137" i="2"/>
  <c r="H223" i="2" s="1"/>
  <c r="H224" i="2" s="1"/>
  <c r="H136" i="2"/>
  <c r="H129" i="2"/>
  <c r="H128" i="2"/>
  <c r="H125" i="2"/>
  <c r="H114" i="2"/>
  <c r="H111" i="2"/>
  <c r="H110" i="2"/>
  <c r="H106" i="2"/>
  <c r="H96" i="2"/>
  <c r="H93" i="2"/>
  <c r="H92" i="2"/>
  <c r="H76" i="2"/>
  <c r="H119" i="2" s="1"/>
  <c r="H75" i="2"/>
  <c r="H74" i="2"/>
  <c r="H73" i="2"/>
  <c r="H72" i="2"/>
  <c r="H81" i="2" s="1"/>
  <c r="H113" i="2" s="1"/>
  <c r="H71" i="2"/>
  <c r="H70" i="2"/>
  <c r="H109" i="2" s="1"/>
  <c r="H56" i="2"/>
  <c r="H55" i="2"/>
  <c r="H99" i="2" s="1"/>
  <c r="H54" i="2"/>
  <c r="H53" i="2"/>
  <c r="H52" i="2"/>
  <c r="H51" i="2"/>
  <c r="H50" i="2"/>
  <c r="H91" i="2" s="1"/>
  <c r="G46" i="8"/>
  <c r="G28" i="8"/>
  <c r="H35" i="2"/>
  <c r="H34" i="2"/>
  <c r="H26" i="2"/>
  <c r="G125" i="2"/>
  <c r="G279" i="2"/>
  <c r="G243" i="2"/>
  <c r="G75" i="2"/>
  <c r="G70" i="2"/>
  <c r="G50" i="2"/>
  <c r="G35" i="2"/>
  <c r="G142" i="2"/>
  <c r="G34" i="2"/>
  <c r="G161" i="2"/>
  <c r="G160" i="2"/>
  <c r="G159" i="2"/>
  <c r="G74" i="2"/>
  <c r="G73" i="2"/>
  <c r="G72" i="2"/>
  <c r="G71" i="2"/>
  <c r="I295" i="2" l="1"/>
  <c r="I287" i="2"/>
  <c r="H252" i="12"/>
  <c r="H281" i="12"/>
  <c r="H282" i="12"/>
  <c r="G252" i="12"/>
  <c r="H258" i="12"/>
  <c r="G258" i="12"/>
  <c r="G47" i="8"/>
  <c r="H130" i="2"/>
  <c r="H131" i="2" s="1"/>
  <c r="H132" i="2" s="1"/>
  <c r="H133" i="2" s="1"/>
  <c r="H134" i="2" s="1"/>
  <c r="H65" i="2"/>
  <c r="H103" i="2" s="1"/>
  <c r="G29" i="8"/>
  <c r="H86" i="2"/>
  <c r="H122" i="2" s="1"/>
  <c r="H100" i="2"/>
  <c r="H57" i="2"/>
  <c r="H101" i="2" s="1"/>
  <c r="H77" i="2"/>
  <c r="H143" i="2"/>
  <c r="H144" i="2" s="1"/>
  <c r="H78" i="2"/>
  <c r="H120" i="2" s="1"/>
  <c r="H182" i="2"/>
  <c r="H60" i="2"/>
  <c r="H95" i="2" s="1"/>
  <c r="G155" i="2"/>
  <c r="G154" i="2"/>
  <c r="G153" i="2"/>
  <c r="G129" i="2"/>
  <c r="G141" i="2"/>
  <c r="G128" i="2"/>
  <c r="G76" i="2"/>
  <c r="G119" i="2" s="1"/>
  <c r="G109" i="2"/>
  <c r="G114" i="2"/>
  <c r="G111" i="2"/>
  <c r="G110" i="2"/>
  <c r="G106" i="2"/>
  <c r="G96" i="2"/>
  <c r="G93" i="2"/>
  <c r="G92" i="2"/>
  <c r="G56" i="2"/>
  <c r="G222" i="2"/>
  <c r="G91" i="2"/>
  <c r="H230" i="2" l="1"/>
  <c r="H295" i="12"/>
  <c r="H288" i="12"/>
  <c r="H294" i="12"/>
  <c r="H289" i="12"/>
  <c r="H292" i="12"/>
  <c r="H286" i="12"/>
  <c r="H293" i="12"/>
  <c r="H287" i="12"/>
  <c r="H59" i="2"/>
  <c r="H94" i="2" s="1"/>
  <c r="H145" i="2"/>
  <c r="H146" i="2" s="1"/>
  <c r="H147" i="2" s="1"/>
  <c r="H242" i="2"/>
  <c r="H117" i="2"/>
  <c r="H118" i="2"/>
  <c r="H80" i="2"/>
  <c r="G81" i="2"/>
  <c r="G77" i="2"/>
  <c r="G100" i="2"/>
  <c r="G86" i="2"/>
  <c r="G122" i="2" s="1"/>
  <c r="G78" i="2"/>
  <c r="G120" i="2" s="1"/>
  <c r="G130" i="2"/>
  <c r="G131" i="2" s="1"/>
  <c r="G132" i="2" s="1"/>
  <c r="G143" i="2"/>
  <c r="G144" i="2" s="1"/>
  <c r="H296" i="12" l="1"/>
  <c r="H290" i="12"/>
  <c r="H62" i="2"/>
  <c r="G145" i="2"/>
  <c r="G146" i="2" s="1"/>
  <c r="G147" i="2" s="1"/>
  <c r="H280" i="2"/>
  <c r="H261" i="2"/>
  <c r="H97" i="2"/>
  <c r="H63" i="2"/>
  <c r="H98" i="2" s="1"/>
  <c r="H112" i="2"/>
  <c r="H83" i="2"/>
  <c r="H85" i="2"/>
  <c r="H64" i="2"/>
  <c r="H273" i="2"/>
  <c r="G80" i="2"/>
  <c r="G83" i="2" s="1"/>
  <c r="G117" i="2"/>
  <c r="G118" i="2"/>
  <c r="G85" i="2" l="1"/>
  <c r="G121" i="2" s="1"/>
  <c r="H66" i="2"/>
  <c r="H104" i="2" s="1"/>
  <c r="H102" i="2"/>
  <c r="H67" i="2"/>
  <c r="H105" i="2" s="1"/>
  <c r="H225" i="2" s="1"/>
  <c r="H226" i="2" s="1"/>
  <c r="H227" i="2" s="1"/>
  <c r="H245" i="2" s="1"/>
  <c r="H121" i="2"/>
  <c r="H88" i="2"/>
  <c r="H124" i="2" s="1"/>
  <c r="H87" i="2"/>
  <c r="H123" i="2" s="1"/>
  <c r="H84" i="2"/>
  <c r="H116" i="2" s="1"/>
  <c r="H115" i="2"/>
  <c r="H274" i="2"/>
  <c r="H283" i="2"/>
  <c r="G280" i="2"/>
  <c r="G261" i="2"/>
  <c r="G212" i="2"/>
  <c r="G87" i="2" l="1"/>
  <c r="G88" i="2"/>
  <c r="G124" i="2" s="1"/>
  <c r="H158" i="2"/>
  <c r="H208" i="2"/>
  <c r="H215" i="2" s="1"/>
  <c r="H216" i="2" s="1"/>
  <c r="H270" i="2"/>
  <c r="H233" i="2"/>
  <c r="H235" i="2" s="1"/>
  <c r="H234" i="2"/>
  <c r="H152" i="2"/>
  <c r="H239" i="2"/>
  <c r="H264" i="2"/>
  <c r="H266" i="2" s="1"/>
  <c r="H265" i="2"/>
  <c r="H209" i="2"/>
  <c r="G209" i="2"/>
  <c r="G123" i="2"/>
  <c r="G208" i="2" s="1"/>
  <c r="G203" i="2"/>
  <c r="G136" i="2"/>
  <c r="G187" i="2"/>
  <c r="G189" i="2" s="1"/>
  <c r="G176" i="2"/>
  <c r="G168" i="2"/>
  <c r="G137" i="2"/>
  <c r="G53" i="2"/>
  <c r="G52" i="2"/>
  <c r="G51" i="2"/>
  <c r="H148" i="2" l="1"/>
  <c r="H191" i="2" s="1"/>
  <c r="H262" i="2" s="1"/>
  <c r="H135" i="2"/>
  <c r="H269" i="2"/>
  <c r="H238" i="2"/>
  <c r="H211" i="2"/>
  <c r="H210" i="2"/>
  <c r="G210" i="2"/>
  <c r="G211" i="2"/>
  <c r="G214" i="2" s="1"/>
  <c r="G219" i="2" s="1"/>
  <c r="G215" i="2"/>
  <c r="G216" i="2" s="1"/>
  <c r="G270" i="2"/>
  <c r="G158" i="2"/>
  <c r="H214" i="2" l="1"/>
  <c r="H213" i="2"/>
  <c r="H184" i="2"/>
  <c r="H231" i="2" s="1"/>
  <c r="H181" i="2"/>
  <c r="H183" i="2" s="1"/>
  <c r="H195" i="2"/>
  <c r="G213" i="2"/>
  <c r="G54" i="2"/>
  <c r="H249" i="2" l="1"/>
  <c r="H257" i="2"/>
  <c r="H219" i="2"/>
  <c r="H217" i="2"/>
  <c r="G55" i="2"/>
  <c r="H276" i="2" l="1"/>
  <c r="H277" i="2" s="1"/>
  <c r="H275" i="2"/>
  <c r="H278" i="2" s="1"/>
  <c r="G99" i="2"/>
  <c r="G60" i="2"/>
  <c r="G95" i="2" s="1"/>
  <c r="G57" i="2"/>
  <c r="G113" i="2"/>
  <c r="G217" i="2"/>
  <c r="G275" i="2" s="1"/>
  <c r="G65" i="2"/>
  <c r="G103" i="2" s="1"/>
  <c r="H281" i="2" l="1"/>
  <c r="H282" i="2"/>
  <c r="G276" i="2"/>
  <c r="G277" i="2" s="1"/>
  <c r="G101" i="2"/>
  <c r="G273" i="2"/>
  <c r="G283" i="2" s="1"/>
  <c r="G59" i="2"/>
  <c r="G196" i="2"/>
  <c r="G230" i="2" l="1"/>
  <c r="H295" i="2"/>
  <c r="H287" i="2"/>
  <c r="G94" i="2"/>
  <c r="G62" i="2"/>
  <c r="G63" i="2" s="1"/>
  <c r="G274" i="2"/>
  <c r="G278" i="2" s="1"/>
  <c r="G242" i="2"/>
  <c r="G112" i="2"/>
  <c r="G84" i="2"/>
  <c r="G97" i="2" l="1"/>
  <c r="G282" i="2"/>
  <c r="G281" i="2"/>
  <c r="G64" i="2"/>
  <c r="G116" i="2"/>
  <c r="G115" i="2"/>
  <c r="G264" i="2" s="1"/>
  <c r="G98" i="2"/>
  <c r="G223" i="2"/>
  <c r="G224" i="2" s="1"/>
  <c r="G244" i="2"/>
  <c r="G180" i="2"/>
  <c r="G182" i="2" s="1"/>
  <c r="F28" i="8" l="1"/>
  <c r="F47" i="8"/>
  <c r="F29" i="8"/>
  <c r="F46" i="8"/>
  <c r="G265" i="2"/>
  <c r="G67" i="2"/>
  <c r="G105" i="2" s="1"/>
  <c r="G102" i="2"/>
  <c r="G233" i="2" s="1"/>
  <c r="G66" i="2"/>
  <c r="G104" i="2" s="1"/>
  <c r="G266" i="2"/>
  <c r="G269" i="2" l="1"/>
  <c r="G133" i="2"/>
  <c r="G134" i="2" s="1"/>
  <c r="G26" i="2" l="1"/>
  <c r="G152" i="2" l="1"/>
  <c r="G239" i="2"/>
  <c r="G7" i="2"/>
  <c r="I164" i="2" l="1"/>
  <c r="I165" i="2" s="1"/>
  <c r="I166" i="2" s="1"/>
  <c r="I167" i="2" s="1"/>
  <c r="I169" i="2" s="1"/>
  <c r="I194" i="2" s="1"/>
  <c r="I172" i="2"/>
  <c r="I173" i="2" s="1"/>
  <c r="I174" i="2" s="1"/>
  <c r="H164" i="2"/>
  <c r="H165" i="2" s="1"/>
  <c r="H166" i="2" s="1"/>
  <c r="H167" i="2" s="1"/>
  <c r="H169" i="2" s="1"/>
  <c r="H194" i="2" s="1"/>
  <c r="H172" i="2"/>
  <c r="H173" i="2" s="1"/>
  <c r="H174" i="2" s="1"/>
  <c r="G172" i="2"/>
  <c r="G173" i="2" s="1"/>
  <c r="G174" i="2" s="1"/>
  <c r="G175" i="2" s="1"/>
  <c r="G201" i="2" s="1"/>
  <c r="G164" i="2"/>
  <c r="G165" i="2" s="1"/>
  <c r="G235" i="2"/>
  <c r="I177" i="2" l="1"/>
  <c r="I175" i="2"/>
  <c r="I201" i="2" s="1"/>
  <c r="I236" i="2"/>
  <c r="I138" i="2"/>
  <c r="I237" i="2"/>
  <c r="G268" i="2"/>
  <c r="G267" i="2"/>
  <c r="H175" i="2"/>
  <c r="H201" i="2" s="1"/>
  <c r="H177" i="2"/>
  <c r="H138" i="2"/>
  <c r="H236" i="2"/>
  <c r="H237" i="2"/>
  <c r="G135" i="2"/>
  <c r="G148" i="2"/>
  <c r="G225" i="2"/>
  <c r="G234" i="2"/>
  <c r="I149" i="2" l="1"/>
  <c r="I202" i="2" s="1"/>
  <c r="I204" i="2" s="1"/>
  <c r="I205" i="2" s="1"/>
  <c r="I263" i="2" s="1"/>
  <c r="I267" i="2"/>
  <c r="I268" i="2"/>
  <c r="I188" i="2"/>
  <c r="I190" i="2" s="1"/>
  <c r="I198" i="2"/>
  <c r="I232" i="2" s="1"/>
  <c r="I248" i="2" s="1"/>
  <c r="I197" i="2"/>
  <c r="H268" i="2"/>
  <c r="H267" i="2"/>
  <c r="H149" i="2"/>
  <c r="H202" i="2" s="1"/>
  <c r="H204" i="2" s="1"/>
  <c r="H205" i="2" s="1"/>
  <c r="H263" i="2" s="1"/>
  <c r="H198" i="2"/>
  <c r="H232" i="2" s="1"/>
  <c r="H188" i="2"/>
  <c r="H190" i="2" s="1"/>
  <c r="H197" i="2"/>
  <c r="G238" i="2"/>
  <c r="G226" i="2"/>
  <c r="G227" i="2" s="1"/>
  <c r="G245" i="2" s="1"/>
  <c r="G177" i="2"/>
  <c r="G181" i="2"/>
  <c r="G183" i="2" s="1"/>
  <c r="G195" i="2"/>
  <c r="G166" i="2"/>
  <c r="I251" i="2" l="1"/>
  <c r="I254" i="2"/>
  <c r="I250" i="2"/>
  <c r="I256" i="2"/>
  <c r="I255" i="2"/>
  <c r="I289" i="2"/>
  <c r="I292" i="2"/>
  <c r="I294" i="2"/>
  <c r="I293" i="2"/>
  <c r="I288" i="2"/>
  <c r="I286" i="2"/>
  <c r="H250" i="2"/>
  <c r="H256" i="2"/>
  <c r="H254" i="2"/>
  <c r="H248" i="2"/>
  <c r="H255" i="2"/>
  <c r="H251" i="2"/>
  <c r="H294" i="2"/>
  <c r="H292" i="2"/>
  <c r="H289" i="2"/>
  <c r="H286" i="2"/>
  <c r="H288" i="2"/>
  <c r="H293" i="2"/>
  <c r="G149" i="2"/>
  <c r="G202" i="2" s="1"/>
  <c r="G204" i="2" s="1"/>
  <c r="G205" i="2" s="1"/>
  <c r="G263" i="2" s="1"/>
  <c r="G167" i="2"/>
  <c r="G184" i="2"/>
  <c r="G231" i="2" s="1"/>
  <c r="I296" i="2" l="1"/>
  <c r="H32" i="8" s="1"/>
  <c r="I258" i="2"/>
  <c r="H31" i="8" s="1"/>
  <c r="I290" i="2"/>
  <c r="I252" i="2"/>
  <c r="H290" i="2"/>
  <c r="H296" i="2"/>
  <c r="G32" i="8" s="1"/>
  <c r="H252" i="2"/>
  <c r="H258" i="2"/>
  <c r="G31" i="8" s="1"/>
  <c r="G257" i="2"/>
  <c r="G169" i="2"/>
  <c r="G194" i="2" s="1"/>
  <c r="G237" i="2" l="1"/>
  <c r="G236" i="2"/>
  <c r="G249" i="2"/>
  <c r="G138" i="2"/>
  <c r="G188" i="2" s="1"/>
  <c r="G190" i="2" s="1"/>
  <c r="G197" i="2" l="1"/>
  <c r="G198" i="2" s="1"/>
  <c r="G232" i="2" s="1"/>
  <c r="G191" i="2"/>
  <c r="G262" i="2" s="1"/>
  <c r="G287" i="2" l="1"/>
  <c r="G295" i="2"/>
  <c r="G292" i="2"/>
  <c r="G293" i="2"/>
  <c r="G286" i="2"/>
  <c r="G288" i="2"/>
  <c r="G289" i="2"/>
  <c r="G294" i="2"/>
  <c r="G296" i="2" l="1"/>
  <c r="F32" i="8" s="1"/>
  <c r="G254" i="2"/>
  <c r="G255" i="2"/>
  <c r="G256" i="2"/>
  <c r="G290" i="2"/>
  <c r="G248" i="2"/>
  <c r="G251" i="2"/>
  <c r="G250" i="2"/>
  <c r="G252" i="2" l="1"/>
  <c r="G258" i="2"/>
  <c r="F31" i="8" s="1"/>
  <c r="J292" i="11"/>
  <c r="J286" i="11"/>
</calcChain>
</file>

<file path=xl/comments1.xml><?xml version="1.0" encoding="utf-8"?>
<comments xmlns="http://schemas.openxmlformats.org/spreadsheetml/2006/main">
  <authors>
    <author>Author</author>
  </authors>
  <commentList>
    <comment ref="A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no 4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it is "1" then it is compression,  tension</t>
        </r>
      </text>
    </comment>
  </commentList>
</comments>
</file>

<file path=xl/sharedStrings.xml><?xml version="1.0" encoding="utf-8"?>
<sst xmlns="http://schemas.openxmlformats.org/spreadsheetml/2006/main" count="2702" uniqueCount="357">
  <si>
    <t>Inputs</t>
  </si>
  <si>
    <t>Youngs Modulus (E)</t>
  </si>
  <si>
    <t>Ksi</t>
  </si>
  <si>
    <t>Yield Strength (fy)</t>
  </si>
  <si>
    <t>poissions Ration</t>
  </si>
  <si>
    <t>-</t>
  </si>
  <si>
    <t>Effective moment of inertia, Ie</t>
  </si>
  <si>
    <t>Effective area, Ae</t>
  </si>
  <si>
    <t>Web height, hw</t>
  </si>
  <si>
    <t>Thickness of web, tw</t>
  </si>
  <si>
    <t>mm</t>
  </si>
  <si>
    <t>mm^3</t>
  </si>
  <si>
    <t>mm^2</t>
  </si>
  <si>
    <t>Effective radius of gyration, ie</t>
  </si>
  <si>
    <t>Distance of support centroid from web,ef</t>
  </si>
  <si>
    <t>c</t>
  </si>
  <si>
    <t>mm2</t>
  </si>
  <si>
    <t>X COG</t>
  </si>
  <si>
    <t>Y COG</t>
  </si>
  <si>
    <t>Thickness of flange, tf</t>
  </si>
  <si>
    <t>e</t>
  </si>
  <si>
    <t>Area of web, Aw</t>
  </si>
  <si>
    <t>Area of flange, Af</t>
  </si>
  <si>
    <t>mm^4</t>
  </si>
  <si>
    <t>σx, sd</t>
  </si>
  <si>
    <t>Mpa</t>
  </si>
  <si>
    <t>σy, sd</t>
  </si>
  <si>
    <t>Flange eccentricity, ef</t>
  </si>
  <si>
    <t>Width of flange, b</t>
  </si>
  <si>
    <t>τsd</t>
  </si>
  <si>
    <t>fep</t>
  </si>
  <si>
    <t>η</t>
  </si>
  <si>
    <t>C</t>
  </si>
  <si>
    <t>for λT&gt;0.6</t>
  </si>
  <si>
    <t>for λT&lt;=0.6</t>
  </si>
  <si>
    <t>λ&lt;=0.2</t>
  </si>
  <si>
    <t>λ&gt;0.2</t>
  </si>
  <si>
    <t>Shear Modulus (G)</t>
  </si>
  <si>
    <t>1Ksi</t>
  </si>
  <si>
    <t>The axial force, Ny,Sd</t>
  </si>
  <si>
    <t>The lateral line load, qSd</t>
  </si>
  <si>
    <t>Area of Stiffener, As</t>
  </si>
  <si>
    <t>Effective moment of inertia, IGe</t>
  </si>
  <si>
    <t>FeG</t>
  </si>
  <si>
    <t>P0, compression in x direction</t>
  </si>
  <si>
    <t>P0, tension in x direction</t>
  </si>
  <si>
    <t>Effective radius of gyration, iGe</t>
  </si>
  <si>
    <t>Elastic section modulus on plate side, WeP</t>
  </si>
  <si>
    <t>Elastic section modulus on girder, WeG</t>
  </si>
  <si>
    <t>Stiffener</t>
  </si>
  <si>
    <t>VA Comments</t>
  </si>
  <si>
    <t>Length of Flange, c</t>
  </si>
  <si>
    <t>OK</t>
  </si>
  <si>
    <t>Charasterstic Buckling Strength of stiffener, fk</t>
  </si>
  <si>
    <t>Characteristic Strength, fr</t>
  </si>
  <si>
    <t>DnV-RP-C201,Section 7.5, eqn 7.26</t>
  </si>
  <si>
    <t>DnV-RP-C201,Section 7.5, eqn7.26</t>
  </si>
  <si>
    <t>DnV-RP-C201,Section 7.5, eqn7.24</t>
  </si>
  <si>
    <t>DnV-RP-C201,Section 7.5, eqn7.38</t>
  </si>
  <si>
    <t>DnV-RP-C201,Section 7.5, eqn7.42</t>
  </si>
  <si>
    <t>DnV-RP-C201,Section 7.5, eqn7.43</t>
  </si>
  <si>
    <t>DnV-RP-C201,Section 7.5, eqn7.44</t>
  </si>
  <si>
    <t>DnV-RP-C201,Section 7.5, eqn7.41</t>
  </si>
  <si>
    <t>DnV-RP-C201,Section 7.5, eqn7.39</t>
  </si>
  <si>
    <t>DnV-RP-C201,Section 7.5, eqn7.37</t>
  </si>
  <si>
    <t>DnV-RP-C201,Section 7.5, eqn7.36</t>
  </si>
  <si>
    <t>DnV-RP-C201,Section 7.5, eqn7.35</t>
  </si>
  <si>
    <t>DnV-RP-C201,Section 7.5, eqn7.32</t>
  </si>
  <si>
    <t>DnV-RP-C201,Section 7.5, eqn7.30</t>
  </si>
  <si>
    <t>DnV-RP-C201,Section 7.5, eqn7.29</t>
  </si>
  <si>
    <t>DnV-RP-C201,Section 7.5, eqn7.28</t>
  </si>
  <si>
    <t>DnV-RP-C201,Section 7.5, eqn7.27</t>
  </si>
  <si>
    <t>DnV-RP-C201,Section 7.5, eqn7.23</t>
  </si>
  <si>
    <t>DnV-RP-C201,Section 7.5, eqn7.21 and 7.22</t>
  </si>
  <si>
    <t>DnV-RP-C201,Section 7.5, eqn7.25</t>
  </si>
  <si>
    <t>DnV-RP-C201,Section 7.5, eqn7.27 ans 7.28</t>
  </si>
  <si>
    <t>DnV-RP-C201,Section 7.5, eqn 7.38</t>
  </si>
  <si>
    <t>Schematics</t>
  </si>
  <si>
    <t>Units</t>
  </si>
  <si>
    <t>DnV-RP-C201,Section 8.2, eqn8.1</t>
  </si>
  <si>
    <t>DnV-RP-C201,Section 8.2, eqn8.6</t>
  </si>
  <si>
    <t>DnV-RP-C201,Section 8.2, eqn8.4</t>
  </si>
  <si>
    <t>DnV-RP-C201,Section 8.2, eqn8.5</t>
  </si>
  <si>
    <t>DnV-RP-C201,Section 8.2, eqn8.3</t>
  </si>
  <si>
    <t>DnV-RP-C201,Section 8.2, eqn8.7</t>
  </si>
  <si>
    <t>DnV-RP-C201,Section 8.2, eqn8.2</t>
  </si>
  <si>
    <t>DnV-RP-C201,Section 8.3, eqn8.11</t>
  </si>
  <si>
    <t>DnV-RP-C201,Section 8.3, eqn8.8</t>
  </si>
  <si>
    <t>DnV-RP-C201,Section 8.3, eqn8.9</t>
  </si>
  <si>
    <t>DnV-RP-C201,Section 8.3, eqn8.13</t>
  </si>
  <si>
    <t>DnV-RP-C201,Section 8.3, eqn8.12</t>
  </si>
  <si>
    <t>DnV-RP-C201,Section 8.3, eqn8.15</t>
  </si>
  <si>
    <t>DnV-RP-C201,Section 8.3, eqn8.14</t>
  </si>
  <si>
    <t>DnV-RP-C201,Section 8.4.3, eqn8.32</t>
  </si>
  <si>
    <t>Condition</t>
  </si>
  <si>
    <t>Euler buckling shear strength for plate, fEpτ</t>
  </si>
  <si>
    <t>Euler buckling strength for plate due to
transverse stresses, fEpy</t>
  </si>
  <si>
    <t>Euler buckling strength for plate due to
longitudinal stresses, fEpx</t>
  </si>
  <si>
    <t>torsional elastic buckling strength, fET</t>
  </si>
  <si>
    <t>characteristic torsional buckling strength, fT</t>
  </si>
  <si>
    <t>design von Mises’ equivalent stress, σj,sd</t>
  </si>
  <si>
    <t>reduced equivalent slenderness, λe^2</t>
  </si>
  <si>
    <t>Factor, β</t>
  </si>
  <si>
    <t>coefficient, geometric parameter, μ</t>
  </si>
  <si>
    <t>reduced torsional slenderness, λT</t>
  </si>
  <si>
    <t>Factor, Q</t>
  </si>
  <si>
    <t>reduced slenderness, λG</t>
  </si>
  <si>
    <t>design bending moment resistance on
stiffener side in tension, Mst,Rd</t>
  </si>
  <si>
    <t>design bending moment resistance on plate
side, Mp,Rd</t>
  </si>
  <si>
    <t>design bending moment resistance on
stiffener side, Ms1,Rd</t>
  </si>
  <si>
    <t>design bending moment resistance on
stiffener side, Ms2,Rd</t>
  </si>
  <si>
    <t>design plate induced axial buckling resistance for plate, Nkp,Rd</t>
  </si>
  <si>
    <t>design axial force, NRd</t>
  </si>
  <si>
    <t>critical shear stress, τCrg</t>
  </si>
  <si>
    <t>Thickness of Adjoining Hull Plate, t</t>
  </si>
  <si>
    <t>Reference Equation and Assumptions</t>
  </si>
  <si>
    <t>Width of Adjoining Hull Plate, s</t>
  </si>
  <si>
    <t>Euler Buckling Strength, fE (For buckling length)</t>
  </si>
  <si>
    <t>N</t>
  </si>
  <si>
    <t>N/m</t>
  </si>
  <si>
    <t>Design Lateral Load, Psd</t>
  </si>
  <si>
    <t>Design Lateral Pressure, psd</t>
  </si>
  <si>
    <t>N.m</t>
  </si>
  <si>
    <r>
      <t xml:space="preserve">Material resistance factor, </t>
    </r>
    <r>
      <rPr>
        <sz val="11"/>
        <color theme="1"/>
        <rFont val="Calibri"/>
        <family val="2"/>
      </rPr>
      <t>ϒm</t>
    </r>
  </si>
  <si>
    <t>Plate side distance, Zp</t>
  </si>
  <si>
    <t>Stiffener side distance, Zt</t>
  </si>
  <si>
    <t>DnV-RP-C201,Section 7.7.3, eqn7.65</t>
  </si>
  <si>
    <t>DnV-RP-C201,Section 7.7.3, eqn7.66</t>
  </si>
  <si>
    <t>DnV-RP-C201,Section 7.7.3, eqn7.67</t>
  </si>
  <si>
    <t>DnV-RP-C201,Section 7.7.3, eqn7.71</t>
  </si>
  <si>
    <t>DnV-RP-C201,Section 7.7.3, eqn7.68</t>
  </si>
  <si>
    <t>DnV-RP-C201,Section 7.7.3, eqn7.69</t>
  </si>
  <si>
    <t>DnV-RP-C201,Section 7.7.3, eqn7.70</t>
  </si>
  <si>
    <t>Elastic section modulus on stiffener, WeS</t>
  </si>
  <si>
    <t>Euler buckling strength, NE</t>
  </si>
  <si>
    <t>DnV-RP-C201,Section 7.7.3, eqn7.72</t>
  </si>
  <si>
    <t>ksi</t>
  </si>
  <si>
    <t>DnV-RP-C201,Section 7.5, eqn7.40</t>
  </si>
  <si>
    <t>&lt; 1</t>
  </si>
  <si>
    <t>Buckling of Stiffener - L &amp; T Cross-section</t>
  </si>
  <si>
    <t>Plate Side - Stiffener Buckling Resistance</t>
  </si>
  <si>
    <t>Design axial force, NRd</t>
  </si>
  <si>
    <t>Design induced axial buckling resistance for plate, Nkp,Rd</t>
  </si>
  <si>
    <t>Design induced axial buckling resistance for stiffener, Nks,Rd</t>
  </si>
  <si>
    <t>Design bending moment resistance on
stiffener side, Ms1,Rd</t>
  </si>
  <si>
    <t>Design bending moment resistance on
stiffener side, Ms2,Rd</t>
  </si>
  <si>
    <t>Design bending moment resistance on
stiffener side in tension, Mst,Rd</t>
  </si>
  <si>
    <t>Design bending moment resistance on
plate side, Mp,Rd</t>
  </si>
  <si>
    <t>Equivalent axial force, NSd</t>
  </si>
  <si>
    <t>Nm</t>
  </si>
  <si>
    <t>Bending Moment, M1,sd</t>
  </si>
  <si>
    <t>Bending Moment, M2,sd</t>
  </si>
  <si>
    <t>DnV-RP-C201,Section 7.2, eqn7.1</t>
  </si>
  <si>
    <t>DnV-RP-C201,Section 7.7, eqn7.58</t>
  </si>
  <si>
    <t>U</t>
  </si>
  <si>
    <t>DnV-RP-C201,Section 7.7, Equation</t>
  </si>
  <si>
    <t>Stiffener Side - Stiffener Shear Resistance</t>
  </si>
  <si>
    <t>TRdy</t>
  </si>
  <si>
    <t>TRdl</t>
  </si>
  <si>
    <t>TRds</t>
  </si>
  <si>
    <t>Tcrs</t>
  </si>
  <si>
    <t>DnV-RP-C201,Section 7.6, eqn7.45</t>
  </si>
  <si>
    <t>DnV-RP-C201,Section 7.6, eqn7.46</t>
  </si>
  <si>
    <t>DnV-RP-C201,Section 7.2, eqn7.6</t>
  </si>
  <si>
    <t>Tcdl</t>
  </si>
  <si>
    <t>TRd</t>
  </si>
  <si>
    <t>DnV-RP-C201,Section 7.71, eqn7.50</t>
  </si>
  <si>
    <t>Utilization 1</t>
  </si>
  <si>
    <t>Utilization 2</t>
  </si>
  <si>
    <t>Utilization 3</t>
  </si>
  <si>
    <t>Utilization 4</t>
  </si>
  <si>
    <t>DnV-RP-C201,Section 7.71, eqn7.51</t>
  </si>
  <si>
    <t>DnV-RP-C201,Section 7.71, eqn7.52</t>
  </si>
  <si>
    <t>DnV-RP-C201,Section 7.71, eqn7.53</t>
  </si>
  <si>
    <t>Maximum Utilization</t>
  </si>
  <si>
    <t>DnV-RP-C201,Section 7.5, eqn7.65</t>
  </si>
  <si>
    <t>check</t>
  </si>
  <si>
    <t>Moment of inertia of flange about z-axis, IZ</t>
  </si>
  <si>
    <t>Moment of inertia of plate  , Ip (About Y axis)</t>
  </si>
  <si>
    <t>Moment of inertia of stiffener , Is (About Y axis)</t>
  </si>
  <si>
    <t>reduced slenderness, column slenderness
parameter for plate side, λ_bar</t>
  </si>
  <si>
    <t>reduced slenderness, column slenderness
parameter for stiffener side, λ_bar</t>
  </si>
  <si>
    <t>Area of plate, Ap</t>
  </si>
  <si>
    <t>T</t>
  </si>
  <si>
    <r>
      <t>Stiffness parameter between stiffeners, K</t>
    </r>
    <r>
      <rPr>
        <vertAlign val="subscript"/>
        <sz val="11"/>
        <color theme="1"/>
        <rFont val="Calibri"/>
        <family val="2"/>
      </rPr>
      <t>l</t>
    </r>
  </si>
  <si>
    <r>
      <t>Stiffness parameter without Stiffeners, K</t>
    </r>
    <r>
      <rPr>
        <vertAlign val="subscript"/>
        <sz val="11"/>
        <color theme="1"/>
        <rFont val="Calibri"/>
        <family val="2"/>
      </rPr>
      <t>g</t>
    </r>
  </si>
  <si>
    <t>DnV-RP-C201,Section 7.2, eqn7.7</t>
  </si>
  <si>
    <t>Panel Properties</t>
  </si>
  <si>
    <t>Section Type</t>
  </si>
  <si>
    <t>lk (Assumng no Lateral Load)</t>
  </si>
  <si>
    <t>DnV-RP-C201,Section 7.5, eqn 7.74</t>
  </si>
  <si>
    <t>Distance between sideways supports of stiffener, lt</t>
  </si>
  <si>
    <r>
      <t>Length of girder, L</t>
    </r>
    <r>
      <rPr>
        <vertAlign val="subscript"/>
        <sz val="11"/>
        <color theme="1"/>
        <rFont val="Calibri"/>
        <family val="2"/>
        <scheme val="minor"/>
      </rPr>
      <t>G</t>
    </r>
  </si>
  <si>
    <t>Span length (i.e. stiffener Length), l</t>
  </si>
  <si>
    <t>Y_COG_plate</t>
  </si>
  <si>
    <t>Y_COG_Web</t>
  </si>
  <si>
    <t>Y_COG_Flange</t>
  </si>
  <si>
    <t>Y_A (Centroid with effective Plate Flange)</t>
  </si>
  <si>
    <t>e, Y_B (Centroid without Plate Flange)</t>
  </si>
  <si>
    <t>DnV-RP-C201,Section 7.5, eqn7.73</t>
  </si>
  <si>
    <t>Effective moment of inertia, Ie (About X Axis)</t>
  </si>
  <si>
    <t>Moment of inertia of stiffener , Is (About X axis)</t>
  </si>
  <si>
    <t>Moment of inertia of flange (About X Axis)</t>
  </si>
  <si>
    <t>Length Condition is not checked, Minor</t>
  </si>
  <si>
    <t>Description</t>
  </si>
  <si>
    <t>Frame 81</t>
  </si>
  <si>
    <r>
      <t>Effective Length of girder, L</t>
    </r>
    <r>
      <rPr>
        <vertAlign val="subscript"/>
        <sz val="11"/>
        <color theme="1"/>
        <rFont val="Calibri"/>
        <family val="2"/>
        <scheme val="minor"/>
      </rPr>
      <t>Ge</t>
    </r>
  </si>
  <si>
    <t>Girder</t>
  </si>
  <si>
    <t>Area of Girder, AG</t>
  </si>
  <si>
    <t>elastic buckling strength, τcel</t>
  </si>
  <si>
    <t>elastic buckling strength, τceg</t>
  </si>
  <si>
    <t>Effective moment of inertia, IGe (About X Axis)</t>
  </si>
  <si>
    <t>Length of Panel, LP</t>
  </si>
  <si>
    <r>
      <t>λ</t>
    </r>
    <r>
      <rPr>
        <sz val="11"/>
        <color theme="1"/>
        <rFont val="Arial"/>
        <family val="2"/>
      </rPr>
      <t>τ&lt;=1</t>
    </r>
  </si>
  <si>
    <r>
      <t>λ</t>
    </r>
    <r>
      <rPr>
        <sz val="11"/>
        <color theme="1"/>
        <rFont val="Arial"/>
        <family val="2"/>
      </rPr>
      <t>τ&gt;1</t>
    </r>
  </si>
  <si>
    <r>
      <t>λ</t>
    </r>
    <r>
      <rPr>
        <sz val="11"/>
        <color theme="1"/>
        <rFont val="Arial"/>
        <family val="2"/>
      </rPr>
      <t>τ</t>
    </r>
  </si>
  <si>
    <t>τsd&gt;τCrg</t>
  </si>
  <si>
    <t>τsd&lt;=τCrg</t>
  </si>
  <si>
    <t>P0</t>
  </si>
  <si>
    <t>Moment of inertia of Girder , IG (About Y axis)</t>
  </si>
  <si>
    <t>Thickness of Plate, t</t>
  </si>
  <si>
    <t>Length of plate, l</t>
  </si>
  <si>
    <t>width ofplate, s</t>
  </si>
  <si>
    <t>H-35 C-DECK CONST. (FR.73 ~ FR.98)</t>
  </si>
  <si>
    <t xml:space="preserve">Transverse Web Stiffener, Frame 81 </t>
  </si>
  <si>
    <t>Thickness of web girder, tw</t>
  </si>
  <si>
    <t>Web height of girder, hwG</t>
  </si>
  <si>
    <t xml:space="preserve">Transverse Web Stiffener, Frame 124 </t>
  </si>
  <si>
    <t>Stiffener Resistance</t>
  </si>
  <si>
    <t xml:space="preserve">Stiffener Loading </t>
  </si>
  <si>
    <t>Stiffener Combined Loading Utilization, Lateral Pressure on Plate side</t>
  </si>
  <si>
    <t>Stiffener Combined Loading Utilization, Lateral Pressure on Stiffener side</t>
  </si>
  <si>
    <t>FEA Panel Response</t>
  </si>
  <si>
    <t>Loads in Addition to FEA</t>
  </si>
  <si>
    <r>
      <t>Stiffener Lateral Line Load q</t>
    </r>
    <r>
      <rPr>
        <vertAlign val="subscript"/>
        <sz val="11"/>
        <color theme="1"/>
        <rFont val="Calibri"/>
        <family val="2"/>
      </rPr>
      <t>Sd</t>
    </r>
  </si>
  <si>
    <t>Stiffener Later Line Load - Distance of nuetral axis to the working point of the axial force, Z*</t>
  </si>
  <si>
    <t>High Level notes</t>
  </si>
  <si>
    <t>Port Side - Stiffener</t>
  </si>
  <si>
    <t>Compression</t>
  </si>
  <si>
    <t xml:space="preserve">Port Side - Girder </t>
  </si>
  <si>
    <t>Starboard Side - Stiffener</t>
  </si>
  <si>
    <t xml:space="preserve">Starboard Side - Girder </t>
  </si>
  <si>
    <t>Tension</t>
  </si>
  <si>
    <t xml:space="preserve">Girder Loading </t>
  </si>
  <si>
    <t>Girder Combined Loading Utilization, Lateral Pressure on Plate side</t>
  </si>
  <si>
    <t>Girder Combined Loading Utilization, Lateral Pressure on Stiffener side</t>
  </si>
  <si>
    <t>Girder Resistance</t>
  </si>
  <si>
    <t>design plate induced axial buckling resistance for girder, Nks,Rd</t>
  </si>
  <si>
    <t>DnV-RP-C201,Section 8.3, eqn8.10</t>
  </si>
  <si>
    <t>MP to check</t>
  </si>
  <si>
    <t>Reference</t>
  </si>
  <si>
    <t>Component</t>
  </si>
  <si>
    <r>
      <t>Thickness of flange, t</t>
    </r>
    <r>
      <rPr>
        <b/>
        <sz val="8"/>
        <color theme="1"/>
        <rFont val="Calibri"/>
        <family val="2"/>
        <scheme val="minor"/>
      </rPr>
      <t>f</t>
    </r>
  </si>
  <si>
    <r>
      <t>Web height of girder, h</t>
    </r>
    <r>
      <rPr>
        <b/>
        <sz val="8"/>
        <color theme="1"/>
        <rFont val="Calibri"/>
        <family val="2"/>
        <scheme val="minor"/>
      </rPr>
      <t>wG</t>
    </r>
  </si>
  <si>
    <r>
      <t>Web thickness, t</t>
    </r>
    <r>
      <rPr>
        <b/>
        <sz val="8"/>
        <color theme="1"/>
        <rFont val="Calibri"/>
        <family val="2"/>
        <scheme val="minor"/>
      </rPr>
      <t>w</t>
    </r>
  </si>
  <si>
    <r>
      <t>Length of Panel, L</t>
    </r>
    <r>
      <rPr>
        <b/>
        <sz val="8"/>
        <color theme="1"/>
        <rFont val="Calibri"/>
        <family val="2"/>
        <scheme val="minor"/>
      </rPr>
      <t>p</t>
    </r>
  </si>
  <si>
    <r>
      <t>Length of Girder, L</t>
    </r>
    <r>
      <rPr>
        <b/>
        <sz val="8"/>
        <color theme="1"/>
        <rFont val="Calibri"/>
        <family val="2"/>
        <scheme val="minor"/>
      </rPr>
      <t>G</t>
    </r>
  </si>
  <si>
    <t>H-36 C-DECK CONST. (FR.98 1-2 ~ FR.124 1-2)</t>
  </si>
  <si>
    <t xml:space="preserve">Use ANSYS Y for this input </t>
  </si>
  <si>
    <t>Stiffener - T Section</t>
  </si>
  <si>
    <t>Girder - T Section</t>
  </si>
  <si>
    <t xml:space="preserve">Stiffener - Structural Properties </t>
  </si>
  <si>
    <t xml:space="preserve">Girder - Structural Properties </t>
  </si>
  <si>
    <t>Stiffener - Parameters &amp; Factors</t>
  </si>
  <si>
    <t>Girder - Parameters &amp; Factors</t>
  </si>
  <si>
    <t>Stiffener - Euler Buckling Strength (Theoretical)</t>
  </si>
  <si>
    <t>Girder - Euler Buckling Strength (Theoretical)</t>
  </si>
  <si>
    <t>Stiffener - Torsional Buckling Strength</t>
  </si>
  <si>
    <t>Girder - Torsional Buckling Strength</t>
  </si>
  <si>
    <t>Plate</t>
  </si>
  <si>
    <t>Stiffener Side - Stiffener Buckling Resistance</t>
  </si>
  <si>
    <t>Stiffener Side - Girder Buckling Resistance</t>
  </si>
  <si>
    <t>Plate Side - Girder Buckling Resistance</t>
  </si>
  <si>
    <t>Area of Web, Aw</t>
  </si>
  <si>
    <t>?</t>
  </si>
  <si>
    <t>#</t>
  </si>
  <si>
    <t>Girder Force Calculation</t>
  </si>
  <si>
    <t>Check</t>
  </si>
  <si>
    <t>Distance of Lateral Load, Z*</t>
  </si>
  <si>
    <t>Lateral Plate Stress</t>
  </si>
  <si>
    <t>Maximum Buckle Resistance Utilization</t>
  </si>
  <si>
    <t>%</t>
  </si>
  <si>
    <t>Plate Stress in Stiffener Axial Direction</t>
  </si>
  <si>
    <t>Maximum Buckle Resistance Utilization - Girder</t>
  </si>
  <si>
    <t>Maximum Buckle Resistance Utilization - Web Stiffener</t>
  </si>
  <si>
    <t>Plate Stress in Stinger Axial Direction</t>
  </si>
  <si>
    <t>P0 Compression flag</t>
  </si>
  <si>
    <t>yes/no</t>
  </si>
  <si>
    <t>yes</t>
  </si>
  <si>
    <t>Frame 124</t>
  </si>
  <si>
    <t>Frame 81 Panel</t>
  </si>
  <si>
    <t>Frame 124 Panel</t>
  </si>
  <si>
    <t>VA to check</t>
  </si>
  <si>
    <t>Match with Stiffener (MP)</t>
  </si>
  <si>
    <t>Loading Converted into Force
-&gt; ANSYS X should be resisted by Longitudinal; ANSYS Z by transverse stiffeners</t>
  </si>
  <si>
    <t>ok</t>
  </si>
  <si>
    <t>Buckling Strength</t>
  </si>
  <si>
    <t>Stiffener/girder Side - Stiffener Buckling Resistance</t>
  </si>
  <si>
    <t>Torsional Buckling Strength</t>
  </si>
  <si>
    <t>Euler Buckling Strength (Theoretical)</t>
  </si>
  <si>
    <t>Parameters and factors</t>
  </si>
  <si>
    <t>Geometric Properties Calculation</t>
  </si>
  <si>
    <t xml:space="preserve">Girder Structural Properties </t>
  </si>
  <si>
    <t>Clean this section only to include what is needed for future calcualtions. May do this together.</t>
  </si>
  <si>
    <t xml:space="preserve">Stiffener Structural Properties </t>
  </si>
  <si>
    <t>Area of girder, AG</t>
  </si>
  <si>
    <t>mm4</t>
  </si>
  <si>
    <t>DnV-RP-C201,Section 7.5, eqn7.33</t>
  </si>
  <si>
    <t>Effective area, AGe</t>
  </si>
  <si>
    <t>Effective Area of girder, Age</t>
  </si>
  <si>
    <t>Area of stiffener, As</t>
  </si>
  <si>
    <t>Stiffener side distance for girder, Zt</t>
  </si>
  <si>
    <t>DnV-RP-C201,Section 7.5, fig 7.3</t>
  </si>
  <si>
    <t>Plate side distance for girder, Zp</t>
  </si>
  <si>
    <t>Distance of support centroid from web, ef</t>
  </si>
  <si>
    <t>MP to confirm</t>
  </si>
  <si>
    <t>DnV-RP-C201,Section 7.5, eqn 7.32</t>
  </si>
  <si>
    <t>??</t>
  </si>
  <si>
    <t>Should add flange</t>
  </si>
  <si>
    <t>Stiffener side distance for stiffener, Zt</t>
  </si>
  <si>
    <t xml:space="preserve">See above. This may be Zp. Also check formula. </t>
  </si>
  <si>
    <t>Plate side distance for stiffener, Zp</t>
  </si>
  <si>
    <t>This should be Zt? Are they inverted?</t>
  </si>
  <si>
    <t>Find meaning</t>
  </si>
  <si>
    <t>Assumed that Y CoG will be equal to e</t>
  </si>
  <si>
    <t>http://s3.amazonaws.com/ppt-download/centroidsmomentsofinertia-121222071213-phpapp02.pdf?response-content-disposition=attachment&amp;Signature=jdkzNAr8ZcAeejbWDP1ahC%2FTamI%3D&amp;Expires=1454415334&amp;AWSAccessKeyId=AKIAJ6D6SEMXSASXHDAQ</t>
  </si>
  <si>
    <t>Reference?</t>
  </si>
  <si>
    <t xml:space="preserve">L  Section - Structural Properties </t>
  </si>
  <si>
    <t>Use ANSYS X for girder &amp; ANSYS Y for stiffener in this row</t>
  </si>
  <si>
    <t>FEA Loading</t>
  </si>
  <si>
    <t>if this is 3500, calculation fails</t>
  </si>
  <si>
    <t>Geometric Inputs</t>
  </si>
  <si>
    <t xml:space="preserve"> Type (Stiffener/Girder)</t>
  </si>
  <si>
    <t>Stiffener/Girder</t>
  </si>
  <si>
    <t>MP Updates</t>
  </si>
  <si>
    <t>Map</t>
  </si>
  <si>
    <t>L</t>
  </si>
  <si>
    <t>Frame 16</t>
  </si>
  <si>
    <t xml:space="preserve">Use ANSYS Z for this input </t>
  </si>
  <si>
    <t xml:space="preserve">Use ANSYS X for this input </t>
  </si>
  <si>
    <t>ZX stress</t>
  </si>
  <si>
    <t>DAF 1.0</t>
  </si>
  <si>
    <t>DAF 1.08</t>
  </si>
  <si>
    <t>DAF 1.16</t>
  </si>
  <si>
    <t>DAF 1.23</t>
  </si>
  <si>
    <t>DAF 1.31</t>
  </si>
  <si>
    <t>Low Stiffness</t>
  </si>
  <si>
    <t>High Stiffness</t>
  </si>
  <si>
    <t>Frame 16 Panel</t>
  </si>
  <si>
    <t>Transverse Web Stiffener, Frame 16</t>
  </si>
  <si>
    <t>Shear Stress</t>
  </si>
  <si>
    <t>Frame 12</t>
  </si>
  <si>
    <t>Frame 12 Panel</t>
  </si>
  <si>
    <t>DAF 1.2</t>
  </si>
  <si>
    <t>DAF 1.5</t>
  </si>
  <si>
    <t>DAF 1.7</t>
  </si>
  <si>
    <t>DAF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</si>
</sst>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[$-409]dd/mmm/yy;@"/>
    <numFmt numFmtId="165" formatCode="0.0"/>
    <numFmt numFmtId="166" formatCode="0.0E+00"/>
    <numFmt numFmtId="167" formatCode="0.0&quot; mm&quot;"/>
    <numFmt numFmtId="168" formatCode="0.00&quot; Mpa&quot;"/>
    <numFmt numFmtId="169" formatCode="0.0&quot; Mpa&quot;"/>
    <numFmt numFmtId="170" formatCode="0.00&quot; Ksi&quot;"/>
    <numFmt numFmtId="171" formatCode="0.0&quot; mm2&quot;"/>
    <numFmt numFmtId="172" formatCode="0.00E+00&quot; mm4&quot;"/>
    <numFmt numFmtId="173" formatCode="0&quot; Ksi&quot;"/>
    <numFmt numFmtId="174" formatCode="0.00E+00&quot; N&quot;"/>
    <numFmt numFmtId="175" formatCode="0.00E+00&quot; mm3&quot;"/>
    <numFmt numFmtId="176" formatCode="0.00E+00&quot; N.m&quot;"/>
    <numFmt numFmtId="177" formatCode="0.00&quot; N/m&quot;"/>
    <numFmt numFmtId="178" formatCode="0.000"/>
    <numFmt numFmtId="179" formatCode="0.0E+00&quot; N.m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64" fontId="0" fillId="0" borderId="0"/>
    <xf numFmtId="164" fontId="1" fillId="0" borderId="0"/>
    <xf numFmtId="164" fontId="21" fillId="0" borderId="0" applyNumberFormat="0" applyFill="0" applyBorder="0" applyAlignment="0" applyProtection="0"/>
  </cellStyleXfs>
  <cellXfs count="125">
    <xf numFmtId="164" fontId="0" fillId="0" borderId="0" xfId="0"/>
    <xf numFmtId="2" fontId="0" fillId="0" borderId="0" xfId="0" applyNumberFormat="1"/>
    <xf numFmtId="164" fontId="4" fillId="0" borderId="0" xfId="0" applyFont="1"/>
    <xf numFmtId="2" fontId="4" fillId="0" borderId="0" xfId="0" applyNumberFormat="1" applyFont="1"/>
    <xf numFmtId="164" fontId="0" fillId="0" borderId="0" xfId="0" applyBorder="1"/>
    <xf numFmtId="164" fontId="4" fillId="0" borderId="1" xfId="0" applyFont="1" applyBorder="1"/>
    <xf numFmtId="164" fontId="0" fillId="0" borderId="1" xfId="0" applyBorder="1"/>
    <xf numFmtId="11" fontId="0" fillId="0" borderId="1" xfId="0" applyNumberFormat="1" applyBorder="1"/>
    <xf numFmtId="2" fontId="2" fillId="0" borderId="1" xfId="0" applyNumberFormat="1" applyFont="1" applyBorder="1"/>
    <xf numFmtId="2" fontId="0" fillId="0" borderId="1" xfId="0" applyNumberFormat="1" applyBorder="1"/>
    <xf numFmtId="2" fontId="4" fillId="0" borderId="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164" fontId="8" fillId="0" borderId="1" xfId="0" applyFont="1" applyBorder="1"/>
    <xf numFmtId="2" fontId="8" fillId="0" borderId="1" xfId="0" applyNumberFormat="1" applyFont="1" applyBorder="1"/>
    <xf numFmtId="165" fontId="0" fillId="0" borderId="1" xfId="0" applyNumberFormat="1" applyBorder="1"/>
    <xf numFmtId="164" fontId="8" fillId="0" borderId="1" xfId="0" applyFont="1" applyBorder="1" applyAlignment="1">
      <alignment wrapText="1"/>
    </xf>
    <xf numFmtId="164" fontId="0" fillId="0" borderId="1" xfId="0" applyBorder="1" applyAlignment="1">
      <alignment horizontal="center"/>
    </xf>
    <xf numFmtId="164" fontId="0" fillId="0" borderId="0" xfId="0" applyFill="1"/>
    <xf numFmtId="164" fontId="8" fillId="0" borderId="1" xfId="0" applyFont="1" applyBorder="1" applyAlignment="1">
      <alignment horizontal="center"/>
    </xf>
    <xf numFmtId="0" fontId="0" fillId="0" borderId="1" xfId="0" applyNumberFormat="1" applyBorder="1"/>
    <xf numFmtId="2" fontId="10" fillId="0" borderId="0" xfId="0" applyNumberFormat="1" applyFont="1"/>
    <xf numFmtId="2" fontId="10" fillId="0" borderId="1" xfId="0" applyNumberFormat="1" applyFont="1" applyBorder="1"/>
    <xf numFmtId="2" fontId="5" fillId="0" borderId="0" xfId="0" applyNumberFormat="1" applyFont="1" applyBorder="1"/>
    <xf numFmtId="2" fontId="6" fillId="0" borderId="0" xfId="0" applyNumberFormat="1" applyFont="1"/>
    <xf numFmtId="2" fontId="5" fillId="0" borderId="0" xfId="0" applyNumberFormat="1" applyFont="1"/>
    <xf numFmtId="2" fontId="8" fillId="0" borderId="0" xfId="0" applyNumberFormat="1" applyFont="1"/>
    <xf numFmtId="2" fontId="7" fillId="0" borderId="0" xfId="0" applyNumberFormat="1" applyFont="1"/>
    <xf numFmtId="2" fontId="10" fillId="0" borderId="1" xfId="1" applyNumberFormat="1" applyFont="1" applyBorder="1" applyAlignment="1"/>
    <xf numFmtId="2" fontId="3" fillId="0" borderId="1" xfId="0" applyNumberFormat="1" applyFont="1" applyBorder="1"/>
    <xf numFmtId="2" fontId="3" fillId="0" borderId="1" xfId="0" applyNumberFormat="1" applyFont="1" applyBorder="1" applyAlignment="1">
      <alignment wrapText="1"/>
    </xf>
    <xf numFmtId="2" fontId="12" fillId="0" borderId="1" xfId="0" applyNumberFormat="1" applyFont="1" applyBorder="1"/>
    <xf numFmtId="2" fontId="3" fillId="0" borderId="0" xfId="0" applyNumberFormat="1" applyFont="1" applyBorder="1"/>
    <xf numFmtId="2" fontId="3" fillId="0" borderId="2" xfId="0" applyNumberFormat="1" applyFont="1" applyBorder="1"/>
    <xf numFmtId="11" fontId="0" fillId="2" borderId="1" xfId="0" applyNumberFormat="1" applyFill="1" applyBorder="1"/>
    <xf numFmtId="2" fontId="2" fillId="0" borderId="0" xfId="0" applyNumberFormat="1" applyFont="1" applyBorder="1"/>
    <xf numFmtId="2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2" fontId="5" fillId="0" borderId="0" xfId="0" applyNumberFormat="1" applyFont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8" fillId="0" borderId="2" xfId="0" applyNumberFormat="1" applyFont="1" applyBorder="1"/>
    <xf numFmtId="2" fontId="15" fillId="0" borderId="1" xfId="0" applyNumberFormat="1" applyFont="1" applyBorder="1"/>
    <xf numFmtId="2" fontId="5" fillId="0" borderId="0" xfId="0" applyNumberFormat="1" applyFont="1" applyAlignment="1">
      <alignment wrapText="1"/>
    </xf>
    <xf numFmtId="2" fontId="8" fillId="0" borderId="0" xfId="0" applyNumberFormat="1" applyFont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1" fontId="0" fillId="0" borderId="4" xfId="0" applyNumberFormat="1" applyBorder="1"/>
    <xf numFmtId="2" fontId="0" fillId="0" borderId="0" xfId="0" applyNumberFormat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Border="1"/>
    <xf numFmtId="0" fontId="0" fillId="0" borderId="0" xfId="0" applyNumberFormat="1"/>
    <xf numFmtId="0" fontId="10" fillId="0" borderId="1" xfId="1" applyNumberFormat="1" applyFont="1" applyBorder="1" applyAlignment="1"/>
    <xf numFmtId="0" fontId="4" fillId="0" borderId="1" xfId="0" applyNumberFormat="1" applyFont="1" applyBorder="1"/>
    <xf numFmtId="0" fontId="3" fillId="0" borderId="1" xfId="0" applyNumberFormat="1" applyFont="1" applyBorder="1"/>
    <xf numFmtId="11" fontId="0" fillId="0" borderId="0" xfId="0" applyNumberFormat="1" applyBorder="1"/>
    <xf numFmtId="0" fontId="0" fillId="0" borderId="0" xfId="0" applyNumberFormat="1" applyBorder="1"/>
    <xf numFmtId="0" fontId="3" fillId="0" borderId="0" xfId="0" applyNumberFormat="1" applyFont="1" applyBorder="1"/>
    <xf numFmtId="166" fontId="0" fillId="0" borderId="1" xfId="0" applyNumberFormat="1" applyBorder="1"/>
    <xf numFmtId="2" fontId="0" fillId="0" borderId="1" xfId="0" applyNumberFormat="1" applyFont="1" applyBorder="1"/>
    <xf numFmtId="0" fontId="12" fillId="0" borderId="1" xfId="0" applyNumberFormat="1" applyFont="1" applyBorder="1"/>
    <xf numFmtId="164" fontId="8" fillId="0" borderId="0" xfId="0" applyFont="1" applyBorder="1"/>
    <xf numFmtId="0" fontId="3" fillId="0" borderId="1" xfId="0" applyNumberFormat="1" applyFont="1" applyFill="1" applyBorder="1"/>
    <xf numFmtId="0" fontId="0" fillId="0" borderId="1" xfId="0" applyNumberFormat="1" applyFill="1" applyBorder="1"/>
    <xf numFmtId="0" fontId="12" fillId="0" borderId="1" xfId="0" applyNumberFormat="1" applyFont="1" applyFill="1" applyBorder="1"/>
    <xf numFmtId="0" fontId="4" fillId="0" borderId="1" xfId="0" applyNumberFormat="1" applyFont="1" applyFill="1" applyBorder="1"/>
    <xf numFmtId="2" fontId="0" fillId="0" borderId="0" xfId="0" applyNumberFormat="1" applyAlignment="1">
      <alignment horizontal="center"/>
    </xf>
    <xf numFmtId="0" fontId="4" fillId="0" borderId="1" xfId="0" applyNumberFormat="1" applyFont="1" applyBorder="1" applyAlignment="1">
      <alignment horizontal="center"/>
    </xf>
    <xf numFmtId="2" fontId="0" fillId="0" borderId="0" xfId="0" applyNumberFormat="1" applyAlignment="1"/>
    <xf numFmtId="2" fontId="12" fillId="0" borderId="2" xfId="0" applyNumberFormat="1" applyFont="1" applyBorder="1"/>
    <xf numFmtId="2" fontId="0" fillId="0" borderId="2" xfId="0" applyNumberFormat="1" applyBorder="1" applyAlignment="1">
      <alignment horizontal="center"/>
    </xf>
    <xf numFmtId="11" fontId="0" fillId="0" borderId="2" xfId="0" applyNumberFormat="1" applyBorder="1"/>
    <xf numFmtId="2" fontId="17" fillId="0" borderId="0" xfId="0" applyNumberFormat="1" applyFont="1" applyBorder="1"/>
    <xf numFmtId="2" fontId="4" fillId="0" borderId="1" xfId="0" applyNumberFormat="1" applyFont="1" applyBorder="1" applyAlignment="1">
      <alignment wrapText="1"/>
    </xf>
    <xf numFmtId="0" fontId="8" fillId="0" borderId="1" xfId="0" applyNumberFormat="1" applyFont="1" applyBorder="1" applyAlignment="1">
      <alignment horizontal="center"/>
    </xf>
    <xf numFmtId="2" fontId="0" fillId="0" borderId="4" xfId="0" applyNumberFormat="1" applyBorder="1"/>
    <xf numFmtId="2" fontId="2" fillId="0" borderId="4" xfId="0" applyNumberFormat="1" applyFont="1" applyBorder="1"/>
    <xf numFmtId="2" fontId="0" fillId="0" borderId="5" xfId="0" applyNumberFormat="1" applyBorder="1"/>
    <xf numFmtId="2" fontId="9" fillId="0" borderId="1" xfId="0" applyNumberFormat="1" applyFont="1" applyBorder="1"/>
    <xf numFmtId="2" fontId="13" fillId="0" borderId="0" xfId="0" applyNumberFormat="1" applyFont="1" applyBorder="1"/>
    <xf numFmtId="2" fontId="10" fillId="0" borderId="2" xfId="1" applyNumberFormat="1" applyFont="1" applyBorder="1" applyAlignment="1"/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wrapText="1"/>
    </xf>
    <xf numFmtId="165" fontId="0" fillId="0" borderId="1" xfId="0" applyNumberFormat="1" applyBorder="1" applyAlignment="1">
      <alignment horizontal="center"/>
    </xf>
    <xf numFmtId="167" fontId="8" fillId="0" borderId="1" xfId="0" applyNumberFormat="1" applyFont="1" applyBorder="1"/>
    <xf numFmtId="169" fontId="2" fillId="0" borderId="1" xfId="0" applyNumberFormat="1" applyFont="1" applyBorder="1"/>
    <xf numFmtId="170" fontId="8" fillId="0" borderId="1" xfId="0" applyNumberFormat="1" applyFont="1" applyBorder="1"/>
    <xf numFmtId="171" fontId="0" fillId="0" borderId="1" xfId="0" applyNumberFormat="1" applyBorder="1"/>
    <xf numFmtId="172" fontId="0" fillId="0" borderId="1" xfId="0" applyNumberFormat="1" applyBorder="1"/>
    <xf numFmtId="169" fontId="8" fillId="0" borderId="1" xfId="0" applyNumberFormat="1" applyFont="1" applyBorder="1"/>
    <xf numFmtId="173" fontId="8" fillId="0" borderId="1" xfId="0" applyNumberFormat="1" applyFont="1" applyBorder="1"/>
    <xf numFmtId="169" fontId="19" fillId="0" borderId="1" xfId="0" applyNumberFormat="1" applyFont="1" applyBorder="1"/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68" fontId="0" fillId="0" borderId="1" xfId="0" applyNumberFormat="1" applyBorder="1"/>
    <xf numFmtId="177" fontId="0" fillId="0" borderId="1" xfId="0" applyNumberFormat="1" applyBorder="1"/>
    <xf numFmtId="167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3" fontId="5" fillId="2" borderId="1" xfId="0" applyNumberFormat="1" applyFont="1" applyFill="1" applyBorder="1"/>
    <xf numFmtId="2" fontId="5" fillId="2" borderId="1" xfId="0" applyNumberFormat="1" applyFont="1" applyFill="1" applyBorder="1"/>
    <xf numFmtId="167" fontId="5" fillId="2" borderId="1" xfId="0" applyNumberFormat="1" applyFont="1" applyFill="1" applyBorder="1"/>
    <xf numFmtId="2" fontId="5" fillId="2" borderId="1" xfId="0" applyNumberFormat="1" applyFont="1" applyFill="1" applyBorder="1" applyAlignment="1">
      <alignment horizontal="center"/>
    </xf>
    <xf numFmtId="169" fontId="5" fillId="2" borderId="1" xfId="0" applyNumberFormat="1" applyFont="1" applyFill="1" applyBorder="1"/>
    <xf numFmtId="164" fontId="20" fillId="0" borderId="0" xfId="0" applyFont="1" applyBorder="1" applyAlignment="1">
      <alignment vertical="center" wrapText="1"/>
    </xf>
    <xf numFmtId="11" fontId="0" fillId="0" borderId="3" xfId="0" applyNumberFormat="1" applyBorder="1"/>
    <xf numFmtId="164" fontId="20" fillId="0" borderId="0" xfId="0" applyFont="1" applyAlignment="1">
      <alignment horizontal="center" vertical="center" wrapText="1"/>
    </xf>
    <xf numFmtId="166" fontId="0" fillId="0" borderId="1" xfId="0" applyNumberFormat="1" applyFont="1" applyBorder="1"/>
    <xf numFmtId="2" fontId="20" fillId="0" borderId="0" xfId="0" applyNumberFormat="1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2" fontId="21" fillId="0" borderId="0" xfId="2" applyNumberFormat="1"/>
    <xf numFmtId="2" fontId="0" fillId="0" borderId="3" xfId="0" applyNumberFormat="1" applyBorder="1"/>
    <xf numFmtId="2" fontId="22" fillId="0" borderId="0" xfId="0" applyNumberFormat="1" applyFont="1" applyAlignment="1">
      <alignment vertical="center" wrapText="1"/>
    </xf>
    <xf numFmtId="165" fontId="0" fillId="0" borderId="0" xfId="0" applyNumberFormat="1"/>
    <xf numFmtId="178" fontId="0" fillId="0" borderId="0" xfId="0" applyNumberFormat="1" applyBorder="1"/>
    <xf numFmtId="178" fontId="7" fillId="0" borderId="0" xfId="0" applyNumberFormat="1" applyFont="1"/>
    <xf numFmtId="178" fontId="0" fillId="0" borderId="1" xfId="0" applyNumberFormat="1" applyBorder="1"/>
    <xf numFmtId="178" fontId="0" fillId="0" borderId="1" xfId="0" applyNumberFormat="1" applyBorder="1" applyAlignment="1">
      <alignment horizontal="center"/>
    </xf>
    <xf numFmtId="178" fontId="0" fillId="0" borderId="0" xfId="0" applyNumberFormat="1"/>
    <xf numFmtId="179" fontId="0" fillId="0" borderId="1" xfId="0" applyNumberFormat="1" applyBorder="1"/>
    <xf numFmtId="164" fontId="20" fillId="0" borderId="0" xfId="0" applyFont="1" applyBorder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4 2" xfId="1"/>
  </cellStyles>
  <dxfs count="0"/>
  <tableStyles count="0" defaultTableStyle="TableStyleMedium2" defaultPivotStyle="PivotStyleMedium9"/>
  <colors>
    <mruColors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Transverse</a:t>
            </a:r>
            <a:r>
              <a:rPr lang="en-US" sz="1800" b="1" baseline="0"/>
              <a:t> Web Stiffener </a:t>
            </a:r>
            <a:r>
              <a:rPr lang="en-US" sz="1800" b="1"/>
              <a:t>Buckling</a:t>
            </a:r>
            <a:r>
              <a:rPr lang="en-US" sz="1800" b="1" baseline="0"/>
              <a:t> Utilization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baseline="0"/>
              <a:t>Varying Plate Compressive Stress in Stiffener Axial Direction, DNV-RP-C201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1705877915951"/>
          <c:y val="0.17204757872980406"/>
          <c:w val="0.8759460225267689"/>
          <c:h val="0.70261776062285652"/>
        </c:manualLayout>
      </c:layout>
      <c:barChart>
        <c:barDir val="col"/>
        <c:grouping val="clustered"/>
        <c:varyColors val="0"/>
        <c:ser>
          <c:idx val="2"/>
          <c:order val="0"/>
          <c:tx>
            <c:v>DNV RP C201 (Material Factor 1.15, Load Factor 1.0)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(Summary!$F$28,Summary!$H$28)</c:f>
              <c:numCache>
                <c:formatCode>0.00" Ksi"</c:formatCode>
                <c:ptCount val="2"/>
                <c:pt idx="0">
                  <c:v>2.2799999999999998</c:v>
                </c:pt>
                <c:pt idx="1">
                  <c:v>1.36</c:v>
                </c:pt>
              </c:numCache>
            </c:numRef>
          </c:cat>
          <c:val>
            <c:numRef>
              <c:f>(Summary!$F$31,Summary!$H$31)</c:f>
              <c:numCache>
                <c:formatCode>0.00</c:formatCode>
                <c:ptCount val="2"/>
                <c:pt idx="0">
                  <c:v>0.21249216677312724</c:v>
                </c:pt>
                <c:pt idx="1">
                  <c:v>0.22835458148101473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4961344"/>
        <c:axId val="-84958080"/>
      </c:barChart>
      <c:catAx>
        <c:axId val="-8496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Compressive</a:t>
                </a:r>
                <a:r>
                  <a:rPr lang="en-US" sz="1400" b="1" baseline="0"/>
                  <a:t> </a:t>
                </a:r>
                <a:r>
                  <a:rPr lang="en-US" sz="1400" b="1"/>
                  <a:t>Stress in Stiffener Axial</a:t>
                </a:r>
                <a:r>
                  <a:rPr lang="en-US" sz="1400" b="1" baseline="0"/>
                  <a:t> Direction (ksi)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2000091614242959"/>
              <c:y val="0.93223538464279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8080"/>
        <c:crosses val="autoZero"/>
        <c:auto val="1"/>
        <c:lblAlgn val="ctr"/>
        <c:lblOffset val="100"/>
        <c:tickMarkSkip val="1"/>
        <c:noMultiLvlLbl val="0"/>
      </c:catAx>
      <c:valAx>
        <c:axId val="-8495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Longitudinal</a:t>
            </a:r>
            <a:r>
              <a:rPr lang="en-US" sz="1800" b="1" baseline="0"/>
              <a:t> Stringer </a:t>
            </a:r>
            <a:r>
              <a:rPr lang="en-US" sz="1800" b="1"/>
              <a:t>Buckling</a:t>
            </a:r>
            <a:r>
              <a:rPr lang="en-US" sz="1800" b="1" baseline="0"/>
              <a:t> Utilization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baseline="0"/>
              <a:t>Varying Plate Compressive Stress in Stringer Axial Direction, DNV-RP-C201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1705877915951"/>
          <c:y val="0.17204757872980406"/>
          <c:w val="0.8759460225267689"/>
          <c:h val="0.70261776062285652"/>
        </c:manualLayout>
      </c:layout>
      <c:barChart>
        <c:barDir val="col"/>
        <c:grouping val="clustered"/>
        <c:varyColors val="0"/>
        <c:ser>
          <c:idx val="2"/>
          <c:order val="0"/>
          <c:tx>
            <c:v>DNV RP C201 (Material Factor 1.15, Load Factor 1.0)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(Summary!$F$29,Summary!$H$29)</c:f>
              <c:numCache>
                <c:formatCode>0.00" Ksi"</c:formatCode>
                <c:ptCount val="2"/>
                <c:pt idx="0">
                  <c:v>7.04</c:v>
                </c:pt>
                <c:pt idx="1">
                  <c:v>2.84</c:v>
                </c:pt>
              </c:numCache>
            </c:numRef>
          </c:cat>
          <c:val>
            <c:numRef>
              <c:f>(Summary!$F$32,Summary!$H$32)</c:f>
              <c:numCache>
                <c:formatCode>0.00</c:formatCode>
                <c:ptCount val="2"/>
                <c:pt idx="0">
                  <c:v>0.38127273915754234</c:v>
                </c:pt>
                <c:pt idx="1">
                  <c:v>0.15301286688375884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4964064"/>
        <c:axId val="-84961888"/>
      </c:barChart>
      <c:catAx>
        <c:axId val="-8496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Compressive</a:t>
                </a:r>
                <a:r>
                  <a:rPr lang="en-US" sz="1400" b="1" baseline="0"/>
                  <a:t> </a:t>
                </a:r>
                <a:r>
                  <a:rPr lang="en-US" sz="1400" b="1"/>
                  <a:t>Stress in Stringer Axial</a:t>
                </a:r>
                <a:r>
                  <a:rPr lang="en-US" sz="1400" b="1" baseline="0"/>
                  <a:t> Direction (ksi)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2000091614242959"/>
              <c:y val="0.93223538464279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61888"/>
        <c:crosses val="autoZero"/>
        <c:auto val="1"/>
        <c:lblAlgn val="ctr"/>
        <c:lblOffset val="100"/>
        <c:noMultiLvlLbl val="0"/>
      </c:catAx>
      <c:valAx>
        <c:axId val="-849618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</xdr:row>
      <xdr:rowOff>156882</xdr:rowOff>
    </xdr:from>
    <xdr:to>
      <xdr:col>6</xdr:col>
      <xdr:colOff>649757</xdr:colOff>
      <xdr:row>13</xdr:row>
      <xdr:rowOff>59228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72"/>
        <a:stretch/>
      </xdr:blipFill>
      <xdr:spPr>
        <a:xfrm>
          <a:off x="6264088" y="347382"/>
          <a:ext cx="2700434" cy="21883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1673062</xdr:colOff>
      <xdr:row>38</xdr:row>
      <xdr:rowOff>245730</xdr:rowOff>
    </xdr:from>
    <xdr:to>
      <xdr:col>1</xdr:col>
      <xdr:colOff>2114710</xdr:colOff>
      <xdr:row>48</xdr:row>
      <xdr:rowOff>256934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72"/>
        <a:stretch/>
      </xdr:blipFill>
      <xdr:spPr>
        <a:xfrm>
          <a:off x="1673062" y="8015409"/>
          <a:ext cx="2700434" cy="2188346"/>
        </a:xfrm>
        <a:prstGeom prst="rect">
          <a:avLst/>
        </a:prstGeom>
      </xdr:spPr>
    </xdr:pic>
    <xdr:clientData/>
  </xdr:twoCellAnchor>
  <xdr:twoCellAnchor>
    <xdr:from>
      <xdr:col>0</xdr:col>
      <xdr:colOff>2252943</xdr:colOff>
      <xdr:row>69</xdr:row>
      <xdr:rowOff>100852</xdr:rowOff>
    </xdr:from>
    <xdr:to>
      <xdr:col>1</xdr:col>
      <xdr:colOff>1580029</xdr:colOff>
      <xdr:row>85</xdr:row>
      <xdr:rowOff>134470</xdr:rowOff>
    </xdr:to>
    <xdr:grpSp>
      <xdr:nvGrpSpPr>
        <xdr:cNvPr id="9" name="Group 8"/>
        <xdr:cNvGrpSpPr/>
      </xdr:nvGrpSpPr>
      <xdr:grpSpPr>
        <a:xfrm>
          <a:off x="2252943" y="14159752"/>
          <a:ext cx="1584511" cy="3081618"/>
          <a:chOff x="5987608" y="2598577"/>
          <a:chExt cx="1583653" cy="1935992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7608" y="2705768"/>
            <a:ext cx="1583653" cy="1828801"/>
          </a:xfrm>
          <a:prstGeom prst="rect">
            <a:avLst/>
          </a:prstGeom>
          <a:ln>
            <a:solidFill>
              <a:srgbClr val="00CC99"/>
            </a:solidFill>
          </a:ln>
        </xdr:spPr>
      </xdr:pic>
      <xdr:sp macro="" textlink="">
        <xdr:nvSpPr>
          <xdr:cNvPr id="8" name="TextBox 7"/>
          <xdr:cNvSpPr txBox="1"/>
        </xdr:nvSpPr>
        <xdr:spPr>
          <a:xfrm>
            <a:off x="6029023" y="2598577"/>
            <a:ext cx="81915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T Section</a:t>
            </a:r>
          </a:p>
        </xdr:txBody>
      </xdr:sp>
    </xdr:grpSp>
    <xdr:clientData/>
  </xdr:twoCellAnchor>
  <xdr:twoCellAnchor editAs="oneCell">
    <xdr:from>
      <xdr:col>1</xdr:col>
      <xdr:colOff>501876</xdr:colOff>
      <xdr:row>52</xdr:row>
      <xdr:rowOff>122464</xdr:rowOff>
    </xdr:from>
    <xdr:to>
      <xdr:col>1</xdr:col>
      <xdr:colOff>2254211</xdr:colOff>
      <xdr:row>66</xdr:row>
      <xdr:rowOff>156882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9723" y="10880111"/>
          <a:ext cx="3504670" cy="2701418"/>
        </a:xfrm>
        <a:prstGeom prst="rect">
          <a:avLst/>
        </a:prstGeom>
      </xdr:spPr>
    </xdr:pic>
    <xdr:clientData/>
  </xdr:twoCellAnchor>
  <xdr:twoCellAnchor editAs="oneCell">
    <xdr:from>
      <xdr:col>1</xdr:col>
      <xdr:colOff>103735</xdr:colOff>
      <xdr:row>62</xdr:row>
      <xdr:rowOff>149517</xdr:rowOff>
    </xdr:from>
    <xdr:to>
      <xdr:col>1</xdr:col>
      <xdr:colOff>1028710</xdr:colOff>
      <xdr:row>64</xdr:row>
      <xdr:rowOff>134277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3442" y="12812164"/>
          <a:ext cx="1849950" cy="365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149061</xdr:colOff>
      <xdr:row>38</xdr:row>
      <xdr:rowOff>123265</xdr:rowOff>
    </xdr:from>
    <xdr:to>
      <xdr:col>2</xdr:col>
      <xdr:colOff>481852</xdr:colOff>
      <xdr:row>48</xdr:row>
      <xdr:rowOff>134469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72"/>
        <a:stretch/>
      </xdr:blipFill>
      <xdr:spPr>
        <a:xfrm>
          <a:off x="2406486" y="7848040"/>
          <a:ext cx="2694991" cy="2192429"/>
        </a:xfrm>
        <a:prstGeom prst="rect">
          <a:avLst/>
        </a:prstGeom>
      </xdr:spPr>
    </xdr:pic>
    <xdr:clientData/>
  </xdr:twoCellAnchor>
  <xdr:oneCellAnchor>
    <xdr:from>
      <xdr:col>0</xdr:col>
      <xdr:colOff>156882</xdr:colOff>
      <xdr:row>47</xdr:row>
      <xdr:rowOff>145677</xdr:rowOff>
    </xdr:from>
    <xdr:ext cx="3180355" cy="2468880"/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82" y="9872383"/>
          <a:ext cx="3180355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331134</xdr:colOff>
      <xdr:row>48</xdr:row>
      <xdr:rowOff>40420</xdr:rowOff>
    </xdr:from>
    <xdr:ext cx="2353417" cy="2282799"/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868" r="10882" b="13774"/>
        <a:stretch/>
      </xdr:blipFill>
      <xdr:spPr>
        <a:xfrm>
          <a:off x="2583516" y="9957626"/>
          <a:ext cx="2353417" cy="228279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2084297</xdr:colOff>
      <xdr:row>57</xdr:row>
      <xdr:rowOff>1</xdr:rowOff>
    </xdr:from>
    <xdr:ext cx="3180355" cy="246888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922" y="10668001"/>
          <a:ext cx="3180355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47624</xdr:colOff>
      <xdr:row>44</xdr:row>
      <xdr:rowOff>154640</xdr:rowOff>
    </xdr:from>
    <xdr:ext cx="2405404" cy="1564005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72"/>
        <a:stretch/>
      </xdr:blipFill>
      <xdr:spPr>
        <a:xfrm>
          <a:off x="1266824" y="8346140"/>
          <a:ext cx="2405404" cy="1564005"/>
        </a:xfrm>
        <a:prstGeom prst="rect">
          <a:avLst/>
        </a:prstGeom>
      </xdr:spPr>
    </xdr:pic>
    <xdr:clientData/>
  </xdr:oneCellAnchor>
  <xdr:oneCellAnchor>
    <xdr:from>
      <xdr:col>2</xdr:col>
      <xdr:colOff>1272431</xdr:colOff>
      <xdr:row>57</xdr:row>
      <xdr:rowOff>85244</xdr:rowOff>
    </xdr:from>
    <xdr:ext cx="2353417" cy="2282799"/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868" r="10882" b="13774"/>
        <a:stretch/>
      </xdr:blipFill>
      <xdr:spPr>
        <a:xfrm>
          <a:off x="1824881" y="10753244"/>
          <a:ext cx="2353417" cy="2282799"/>
        </a:xfrm>
        <a:prstGeom prst="rect">
          <a:avLst/>
        </a:prstGeom>
      </xdr:spPr>
    </xdr:pic>
    <xdr:clientData/>
  </xdr:oneCellAnchor>
  <xdr:twoCellAnchor>
    <xdr:from>
      <xdr:col>1</xdr:col>
      <xdr:colOff>8793</xdr:colOff>
      <xdr:row>57</xdr:row>
      <xdr:rowOff>93465</xdr:rowOff>
    </xdr:from>
    <xdr:to>
      <xdr:col>1</xdr:col>
      <xdr:colOff>829085</xdr:colOff>
      <xdr:row>58</xdr:row>
      <xdr:rowOff>88373</xdr:rowOff>
    </xdr:to>
    <xdr:sp macro="" textlink="">
      <xdr:nvSpPr>
        <xdr:cNvPr id="5" name="TextBox 4"/>
        <xdr:cNvSpPr txBox="1"/>
      </xdr:nvSpPr>
      <xdr:spPr>
        <a:xfrm>
          <a:off x="618393" y="10761465"/>
          <a:ext cx="601217" cy="185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 Section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0.51051</cdr:x>
      <cdr:y>0.18679</cdr:y>
    </cdr:from>
    <cdr:to>
      <cdr:x>0.78104</cdr:x>
      <cdr:y>0.2367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753953" y="1136579"/>
          <a:ext cx="2519199" cy="30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Allowable Utilization</a:t>
          </a:r>
          <a:r>
            <a:rPr lang="en-US" sz="1400" b="1" baseline="0">
              <a:solidFill>
                <a:srgbClr val="FF0000"/>
              </a:solidFill>
            </a:rPr>
            <a:t> = 1.0</a:t>
          </a:r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0.10363</cdr:x>
      <cdr:y>0.16901</cdr:y>
    </cdr:from>
    <cdr:to>
      <cdr:x>0.99047</cdr:x>
      <cdr:y>0.17271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965011" y="1028412"/>
          <a:ext cx="8258332" cy="225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0.15075</cdr:x>
      <cdr:y>0.18118</cdr:y>
    </cdr:from>
    <cdr:to>
      <cdr:x>0.44077</cdr:x>
      <cdr:y>0.46371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7972" t="8105" b="14318"/>
        <a:stretch xmlns:a="http://schemas.openxmlformats.org/drawingml/2006/main"/>
      </cdr:blipFill>
      <cdr:spPr>
        <a:xfrm xmlns:a="http://schemas.openxmlformats.org/drawingml/2006/main">
          <a:off x="1401910" y="1098176"/>
          <a:ext cx="2697233" cy="171255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0.68139</cdr:x>
      <cdr:y>0.2936</cdr:y>
    </cdr:from>
    <cdr:to>
      <cdr:x>0.95192</cdr:x>
      <cdr:y>0.34351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345188" y="1786520"/>
          <a:ext cx="2519199" cy="30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Allowable Utilization</a:t>
          </a:r>
          <a:r>
            <a:rPr lang="en-US" sz="1400" b="1" baseline="0">
              <a:solidFill>
                <a:srgbClr val="FF0000"/>
              </a:solidFill>
            </a:rPr>
            <a:t> = 1.0</a:t>
          </a:r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0.10483</cdr:x>
      <cdr:y>0.28872</cdr:y>
    </cdr:from>
    <cdr:to>
      <cdr:x>0.99167</cdr:x>
      <cdr:y>0.29242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976216" y="1756794"/>
          <a:ext cx="8258332" cy="225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0.13597</cdr:x>
      <cdr:y>0.1775</cdr:y>
    </cdr:from>
    <cdr:to>
      <cdr:x>0.42599</cdr:x>
      <cdr:y>0.46003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7972" t="8105" b="14318"/>
        <a:stretch xmlns:a="http://schemas.openxmlformats.org/drawingml/2006/main"/>
      </cdr:blipFill>
      <cdr:spPr>
        <a:xfrm xmlns:a="http://schemas.openxmlformats.org/drawingml/2006/main">
          <a:off x="1266190" y="1080031"/>
          <a:ext cx="2700692" cy="171913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3.amazonaws.com/ppt-download/centroidsmomentsofinertia-121222071213-phpapp02.pdf?response-content-disposition=attachment&amp;Signature=jdkzNAr8ZcAeejbWDP1ahC%2FTamI%3D&amp;Expires=1454415334&amp;AWSAccessKeyId=AKIAJ6D6SEMXSASXHDAQ" TargetMode="External"/><Relationship Id="rId1" Type="http://schemas.openxmlformats.org/officeDocument/2006/relationships/hyperlink" Target="http://s3.amazonaws.com/ppt-download/centroidsmomentsofinertia-121222071213-phpapp02.pdf?response-content-disposition=attachment&amp;Signature=jdkzNAr8ZcAeejbWDP1ahC%2FTamI%3D&amp;Expires=1454415334&amp;AWSAccessKeyId=AKIAJ6D6SEMXSASXHDAQ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"/>
  <sheetViews>
    <sheetView tabSelected="1" topLeftCell="C12" zoomScale="85" zoomScaleNormal="85" workbookViewId="0">
      <selection activeCell="D32" sqref="D32"/>
    </sheetView>
  </sheetViews>
  <sheetFormatPr defaultRowHeight="15" x14ac:dyDescent="0.25"/>
  <cols>
    <col min="1" max="1" width="9.140625" style="54"/>
    <col min="2" max="2" width="33.5703125" style="54" bestFit="1" customWidth="1"/>
    <col min="3" max="3" width="9.140625" style="54"/>
    <col min="4" max="4" width="33.7109375" style="54" customWidth="1"/>
    <col min="5" max="5" width="5.5703125" style="54" bestFit="1" customWidth="1"/>
    <col min="6" max="6" width="33.5703125" style="54" bestFit="1" customWidth="1"/>
    <col min="7" max="26" width="40.28515625" style="54" bestFit="1" customWidth="1"/>
    <col min="27" max="28" width="46.28515625" style="54" bestFit="1" customWidth="1"/>
    <col min="29" max="16384" width="9.140625" style="54"/>
  </cols>
  <sheetData>
    <row r="1" spans="2:28" x14ac:dyDescent="0.25">
      <c r="B1" s="2" t="s">
        <v>236</v>
      </c>
      <c r="C1"/>
      <c r="D1"/>
      <c r="E1"/>
      <c r="F1"/>
      <c r="G1"/>
    </row>
    <row r="2" spans="2:28" x14ac:dyDescent="0.25">
      <c r="B2"/>
      <c r="C2"/>
      <c r="D2" t="s">
        <v>237</v>
      </c>
      <c r="E2"/>
      <c r="F2" t="s">
        <v>238</v>
      </c>
    </row>
    <row r="3" spans="2:28" x14ac:dyDescent="0.25">
      <c r="B3"/>
      <c r="C3"/>
      <c r="D3" t="s">
        <v>239</v>
      </c>
      <c r="E3"/>
      <c r="F3" t="s">
        <v>238</v>
      </c>
      <c r="Q3" s="1">
        <v>0.39621665867687167</v>
      </c>
      <c r="R3" s="1">
        <v>0.59794900460597178</v>
      </c>
      <c r="S3" s="1">
        <v>0.28552544955200626</v>
      </c>
      <c r="T3" s="1"/>
      <c r="U3" s="1"/>
      <c r="V3" s="1"/>
    </row>
    <row r="4" spans="2:28" x14ac:dyDescent="0.25">
      <c r="B4"/>
      <c r="C4"/>
      <c r="D4" t="s">
        <v>240</v>
      </c>
      <c r="E4"/>
      <c r="F4" t="s">
        <v>242</v>
      </c>
      <c r="Q4" s="1">
        <v>0.78865525542181547</v>
      </c>
      <c r="R4" s="1">
        <v>1.1191120814861306</v>
      </c>
      <c r="S4" s="1">
        <v>0.68878167125752954</v>
      </c>
      <c r="T4" s="1"/>
      <c r="U4" s="1"/>
      <c r="V4" s="1"/>
    </row>
    <row r="5" spans="2:28" x14ac:dyDescent="0.25">
      <c r="B5"/>
      <c r="C5"/>
      <c r="D5" t="s">
        <v>241</v>
      </c>
      <c r="E5"/>
      <c r="F5" t="s">
        <v>242</v>
      </c>
    </row>
    <row r="10" spans="2:28" x14ac:dyDescent="0.25">
      <c r="Q10" s="1">
        <v>0.39621665867687167</v>
      </c>
      <c r="R10" s="1">
        <v>0.59794900460597178</v>
      </c>
      <c r="S10" s="1">
        <v>0.28552544955200626</v>
      </c>
      <c r="T10" s="1"/>
      <c r="U10" s="1"/>
      <c r="V10" s="1"/>
    </row>
    <row r="11" spans="2:28" x14ac:dyDescent="0.25">
      <c r="Q11" s="54">
        <v>0</v>
      </c>
      <c r="R11" s="116">
        <f>(R10-$Q$10)/R10*100</f>
        <v>33.737383016806746</v>
      </c>
      <c r="S11" s="116">
        <f t="shared" ref="S11" si="0">(S10-$Q$10)/S10*100</f>
        <v>-38.767545694627778</v>
      </c>
      <c r="T11" s="116"/>
      <c r="U11" s="116"/>
      <c r="V11" s="116"/>
    </row>
    <row r="12" spans="2:28" x14ac:dyDescent="0.25">
      <c r="Q12" s="1">
        <v>0.78865525542181547</v>
      </c>
      <c r="R12" s="1">
        <v>1.1191120814861306</v>
      </c>
      <c r="S12" s="1">
        <v>0.68878167125752954</v>
      </c>
      <c r="T12" s="1"/>
      <c r="U12" s="1"/>
      <c r="V12" s="1"/>
    </row>
    <row r="13" spans="2:28" x14ac:dyDescent="0.25">
      <c r="Q13" s="54">
        <v>0</v>
      </c>
      <c r="R13" s="116">
        <f>(R12-$Q$12)/R12*100</f>
        <v>29.528483476425642</v>
      </c>
      <c r="S13" s="116">
        <f t="shared" ref="S13" si="1">(S12-$Q$12)/S12*100</f>
        <v>-14.500035110101535</v>
      </c>
      <c r="T13" s="116"/>
      <c r="U13" s="116"/>
      <c r="V13" s="116"/>
    </row>
    <row r="14" spans="2:28" x14ac:dyDescent="0.25">
      <c r="D14" s="54" t="s">
        <v>251</v>
      </c>
    </row>
    <row r="15" spans="2:28" x14ac:dyDescent="0.25">
      <c r="F15" s="9" t="str">
        <f>'Panel Buckling - T Flange'!G12</f>
        <v>DAF 1.0</v>
      </c>
      <c r="G15" s="9" t="str">
        <f>'Panel Buckling - T Flange'!H12</f>
        <v>DAF 1.0</v>
      </c>
      <c r="H15" s="9" t="str">
        <f>'Panel Buckling - T Flange'!I12</f>
        <v>DAF 1.0</v>
      </c>
      <c r="I15" s="9" t="str">
        <f>'Panel Buckling - T Flange'!J12</f>
        <v>DAF 1.0</v>
      </c>
      <c r="J15" s="9" t="str">
        <f>'Panel Buckling - T Flange'!K12</f>
        <v>DAF 1.2</v>
      </c>
      <c r="K15" s="9" t="str">
        <f>'Panel Buckling - T Flange'!L12</f>
        <v>DAF 1.2</v>
      </c>
      <c r="L15" s="9" t="str">
        <f>'Panel Buckling - T Flange'!M12</f>
        <v>DAF 1.2</v>
      </c>
      <c r="M15" s="9" t="str">
        <f>'Panel Buckling - T Flange'!N12</f>
        <v>DAF 1.2</v>
      </c>
      <c r="N15" s="9" t="str">
        <f>'Panel Buckling - T Flange'!O12</f>
        <v>DAF 1.5</v>
      </c>
      <c r="O15" s="9" t="str">
        <f>'Panel Buckling - T Flange'!P12</f>
        <v>DAF 1.5</v>
      </c>
      <c r="P15" s="9" t="str">
        <f>'Panel Buckling - T Flange'!Q12</f>
        <v>DAF 1.5</v>
      </c>
      <c r="Q15" s="9" t="str">
        <f>'Panel Buckling - T Flange'!R12</f>
        <v>DAF 1.5</v>
      </c>
      <c r="R15" s="9" t="str">
        <f>'Panel Buckling - T Flange'!S12</f>
        <v>DAF 1.7</v>
      </c>
      <c r="S15" s="9" t="str">
        <f>'Panel Buckling - T Flange'!T12</f>
        <v>DAF 1.7</v>
      </c>
      <c r="T15" s="9" t="str">
        <f>'Panel Buckling - T Flange'!U12</f>
        <v>DAF 1.7</v>
      </c>
      <c r="U15" s="9" t="str">
        <f>'Panel Buckling - T Flange'!V12</f>
        <v>DAF 1.7</v>
      </c>
      <c r="V15" s="9" t="str">
        <f>'Panel Buckling - T Flange'!W12</f>
        <v>DAF 2</v>
      </c>
      <c r="W15" s="9" t="str">
        <f>'Panel Buckling - T Flange'!X12</f>
        <v>DAF 2</v>
      </c>
      <c r="X15" s="9" t="str">
        <f>'Panel Buckling - T Flange'!Y12</f>
        <v>DAF 2</v>
      </c>
      <c r="Y15" s="9" t="str">
        <f>'Panel Buckling - T Flange'!Z12</f>
        <v>DAF 2</v>
      </c>
      <c r="Z15" s="9"/>
      <c r="AA15" s="9"/>
      <c r="AB15" s="9"/>
    </row>
    <row r="16" spans="2:28" x14ac:dyDescent="0.25">
      <c r="D16" s="70" t="s">
        <v>204</v>
      </c>
      <c r="E16" s="70" t="s">
        <v>78</v>
      </c>
      <c r="F16" s="70" t="s">
        <v>290</v>
      </c>
      <c r="G16" s="70" t="s">
        <v>291</v>
      </c>
      <c r="H16" s="70" t="s">
        <v>348</v>
      </c>
      <c r="I16" s="70" t="s">
        <v>352</v>
      </c>
      <c r="J16" s="70" t="s">
        <v>290</v>
      </c>
      <c r="K16" s="70" t="s">
        <v>291</v>
      </c>
      <c r="L16" s="70" t="s">
        <v>348</v>
      </c>
      <c r="M16" s="70" t="s">
        <v>352</v>
      </c>
      <c r="N16" s="70" t="s">
        <v>290</v>
      </c>
      <c r="O16" s="70" t="s">
        <v>291</v>
      </c>
      <c r="P16" s="70" t="s">
        <v>348</v>
      </c>
      <c r="Q16" s="70" t="s">
        <v>352</v>
      </c>
      <c r="R16" s="70" t="s">
        <v>290</v>
      </c>
      <c r="S16" s="70" t="s">
        <v>291</v>
      </c>
      <c r="T16" s="70" t="s">
        <v>348</v>
      </c>
      <c r="U16" s="70" t="s">
        <v>352</v>
      </c>
      <c r="V16" s="70" t="s">
        <v>290</v>
      </c>
      <c r="W16" s="70" t="s">
        <v>291</v>
      </c>
      <c r="X16" s="70" t="s">
        <v>348</v>
      </c>
      <c r="Y16" s="70" t="s">
        <v>352</v>
      </c>
      <c r="Z16" s="70"/>
      <c r="AA16" s="70"/>
      <c r="AB16" s="70"/>
    </row>
    <row r="17" spans="4:28" x14ac:dyDescent="0.25">
      <c r="D17" s="70" t="s">
        <v>220</v>
      </c>
      <c r="E17" s="37" t="s">
        <v>10</v>
      </c>
      <c r="F17" s="100">
        <f>12</f>
        <v>12</v>
      </c>
      <c r="G17" s="100">
        <f>12</f>
        <v>12</v>
      </c>
      <c r="H17" s="100">
        <f>12</f>
        <v>12</v>
      </c>
      <c r="I17" s="100">
        <f>12</f>
        <v>12</v>
      </c>
      <c r="J17" s="100">
        <f>12</f>
        <v>12</v>
      </c>
      <c r="K17" s="100">
        <f>12</f>
        <v>12</v>
      </c>
      <c r="L17" s="100">
        <f>12</f>
        <v>12</v>
      </c>
      <c r="M17" s="100">
        <f>12</f>
        <v>12</v>
      </c>
      <c r="N17" s="100">
        <f>12</f>
        <v>12</v>
      </c>
      <c r="O17" s="100">
        <f>12</f>
        <v>12</v>
      </c>
      <c r="P17" s="100">
        <f>12</f>
        <v>12</v>
      </c>
      <c r="Q17" s="100">
        <f>12</f>
        <v>12</v>
      </c>
      <c r="R17" s="100">
        <f>12</f>
        <v>12</v>
      </c>
      <c r="S17" s="100">
        <f>12</f>
        <v>12</v>
      </c>
      <c r="T17" s="100">
        <f>12</f>
        <v>12</v>
      </c>
      <c r="U17" s="100">
        <f>12</f>
        <v>12</v>
      </c>
      <c r="V17" s="100">
        <f>12</f>
        <v>12</v>
      </c>
      <c r="W17" s="100">
        <f>12</f>
        <v>12</v>
      </c>
      <c r="X17" s="100">
        <f>12</f>
        <v>12</v>
      </c>
      <c r="Y17" s="100">
        <f>12</f>
        <v>12</v>
      </c>
      <c r="Z17" s="100"/>
      <c r="AA17" s="100"/>
      <c r="AB17" s="100"/>
    </row>
    <row r="18" spans="4:28" x14ac:dyDescent="0.25">
      <c r="D18" s="70" t="s">
        <v>221</v>
      </c>
      <c r="E18" s="37" t="s">
        <v>10</v>
      </c>
      <c r="F18" s="100">
        <v>2230</v>
      </c>
      <c r="G18" s="100">
        <v>2950</v>
      </c>
      <c r="H18" s="100">
        <v>2950</v>
      </c>
      <c r="I18" s="100">
        <v>2950</v>
      </c>
      <c r="J18" s="100">
        <v>2230</v>
      </c>
      <c r="K18" s="100">
        <v>2950</v>
      </c>
      <c r="L18" s="100">
        <v>2950</v>
      </c>
      <c r="M18" s="100">
        <v>2950</v>
      </c>
      <c r="N18" s="100">
        <v>2230</v>
      </c>
      <c r="O18" s="100">
        <v>2950</v>
      </c>
      <c r="P18" s="100">
        <v>2950</v>
      </c>
      <c r="Q18" s="100">
        <v>2950</v>
      </c>
      <c r="R18" s="100">
        <v>2230</v>
      </c>
      <c r="S18" s="100">
        <v>2950</v>
      </c>
      <c r="T18" s="100">
        <v>2950</v>
      </c>
      <c r="U18" s="100">
        <v>2950</v>
      </c>
      <c r="V18" s="100">
        <v>2230</v>
      </c>
      <c r="W18" s="100">
        <v>2950</v>
      </c>
      <c r="X18" s="100">
        <v>2950</v>
      </c>
      <c r="Y18" s="100">
        <v>2950</v>
      </c>
      <c r="Z18" s="100"/>
      <c r="AA18" s="100"/>
      <c r="AB18" s="100"/>
    </row>
    <row r="19" spans="4:28" ht="30" x14ac:dyDescent="0.25">
      <c r="D19" s="76" t="s">
        <v>191</v>
      </c>
      <c r="E19" s="37" t="s">
        <v>10</v>
      </c>
      <c r="F19" s="100">
        <v>3500</v>
      </c>
      <c r="G19" s="100">
        <v>3500</v>
      </c>
      <c r="H19" s="100">
        <v>3500</v>
      </c>
      <c r="I19" s="100">
        <v>3500</v>
      </c>
      <c r="J19" s="100">
        <v>3500</v>
      </c>
      <c r="K19" s="100">
        <v>3500</v>
      </c>
      <c r="L19" s="100">
        <v>3500</v>
      </c>
      <c r="M19" s="100">
        <v>3500</v>
      </c>
      <c r="N19" s="100">
        <v>3500</v>
      </c>
      <c r="O19" s="100">
        <v>3500</v>
      </c>
      <c r="P19" s="100">
        <v>3500</v>
      </c>
      <c r="Q19" s="100">
        <v>3500</v>
      </c>
      <c r="R19" s="100">
        <v>3500</v>
      </c>
      <c r="S19" s="100">
        <v>3500</v>
      </c>
      <c r="T19" s="100">
        <v>3500</v>
      </c>
      <c r="U19" s="100">
        <v>3500</v>
      </c>
      <c r="V19" s="100">
        <v>3500</v>
      </c>
      <c r="W19" s="100">
        <v>3500</v>
      </c>
      <c r="X19" s="100">
        <v>3500</v>
      </c>
      <c r="Y19" s="100">
        <v>3500</v>
      </c>
      <c r="Z19" s="100"/>
      <c r="AA19" s="100"/>
      <c r="AB19" s="100"/>
    </row>
    <row r="20" spans="4:28" x14ac:dyDescent="0.25">
      <c r="D20" s="70" t="s">
        <v>222</v>
      </c>
      <c r="E20" s="37" t="s">
        <v>10</v>
      </c>
      <c r="F20" s="100">
        <v>700</v>
      </c>
      <c r="G20" s="100">
        <v>700</v>
      </c>
      <c r="H20" s="100">
        <v>700</v>
      </c>
      <c r="I20" s="100">
        <v>700</v>
      </c>
      <c r="J20" s="100">
        <v>700</v>
      </c>
      <c r="K20" s="100">
        <v>700</v>
      </c>
      <c r="L20" s="100">
        <v>700</v>
      </c>
      <c r="M20" s="100">
        <v>700</v>
      </c>
      <c r="N20" s="100">
        <v>700</v>
      </c>
      <c r="O20" s="100">
        <v>700</v>
      </c>
      <c r="P20" s="100">
        <v>700</v>
      </c>
      <c r="Q20" s="100">
        <v>700</v>
      </c>
      <c r="R20" s="100">
        <v>700</v>
      </c>
      <c r="S20" s="100">
        <v>700</v>
      </c>
      <c r="T20" s="100">
        <v>700</v>
      </c>
      <c r="U20" s="100">
        <v>700</v>
      </c>
      <c r="V20" s="100">
        <v>700</v>
      </c>
      <c r="W20" s="100">
        <v>700</v>
      </c>
      <c r="X20" s="100">
        <v>700</v>
      </c>
      <c r="Y20" s="100">
        <v>700</v>
      </c>
      <c r="Z20" s="100"/>
      <c r="AA20" s="100"/>
      <c r="AB20" s="100"/>
    </row>
    <row r="21" spans="4:28" x14ac:dyDescent="0.25">
      <c r="D21" s="70" t="s">
        <v>256</v>
      </c>
      <c r="E21" s="37" t="s">
        <v>10</v>
      </c>
      <c r="F21" s="100">
        <v>3500</v>
      </c>
      <c r="G21" s="100">
        <v>3500</v>
      </c>
      <c r="H21" s="100">
        <v>3500</v>
      </c>
      <c r="I21" s="100">
        <v>3500</v>
      </c>
      <c r="J21" s="100">
        <v>3500</v>
      </c>
      <c r="K21" s="100">
        <v>3500</v>
      </c>
      <c r="L21" s="100">
        <v>3500</v>
      </c>
      <c r="M21" s="100">
        <v>3500</v>
      </c>
      <c r="N21" s="100">
        <v>3500</v>
      </c>
      <c r="O21" s="100">
        <v>3500</v>
      </c>
      <c r="P21" s="100">
        <v>3500</v>
      </c>
      <c r="Q21" s="100">
        <v>3500</v>
      </c>
      <c r="R21" s="100">
        <v>3500</v>
      </c>
      <c r="S21" s="100">
        <v>3500</v>
      </c>
      <c r="T21" s="100">
        <v>3500</v>
      </c>
      <c r="U21" s="100">
        <v>3500</v>
      </c>
      <c r="V21" s="100">
        <v>3500</v>
      </c>
      <c r="W21" s="100">
        <v>3500</v>
      </c>
      <c r="X21" s="100">
        <v>3500</v>
      </c>
      <c r="Y21" s="100">
        <v>3500</v>
      </c>
      <c r="Z21" s="100"/>
      <c r="AA21" s="100"/>
      <c r="AB21" s="100"/>
    </row>
    <row r="22" spans="4:28" x14ac:dyDescent="0.25">
      <c r="D22" s="70" t="s">
        <v>252</v>
      </c>
      <c r="E22" s="37" t="s">
        <v>10</v>
      </c>
      <c r="F22" s="100">
        <v>12</v>
      </c>
      <c r="G22" s="100">
        <v>12</v>
      </c>
      <c r="H22" s="100">
        <v>12</v>
      </c>
      <c r="I22" s="100">
        <v>12</v>
      </c>
      <c r="J22" s="100">
        <v>12</v>
      </c>
      <c r="K22" s="100">
        <v>12</v>
      </c>
      <c r="L22" s="100">
        <v>12</v>
      </c>
      <c r="M22" s="100">
        <v>12</v>
      </c>
      <c r="N22" s="100">
        <v>12</v>
      </c>
      <c r="O22" s="100">
        <v>12</v>
      </c>
      <c r="P22" s="100">
        <v>12</v>
      </c>
      <c r="Q22" s="100">
        <v>12</v>
      </c>
      <c r="R22" s="100">
        <v>12</v>
      </c>
      <c r="S22" s="100">
        <v>12</v>
      </c>
      <c r="T22" s="100">
        <v>12</v>
      </c>
      <c r="U22" s="100">
        <v>12</v>
      </c>
      <c r="V22" s="100">
        <v>12</v>
      </c>
      <c r="W22" s="100">
        <v>12</v>
      </c>
      <c r="X22" s="100">
        <v>12</v>
      </c>
      <c r="Y22" s="100">
        <v>12</v>
      </c>
      <c r="Z22" s="100"/>
      <c r="AA22" s="100"/>
      <c r="AB22" s="100"/>
    </row>
    <row r="23" spans="4:28" x14ac:dyDescent="0.25">
      <c r="D23" s="70" t="s">
        <v>28</v>
      </c>
      <c r="E23" s="37" t="s">
        <v>10</v>
      </c>
      <c r="F23" s="100">
        <v>100</v>
      </c>
      <c r="G23" s="100">
        <v>100</v>
      </c>
      <c r="H23" s="100">
        <v>100</v>
      </c>
      <c r="I23" s="100">
        <v>100</v>
      </c>
      <c r="J23" s="100">
        <v>100</v>
      </c>
      <c r="K23" s="100">
        <v>100</v>
      </c>
      <c r="L23" s="100">
        <v>100</v>
      </c>
      <c r="M23" s="100">
        <v>100</v>
      </c>
      <c r="N23" s="100">
        <v>100</v>
      </c>
      <c r="O23" s="100">
        <v>100</v>
      </c>
      <c r="P23" s="100">
        <v>100</v>
      </c>
      <c r="Q23" s="100">
        <v>100</v>
      </c>
      <c r="R23" s="100">
        <v>100</v>
      </c>
      <c r="S23" s="100">
        <v>100</v>
      </c>
      <c r="T23" s="100">
        <v>100</v>
      </c>
      <c r="U23" s="100">
        <v>100</v>
      </c>
      <c r="V23" s="100">
        <v>100</v>
      </c>
      <c r="W23" s="100">
        <v>100</v>
      </c>
      <c r="X23" s="100">
        <v>100</v>
      </c>
      <c r="Y23" s="100">
        <v>100</v>
      </c>
      <c r="Z23" s="100"/>
      <c r="AA23" s="100"/>
      <c r="AB23" s="100"/>
    </row>
    <row r="24" spans="4:28" x14ac:dyDescent="0.25">
      <c r="D24" s="70" t="s">
        <v>253</v>
      </c>
      <c r="E24" s="37" t="s">
        <v>10</v>
      </c>
      <c r="F24" s="100">
        <v>588</v>
      </c>
      <c r="G24" s="100">
        <v>588</v>
      </c>
      <c r="H24" s="100">
        <v>588</v>
      </c>
      <c r="I24" s="100">
        <v>588</v>
      </c>
      <c r="J24" s="100">
        <v>588</v>
      </c>
      <c r="K24" s="100">
        <v>588</v>
      </c>
      <c r="L24" s="100">
        <v>588</v>
      </c>
      <c r="M24" s="100">
        <v>588</v>
      </c>
      <c r="N24" s="100">
        <v>588</v>
      </c>
      <c r="O24" s="100">
        <v>588</v>
      </c>
      <c r="P24" s="100">
        <v>588</v>
      </c>
      <c r="Q24" s="100">
        <v>588</v>
      </c>
      <c r="R24" s="100">
        <v>588</v>
      </c>
      <c r="S24" s="100">
        <v>588</v>
      </c>
      <c r="T24" s="100">
        <v>588</v>
      </c>
      <c r="U24" s="100">
        <v>588</v>
      </c>
      <c r="V24" s="100">
        <v>588</v>
      </c>
      <c r="W24" s="100">
        <v>588</v>
      </c>
      <c r="X24" s="100">
        <v>588</v>
      </c>
      <c r="Y24" s="100">
        <v>588</v>
      </c>
      <c r="Z24" s="100"/>
      <c r="AA24" s="100"/>
      <c r="AB24" s="100"/>
    </row>
    <row r="25" spans="4:28" x14ac:dyDescent="0.25">
      <c r="D25" s="70" t="s">
        <v>254</v>
      </c>
      <c r="E25" s="37" t="s">
        <v>10</v>
      </c>
      <c r="F25" s="100">
        <v>9</v>
      </c>
      <c r="G25" s="100">
        <v>9</v>
      </c>
      <c r="H25" s="100">
        <v>9</v>
      </c>
      <c r="I25" s="100">
        <v>9</v>
      </c>
      <c r="J25" s="100">
        <v>9</v>
      </c>
      <c r="K25" s="100">
        <v>9</v>
      </c>
      <c r="L25" s="100">
        <v>9</v>
      </c>
      <c r="M25" s="100">
        <v>9</v>
      </c>
      <c r="N25" s="100">
        <v>9</v>
      </c>
      <c r="O25" s="100">
        <v>9</v>
      </c>
      <c r="P25" s="100">
        <v>9</v>
      </c>
      <c r="Q25" s="100">
        <v>9</v>
      </c>
      <c r="R25" s="100">
        <v>9</v>
      </c>
      <c r="S25" s="100">
        <v>9</v>
      </c>
      <c r="T25" s="100">
        <v>9</v>
      </c>
      <c r="U25" s="100">
        <v>9</v>
      </c>
      <c r="V25" s="100">
        <v>9</v>
      </c>
      <c r="W25" s="100">
        <v>9</v>
      </c>
      <c r="X25" s="100">
        <v>9</v>
      </c>
      <c r="Y25" s="100">
        <v>9</v>
      </c>
      <c r="Z25" s="100"/>
      <c r="AA25" s="100"/>
      <c r="AB25" s="100"/>
    </row>
    <row r="26" spans="4:28" x14ac:dyDescent="0.25">
      <c r="D26" s="70" t="s">
        <v>255</v>
      </c>
      <c r="E26" s="37" t="s">
        <v>10</v>
      </c>
      <c r="F26" s="100">
        <v>6330</v>
      </c>
      <c r="G26" s="100">
        <v>6330</v>
      </c>
      <c r="H26" s="100">
        <v>6330</v>
      </c>
      <c r="I26" s="100">
        <v>6330</v>
      </c>
      <c r="J26" s="100">
        <v>6330</v>
      </c>
      <c r="K26" s="100">
        <v>6330</v>
      </c>
      <c r="L26" s="100">
        <v>6330</v>
      </c>
      <c r="M26" s="100">
        <v>6330</v>
      </c>
      <c r="N26" s="100">
        <v>6330</v>
      </c>
      <c r="O26" s="100">
        <v>6330</v>
      </c>
      <c r="P26" s="100">
        <v>6330</v>
      </c>
      <c r="Q26" s="100">
        <v>6330</v>
      </c>
      <c r="R26" s="100">
        <v>6330</v>
      </c>
      <c r="S26" s="100">
        <v>6330</v>
      </c>
      <c r="T26" s="100">
        <v>6330</v>
      </c>
      <c r="U26" s="100">
        <v>6330</v>
      </c>
      <c r="V26" s="100">
        <v>6330</v>
      </c>
      <c r="W26" s="100">
        <v>6330</v>
      </c>
      <c r="X26" s="100">
        <v>6330</v>
      </c>
      <c r="Y26" s="100">
        <v>6330</v>
      </c>
      <c r="Z26" s="100"/>
      <c r="AA26" s="100"/>
      <c r="AB26" s="100"/>
    </row>
    <row r="27" spans="4:28" x14ac:dyDescent="0.25">
      <c r="D27" s="70" t="s">
        <v>250</v>
      </c>
      <c r="E27" s="37"/>
      <c r="F27" s="37" t="s">
        <v>223</v>
      </c>
      <c r="G27" s="77" t="s">
        <v>257</v>
      </c>
      <c r="H27" s="77" t="s">
        <v>257</v>
      </c>
      <c r="I27" s="77" t="s">
        <v>257</v>
      </c>
      <c r="J27" s="37" t="s">
        <v>223</v>
      </c>
      <c r="K27" s="77" t="s">
        <v>257</v>
      </c>
      <c r="L27" s="77" t="s">
        <v>257</v>
      </c>
      <c r="M27" s="77" t="s">
        <v>257</v>
      </c>
      <c r="N27" s="37" t="s">
        <v>223</v>
      </c>
      <c r="O27" s="77" t="s">
        <v>257</v>
      </c>
      <c r="P27" s="77" t="s">
        <v>257</v>
      </c>
      <c r="Q27" s="77" t="s">
        <v>257</v>
      </c>
      <c r="R27" s="37" t="s">
        <v>223</v>
      </c>
      <c r="S27" s="77" t="s">
        <v>257</v>
      </c>
      <c r="T27" s="77" t="s">
        <v>257</v>
      </c>
      <c r="U27" s="77" t="s">
        <v>257</v>
      </c>
      <c r="V27" s="37" t="s">
        <v>223</v>
      </c>
      <c r="W27" s="77" t="s">
        <v>257</v>
      </c>
      <c r="X27" s="77" t="s">
        <v>257</v>
      </c>
      <c r="Y27" s="77" t="s">
        <v>257</v>
      </c>
      <c r="Z27" s="77"/>
      <c r="AA27" s="77"/>
      <c r="AB27" s="77"/>
    </row>
    <row r="28" spans="4:28" x14ac:dyDescent="0.25">
      <c r="D28" s="84" t="s">
        <v>282</v>
      </c>
      <c r="E28" s="37" t="s">
        <v>136</v>
      </c>
      <c r="F28" s="101">
        <f>'Panel Buckling - T Flange'!G40</f>
        <v>2.2799999999999998</v>
      </c>
      <c r="G28" s="101">
        <f>'Panel Buckling - T Flange'!H40</f>
        <v>0.92</v>
      </c>
      <c r="H28" s="101">
        <f>'Panel Buckling - T Flange'!I40</f>
        <v>1.36</v>
      </c>
      <c r="I28" s="101">
        <f>'Panel Buckling - T Flange'!J40</f>
        <v>9.18</v>
      </c>
      <c r="J28" s="101">
        <f>'Panel Buckling - T Flange'!K40</f>
        <v>2.2799999999999998</v>
      </c>
      <c r="K28" s="101">
        <f>'Panel Buckling - T Flange'!L40</f>
        <v>0.98</v>
      </c>
      <c r="L28" s="101">
        <f>'Panel Buckling - T Flange'!M40</f>
        <v>1.33</v>
      </c>
      <c r="M28" s="101">
        <f>'Panel Buckling - T Flange'!N40</f>
        <v>9.14</v>
      </c>
      <c r="N28" s="101">
        <f>'Panel Buckling - T Flange'!O40</f>
        <v>2.2799999999999998</v>
      </c>
      <c r="O28" s="101">
        <f>'Panel Buckling - T Flange'!P40</f>
        <v>1.05</v>
      </c>
      <c r="P28" s="101">
        <f>'Panel Buckling - T Flange'!Q40</f>
        <v>1.3</v>
      </c>
      <c r="Q28" s="101">
        <f>'Panel Buckling - T Flange'!R40</f>
        <v>9.11</v>
      </c>
      <c r="R28" s="101">
        <f>'Panel Buckling - T Flange'!S40</f>
        <v>2.2799999999999998</v>
      </c>
      <c r="S28" s="101">
        <f>'Panel Buckling - T Flange'!T40</f>
        <v>1.1200000000000001</v>
      </c>
      <c r="T28" s="101">
        <f>'Panel Buckling - T Flange'!U40</f>
        <v>1.2699999999999998</v>
      </c>
      <c r="U28" s="101">
        <f>'Panel Buckling - T Flange'!V40</f>
        <v>9.07</v>
      </c>
      <c r="V28" s="101">
        <f>'Panel Buckling - T Flange'!W40</f>
        <v>2.2799999999999998</v>
      </c>
      <c r="W28" s="101">
        <f>'Panel Buckling - T Flange'!X40</f>
        <v>1.18</v>
      </c>
      <c r="X28" s="101">
        <f>'Panel Buckling - T Flange'!Y40</f>
        <v>1.24</v>
      </c>
      <c r="Y28" s="101">
        <f>'Panel Buckling - T Flange'!Z40</f>
        <v>9.0399999999999991</v>
      </c>
      <c r="Z28" s="101"/>
      <c r="AA28" s="101"/>
      <c r="AB28" s="101"/>
    </row>
    <row r="29" spans="4:28" x14ac:dyDescent="0.25">
      <c r="D29" s="84" t="s">
        <v>285</v>
      </c>
      <c r="E29" s="37" t="s">
        <v>136</v>
      </c>
      <c r="F29" s="101">
        <f>'Panel Buckling - T Flange'!G42</f>
        <v>7.04</v>
      </c>
      <c r="G29" s="101">
        <f>'Panel Buckling - T Flange'!H42</f>
        <v>1.47</v>
      </c>
      <c r="H29" s="101">
        <f>'Panel Buckling - T Flange'!I42</f>
        <v>2.84</v>
      </c>
      <c r="I29" s="101">
        <f>'Panel Buckling - T Flange'!J42</f>
        <v>4.91</v>
      </c>
      <c r="J29" s="101">
        <f>'Panel Buckling - T Flange'!K42</f>
        <v>7.41</v>
      </c>
      <c r="K29" s="101">
        <f>'Panel Buckling - T Flange'!L42</f>
        <v>1.55</v>
      </c>
      <c r="L29" s="101">
        <f>'Panel Buckling - T Flange'!M42</f>
        <v>2.75</v>
      </c>
      <c r="M29" s="101">
        <f>'Panel Buckling - T Flange'!N42</f>
        <v>4.8099999999999996</v>
      </c>
      <c r="N29" s="101">
        <f>'Panel Buckling - T Flange'!O42</f>
        <v>7.78</v>
      </c>
      <c r="O29" s="101">
        <f>'Panel Buckling - T Flange'!P42</f>
        <v>1.63</v>
      </c>
      <c r="P29" s="101">
        <f>'Panel Buckling - T Flange'!Q42</f>
        <v>3.25</v>
      </c>
      <c r="Q29" s="101">
        <f>'Panel Buckling - T Flange'!R42</f>
        <v>4.72</v>
      </c>
      <c r="R29" s="101">
        <f>'Panel Buckling - T Flange'!S42</f>
        <v>8.15</v>
      </c>
      <c r="S29" s="101">
        <f>'Panel Buckling - T Flange'!T42</f>
        <v>1.7</v>
      </c>
      <c r="T29" s="101">
        <f>'Panel Buckling - T Flange'!U42</f>
        <v>3.76</v>
      </c>
      <c r="U29" s="101">
        <f>'Panel Buckling - T Flange'!V42</f>
        <v>4.62</v>
      </c>
      <c r="V29" s="101">
        <f>'Panel Buckling - T Flange'!W42</f>
        <v>8.52</v>
      </c>
      <c r="W29" s="101">
        <f>'Panel Buckling - T Flange'!X42</f>
        <v>1.78</v>
      </c>
      <c r="X29" s="101">
        <f>'Panel Buckling - T Flange'!Y42</f>
        <v>4.26</v>
      </c>
      <c r="Y29" s="101">
        <f>'Panel Buckling - T Flange'!Z42</f>
        <v>4.5199999999999996</v>
      </c>
      <c r="Z29" s="101"/>
      <c r="AA29" s="101"/>
      <c r="AB29" s="101"/>
    </row>
    <row r="30" spans="4:28" x14ac:dyDescent="0.25">
      <c r="D30" s="84" t="s">
        <v>350</v>
      </c>
      <c r="E30" s="37" t="s">
        <v>2</v>
      </c>
      <c r="F30" s="101">
        <f>'Panel Buckling - T Flange'!G44</f>
        <v>0.13</v>
      </c>
      <c r="G30" s="101">
        <f>'Panel Buckling - T Flange'!H44</f>
        <v>0</v>
      </c>
      <c r="H30" s="101">
        <f>'Panel Buckling - T Flange'!I44</f>
        <v>1.3</v>
      </c>
      <c r="I30" s="101">
        <f>'Panel Buckling - T Flange'!J44</f>
        <v>0.86</v>
      </c>
      <c r="J30" s="101">
        <f>'Panel Buckling - T Flange'!K44</f>
        <v>0.18</v>
      </c>
      <c r="K30" s="101">
        <f>'Panel Buckling - T Flange'!L44</f>
        <v>0</v>
      </c>
      <c r="L30" s="101">
        <f>'Panel Buckling - T Flange'!M44</f>
        <v>1.68</v>
      </c>
      <c r="M30" s="101">
        <f>'Panel Buckling - T Flange'!N44</f>
        <v>0.87</v>
      </c>
      <c r="N30" s="101">
        <f>'Panel Buckling - T Flange'!O44</f>
        <v>0.22</v>
      </c>
      <c r="O30" s="101">
        <f>'Panel Buckling - T Flange'!P44</f>
        <v>0</v>
      </c>
      <c r="P30" s="101">
        <f>'Panel Buckling - T Flange'!Q44</f>
        <v>2.06</v>
      </c>
      <c r="Q30" s="101">
        <f>'Panel Buckling - T Flange'!R44</f>
        <v>0.88</v>
      </c>
      <c r="R30" s="101">
        <f>'Panel Buckling - T Flange'!S44</f>
        <v>0.27</v>
      </c>
      <c r="S30" s="101">
        <f>'Panel Buckling - T Flange'!T44</f>
        <v>0</v>
      </c>
      <c r="T30" s="101">
        <f>'Panel Buckling - T Flange'!U44</f>
        <v>2.4500000000000002</v>
      </c>
      <c r="U30" s="101">
        <f>'Panel Buckling - T Flange'!V44</f>
        <v>0.89</v>
      </c>
      <c r="V30" s="101">
        <f>'Panel Buckling - T Flange'!W44</f>
        <v>0.31</v>
      </c>
      <c r="W30" s="101">
        <f>'Panel Buckling - T Flange'!X44</f>
        <v>0</v>
      </c>
      <c r="X30" s="101">
        <f>'Panel Buckling - T Flange'!Y44</f>
        <v>2.83</v>
      </c>
      <c r="Y30" s="101">
        <f>'Panel Buckling - T Flange'!Z44</f>
        <v>0.9</v>
      </c>
      <c r="Z30" s="101"/>
      <c r="AA30" s="101"/>
      <c r="AB30" s="101"/>
    </row>
    <row r="31" spans="4:28" ht="30" x14ac:dyDescent="0.25">
      <c r="D31" s="85" t="s">
        <v>284</v>
      </c>
      <c r="E31" s="37" t="s">
        <v>275</v>
      </c>
      <c r="F31" s="39">
        <f>'Panel Buckling - T Flange'!G258</f>
        <v>0.21249216677312724</v>
      </c>
      <c r="G31" s="39">
        <f>'Panel Buckling - T Flange'!H258</f>
        <v>8.1539760348583887E-2</v>
      </c>
      <c r="H31" s="39">
        <f>'Panel Buckling - T Flange'!I258</f>
        <v>0.22835458148101473</v>
      </c>
      <c r="I31" s="39">
        <f>'Panel Buckling - T Flange'!J258</f>
        <v>0.8842528289660625</v>
      </c>
      <c r="J31" s="39">
        <f>'Panel Buckling - T Flange'!K258</f>
        <v>0.21646530968285249</v>
      </c>
      <c r="K31" s="39">
        <f>'Panel Buckling - T Flange'!L258</f>
        <v>8.6857570806100209E-2</v>
      </c>
      <c r="L31" s="39">
        <f>'Panel Buckling - T Flange'!M258</f>
        <v>0.25937158660830906</v>
      </c>
      <c r="M31" s="39">
        <f>'Panel Buckling - T Flange'!N258</f>
        <v>0.88154808263966855</v>
      </c>
      <c r="N31" s="39">
        <f>'Panel Buckling - T Flange'!O258</f>
        <v>0.21965617954696484</v>
      </c>
      <c r="O31" s="39">
        <f>'Panel Buckling - T Flange'!P258</f>
        <v>9.3061683006535945E-2</v>
      </c>
      <c r="P31" s="39">
        <f>'Panel Buckling - T Flange'!Q258</f>
        <v>0.29137978031691836</v>
      </c>
      <c r="Q31" s="39">
        <f>'Panel Buckling - T Flange'!R258</f>
        <v>0.87973105039070532</v>
      </c>
      <c r="R31" s="39">
        <f>'Panel Buckling - T Flange'!S258</f>
        <v>0.22366021129752056</v>
      </c>
      <c r="S31" s="39">
        <f>'Panel Buckling - T Flange'!T258</f>
        <v>9.926579520697168E-2</v>
      </c>
      <c r="T31" s="39">
        <f>'Panel Buckling - T Flange'!U258</f>
        <v>0.32533098106768027</v>
      </c>
      <c r="U31" s="39">
        <f>'Panel Buckling - T Flange'!V258</f>
        <v>0.87702767690168215</v>
      </c>
      <c r="V31" s="39">
        <f>'Panel Buckling - T Flange'!W258</f>
        <v>0.22687579223429727</v>
      </c>
      <c r="W31" s="39">
        <f>'Panel Buckling - T Flange'!X258</f>
        <v>0.10458360566448802</v>
      </c>
      <c r="X31" s="39">
        <f>'Panel Buckling - T Flange'!Y258</f>
        <v>0.35934763584895391</v>
      </c>
      <c r="Y31" s="39">
        <f>'Panel Buckling - T Flange'!Z258</f>
        <v>0.87521201749008892</v>
      </c>
      <c r="Z31" s="39"/>
      <c r="AA31" s="39"/>
      <c r="AB31" s="39"/>
    </row>
    <row r="32" spans="4:28" ht="30" x14ac:dyDescent="0.25">
      <c r="D32" s="85" t="s">
        <v>283</v>
      </c>
      <c r="E32" s="37" t="s">
        <v>275</v>
      </c>
      <c r="F32" s="39">
        <f>'Panel Buckling - T Flange'!G296</f>
        <v>0.38127273915754234</v>
      </c>
      <c r="G32" s="39">
        <f>'Panel Buckling - T Flange'!H296</f>
        <v>0.11672882350870001</v>
      </c>
      <c r="H32" s="39">
        <f>'Panel Buckling - T Flange'!I296</f>
        <v>0.15301286688375884</v>
      </c>
      <c r="I32" s="39">
        <f>'Panel Buckling - T Flange'!J296</f>
        <v>0.27008569097167023</v>
      </c>
      <c r="J32" s="39">
        <f>'Panel Buckling - T Flange'!K296</f>
        <v>0.40240725334746869</v>
      </c>
      <c r="K32" s="39">
        <f>'Panel Buckling - T Flange'!L296</f>
        <v>0.12311044629665188</v>
      </c>
      <c r="L32" s="39">
        <f>'Panel Buckling - T Flange'!M296</f>
        <v>0.14828058403874775</v>
      </c>
      <c r="M32" s="39">
        <f>'Panel Buckling - T Flange'!N296</f>
        <v>0.26447668522084183</v>
      </c>
      <c r="N32" s="39">
        <f>'Panel Buckling - T Flange'!O296</f>
        <v>0.42761008400815115</v>
      </c>
      <c r="O32" s="39">
        <f>'Panel Buckling - T Flange'!P296</f>
        <v>0.12949673106904735</v>
      </c>
      <c r="P32" s="39">
        <f>'Panel Buckling - T Flange'!Q296</f>
        <v>0.17540620505742363</v>
      </c>
      <c r="Q32" s="39">
        <f>'Panel Buckling - T Flange'!R296</f>
        <v>0.25945396295957446</v>
      </c>
      <c r="R32" s="39">
        <f>'Panel Buckling - T Flange'!S296</f>
        <v>0.46507261825039831</v>
      </c>
      <c r="S32" s="39">
        <f>'Panel Buckling - T Flange'!T296</f>
        <v>0.13508890317901204</v>
      </c>
      <c r="T32" s="39">
        <f>'Panel Buckling - T Flange'!U296</f>
        <v>0.20312822334276978</v>
      </c>
      <c r="U32" s="39">
        <f>'Panel Buckling - T Flange'!V296</f>
        <v>0.25386431503645762</v>
      </c>
      <c r="V32" s="39">
        <f>'Panel Buckling - T Flange'!W296</f>
        <v>0.48618751595901522</v>
      </c>
      <c r="W32" s="39">
        <f>'Panel Buckling - T Flange'!X296</f>
        <v>0.14147900088499471</v>
      </c>
      <c r="X32" s="39">
        <f>'Panel Buckling - T Flange'!Y296</f>
        <v>0.23036624965874045</v>
      </c>
      <c r="Y32" s="39">
        <f>'Panel Buckling - T Flange'!Z296</f>
        <v>0.24830670247221737</v>
      </c>
      <c r="Z32" s="39"/>
      <c r="AA32" s="39"/>
      <c r="AB32" s="39"/>
    </row>
    <row r="34" spans="4:26" x14ac:dyDescent="0.25">
      <c r="F34" s="9" t="s">
        <v>341</v>
      </c>
      <c r="G34" s="9" t="str">
        <f>F34</f>
        <v>DAF 1.0</v>
      </c>
      <c r="H34" s="9" t="str">
        <f>G34</f>
        <v>DAF 1.0</v>
      </c>
      <c r="I34" s="9" t="s">
        <v>342</v>
      </c>
      <c r="J34" s="9" t="str">
        <f>I34</f>
        <v>DAF 1.08</v>
      </c>
      <c r="K34" s="9" t="str">
        <f>J34</f>
        <v>DAF 1.08</v>
      </c>
      <c r="L34" s="9" t="s">
        <v>343</v>
      </c>
      <c r="M34" s="9" t="str">
        <f>L34</f>
        <v>DAF 1.16</v>
      </c>
      <c r="N34" s="9" t="str">
        <f>M34</f>
        <v>DAF 1.16</v>
      </c>
      <c r="O34" s="9" t="s">
        <v>344</v>
      </c>
      <c r="P34" s="9" t="str">
        <f>O34</f>
        <v>DAF 1.23</v>
      </c>
      <c r="Q34" s="9" t="str">
        <f>P34</f>
        <v>DAF 1.23</v>
      </c>
      <c r="R34" s="9" t="s">
        <v>345</v>
      </c>
      <c r="S34" s="9" t="str">
        <f>R34</f>
        <v>DAF 1.31</v>
      </c>
      <c r="T34" s="9" t="str">
        <f>S34</f>
        <v>DAF 1.31</v>
      </c>
      <c r="U34" s="9" t="s">
        <v>346</v>
      </c>
      <c r="V34" s="9" t="str">
        <f>U34</f>
        <v>Low Stiffness</v>
      </c>
      <c r="W34" s="9" t="str">
        <f>V34</f>
        <v>Low Stiffness</v>
      </c>
      <c r="X34" s="9" t="s">
        <v>347</v>
      </c>
      <c r="Y34" s="9" t="str">
        <f>X34</f>
        <v>High Stiffness</v>
      </c>
      <c r="Z34" s="9" t="str">
        <f>Y34</f>
        <v>High Stiffness</v>
      </c>
    </row>
    <row r="35" spans="4:26" x14ac:dyDescent="0.25">
      <c r="D35" s="70" t="s">
        <v>204</v>
      </c>
      <c r="E35" s="70" t="s">
        <v>78</v>
      </c>
      <c r="F35" s="70" t="s">
        <v>224</v>
      </c>
      <c r="G35" s="70" t="s">
        <v>227</v>
      </c>
      <c r="H35" s="70" t="s">
        <v>349</v>
      </c>
      <c r="I35" s="70" t="s">
        <v>224</v>
      </c>
      <c r="J35" s="70" t="s">
        <v>227</v>
      </c>
      <c r="K35" s="70" t="s">
        <v>349</v>
      </c>
      <c r="L35" s="70" t="s">
        <v>224</v>
      </c>
      <c r="M35" s="70" t="s">
        <v>227</v>
      </c>
      <c r="N35" s="70" t="s">
        <v>349</v>
      </c>
      <c r="O35" s="70" t="s">
        <v>224</v>
      </c>
      <c r="P35" s="70" t="s">
        <v>227</v>
      </c>
      <c r="Q35" s="70" t="s">
        <v>349</v>
      </c>
      <c r="R35" s="70" t="s">
        <v>224</v>
      </c>
      <c r="S35" s="70" t="s">
        <v>227</v>
      </c>
      <c r="T35" s="70" t="s">
        <v>349</v>
      </c>
      <c r="U35" s="70" t="s">
        <v>224</v>
      </c>
      <c r="V35" s="70" t="s">
        <v>227</v>
      </c>
      <c r="W35" s="70" t="s">
        <v>349</v>
      </c>
      <c r="X35" s="70" t="s">
        <v>224</v>
      </c>
      <c r="Y35" s="70" t="s">
        <v>227</v>
      </c>
      <c r="Z35" s="70" t="s">
        <v>349</v>
      </c>
    </row>
    <row r="36" spans="4:26" x14ac:dyDescent="0.25">
      <c r="D36" s="70" t="s">
        <v>220</v>
      </c>
      <c r="E36" s="37" t="s">
        <v>10</v>
      </c>
      <c r="F36" s="100">
        <f t="shared" ref="F36:Z36" si="2">12/1000</f>
        <v>1.2E-2</v>
      </c>
      <c r="G36" s="100">
        <f t="shared" si="2"/>
        <v>1.2E-2</v>
      </c>
      <c r="H36" s="100">
        <f t="shared" si="2"/>
        <v>1.2E-2</v>
      </c>
      <c r="I36" s="100">
        <f t="shared" si="2"/>
        <v>1.2E-2</v>
      </c>
      <c r="J36" s="100">
        <f t="shared" si="2"/>
        <v>1.2E-2</v>
      </c>
      <c r="K36" s="100">
        <f t="shared" si="2"/>
        <v>1.2E-2</v>
      </c>
      <c r="L36" s="100">
        <f t="shared" si="2"/>
        <v>1.2E-2</v>
      </c>
      <c r="M36" s="100">
        <f t="shared" si="2"/>
        <v>1.2E-2</v>
      </c>
      <c r="N36" s="100">
        <f t="shared" si="2"/>
        <v>1.2E-2</v>
      </c>
      <c r="O36" s="100">
        <f t="shared" si="2"/>
        <v>1.2E-2</v>
      </c>
      <c r="P36" s="100">
        <f t="shared" si="2"/>
        <v>1.2E-2</v>
      </c>
      <c r="Q36" s="100">
        <f t="shared" si="2"/>
        <v>1.2E-2</v>
      </c>
      <c r="R36" s="100">
        <f t="shared" si="2"/>
        <v>1.2E-2</v>
      </c>
      <c r="S36" s="100">
        <f t="shared" si="2"/>
        <v>1.2E-2</v>
      </c>
      <c r="T36" s="100">
        <f t="shared" si="2"/>
        <v>1.2E-2</v>
      </c>
      <c r="U36" s="100">
        <f t="shared" si="2"/>
        <v>1.2E-2</v>
      </c>
      <c r="V36" s="100">
        <f t="shared" si="2"/>
        <v>1.2E-2</v>
      </c>
      <c r="W36" s="100">
        <f t="shared" si="2"/>
        <v>1.2E-2</v>
      </c>
      <c r="X36" s="100">
        <f t="shared" si="2"/>
        <v>1.2E-2</v>
      </c>
      <c r="Y36" s="100">
        <f t="shared" si="2"/>
        <v>1.2E-2</v>
      </c>
      <c r="Z36" s="100">
        <f t="shared" si="2"/>
        <v>1.2E-2</v>
      </c>
    </row>
    <row r="37" spans="4:26" x14ac:dyDescent="0.25">
      <c r="D37" s="70" t="s">
        <v>221</v>
      </c>
      <c r="E37" s="37" t="s">
        <v>10</v>
      </c>
      <c r="F37" s="100">
        <v>2230</v>
      </c>
      <c r="G37" s="100">
        <v>2950</v>
      </c>
      <c r="H37" s="100">
        <v>2950</v>
      </c>
      <c r="I37" s="100">
        <v>2950</v>
      </c>
      <c r="J37" s="100">
        <v>2950</v>
      </c>
      <c r="K37" s="100">
        <v>2950</v>
      </c>
      <c r="L37" s="100">
        <v>2950</v>
      </c>
      <c r="M37" s="100">
        <v>2950</v>
      </c>
      <c r="N37" s="100">
        <v>2950</v>
      </c>
      <c r="O37" s="100">
        <v>2950</v>
      </c>
      <c r="P37" s="100">
        <v>2950</v>
      </c>
      <c r="Q37" s="100">
        <v>2950</v>
      </c>
      <c r="R37" s="100">
        <v>2950</v>
      </c>
      <c r="S37" s="100">
        <v>2950</v>
      </c>
      <c r="T37" s="100">
        <v>2950</v>
      </c>
      <c r="U37" s="100">
        <v>2950</v>
      </c>
      <c r="V37" s="100">
        <v>2950</v>
      </c>
      <c r="W37" s="100">
        <v>2950</v>
      </c>
      <c r="X37" s="100">
        <v>2950</v>
      </c>
      <c r="Y37" s="100">
        <v>2950</v>
      </c>
      <c r="Z37" s="100">
        <v>2950</v>
      </c>
    </row>
    <row r="38" spans="4:26" ht="30" x14ac:dyDescent="0.25">
      <c r="D38" s="76" t="s">
        <v>191</v>
      </c>
      <c r="E38" s="37" t="s">
        <v>10</v>
      </c>
      <c r="F38" s="100">
        <v>3500</v>
      </c>
      <c r="G38" s="100">
        <v>3500</v>
      </c>
      <c r="H38" s="100">
        <v>3500</v>
      </c>
      <c r="I38" s="100">
        <v>3500</v>
      </c>
      <c r="J38" s="100">
        <v>3500</v>
      </c>
      <c r="K38" s="100">
        <v>3500</v>
      </c>
      <c r="L38" s="100">
        <v>3500</v>
      </c>
      <c r="M38" s="100">
        <v>3500</v>
      </c>
      <c r="N38" s="100">
        <v>3500</v>
      </c>
      <c r="O38" s="100">
        <v>3500</v>
      </c>
      <c r="P38" s="100">
        <v>3500</v>
      </c>
      <c r="Q38" s="100">
        <v>3500</v>
      </c>
      <c r="R38" s="100">
        <v>3500</v>
      </c>
      <c r="S38" s="100">
        <v>3500</v>
      </c>
      <c r="T38" s="100">
        <v>3500</v>
      </c>
      <c r="U38" s="100">
        <v>3500</v>
      </c>
      <c r="V38" s="100">
        <v>3500</v>
      </c>
      <c r="W38" s="100">
        <v>3500</v>
      </c>
      <c r="X38" s="100">
        <v>3500</v>
      </c>
      <c r="Y38" s="100">
        <v>3500</v>
      </c>
      <c r="Z38" s="100">
        <v>3500</v>
      </c>
    </row>
    <row r="39" spans="4:26" x14ac:dyDescent="0.25">
      <c r="D39" s="70" t="s">
        <v>222</v>
      </c>
      <c r="E39" s="37" t="s">
        <v>10</v>
      </c>
      <c r="F39" s="100">
        <v>700</v>
      </c>
      <c r="G39" s="100">
        <v>700</v>
      </c>
      <c r="H39" s="100">
        <v>700</v>
      </c>
      <c r="I39" s="100">
        <v>700</v>
      </c>
      <c r="J39" s="100">
        <v>700</v>
      </c>
      <c r="K39" s="100">
        <v>700</v>
      </c>
      <c r="L39" s="100">
        <v>700</v>
      </c>
      <c r="M39" s="100">
        <v>700</v>
      </c>
      <c r="N39" s="100">
        <v>700</v>
      </c>
      <c r="O39" s="100">
        <v>700</v>
      </c>
      <c r="P39" s="100">
        <v>700</v>
      </c>
      <c r="Q39" s="100">
        <v>700</v>
      </c>
      <c r="R39" s="100">
        <v>700</v>
      </c>
      <c r="S39" s="100">
        <v>700</v>
      </c>
      <c r="T39" s="100">
        <v>700</v>
      </c>
      <c r="U39" s="100">
        <v>700</v>
      </c>
      <c r="V39" s="100">
        <v>700</v>
      </c>
      <c r="W39" s="100">
        <v>700</v>
      </c>
      <c r="X39" s="100">
        <v>700</v>
      </c>
      <c r="Y39" s="100">
        <v>700</v>
      </c>
      <c r="Z39" s="100">
        <v>700</v>
      </c>
    </row>
    <row r="40" spans="4:26" x14ac:dyDescent="0.25">
      <c r="D40" s="70" t="s">
        <v>252</v>
      </c>
      <c r="E40" s="37" t="s">
        <v>10</v>
      </c>
      <c r="F40" s="100">
        <v>12</v>
      </c>
      <c r="G40" s="100">
        <v>12</v>
      </c>
      <c r="H40" s="100">
        <v>12</v>
      </c>
      <c r="I40" s="100">
        <v>12</v>
      </c>
      <c r="J40" s="100">
        <v>12</v>
      </c>
      <c r="K40" s="100">
        <v>12</v>
      </c>
      <c r="L40" s="100">
        <v>12</v>
      </c>
      <c r="M40" s="100">
        <v>12</v>
      </c>
      <c r="N40" s="100">
        <v>12</v>
      </c>
      <c r="O40" s="100">
        <v>12</v>
      </c>
      <c r="P40" s="100">
        <v>12</v>
      </c>
      <c r="Q40" s="100">
        <v>12</v>
      </c>
      <c r="R40" s="100">
        <v>12</v>
      </c>
      <c r="S40" s="100">
        <v>12</v>
      </c>
      <c r="T40" s="100">
        <v>12</v>
      </c>
      <c r="U40" s="100">
        <v>12</v>
      </c>
      <c r="V40" s="100">
        <v>12</v>
      </c>
      <c r="W40" s="100">
        <v>12</v>
      </c>
      <c r="X40" s="100">
        <v>12</v>
      </c>
      <c r="Y40" s="100">
        <v>12</v>
      </c>
      <c r="Z40" s="100">
        <v>12</v>
      </c>
    </row>
    <row r="41" spans="4:26" x14ac:dyDescent="0.25">
      <c r="D41" s="70" t="s">
        <v>28</v>
      </c>
      <c r="E41" s="37" t="s">
        <v>10</v>
      </c>
      <c r="F41" s="100">
        <v>200</v>
      </c>
      <c r="G41" s="100">
        <v>200</v>
      </c>
      <c r="H41" s="100">
        <v>200</v>
      </c>
      <c r="I41" s="100">
        <v>200</v>
      </c>
      <c r="J41" s="100">
        <v>200</v>
      </c>
      <c r="K41" s="100">
        <v>200</v>
      </c>
      <c r="L41" s="100">
        <v>200</v>
      </c>
      <c r="M41" s="100">
        <v>200</v>
      </c>
      <c r="N41" s="100">
        <v>200</v>
      </c>
      <c r="O41" s="100">
        <v>200</v>
      </c>
      <c r="P41" s="100">
        <v>200</v>
      </c>
      <c r="Q41" s="100">
        <v>200</v>
      </c>
      <c r="R41" s="100">
        <v>200</v>
      </c>
      <c r="S41" s="100">
        <v>200</v>
      </c>
      <c r="T41" s="100">
        <v>200</v>
      </c>
      <c r="U41" s="100">
        <v>200</v>
      </c>
      <c r="V41" s="100">
        <v>200</v>
      </c>
      <c r="W41" s="100">
        <v>200</v>
      </c>
      <c r="X41" s="100">
        <v>200</v>
      </c>
      <c r="Y41" s="100">
        <v>200</v>
      </c>
      <c r="Z41" s="100">
        <v>200</v>
      </c>
    </row>
    <row r="42" spans="4:26" x14ac:dyDescent="0.25">
      <c r="D42" s="70" t="s">
        <v>253</v>
      </c>
      <c r="E42" s="37" t="s">
        <v>10</v>
      </c>
      <c r="F42" s="100">
        <v>588</v>
      </c>
      <c r="G42" s="100">
        <v>588</v>
      </c>
      <c r="H42" s="100">
        <v>588</v>
      </c>
      <c r="I42" s="100">
        <v>588</v>
      </c>
      <c r="J42" s="100">
        <v>588</v>
      </c>
      <c r="K42" s="100">
        <v>588</v>
      </c>
      <c r="L42" s="100">
        <v>588</v>
      </c>
      <c r="M42" s="100">
        <v>588</v>
      </c>
      <c r="N42" s="100">
        <v>588</v>
      </c>
      <c r="O42" s="100">
        <v>588</v>
      </c>
      <c r="P42" s="100">
        <v>588</v>
      </c>
      <c r="Q42" s="100">
        <v>588</v>
      </c>
      <c r="R42" s="100">
        <v>588</v>
      </c>
      <c r="S42" s="100">
        <v>588</v>
      </c>
      <c r="T42" s="100">
        <v>588</v>
      </c>
      <c r="U42" s="100">
        <v>588</v>
      </c>
      <c r="V42" s="100">
        <v>588</v>
      </c>
      <c r="W42" s="100">
        <v>588</v>
      </c>
      <c r="X42" s="100">
        <v>588</v>
      </c>
      <c r="Y42" s="100">
        <v>588</v>
      </c>
      <c r="Z42" s="100">
        <v>588</v>
      </c>
    </row>
    <row r="43" spans="4:26" x14ac:dyDescent="0.25">
      <c r="D43" s="70" t="s">
        <v>254</v>
      </c>
      <c r="E43" s="37" t="s">
        <v>10</v>
      </c>
      <c r="F43" s="100">
        <v>9</v>
      </c>
      <c r="G43" s="100">
        <v>9</v>
      </c>
      <c r="H43" s="100">
        <v>9</v>
      </c>
      <c r="I43" s="100">
        <v>9</v>
      </c>
      <c r="J43" s="100">
        <v>9</v>
      </c>
      <c r="K43" s="100">
        <v>9</v>
      </c>
      <c r="L43" s="100">
        <v>9</v>
      </c>
      <c r="M43" s="100">
        <v>9</v>
      </c>
      <c r="N43" s="100">
        <v>9</v>
      </c>
      <c r="O43" s="100">
        <v>9</v>
      </c>
      <c r="P43" s="100">
        <v>9</v>
      </c>
      <c r="Q43" s="100">
        <v>9</v>
      </c>
      <c r="R43" s="100">
        <v>9</v>
      </c>
      <c r="S43" s="100">
        <v>9</v>
      </c>
      <c r="T43" s="100">
        <v>9</v>
      </c>
      <c r="U43" s="100">
        <v>9</v>
      </c>
      <c r="V43" s="100">
        <v>9</v>
      </c>
      <c r="W43" s="100">
        <v>9</v>
      </c>
      <c r="X43" s="100">
        <v>9</v>
      </c>
      <c r="Y43" s="100">
        <v>9</v>
      </c>
      <c r="Z43" s="100">
        <v>9</v>
      </c>
    </row>
    <row r="44" spans="4:26" x14ac:dyDescent="0.25">
      <c r="D44" s="70" t="s">
        <v>255</v>
      </c>
      <c r="E44" s="37" t="s">
        <v>10</v>
      </c>
      <c r="F44" s="100">
        <v>6330</v>
      </c>
      <c r="G44" s="100">
        <v>6330</v>
      </c>
      <c r="H44" s="100">
        <v>6330</v>
      </c>
      <c r="I44" s="100">
        <v>6330</v>
      </c>
      <c r="J44" s="100">
        <v>6330</v>
      </c>
      <c r="K44" s="100">
        <v>6330</v>
      </c>
      <c r="L44" s="100">
        <v>6330</v>
      </c>
      <c r="M44" s="100">
        <v>6330</v>
      </c>
      <c r="N44" s="100">
        <v>6330</v>
      </c>
      <c r="O44" s="100">
        <v>6330</v>
      </c>
      <c r="P44" s="100">
        <v>6330</v>
      </c>
      <c r="Q44" s="100">
        <v>6330</v>
      </c>
      <c r="R44" s="100">
        <v>6330</v>
      </c>
      <c r="S44" s="100">
        <v>6330</v>
      </c>
      <c r="T44" s="100">
        <v>6330</v>
      </c>
      <c r="U44" s="100">
        <v>6330</v>
      </c>
      <c r="V44" s="100">
        <v>6330</v>
      </c>
      <c r="W44" s="100">
        <v>6330</v>
      </c>
      <c r="X44" s="100">
        <v>6330</v>
      </c>
      <c r="Y44" s="100">
        <v>6330</v>
      </c>
      <c r="Z44" s="100">
        <v>6330</v>
      </c>
    </row>
    <row r="45" spans="4:26" x14ac:dyDescent="0.25">
      <c r="D45" s="70" t="s">
        <v>250</v>
      </c>
      <c r="E45" s="37"/>
      <c r="F45" s="37" t="s">
        <v>223</v>
      </c>
      <c r="G45" s="77" t="s">
        <v>257</v>
      </c>
      <c r="H45" s="77" t="s">
        <v>257</v>
      </c>
      <c r="I45" s="77" t="s">
        <v>257</v>
      </c>
      <c r="J45" s="77" t="s">
        <v>257</v>
      </c>
      <c r="K45" s="77" t="s">
        <v>257</v>
      </c>
      <c r="L45" s="77" t="s">
        <v>257</v>
      </c>
      <c r="M45" s="77" t="s">
        <v>257</v>
      </c>
      <c r="N45" s="77" t="s">
        <v>257</v>
      </c>
      <c r="O45" s="77" t="s">
        <v>257</v>
      </c>
      <c r="P45" s="77" t="s">
        <v>257</v>
      </c>
      <c r="Q45" s="77" t="s">
        <v>257</v>
      </c>
      <c r="R45" s="77" t="s">
        <v>257</v>
      </c>
      <c r="S45" s="77" t="s">
        <v>257</v>
      </c>
      <c r="T45" s="77" t="s">
        <v>257</v>
      </c>
      <c r="U45" s="77" t="s">
        <v>257</v>
      </c>
      <c r="V45" s="77" t="s">
        <v>257</v>
      </c>
      <c r="W45" s="77" t="s">
        <v>257</v>
      </c>
      <c r="X45" s="77" t="s">
        <v>257</v>
      </c>
      <c r="Y45" s="77" t="s">
        <v>257</v>
      </c>
      <c r="Z45" s="77" t="s">
        <v>257</v>
      </c>
    </row>
    <row r="46" spans="4:26" x14ac:dyDescent="0.25">
      <c r="D46" s="84" t="s">
        <v>282</v>
      </c>
      <c r="E46" s="37" t="s">
        <v>136</v>
      </c>
      <c r="F46" s="101">
        <f>'Panel Buckling - T Flange'!G42</f>
        <v>7.04</v>
      </c>
      <c r="G46" s="101">
        <f>'Panel Buckling - T Flange'!H42</f>
        <v>1.47</v>
      </c>
      <c r="H46" s="101">
        <f>'Panel Buckling - T Flange'!I42</f>
        <v>2.84</v>
      </c>
      <c r="I46" s="101" t="e">
        <f>'Panel Buckling - T Flange'!#REF!</f>
        <v>#REF!</v>
      </c>
      <c r="J46" s="101" t="e">
        <f>'Panel Buckling - T Flange'!#REF!</f>
        <v>#REF!</v>
      </c>
      <c r="K46" s="101" t="e">
        <f>'Panel Buckling - T Flange'!#REF!</f>
        <v>#REF!</v>
      </c>
      <c r="L46" s="101" t="e">
        <f>'Panel Buckling - T Flange'!#REF!</f>
        <v>#REF!</v>
      </c>
      <c r="M46" s="101" t="e">
        <f>'Panel Buckling - T Flange'!#REF!</f>
        <v>#REF!</v>
      </c>
      <c r="N46" s="101" t="e">
        <f>'Panel Buckling - T Flange'!#REF!</f>
        <v>#REF!</v>
      </c>
      <c r="O46" s="101" t="e">
        <f>'Panel Buckling - T Flange'!#REF!</f>
        <v>#REF!</v>
      </c>
      <c r="P46" s="101" t="e">
        <f>'Panel Buckling - T Flange'!#REF!</f>
        <v>#REF!</v>
      </c>
      <c r="Q46" s="101" t="e">
        <f>'Panel Buckling - T Flange'!#REF!</f>
        <v>#REF!</v>
      </c>
      <c r="R46" s="101" t="e">
        <f>'Panel Buckling - T Flange'!#REF!</f>
        <v>#REF!</v>
      </c>
      <c r="S46" s="101" t="e">
        <f>'Panel Buckling - T Flange'!#REF!</f>
        <v>#REF!</v>
      </c>
      <c r="T46" s="101" t="e">
        <f>'Panel Buckling - T Flange'!#REF!</f>
        <v>#REF!</v>
      </c>
      <c r="U46" s="101" t="e">
        <f>'Panel Buckling - T Flange'!#REF!</f>
        <v>#REF!</v>
      </c>
      <c r="V46" s="101" t="e">
        <f>'Panel Buckling - T Flange'!#REF!</f>
        <v>#REF!</v>
      </c>
      <c r="W46" s="101" t="e">
        <f>'Panel Buckling - T Flange'!#REF!</f>
        <v>#REF!</v>
      </c>
      <c r="X46" s="101" t="e">
        <f>'Panel Buckling - T Flange'!#REF!</f>
        <v>#REF!</v>
      </c>
      <c r="Y46" s="101" t="e">
        <f>'Panel Buckling - T Flange'!#REF!</f>
        <v>#REF!</v>
      </c>
      <c r="Z46" s="101" t="e">
        <f>'Panel Buckling - T Flange'!#REF!</f>
        <v>#REF!</v>
      </c>
    </row>
    <row r="47" spans="4:26" x14ac:dyDescent="0.25">
      <c r="D47" s="84" t="s">
        <v>279</v>
      </c>
      <c r="E47" s="37" t="s">
        <v>136</v>
      </c>
      <c r="F47" s="101">
        <f>'Panel Buckling - T Flange'!G40</f>
        <v>2.2799999999999998</v>
      </c>
      <c r="G47" s="101">
        <f>'Panel Buckling - T Flange'!H40</f>
        <v>0.92</v>
      </c>
      <c r="H47" s="101">
        <f>'Panel Buckling - T Flange'!I40</f>
        <v>1.36</v>
      </c>
      <c r="I47" s="101" t="e">
        <f>'Panel Buckling - T Flange'!#REF!</f>
        <v>#REF!</v>
      </c>
      <c r="J47" s="101" t="e">
        <f>'Panel Buckling - T Flange'!#REF!</f>
        <v>#REF!</v>
      </c>
      <c r="K47" s="101" t="e">
        <f>'Panel Buckling - T Flange'!#REF!</f>
        <v>#REF!</v>
      </c>
      <c r="L47" s="101" t="e">
        <f>'Panel Buckling - T Flange'!#REF!</f>
        <v>#REF!</v>
      </c>
      <c r="M47" s="101" t="e">
        <f>'Panel Buckling - T Flange'!#REF!</f>
        <v>#REF!</v>
      </c>
      <c r="N47" s="101" t="e">
        <f>'Panel Buckling - T Flange'!#REF!</f>
        <v>#REF!</v>
      </c>
      <c r="O47" s="101" t="e">
        <f>'Panel Buckling - T Flange'!#REF!</f>
        <v>#REF!</v>
      </c>
      <c r="P47" s="101" t="e">
        <f>'Panel Buckling - T Flange'!#REF!</f>
        <v>#REF!</v>
      </c>
      <c r="Q47" s="101" t="e">
        <f>'Panel Buckling - T Flange'!#REF!</f>
        <v>#REF!</v>
      </c>
      <c r="R47" s="101" t="e">
        <f>'Panel Buckling - T Flange'!#REF!</f>
        <v>#REF!</v>
      </c>
      <c r="S47" s="101" t="e">
        <f>'Panel Buckling - T Flange'!#REF!</f>
        <v>#REF!</v>
      </c>
      <c r="T47" s="101" t="e">
        <f>'Panel Buckling - T Flange'!#REF!</f>
        <v>#REF!</v>
      </c>
      <c r="U47" s="101" t="e">
        <f>'Panel Buckling - T Flange'!#REF!</f>
        <v>#REF!</v>
      </c>
      <c r="V47" s="101" t="e">
        <f>'Panel Buckling - T Flange'!#REF!</f>
        <v>#REF!</v>
      </c>
      <c r="W47" s="101" t="e">
        <f>'Panel Buckling - T Flange'!#REF!</f>
        <v>#REF!</v>
      </c>
      <c r="X47" s="101" t="e">
        <f>'Panel Buckling - T Flange'!#REF!</f>
        <v>#REF!</v>
      </c>
      <c r="Y47" s="101" t="e">
        <f>'Panel Buckling - T Flange'!#REF!</f>
        <v>#REF!</v>
      </c>
      <c r="Z47" s="101" t="e">
        <f>'Panel Buckling - T Flange'!#REF!</f>
        <v>#REF!</v>
      </c>
    </row>
    <row r="48" spans="4:26" ht="30" x14ac:dyDescent="0.25">
      <c r="D48" s="85" t="s">
        <v>280</v>
      </c>
      <c r="E48" s="37" t="s">
        <v>281</v>
      </c>
      <c r="F48" s="86">
        <f>'Panel Buckling - T Flange'!G305*100</f>
        <v>0</v>
      </c>
      <c r="G48" s="86">
        <f>'Panel Buckling - T Flange'!H305*100</f>
        <v>0</v>
      </c>
      <c r="H48" s="86">
        <f>'Panel Buckling - T Flange'!I305*100</f>
        <v>0</v>
      </c>
      <c r="I48" s="86" t="e">
        <f>'Panel Buckling - T Flange'!#REF!*100</f>
        <v>#REF!</v>
      </c>
      <c r="J48" s="86" t="e">
        <f>'Panel Buckling - T Flange'!#REF!*100</f>
        <v>#REF!</v>
      </c>
      <c r="K48" s="86" t="e">
        <f>'Panel Buckling - T Flange'!#REF!*100</f>
        <v>#REF!</v>
      </c>
      <c r="L48" s="86" t="e">
        <f>'Panel Buckling - T Flange'!#REF!*100</f>
        <v>#REF!</v>
      </c>
      <c r="M48" s="86" t="e">
        <f>'Panel Buckling - T Flange'!#REF!*100</f>
        <v>#REF!</v>
      </c>
      <c r="N48" s="86" t="e">
        <f>'Panel Buckling - T Flange'!#REF!*100</f>
        <v>#REF!</v>
      </c>
      <c r="O48" s="86" t="e">
        <f>'Panel Buckling - T Flange'!#REF!*100</f>
        <v>#REF!</v>
      </c>
      <c r="P48" s="86" t="e">
        <f>'Panel Buckling - T Flange'!#REF!*100</f>
        <v>#REF!</v>
      </c>
      <c r="Q48" s="86" t="e">
        <f>'Panel Buckling - T Flange'!#REF!*100</f>
        <v>#REF!</v>
      </c>
      <c r="R48" s="86" t="e">
        <f>'Panel Buckling - T Flange'!#REF!*100</f>
        <v>#REF!</v>
      </c>
      <c r="S48" s="86" t="e">
        <f>'Panel Buckling - T Flange'!#REF!*100</f>
        <v>#REF!</v>
      </c>
      <c r="T48" s="86" t="e">
        <f>'Panel Buckling - T Flange'!#REF!*100</f>
        <v>#REF!</v>
      </c>
      <c r="U48" s="86" t="e">
        <f>'Panel Buckling - T Flange'!#REF!*100</f>
        <v>#REF!</v>
      </c>
      <c r="V48" s="86" t="e">
        <f>'Panel Buckling - T Flange'!#REF!*100</f>
        <v>#REF!</v>
      </c>
      <c r="W48" s="86" t="e">
        <f>'Panel Buckling - T Flange'!#REF!*100</f>
        <v>#REF!</v>
      </c>
      <c r="X48" s="86" t="e">
        <f>'Panel Buckling - T Flange'!#REF!*100</f>
        <v>#REF!</v>
      </c>
      <c r="Y48" s="86" t="e">
        <f>'Panel Buckling - T Flange'!#REF!*100</f>
        <v>#REF!</v>
      </c>
      <c r="Z48" s="86" t="e">
        <f>'Panel Buckling - T Flange'!#REF!*100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topLeftCell="M28" zoomScaleNormal="100" workbookViewId="0">
      <pane ySplit="5805" topLeftCell="A238"/>
      <selection activeCell="Z44" sqref="Z44"/>
      <selection pane="bottomLeft" activeCell="M224" sqref="M224"/>
    </sheetView>
  </sheetViews>
  <sheetFormatPr defaultRowHeight="15" x14ac:dyDescent="0.25"/>
  <cols>
    <col min="1" max="1" width="33.85546875" style="12" customWidth="1"/>
    <col min="2" max="2" width="35.42578125" style="12" customWidth="1"/>
    <col min="3" max="3" width="12.85546875" style="12" customWidth="1"/>
    <col min="4" max="4" width="64" style="12" customWidth="1"/>
    <col min="5" max="5" width="10.5703125" style="12" bestFit="1" customWidth="1"/>
    <col min="6" max="6" width="9.140625" style="12"/>
    <col min="7" max="8" width="13.85546875" style="12" customWidth="1"/>
    <col min="9" max="9" width="13.7109375" bestFit="1" customWidth="1"/>
    <col min="10" max="10" width="13.5703125" bestFit="1" customWidth="1"/>
    <col min="11" max="11" width="11.7109375" customWidth="1"/>
    <col min="12" max="12" width="12.5703125" customWidth="1"/>
    <col min="13" max="13" width="14.140625" customWidth="1"/>
    <col min="14" max="14" width="12.7109375" customWidth="1"/>
    <col min="15" max="16" width="13.7109375" customWidth="1"/>
    <col min="17" max="17" width="12.5703125" customWidth="1"/>
    <col min="18" max="18" width="13.28515625" customWidth="1"/>
    <col min="19" max="19" width="15.140625" customWidth="1"/>
    <col min="20" max="20" width="13.85546875" customWidth="1"/>
    <col min="21" max="21" width="13" customWidth="1"/>
    <col min="22" max="22" width="13.140625" customWidth="1"/>
    <col min="23" max="23" width="12.85546875" customWidth="1"/>
    <col min="24" max="24" width="13.28515625" customWidth="1"/>
    <col min="25" max="25" width="12.7109375" customWidth="1"/>
    <col min="26" max="26" width="13.140625" customWidth="1"/>
  </cols>
  <sheetData>
    <row r="1" spans="1:26" s="12" customFormat="1" ht="21" x14ac:dyDescent="0.35">
      <c r="A1" s="21" t="s">
        <v>139</v>
      </c>
      <c r="B1" s="21"/>
      <c r="C1" s="1"/>
    </row>
    <row r="2" spans="1:26" s="12" customFormat="1" x14ac:dyDescent="0.25">
      <c r="A2" s="1"/>
      <c r="B2" s="1"/>
      <c r="C2" s="1"/>
    </row>
    <row r="3" spans="1:26" s="12" customFormat="1" ht="21" x14ac:dyDescent="0.35">
      <c r="C3" s="24" t="s">
        <v>50</v>
      </c>
      <c r="D3" s="22" t="s">
        <v>0</v>
      </c>
      <c r="E3" s="9"/>
      <c r="F3" s="10" t="s">
        <v>78</v>
      </c>
      <c r="G3" s="9"/>
    </row>
    <row r="4" spans="1:26" s="12" customFormat="1" x14ac:dyDescent="0.25">
      <c r="A4" s="1"/>
      <c r="B4" s="1"/>
      <c r="C4" s="27" t="s">
        <v>52</v>
      </c>
      <c r="D4" s="9" t="s">
        <v>1</v>
      </c>
      <c r="E4" s="9"/>
      <c r="F4" s="9" t="s">
        <v>2</v>
      </c>
      <c r="G4" s="102">
        <v>30450</v>
      </c>
      <c r="H4" s="35"/>
    </row>
    <row r="5" spans="1:26" s="12" customFormat="1" x14ac:dyDescent="0.25">
      <c r="A5" s="1"/>
      <c r="B5" s="1"/>
      <c r="C5" s="27" t="s">
        <v>52</v>
      </c>
      <c r="D5" s="9" t="s">
        <v>3</v>
      </c>
      <c r="E5" s="9"/>
      <c r="F5" s="9" t="s">
        <v>2</v>
      </c>
      <c r="G5" s="102">
        <v>34</v>
      </c>
      <c r="H5" s="35"/>
    </row>
    <row r="6" spans="1:26" s="12" customFormat="1" x14ac:dyDescent="0.25">
      <c r="A6" s="1"/>
      <c r="B6" s="1"/>
      <c r="C6" s="27" t="s">
        <v>52</v>
      </c>
      <c r="D6" s="9" t="s">
        <v>4</v>
      </c>
      <c r="E6" s="9"/>
      <c r="F6" s="9" t="s">
        <v>5</v>
      </c>
      <c r="G6" s="103">
        <v>0.3</v>
      </c>
      <c r="H6" s="35"/>
    </row>
    <row r="7" spans="1:26" s="12" customFormat="1" x14ac:dyDescent="0.25">
      <c r="A7" s="1"/>
      <c r="B7" s="1"/>
      <c r="C7" s="27" t="s">
        <v>52</v>
      </c>
      <c r="D7" s="9" t="s">
        <v>37</v>
      </c>
      <c r="E7" s="9"/>
      <c r="F7" s="9" t="s">
        <v>2</v>
      </c>
      <c r="G7" s="93">
        <f>G4/(2*(1+G6))</f>
        <v>11711.538461538461</v>
      </c>
    </row>
    <row r="8" spans="1:26" s="12" customFormat="1" x14ac:dyDescent="0.25">
      <c r="A8" s="1"/>
      <c r="B8" s="1"/>
      <c r="C8" s="27" t="s">
        <v>52</v>
      </c>
      <c r="D8" s="9" t="s">
        <v>38</v>
      </c>
      <c r="E8" s="9"/>
      <c r="F8" s="9" t="s">
        <v>25</v>
      </c>
      <c r="G8" s="88">
        <v>6.8947000000000003</v>
      </c>
      <c r="H8" s="35"/>
    </row>
    <row r="9" spans="1:26" s="12" customFormat="1" x14ac:dyDescent="0.25">
      <c r="D9" s="9" t="s">
        <v>123</v>
      </c>
      <c r="E9" s="9"/>
      <c r="F9" s="9" t="s">
        <v>5</v>
      </c>
      <c r="G9" s="8">
        <v>1.1499999999999999</v>
      </c>
      <c r="H9" s="35"/>
    </row>
    <row r="10" spans="1:26" s="12" customFormat="1" x14ac:dyDescent="0.25"/>
    <row r="11" spans="1:26" s="12" customFormat="1" x14ac:dyDescent="0.25"/>
    <row r="12" spans="1:26" s="12" customFormat="1" ht="21" x14ac:dyDescent="0.35">
      <c r="A12" s="3" t="s">
        <v>115</v>
      </c>
      <c r="B12" s="3" t="s">
        <v>77</v>
      </c>
      <c r="D12" s="22" t="s">
        <v>187</v>
      </c>
      <c r="E12" s="9"/>
      <c r="F12" s="10" t="s">
        <v>78</v>
      </c>
      <c r="G12" s="9" t="s">
        <v>341</v>
      </c>
      <c r="H12" s="9" t="str">
        <f>G12</f>
        <v>DAF 1.0</v>
      </c>
      <c r="I12" s="9" t="str">
        <f>H12</f>
        <v>DAF 1.0</v>
      </c>
      <c r="J12" s="9" t="str">
        <f>I12</f>
        <v>DAF 1.0</v>
      </c>
      <c r="K12" s="9" t="s">
        <v>353</v>
      </c>
      <c r="L12" s="9" t="str">
        <f>K12</f>
        <v>DAF 1.2</v>
      </c>
      <c r="M12" s="9" t="str">
        <f>L12</f>
        <v>DAF 1.2</v>
      </c>
      <c r="N12" s="9" t="str">
        <f>M12</f>
        <v>DAF 1.2</v>
      </c>
      <c r="O12" s="9" t="s">
        <v>354</v>
      </c>
      <c r="P12" s="9" t="str">
        <f>O12</f>
        <v>DAF 1.5</v>
      </c>
      <c r="Q12" s="9" t="str">
        <f>P12</f>
        <v>DAF 1.5</v>
      </c>
      <c r="R12" s="9" t="str">
        <f>Q12</f>
        <v>DAF 1.5</v>
      </c>
      <c r="S12" s="9" t="s">
        <v>355</v>
      </c>
      <c r="T12" s="9" t="str">
        <f>S12</f>
        <v>DAF 1.7</v>
      </c>
      <c r="U12" s="9" t="str">
        <f>T12</f>
        <v>DAF 1.7</v>
      </c>
      <c r="V12" s="9" t="str">
        <f>U12</f>
        <v>DAF 1.7</v>
      </c>
      <c r="W12" s="9" t="s">
        <v>356</v>
      </c>
      <c r="X12" s="9" t="str">
        <f>W12</f>
        <v>DAF 2</v>
      </c>
      <c r="Y12" s="9" t="str">
        <f>X12</f>
        <v>DAF 2</v>
      </c>
      <c r="Z12" s="9" t="str">
        <f>Y12</f>
        <v>DAF 2</v>
      </c>
    </row>
    <row r="13" spans="1:26" s="12" customFormat="1" x14ac:dyDescent="0.25">
      <c r="A13" s="3"/>
      <c r="B13" s="3"/>
      <c r="C13" s="24"/>
      <c r="D13" s="9" t="s">
        <v>204</v>
      </c>
      <c r="E13" s="9"/>
      <c r="F13" s="9"/>
      <c r="G13" s="51" t="s">
        <v>205</v>
      </c>
      <c r="H13" s="51" t="s">
        <v>289</v>
      </c>
      <c r="I13" s="51" t="s">
        <v>337</v>
      </c>
      <c r="J13" s="51" t="s">
        <v>351</v>
      </c>
      <c r="K13" s="51" t="s">
        <v>205</v>
      </c>
      <c r="L13" s="51" t="s">
        <v>289</v>
      </c>
      <c r="M13" s="51" t="s">
        <v>337</v>
      </c>
      <c r="N13" s="51" t="s">
        <v>351</v>
      </c>
      <c r="O13" s="51" t="s">
        <v>205</v>
      </c>
      <c r="P13" s="51" t="s">
        <v>289</v>
      </c>
      <c r="Q13" s="51" t="s">
        <v>337</v>
      </c>
      <c r="R13" s="51" t="s">
        <v>351</v>
      </c>
      <c r="S13" s="51" t="s">
        <v>205</v>
      </c>
      <c r="T13" s="51" t="s">
        <v>289</v>
      </c>
      <c r="U13" s="51" t="s">
        <v>337</v>
      </c>
      <c r="V13" s="51" t="s">
        <v>351</v>
      </c>
      <c r="W13" s="51" t="s">
        <v>205</v>
      </c>
      <c r="X13" s="51" t="s">
        <v>289</v>
      </c>
      <c r="Y13" s="51" t="s">
        <v>337</v>
      </c>
      <c r="Z13" s="51" t="s">
        <v>351</v>
      </c>
    </row>
    <row r="14" spans="1:26" s="12" customFormat="1" x14ac:dyDescent="0.25">
      <c r="A14" s="3"/>
      <c r="B14" s="3"/>
      <c r="C14" s="24"/>
      <c r="D14" s="9" t="s">
        <v>212</v>
      </c>
      <c r="E14" s="9"/>
      <c r="F14" s="9" t="s">
        <v>10</v>
      </c>
      <c r="G14" s="104">
        <v>6330</v>
      </c>
      <c r="H14" s="104">
        <v>6330</v>
      </c>
      <c r="I14" s="104">
        <v>6330</v>
      </c>
      <c r="J14" s="104">
        <v>6330</v>
      </c>
      <c r="K14" s="104">
        <v>6330</v>
      </c>
      <c r="L14" s="104">
        <v>6330</v>
      </c>
      <c r="M14" s="104">
        <v>6330</v>
      </c>
      <c r="N14" s="104">
        <v>6330</v>
      </c>
      <c r="O14" s="104">
        <v>6330</v>
      </c>
      <c r="P14" s="104">
        <v>6330</v>
      </c>
      <c r="Q14" s="104">
        <v>6330</v>
      </c>
      <c r="R14" s="104">
        <v>6330</v>
      </c>
      <c r="S14" s="104">
        <v>6330</v>
      </c>
      <c r="T14" s="104">
        <v>6330</v>
      </c>
      <c r="U14" s="104">
        <v>6330</v>
      </c>
      <c r="V14" s="104">
        <v>6330</v>
      </c>
      <c r="W14" s="104">
        <v>6330</v>
      </c>
      <c r="X14" s="104">
        <v>6330</v>
      </c>
      <c r="Y14" s="104">
        <v>6330</v>
      </c>
      <c r="Z14" s="104">
        <v>6330</v>
      </c>
    </row>
    <row r="15" spans="1:26" s="12" customFormat="1" ht="18.75" x14ac:dyDescent="0.3">
      <c r="A15" s="3"/>
      <c r="B15" s="3"/>
      <c r="C15" s="24"/>
      <c r="D15" s="81" t="s">
        <v>269</v>
      </c>
      <c r="E15" s="9"/>
      <c r="F15" s="9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spans="1:26" s="12" customFormat="1" x14ac:dyDescent="0.25">
      <c r="A16" s="3"/>
      <c r="B16" s="3"/>
      <c r="C16" s="24"/>
      <c r="D16" s="9" t="s">
        <v>116</v>
      </c>
      <c r="E16" s="9"/>
      <c r="F16" s="9" t="s">
        <v>10</v>
      </c>
      <c r="G16" s="104">
        <v>700</v>
      </c>
      <c r="H16" s="104">
        <v>700</v>
      </c>
      <c r="I16" s="104">
        <v>700</v>
      </c>
      <c r="J16" s="104">
        <v>700</v>
      </c>
      <c r="K16" s="104">
        <v>700</v>
      </c>
      <c r="L16" s="104">
        <v>700</v>
      </c>
      <c r="M16" s="104">
        <v>700</v>
      </c>
      <c r="N16" s="104">
        <v>700</v>
      </c>
      <c r="O16" s="104">
        <v>700</v>
      </c>
      <c r="P16" s="104">
        <v>700</v>
      </c>
      <c r="Q16" s="104">
        <v>700</v>
      </c>
      <c r="R16" s="104">
        <v>700</v>
      </c>
      <c r="S16" s="104">
        <v>700</v>
      </c>
      <c r="T16" s="104">
        <v>700</v>
      </c>
      <c r="U16" s="104">
        <v>700</v>
      </c>
      <c r="V16" s="104">
        <v>700</v>
      </c>
      <c r="W16" s="104">
        <v>700</v>
      </c>
      <c r="X16" s="104">
        <v>700</v>
      </c>
      <c r="Y16" s="104">
        <v>700</v>
      </c>
      <c r="Z16" s="104">
        <v>700</v>
      </c>
    </row>
    <row r="17" spans="1:26" s="12" customFormat="1" x14ac:dyDescent="0.25">
      <c r="A17" s="3"/>
      <c r="B17" s="3"/>
      <c r="C17" s="24"/>
      <c r="D17" s="9" t="s">
        <v>114</v>
      </c>
      <c r="E17" s="9"/>
      <c r="F17" s="9" t="s">
        <v>10</v>
      </c>
      <c r="G17" s="104">
        <v>12</v>
      </c>
      <c r="H17" s="104">
        <v>12</v>
      </c>
      <c r="I17" s="104">
        <v>12</v>
      </c>
      <c r="J17" s="104">
        <v>12</v>
      </c>
      <c r="K17" s="104">
        <v>12</v>
      </c>
      <c r="L17" s="104">
        <v>12</v>
      </c>
      <c r="M17" s="104">
        <v>12</v>
      </c>
      <c r="N17" s="104">
        <v>12</v>
      </c>
      <c r="O17" s="104">
        <v>12</v>
      </c>
      <c r="P17" s="104">
        <v>12</v>
      </c>
      <c r="Q17" s="104">
        <v>12</v>
      </c>
      <c r="R17" s="104">
        <v>12</v>
      </c>
      <c r="S17" s="104">
        <v>12</v>
      </c>
      <c r="T17" s="104">
        <v>12</v>
      </c>
      <c r="U17" s="104">
        <v>12</v>
      </c>
      <c r="V17" s="104">
        <v>12</v>
      </c>
      <c r="W17" s="104">
        <v>12</v>
      </c>
      <c r="X17" s="104">
        <v>12</v>
      </c>
      <c r="Y17" s="104">
        <v>12</v>
      </c>
      <c r="Z17" s="104">
        <v>12</v>
      </c>
    </row>
    <row r="18" spans="1:26" s="12" customFormat="1" ht="18.75" x14ac:dyDescent="0.3">
      <c r="A18" s="3"/>
      <c r="B18" s="3"/>
      <c r="C18" s="24"/>
      <c r="D18" s="81" t="s">
        <v>49</v>
      </c>
      <c r="E18" s="9"/>
      <c r="F18" s="9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s="12" customFormat="1" x14ac:dyDescent="0.25">
      <c r="A19" s="3"/>
      <c r="B19" s="3"/>
      <c r="C19" s="24"/>
      <c r="D19" s="9" t="s">
        <v>188</v>
      </c>
      <c r="E19" s="9"/>
      <c r="F19" s="9"/>
      <c r="G19" s="48" t="s">
        <v>183</v>
      </c>
      <c r="H19" s="48" t="s">
        <v>183</v>
      </c>
      <c r="I19" s="48" t="s">
        <v>183</v>
      </c>
      <c r="J19" s="48" t="s">
        <v>183</v>
      </c>
      <c r="K19" s="48" t="s">
        <v>183</v>
      </c>
      <c r="L19" s="48" t="s">
        <v>183</v>
      </c>
      <c r="M19" s="48" t="s">
        <v>183</v>
      </c>
      <c r="N19" s="48" t="s">
        <v>183</v>
      </c>
      <c r="O19" s="48" t="s">
        <v>183</v>
      </c>
      <c r="P19" s="48" t="s">
        <v>183</v>
      </c>
      <c r="Q19" s="48" t="s">
        <v>183</v>
      </c>
      <c r="R19" s="48" t="s">
        <v>183</v>
      </c>
      <c r="S19" s="48" t="s">
        <v>183</v>
      </c>
      <c r="T19" s="48" t="s">
        <v>183</v>
      </c>
      <c r="U19" s="48" t="s">
        <v>183</v>
      </c>
      <c r="V19" s="48" t="s">
        <v>183</v>
      </c>
      <c r="W19" s="48" t="s">
        <v>183</v>
      </c>
      <c r="X19" s="48" t="s">
        <v>183</v>
      </c>
      <c r="Y19" s="48" t="s">
        <v>183</v>
      </c>
      <c r="Z19" s="48" t="s">
        <v>183</v>
      </c>
    </row>
    <row r="20" spans="1:26" s="12" customFormat="1" ht="15" customHeight="1" x14ac:dyDescent="0.25">
      <c r="B20" s="71"/>
      <c r="C20" s="27" t="s">
        <v>52</v>
      </c>
      <c r="D20" s="9" t="s">
        <v>8</v>
      </c>
      <c r="E20" s="9"/>
      <c r="F20" s="9" t="s">
        <v>10</v>
      </c>
      <c r="G20" s="104">
        <v>600</v>
      </c>
      <c r="H20" s="104">
        <v>768</v>
      </c>
      <c r="I20" s="104">
        <v>600</v>
      </c>
      <c r="J20" s="104">
        <v>600</v>
      </c>
      <c r="K20" s="104">
        <v>600</v>
      </c>
      <c r="L20" s="104">
        <v>768</v>
      </c>
      <c r="M20" s="104">
        <v>600</v>
      </c>
      <c r="N20" s="104">
        <v>600</v>
      </c>
      <c r="O20" s="104">
        <v>600</v>
      </c>
      <c r="P20" s="104">
        <v>768</v>
      </c>
      <c r="Q20" s="104">
        <v>600</v>
      </c>
      <c r="R20" s="104">
        <v>600</v>
      </c>
      <c r="S20" s="104">
        <v>600</v>
      </c>
      <c r="T20" s="104">
        <v>768</v>
      </c>
      <c r="U20" s="104">
        <v>600</v>
      </c>
      <c r="V20" s="104">
        <v>600</v>
      </c>
      <c r="W20" s="104">
        <v>600</v>
      </c>
      <c r="X20" s="104">
        <v>768</v>
      </c>
      <c r="Y20" s="104">
        <v>600</v>
      </c>
      <c r="Z20" s="104">
        <v>600</v>
      </c>
    </row>
    <row r="21" spans="1:26" s="12" customFormat="1" ht="15" customHeight="1" x14ac:dyDescent="0.25">
      <c r="B21" s="71"/>
      <c r="C21" s="27" t="s">
        <v>52</v>
      </c>
      <c r="D21" s="9" t="s">
        <v>9</v>
      </c>
      <c r="E21" s="9"/>
      <c r="F21" s="9" t="s">
        <v>10</v>
      </c>
      <c r="G21" s="104">
        <v>10</v>
      </c>
      <c r="H21" s="104">
        <v>10</v>
      </c>
      <c r="I21" s="104">
        <v>10</v>
      </c>
      <c r="J21" s="104">
        <v>10</v>
      </c>
      <c r="K21" s="104">
        <v>10</v>
      </c>
      <c r="L21" s="104">
        <v>10</v>
      </c>
      <c r="M21" s="104">
        <v>10</v>
      </c>
      <c r="N21" s="104">
        <v>10</v>
      </c>
      <c r="O21" s="104">
        <v>10</v>
      </c>
      <c r="P21" s="104">
        <v>10</v>
      </c>
      <c r="Q21" s="104">
        <v>10</v>
      </c>
      <c r="R21" s="104">
        <v>10</v>
      </c>
      <c r="S21" s="104">
        <v>10</v>
      </c>
      <c r="T21" s="104">
        <v>10</v>
      </c>
      <c r="U21" s="104">
        <v>10</v>
      </c>
      <c r="V21" s="104">
        <v>10</v>
      </c>
      <c r="W21" s="104">
        <v>10</v>
      </c>
      <c r="X21" s="104">
        <v>10</v>
      </c>
      <c r="Y21" s="104">
        <v>10</v>
      </c>
      <c r="Z21" s="104">
        <v>10</v>
      </c>
    </row>
    <row r="22" spans="1:26" s="12" customFormat="1" ht="15" customHeight="1" x14ac:dyDescent="0.25">
      <c r="B22" s="71"/>
      <c r="C22" s="27" t="s">
        <v>52</v>
      </c>
      <c r="D22" s="9" t="s">
        <v>19</v>
      </c>
      <c r="E22" s="9"/>
      <c r="F22" s="9" t="s">
        <v>10</v>
      </c>
      <c r="G22" s="104">
        <v>20</v>
      </c>
      <c r="H22" s="104">
        <v>12</v>
      </c>
      <c r="I22" s="104">
        <v>20</v>
      </c>
      <c r="J22" s="104">
        <v>20</v>
      </c>
      <c r="K22" s="104">
        <v>20</v>
      </c>
      <c r="L22" s="104">
        <v>12</v>
      </c>
      <c r="M22" s="104">
        <v>20</v>
      </c>
      <c r="N22" s="104">
        <v>20</v>
      </c>
      <c r="O22" s="104">
        <v>20</v>
      </c>
      <c r="P22" s="104">
        <v>12</v>
      </c>
      <c r="Q22" s="104">
        <v>20</v>
      </c>
      <c r="R22" s="104">
        <v>20</v>
      </c>
      <c r="S22" s="104">
        <v>20</v>
      </c>
      <c r="T22" s="104">
        <v>12</v>
      </c>
      <c r="U22" s="104">
        <v>20</v>
      </c>
      <c r="V22" s="104">
        <v>20</v>
      </c>
      <c r="W22" s="104">
        <v>20</v>
      </c>
      <c r="X22" s="104">
        <v>12</v>
      </c>
      <c r="Y22" s="104">
        <v>20</v>
      </c>
      <c r="Z22" s="104">
        <v>20</v>
      </c>
    </row>
    <row r="23" spans="1:26" s="12" customFormat="1" ht="15" customHeight="1" x14ac:dyDescent="0.25">
      <c r="B23" s="71"/>
      <c r="C23" s="27" t="s">
        <v>52</v>
      </c>
      <c r="D23" s="9" t="s">
        <v>28</v>
      </c>
      <c r="E23" s="9"/>
      <c r="F23" s="9" t="s">
        <v>10</v>
      </c>
      <c r="G23" s="104">
        <v>200</v>
      </c>
      <c r="H23" s="104">
        <v>200</v>
      </c>
      <c r="I23" s="104">
        <v>200</v>
      </c>
      <c r="J23" s="104">
        <v>200</v>
      </c>
      <c r="K23" s="104">
        <v>200</v>
      </c>
      <c r="L23" s="104">
        <v>200</v>
      </c>
      <c r="M23" s="104">
        <v>200</v>
      </c>
      <c r="N23" s="104">
        <v>200</v>
      </c>
      <c r="O23" s="104">
        <v>200</v>
      </c>
      <c r="P23" s="104">
        <v>200</v>
      </c>
      <c r="Q23" s="104">
        <v>200</v>
      </c>
      <c r="R23" s="104">
        <v>200</v>
      </c>
      <c r="S23" s="104">
        <v>200</v>
      </c>
      <c r="T23" s="104">
        <v>200</v>
      </c>
      <c r="U23" s="104">
        <v>200</v>
      </c>
      <c r="V23" s="104">
        <v>200</v>
      </c>
      <c r="W23" s="104">
        <v>200</v>
      </c>
      <c r="X23" s="104">
        <v>200</v>
      </c>
      <c r="Y23" s="104">
        <v>200</v>
      </c>
      <c r="Z23" s="104">
        <v>200</v>
      </c>
    </row>
    <row r="24" spans="1:26" s="12" customFormat="1" ht="15" customHeight="1" x14ac:dyDescent="0.25">
      <c r="B24" s="71"/>
      <c r="C24" s="27" t="s">
        <v>52</v>
      </c>
      <c r="D24" s="9" t="s">
        <v>193</v>
      </c>
      <c r="E24" s="9"/>
      <c r="F24" s="9" t="s">
        <v>10</v>
      </c>
      <c r="G24" s="104">
        <v>2230</v>
      </c>
      <c r="H24" s="104">
        <v>2950</v>
      </c>
      <c r="I24" s="104">
        <v>2230</v>
      </c>
      <c r="J24" s="104">
        <v>2230</v>
      </c>
      <c r="K24" s="104">
        <v>2230</v>
      </c>
      <c r="L24" s="104">
        <v>2950</v>
      </c>
      <c r="M24" s="104">
        <v>2230</v>
      </c>
      <c r="N24" s="104">
        <v>2230</v>
      </c>
      <c r="O24" s="104">
        <v>2230</v>
      </c>
      <c r="P24" s="104">
        <v>2950</v>
      </c>
      <c r="Q24" s="104">
        <v>2230</v>
      </c>
      <c r="R24" s="104">
        <v>2230</v>
      </c>
      <c r="S24" s="104">
        <v>2230</v>
      </c>
      <c r="T24" s="104">
        <v>2950</v>
      </c>
      <c r="U24" s="104">
        <v>2230</v>
      </c>
      <c r="V24" s="104">
        <v>2230</v>
      </c>
      <c r="W24" s="104">
        <v>2230</v>
      </c>
      <c r="X24" s="104">
        <v>2950</v>
      </c>
      <c r="Y24" s="104">
        <v>2230</v>
      </c>
      <c r="Z24" s="104">
        <v>2230</v>
      </c>
    </row>
    <row r="25" spans="1:26" s="12" customFormat="1" ht="15" customHeight="1" x14ac:dyDescent="0.25">
      <c r="A25" s="1" t="s">
        <v>190</v>
      </c>
      <c r="B25" s="71"/>
      <c r="C25" s="27" t="s">
        <v>52</v>
      </c>
      <c r="D25" s="9" t="s">
        <v>191</v>
      </c>
      <c r="E25" s="9"/>
      <c r="F25" s="9" t="s">
        <v>10</v>
      </c>
      <c r="G25" s="104">
        <v>3500</v>
      </c>
      <c r="H25" s="104">
        <v>3500</v>
      </c>
      <c r="I25" s="104">
        <v>3500</v>
      </c>
      <c r="J25" s="104">
        <v>3500</v>
      </c>
      <c r="K25" s="104">
        <v>3500</v>
      </c>
      <c r="L25" s="104">
        <v>3500</v>
      </c>
      <c r="M25" s="104">
        <v>3500</v>
      </c>
      <c r="N25" s="104">
        <v>3500</v>
      </c>
      <c r="O25" s="104">
        <v>3500</v>
      </c>
      <c r="P25" s="104">
        <v>3500</v>
      </c>
      <c r="Q25" s="104">
        <v>3500</v>
      </c>
      <c r="R25" s="104">
        <v>3500</v>
      </c>
      <c r="S25" s="104">
        <v>3500</v>
      </c>
      <c r="T25" s="104">
        <v>3500</v>
      </c>
      <c r="U25" s="104">
        <v>3500</v>
      </c>
      <c r="V25" s="104">
        <v>3500</v>
      </c>
      <c r="W25" s="104">
        <v>3500</v>
      </c>
      <c r="X25" s="104">
        <v>3500</v>
      </c>
      <c r="Y25" s="104">
        <v>3500</v>
      </c>
      <c r="Z25" s="104">
        <v>3500</v>
      </c>
    </row>
    <row r="26" spans="1:26" s="12" customFormat="1" x14ac:dyDescent="0.25">
      <c r="A26" s="26"/>
      <c r="B26" s="71"/>
      <c r="C26" s="27" t="s">
        <v>52</v>
      </c>
      <c r="D26" s="11" t="s">
        <v>189</v>
      </c>
      <c r="E26" s="11"/>
      <c r="F26" s="11" t="s">
        <v>10</v>
      </c>
      <c r="G26" s="87">
        <f t="shared" ref="G26:H26" si="0">G24*1</f>
        <v>2230</v>
      </c>
      <c r="H26" s="87">
        <f t="shared" si="0"/>
        <v>2950</v>
      </c>
      <c r="I26" s="87">
        <f t="shared" ref="I26:L26" si="1">I24*1</f>
        <v>2230</v>
      </c>
      <c r="J26" s="87">
        <f t="shared" si="1"/>
        <v>2230</v>
      </c>
      <c r="K26" s="87">
        <f t="shared" si="1"/>
        <v>2230</v>
      </c>
      <c r="L26" s="87">
        <f t="shared" si="1"/>
        <v>2950</v>
      </c>
      <c r="M26" s="87">
        <f t="shared" ref="M26:P26" si="2">M24*1</f>
        <v>2230</v>
      </c>
      <c r="N26" s="87">
        <f t="shared" si="2"/>
        <v>2230</v>
      </c>
      <c r="O26" s="87">
        <f t="shared" si="2"/>
        <v>2230</v>
      </c>
      <c r="P26" s="87">
        <f t="shared" si="2"/>
        <v>2950</v>
      </c>
      <c r="Q26" s="87">
        <f t="shared" ref="Q26:T26" si="3">Q24*1</f>
        <v>2230</v>
      </c>
      <c r="R26" s="87">
        <f t="shared" si="3"/>
        <v>2230</v>
      </c>
      <c r="S26" s="87">
        <f t="shared" si="3"/>
        <v>2230</v>
      </c>
      <c r="T26" s="87">
        <f t="shared" si="3"/>
        <v>2950</v>
      </c>
      <c r="U26" s="87">
        <f t="shared" ref="U26:X26" si="4">U24*1</f>
        <v>2230</v>
      </c>
      <c r="V26" s="87">
        <f t="shared" si="4"/>
        <v>2230</v>
      </c>
      <c r="W26" s="87">
        <f t="shared" si="4"/>
        <v>2230</v>
      </c>
      <c r="X26" s="87">
        <f t="shared" si="4"/>
        <v>2950</v>
      </c>
      <c r="Y26" s="87">
        <f t="shared" ref="Y26:Z26" si="5">Y24*1</f>
        <v>2230</v>
      </c>
      <c r="Z26" s="87">
        <f t="shared" si="5"/>
        <v>2230</v>
      </c>
    </row>
    <row r="27" spans="1:26" ht="18.75" x14ac:dyDescent="0.3">
      <c r="A27" s="26"/>
      <c r="B27" s="71"/>
      <c r="C27" s="27"/>
      <c r="D27" s="81" t="s">
        <v>207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12" customFormat="1" x14ac:dyDescent="0.25">
      <c r="A28" s="26"/>
      <c r="C28" s="27"/>
      <c r="D28" s="9" t="s">
        <v>188</v>
      </c>
      <c r="E28" s="78"/>
      <c r="F28" s="78"/>
      <c r="G28" s="48" t="s">
        <v>183</v>
      </c>
      <c r="H28" s="48" t="s">
        <v>183</v>
      </c>
      <c r="I28" s="48" t="s">
        <v>183</v>
      </c>
      <c r="J28" s="48" t="s">
        <v>183</v>
      </c>
      <c r="K28" s="48" t="s">
        <v>183</v>
      </c>
      <c r="L28" s="48" t="s">
        <v>183</v>
      </c>
      <c r="M28" s="48" t="s">
        <v>183</v>
      </c>
      <c r="N28" s="48" t="s">
        <v>183</v>
      </c>
      <c r="O28" s="48" t="s">
        <v>183</v>
      </c>
      <c r="P28" s="48" t="s">
        <v>183</v>
      </c>
      <c r="Q28" s="48" t="s">
        <v>183</v>
      </c>
      <c r="R28" s="48" t="s">
        <v>183</v>
      </c>
      <c r="S28" s="48" t="s">
        <v>183</v>
      </c>
      <c r="T28" s="48" t="s">
        <v>183</v>
      </c>
      <c r="U28" s="48" t="s">
        <v>183</v>
      </c>
      <c r="V28" s="48" t="s">
        <v>183</v>
      </c>
      <c r="W28" s="48" t="s">
        <v>183</v>
      </c>
      <c r="X28" s="48" t="s">
        <v>183</v>
      </c>
      <c r="Y28" s="48" t="s">
        <v>183</v>
      </c>
      <c r="Z28" s="48" t="s">
        <v>183</v>
      </c>
    </row>
    <row r="29" spans="1:26" s="12" customFormat="1" ht="15" customHeight="1" x14ac:dyDescent="0.25">
      <c r="C29" s="27"/>
      <c r="D29" s="6" t="s">
        <v>226</v>
      </c>
      <c r="E29" s="6"/>
      <c r="F29" s="6" t="s">
        <v>10</v>
      </c>
      <c r="G29" s="104">
        <v>600</v>
      </c>
      <c r="H29" s="104">
        <v>600</v>
      </c>
      <c r="I29" s="104">
        <v>600</v>
      </c>
      <c r="J29" s="104">
        <v>600</v>
      </c>
      <c r="K29" s="104">
        <v>600</v>
      </c>
      <c r="L29" s="104">
        <v>600</v>
      </c>
      <c r="M29" s="104">
        <v>600</v>
      </c>
      <c r="N29" s="104">
        <v>600</v>
      </c>
      <c r="O29" s="104">
        <v>600</v>
      </c>
      <c r="P29" s="104">
        <v>600</v>
      </c>
      <c r="Q29" s="104">
        <v>600</v>
      </c>
      <c r="R29" s="104">
        <v>600</v>
      </c>
      <c r="S29" s="104">
        <v>600</v>
      </c>
      <c r="T29" s="104">
        <v>600</v>
      </c>
      <c r="U29" s="104">
        <v>600</v>
      </c>
      <c r="V29" s="104">
        <v>600</v>
      </c>
      <c r="W29" s="104">
        <v>600</v>
      </c>
      <c r="X29" s="104">
        <v>600</v>
      </c>
      <c r="Y29" s="104">
        <v>600</v>
      </c>
      <c r="Z29" s="104">
        <v>600</v>
      </c>
    </row>
    <row r="30" spans="1:26" s="12" customFormat="1" ht="15" customHeight="1" x14ac:dyDescent="0.25">
      <c r="C30" s="27"/>
      <c r="D30" s="6" t="s">
        <v>225</v>
      </c>
      <c r="E30" s="6"/>
      <c r="F30" s="6" t="s">
        <v>10</v>
      </c>
      <c r="G30" s="104">
        <v>9</v>
      </c>
      <c r="H30" s="104">
        <v>9</v>
      </c>
      <c r="I30" s="104">
        <v>9</v>
      </c>
      <c r="J30" s="104">
        <v>9</v>
      </c>
      <c r="K30" s="104">
        <v>9</v>
      </c>
      <c r="L30" s="104">
        <v>9</v>
      </c>
      <c r="M30" s="104">
        <v>9</v>
      </c>
      <c r="N30" s="104">
        <v>9</v>
      </c>
      <c r="O30" s="104">
        <v>9</v>
      </c>
      <c r="P30" s="104">
        <v>9</v>
      </c>
      <c r="Q30" s="104">
        <v>9</v>
      </c>
      <c r="R30" s="104">
        <v>9</v>
      </c>
      <c r="S30" s="104">
        <v>9</v>
      </c>
      <c r="T30" s="104">
        <v>9</v>
      </c>
      <c r="U30" s="104">
        <v>9</v>
      </c>
      <c r="V30" s="104">
        <v>9</v>
      </c>
      <c r="W30" s="104">
        <v>9</v>
      </c>
      <c r="X30" s="104">
        <v>9</v>
      </c>
      <c r="Y30" s="104">
        <v>9</v>
      </c>
      <c r="Z30" s="104">
        <v>9</v>
      </c>
    </row>
    <row r="31" spans="1:26" s="12" customFormat="1" ht="15" customHeight="1" x14ac:dyDescent="0.25">
      <c r="C31" s="27"/>
      <c r="D31" s="9" t="s">
        <v>19</v>
      </c>
      <c r="E31" s="9"/>
      <c r="F31" s="9" t="s">
        <v>10</v>
      </c>
      <c r="G31" s="104">
        <v>12</v>
      </c>
      <c r="H31" s="104">
        <v>12</v>
      </c>
      <c r="I31" s="104">
        <v>12</v>
      </c>
      <c r="J31" s="104">
        <v>12</v>
      </c>
      <c r="K31" s="104">
        <v>12</v>
      </c>
      <c r="L31" s="104">
        <v>12</v>
      </c>
      <c r="M31" s="104">
        <v>12</v>
      </c>
      <c r="N31" s="104">
        <v>12</v>
      </c>
      <c r="O31" s="104">
        <v>12</v>
      </c>
      <c r="P31" s="104">
        <v>12</v>
      </c>
      <c r="Q31" s="104">
        <v>12</v>
      </c>
      <c r="R31" s="104">
        <v>12</v>
      </c>
      <c r="S31" s="104">
        <v>12</v>
      </c>
      <c r="T31" s="104">
        <v>12</v>
      </c>
      <c r="U31" s="104">
        <v>12</v>
      </c>
      <c r="V31" s="104">
        <v>12</v>
      </c>
      <c r="W31" s="104">
        <v>12</v>
      </c>
      <c r="X31" s="104">
        <v>12</v>
      </c>
      <c r="Y31" s="104">
        <v>12</v>
      </c>
      <c r="Z31" s="104">
        <v>12</v>
      </c>
    </row>
    <row r="32" spans="1:26" s="12" customFormat="1" ht="15" customHeight="1" x14ac:dyDescent="0.25">
      <c r="C32" s="27"/>
      <c r="D32" s="9" t="s">
        <v>28</v>
      </c>
      <c r="E32" s="9"/>
      <c r="F32" s="9" t="s">
        <v>10</v>
      </c>
      <c r="G32" s="104">
        <v>100</v>
      </c>
      <c r="H32" s="104">
        <v>100</v>
      </c>
      <c r="I32" s="104">
        <v>100</v>
      </c>
      <c r="J32" s="104">
        <v>100</v>
      </c>
      <c r="K32" s="104">
        <v>100</v>
      </c>
      <c r="L32" s="104">
        <v>100</v>
      </c>
      <c r="M32" s="104">
        <v>100</v>
      </c>
      <c r="N32" s="104">
        <v>100</v>
      </c>
      <c r="O32" s="104">
        <v>100</v>
      </c>
      <c r="P32" s="104">
        <v>100</v>
      </c>
      <c r="Q32" s="104">
        <v>100</v>
      </c>
      <c r="R32" s="104">
        <v>100</v>
      </c>
      <c r="S32" s="104">
        <v>100</v>
      </c>
      <c r="T32" s="104">
        <v>100</v>
      </c>
      <c r="U32" s="104">
        <v>100</v>
      </c>
      <c r="V32" s="104">
        <v>100</v>
      </c>
      <c r="W32" s="104">
        <v>100</v>
      </c>
      <c r="X32" s="104">
        <v>100</v>
      </c>
      <c r="Y32" s="104">
        <v>100</v>
      </c>
      <c r="Z32" s="104">
        <v>100</v>
      </c>
    </row>
    <row r="33" spans="1:26" s="12" customFormat="1" ht="15" customHeight="1" x14ac:dyDescent="0.35">
      <c r="C33" s="27"/>
      <c r="D33" s="78" t="s">
        <v>192</v>
      </c>
      <c r="E33" s="78"/>
      <c r="F33" s="78" t="s">
        <v>10</v>
      </c>
      <c r="G33" s="104">
        <v>3500</v>
      </c>
      <c r="H33" s="104">
        <v>3500</v>
      </c>
      <c r="I33" s="104">
        <v>3500</v>
      </c>
      <c r="J33" s="104">
        <v>3500</v>
      </c>
      <c r="K33" s="104">
        <v>3500</v>
      </c>
      <c r="L33" s="104">
        <v>3500</v>
      </c>
      <c r="M33" s="104">
        <v>3500</v>
      </c>
      <c r="N33" s="104">
        <v>3500</v>
      </c>
      <c r="O33" s="104">
        <v>3500</v>
      </c>
      <c r="P33" s="104">
        <v>3500</v>
      </c>
      <c r="Q33" s="104">
        <v>3500</v>
      </c>
      <c r="R33" s="104">
        <v>3500</v>
      </c>
      <c r="S33" s="104">
        <v>3500</v>
      </c>
      <c r="T33" s="104">
        <v>3500</v>
      </c>
      <c r="U33" s="104">
        <v>3500</v>
      </c>
      <c r="V33" s="104">
        <v>3500</v>
      </c>
      <c r="W33" s="104">
        <v>3500</v>
      </c>
      <c r="X33" s="104">
        <v>3500</v>
      </c>
      <c r="Y33" s="104">
        <v>3500</v>
      </c>
      <c r="Z33" s="104">
        <v>3500</v>
      </c>
    </row>
    <row r="34" spans="1:26" s="12" customFormat="1" ht="18" customHeight="1" x14ac:dyDescent="0.35">
      <c r="B34" s="71"/>
      <c r="C34" s="27"/>
      <c r="D34" s="9" t="s">
        <v>206</v>
      </c>
      <c r="E34" s="9"/>
      <c r="F34" s="9" t="s">
        <v>10</v>
      </c>
      <c r="G34" s="87">
        <f t="shared" ref="G34:H34" si="6">G33</f>
        <v>3500</v>
      </c>
      <c r="H34" s="87">
        <f t="shared" si="6"/>
        <v>3500</v>
      </c>
      <c r="I34" s="87">
        <f t="shared" ref="I34:L34" si="7">I33</f>
        <v>3500</v>
      </c>
      <c r="J34" s="87">
        <f t="shared" si="7"/>
        <v>3500</v>
      </c>
      <c r="K34" s="87">
        <f t="shared" si="7"/>
        <v>3500</v>
      </c>
      <c r="L34" s="87">
        <f t="shared" si="7"/>
        <v>3500</v>
      </c>
      <c r="M34" s="87">
        <f t="shared" ref="M34:P34" si="8">M33</f>
        <v>3500</v>
      </c>
      <c r="N34" s="87">
        <f t="shared" si="8"/>
        <v>3500</v>
      </c>
      <c r="O34" s="87">
        <f t="shared" si="8"/>
        <v>3500</v>
      </c>
      <c r="P34" s="87">
        <f t="shared" si="8"/>
        <v>3500</v>
      </c>
      <c r="Q34" s="87">
        <f t="shared" ref="Q34:T34" si="9">Q33</f>
        <v>3500</v>
      </c>
      <c r="R34" s="87">
        <f t="shared" si="9"/>
        <v>3500</v>
      </c>
      <c r="S34" s="87">
        <f t="shared" si="9"/>
        <v>3500</v>
      </c>
      <c r="T34" s="87">
        <f t="shared" si="9"/>
        <v>3500</v>
      </c>
      <c r="U34" s="87">
        <f t="shared" ref="U34:X34" si="10">U33</f>
        <v>3500</v>
      </c>
      <c r="V34" s="87">
        <f t="shared" si="10"/>
        <v>3500</v>
      </c>
      <c r="W34" s="87">
        <f t="shared" si="10"/>
        <v>3500</v>
      </c>
      <c r="X34" s="87">
        <f t="shared" si="10"/>
        <v>3500</v>
      </c>
      <c r="Y34" s="87">
        <f t="shared" ref="Y34:Z34" si="11">Y33</f>
        <v>3500</v>
      </c>
      <c r="Z34" s="87">
        <f t="shared" si="11"/>
        <v>3500</v>
      </c>
    </row>
    <row r="35" spans="1:26" s="12" customFormat="1" x14ac:dyDescent="0.25">
      <c r="A35" s="26"/>
      <c r="B35" s="71"/>
      <c r="C35" s="27"/>
      <c r="D35" s="9" t="s">
        <v>189</v>
      </c>
      <c r="E35" s="9"/>
      <c r="F35" s="9" t="s">
        <v>10</v>
      </c>
      <c r="G35" s="87">
        <f t="shared" ref="G35:H35" si="12">G33</f>
        <v>3500</v>
      </c>
      <c r="H35" s="87">
        <f t="shared" si="12"/>
        <v>3500</v>
      </c>
      <c r="I35" s="87">
        <f t="shared" ref="I35:L35" si="13">I33</f>
        <v>3500</v>
      </c>
      <c r="J35" s="87">
        <f t="shared" si="13"/>
        <v>3500</v>
      </c>
      <c r="K35" s="87">
        <f t="shared" si="13"/>
        <v>3500</v>
      </c>
      <c r="L35" s="87">
        <f t="shared" si="13"/>
        <v>3500</v>
      </c>
      <c r="M35" s="87">
        <f t="shared" ref="M35:P35" si="14">M33</f>
        <v>3500</v>
      </c>
      <c r="N35" s="87">
        <f t="shared" si="14"/>
        <v>3500</v>
      </c>
      <c r="O35" s="87">
        <f t="shared" si="14"/>
        <v>3500</v>
      </c>
      <c r="P35" s="87">
        <f t="shared" si="14"/>
        <v>3500</v>
      </c>
      <c r="Q35" s="87">
        <f t="shared" ref="Q35:T35" si="15">Q33</f>
        <v>3500</v>
      </c>
      <c r="R35" s="87">
        <f t="shared" si="15"/>
        <v>3500</v>
      </c>
      <c r="S35" s="87">
        <f t="shared" si="15"/>
        <v>3500</v>
      </c>
      <c r="T35" s="87">
        <f t="shared" si="15"/>
        <v>3500</v>
      </c>
      <c r="U35" s="87">
        <f t="shared" ref="U35:X35" si="16">U33</f>
        <v>3500</v>
      </c>
      <c r="V35" s="87">
        <f t="shared" si="16"/>
        <v>3500</v>
      </c>
      <c r="W35" s="87">
        <f t="shared" si="16"/>
        <v>3500</v>
      </c>
      <c r="X35" s="87">
        <f t="shared" si="16"/>
        <v>3500</v>
      </c>
      <c r="Y35" s="87">
        <f t="shared" ref="Y35:Z35" si="17">Y33</f>
        <v>3500</v>
      </c>
      <c r="Z35" s="87">
        <f t="shared" si="17"/>
        <v>3500</v>
      </c>
    </row>
    <row r="36" spans="1:26" s="12" customFormat="1" x14ac:dyDescent="0.25">
      <c r="A36" s="26"/>
      <c r="B36" s="71"/>
      <c r="C36" s="27"/>
      <c r="D36" s="9" t="s">
        <v>286</v>
      </c>
      <c r="E36" s="9"/>
      <c r="F36" s="9" t="s">
        <v>287</v>
      </c>
      <c r="G36" s="105" t="s">
        <v>288</v>
      </c>
      <c r="H36" s="105" t="s">
        <v>288</v>
      </c>
      <c r="I36" s="105" t="s">
        <v>288</v>
      </c>
      <c r="J36" s="105" t="s">
        <v>288</v>
      </c>
      <c r="K36" s="105" t="s">
        <v>288</v>
      </c>
      <c r="L36" s="105" t="s">
        <v>288</v>
      </c>
      <c r="M36" s="105" t="s">
        <v>288</v>
      </c>
      <c r="N36" s="105" t="s">
        <v>288</v>
      </c>
      <c r="O36" s="105" t="s">
        <v>288</v>
      </c>
      <c r="P36" s="105" t="s">
        <v>288</v>
      </c>
      <c r="Q36" s="105" t="s">
        <v>288</v>
      </c>
      <c r="R36" s="105" t="s">
        <v>288</v>
      </c>
      <c r="S36" s="105" t="s">
        <v>288</v>
      </c>
      <c r="T36" s="105" t="s">
        <v>288</v>
      </c>
      <c r="U36" s="105" t="s">
        <v>288</v>
      </c>
      <c r="V36" s="105" t="s">
        <v>288</v>
      </c>
      <c r="W36" s="105" t="s">
        <v>288</v>
      </c>
      <c r="X36" s="105" t="s">
        <v>288</v>
      </c>
      <c r="Y36" s="105" t="s">
        <v>288</v>
      </c>
      <c r="Z36" s="105" t="s">
        <v>288</v>
      </c>
    </row>
    <row r="37" spans="1:26" s="12" customFormat="1" x14ac:dyDescent="0.25">
      <c r="A37" s="26"/>
      <c r="B37" s="47"/>
      <c r="C37" s="27"/>
    </row>
    <row r="38" spans="1:26" s="12" customFormat="1" ht="21" customHeight="1" x14ac:dyDescent="0.35">
      <c r="A38" s="1"/>
      <c r="B38" s="1"/>
      <c r="C38" s="1"/>
      <c r="D38" s="28" t="s">
        <v>232</v>
      </c>
      <c r="E38" s="10" t="s">
        <v>94</v>
      </c>
      <c r="F38" s="10" t="s">
        <v>78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12" customFormat="1" ht="30" x14ac:dyDescent="0.25">
      <c r="A39" s="1" t="s">
        <v>76</v>
      </c>
      <c r="B39" s="1"/>
      <c r="C39" s="43" t="s">
        <v>338</v>
      </c>
      <c r="D39" s="29" t="s">
        <v>24</v>
      </c>
      <c r="E39" s="9"/>
      <c r="F39" s="9" t="s">
        <v>25</v>
      </c>
      <c r="G39" s="106">
        <f>2.28*$G$8</f>
        <v>15.719916</v>
      </c>
      <c r="H39" s="106">
        <f>0.92*$G$8</f>
        <v>6.3431240000000004</v>
      </c>
      <c r="I39" s="106">
        <f>1.36*$G$8</f>
        <v>9.3767920000000018</v>
      </c>
      <c r="J39" s="106">
        <f>9.18*$G$8</f>
        <v>63.293346</v>
      </c>
      <c r="K39" s="106">
        <f>2.28*$G$8</f>
        <v>15.719916</v>
      </c>
      <c r="L39" s="106">
        <f>0.98*$G$8</f>
        <v>6.7568060000000001</v>
      </c>
      <c r="M39" s="106">
        <f>1.33*$G$8</f>
        <v>9.1699510000000011</v>
      </c>
      <c r="N39" s="106">
        <f>9.14*$G$8</f>
        <v>63.017558000000008</v>
      </c>
      <c r="O39" s="106">
        <f>2.28*$G$8</f>
        <v>15.719916</v>
      </c>
      <c r="P39" s="106">
        <f>1.05*$G$8</f>
        <v>7.2394350000000003</v>
      </c>
      <c r="Q39" s="106">
        <f>1.3*$G$8</f>
        <v>8.9631100000000004</v>
      </c>
      <c r="R39" s="106">
        <f>9.11*$G$8</f>
        <v>62.810716999999997</v>
      </c>
      <c r="S39" s="106">
        <f>2.28*$G$8</f>
        <v>15.719916</v>
      </c>
      <c r="T39" s="106">
        <f>1.12*$G$8</f>
        <v>7.7220640000000014</v>
      </c>
      <c r="U39" s="106">
        <f>1.27*$G$8</f>
        <v>8.7562689999999996</v>
      </c>
      <c r="V39" s="106">
        <f>9.07*$G$8</f>
        <v>62.534929000000005</v>
      </c>
      <c r="W39" s="106">
        <f>2.28*$G$8</f>
        <v>15.719916</v>
      </c>
      <c r="X39" s="106">
        <f>1.18*$G$8</f>
        <v>8.1357459999999993</v>
      </c>
      <c r="Y39" s="106">
        <f>1.24*$G$8</f>
        <v>8.5494280000000007</v>
      </c>
      <c r="Z39" s="106">
        <f>9.04*$G$8</f>
        <v>62.328087999999994</v>
      </c>
    </row>
    <row r="40" spans="1:26" s="12" customFormat="1" ht="15" customHeight="1" x14ac:dyDescent="0.25">
      <c r="A40" s="1"/>
      <c r="B40" s="1"/>
      <c r="C40" s="43"/>
      <c r="D40" s="29" t="s">
        <v>24</v>
      </c>
      <c r="E40" s="9"/>
      <c r="F40" s="9" t="s">
        <v>136</v>
      </c>
      <c r="G40" s="89">
        <f t="shared" ref="G40:H40" si="18">G39/$G$8</f>
        <v>2.2799999999999998</v>
      </c>
      <c r="H40" s="89">
        <f t="shared" si="18"/>
        <v>0.92</v>
      </c>
      <c r="I40" s="89">
        <f t="shared" ref="I40:L40" si="19">I39/$G$8</f>
        <v>1.36</v>
      </c>
      <c r="J40" s="89">
        <f t="shared" si="19"/>
        <v>9.18</v>
      </c>
      <c r="K40" s="89">
        <f t="shared" si="19"/>
        <v>2.2799999999999998</v>
      </c>
      <c r="L40" s="89">
        <f t="shared" si="19"/>
        <v>0.98</v>
      </c>
      <c r="M40" s="89">
        <f t="shared" ref="M40:P40" si="20">M39/$G$8</f>
        <v>1.33</v>
      </c>
      <c r="N40" s="89">
        <f t="shared" si="20"/>
        <v>9.14</v>
      </c>
      <c r="O40" s="89">
        <f t="shared" si="20"/>
        <v>2.2799999999999998</v>
      </c>
      <c r="P40" s="89">
        <f t="shared" si="20"/>
        <v>1.05</v>
      </c>
      <c r="Q40" s="89">
        <f t="shared" ref="Q40:T40" si="21">Q39/$G$8</f>
        <v>1.3</v>
      </c>
      <c r="R40" s="89">
        <f t="shared" si="21"/>
        <v>9.11</v>
      </c>
      <c r="S40" s="89">
        <f t="shared" si="21"/>
        <v>2.2799999999999998</v>
      </c>
      <c r="T40" s="89">
        <f t="shared" si="21"/>
        <v>1.1200000000000001</v>
      </c>
      <c r="U40" s="89">
        <f t="shared" ref="U40:X40" si="22">U39/$G$8</f>
        <v>1.2699999999999998</v>
      </c>
      <c r="V40" s="89">
        <f t="shared" si="22"/>
        <v>9.07</v>
      </c>
      <c r="W40" s="89">
        <f t="shared" si="22"/>
        <v>2.2799999999999998</v>
      </c>
      <c r="X40" s="89">
        <f t="shared" si="22"/>
        <v>1.18</v>
      </c>
      <c r="Y40" s="89">
        <f t="shared" ref="Y40:Z40" si="23">Y39/$G$8</f>
        <v>1.24</v>
      </c>
      <c r="Z40" s="89">
        <f t="shared" si="23"/>
        <v>9.0399999999999991</v>
      </c>
    </row>
    <row r="41" spans="1:26" s="12" customFormat="1" ht="15" customHeight="1" x14ac:dyDescent="0.25">
      <c r="A41" s="1" t="s">
        <v>76</v>
      </c>
      <c r="B41" s="1"/>
      <c r="C41" s="43" t="s">
        <v>339</v>
      </c>
      <c r="D41" s="29" t="s">
        <v>26</v>
      </c>
      <c r="E41" s="9"/>
      <c r="F41" s="9" t="s">
        <v>25</v>
      </c>
      <c r="G41" s="106">
        <f>7.04*$G$8</f>
        <v>48.538688</v>
      </c>
      <c r="H41" s="106">
        <f>1.47*$G$8</f>
        <v>10.135209</v>
      </c>
      <c r="I41" s="106">
        <f>2.84*$G$8</f>
        <v>19.580947999999999</v>
      </c>
      <c r="J41" s="106">
        <f>4.91*$G$8</f>
        <v>33.852977000000003</v>
      </c>
      <c r="K41" s="106">
        <f>7.41*$G$8</f>
        <v>51.089727000000003</v>
      </c>
      <c r="L41" s="106">
        <f>1.55*$G$8</f>
        <v>10.686785</v>
      </c>
      <c r="M41" s="106">
        <f>2.75*$G$8</f>
        <v>18.960425000000001</v>
      </c>
      <c r="N41" s="106">
        <f>4.81*$G$8</f>
        <v>33.163506999999996</v>
      </c>
      <c r="O41" s="106">
        <f>7.78*$G$8</f>
        <v>53.640766000000006</v>
      </c>
      <c r="P41" s="106">
        <f>1.63*$G$8</f>
        <v>11.238360999999999</v>
      </c>
      <c r="Q41" s="106">
        <f>3.25*$G$8</f>
        <v>22.407775000000001</v>
      </c>
      <c r="R41" s="106">
        <f>4.72*$G$8</f>
        <v>32.542983999999997</v>
      </c>
      <c r="S41" s="106">
        <f>8.15*$G$8</f>
        <v>56.191805000000002</v>
      </c>
      <c r="T41" s="106">
        <f>1.7*$G$8</f>
        <v>11.72099</v>
      </c>
      <c r="U41" s="106">
        <f>3.76*$G$8</f>
        <v>25.924071999999999</v>
      </c>
      <c r="V41" s="106">
        <f>4.62*$G$8</f>
        <v>31.853514000000001</v>
      </c>
      <c r="W41" s="106">
        <f>8.52*$G$8</f>
        <v>58.742843999999998</v>
      </c>
      <c r="X41" s="106">
        <f>1.78*$G$8</f>
        <v>12.272566000000001</v>
      </c>
      <c r="Y41" s="106">
        <f>4.26*$G$8</f>
        <v>29.371421999999999</v>
      </c>
      <c r="Z41" s="106">
        <f>4.52*$G$8</f>
        <v>31.164043999999997</v>
      </c>
    </row>
    <row r="42" spans="1:26" s="12" customFormat="1" ht="15" customHeight="1" x14ac:dyDescent="0.25">
      <c r="A42" s="1"/>
      <c r="B42" s="1"/>
      <c r="C42" s="42"/>
      <c r="D42" s="29" t="s">
        <v>26</v>
      </c>
      <c r="E42" s="9"/>
      <c r="F42" s="9" t="s">
        <v>136</v>
      </c>
      <c r="G42" s="89">
        <f t="shared" ref="G42:H42" si="24">G41/$G$8</f>
        <v>7.04</v>
      </c>
      <c r="H42" s="89">
        <f t="shared" si="24"/>
        <v>1.47</v>
      </c>
      <c r="I42" s="89">
        <f t="shared" ref="I42:L42" si="25">I41/$G$8</f>
        <v>2.84</v>
      </c>
      <c r="J42" s="89">
        <f t="shared" si="25"/>
        <v>4.91</v>
      </c>
      <c r="K42" s="89">
        <f t="shared" si="25"/>
        <v>7.41</v>
      </c>
      <c r="L42" s="89">
        <f t="shared" si="25"/>
        <v>1.55</v>
      </c>
      <c r="M42" s="89">
        <f t="shared" ref="M42:P42" si="26">M41/$G$8</f>
        <v>2.75</v>
      </c>
      <c r="N42" s="89">
        <f t="shared" si="26"/>
        <v>4.8099999999999996</v>
      </c>
      <c r="O42" s="89">
        <f t="shared" si="26"/>
        <v>7.78</v>
      </c>
      <c r="P42" s="89">
        <f t="shared" si="26"/>
        <v>1.63</v>
      </c>
      <c r="Q42" s="89">
        <f t="shared" ref="Q42:T42" si="27">Q41/$G$8</f>
        <v>3.25</v>
      </c>
      <c r="R42" s="89">
        <f t="shared" si="27"/>
        <v>4.72</v>
      </c>
      <c r="S42" s="89">
        <f t="shared" si="27"/>
        <v>8.15</v>
      </c>
      <c r="T42" s="89">
        <f t="shared" si="27"/>
        <v>1.7</v>
      </c>
      <c r="U42" s="89">
        <f t="shared" ref="U42:X42" si="28">U41/$G$8</f>
        <v>3.76</v>
      </c>
      <c r="V42" s="89">
        <f t="shared" si="28"/>
        <v>4.62</v>
      </c>
      <c r="W42" s="89">
        <f t="shared" si="28"/>
        <v>8.52</v>
      </c>
      <c r="X42" s="89">
        <f t="shared" si="28"/>
        <v>1.78</v>
      </c>
      <c r="Y42" s="89">
        <f t="shared" ref="Y42:Z42" si="29">Y41/$G$8</f>
        <v>4.26</v>
      </c>
      <c r="Z42" s="89">
        <f t="shared" si="29"/>
        <v>4.5199999999999996</v>
      </c>
    </row>
    <row r="43" spans="1:26" s="12" customFormat="1" ht="15" customHeight="1" x14ac:dyDescent="0.25">
      <c r="A43" s="1" t="s">
        <v>76</v>
      </c>
      <c r="B43" s="1"/>
      <c r="C43" s="43" t="s">
        <v>340</v>
      </c>
      <c r="D43" s="29" t="s">
        <v>29</v>
      </c>
      <c r="E43" s="9"/>
      <c r="F43" s="9" t="s">
        <v>25</v>
      </c>
      <c r="G43" s="106">
        <f>0.13*$G$8</f>
        <v>0.89631100000000008</v>
      </c>
      <c r="H43" s="106">
        <f>0*$G$8</f>
        <v>0</v>
      </c>
      <c r="I43" s="106">
        <f>1.3*$G$8</f>
        <v>8.9631100000000004</v>
      </c>
      <c r="J43" s="106">
        <f>0.86*$G$8</f>
        <v>5.9294419999999999</v>
      </c>
      <c r="K43" s="106">
        <f>0.18*$G$8</f>
        <v>1.2410460000000001</v>
      </c>
      <c r="L43" s="106">
        <f>0*$G$8</f>
        <v>0</v>
      </c>
      <c r="M43" s="106">
        <f>1.68*$G$8</f>
        <v>11.583095999999999</v>
      </c>
      <c r="N43" s="106">
        <f>0.87*$G$8</f>
        <v>5.9983890000000004</v>
      </c>
      <c r="O43" s="106">
        <f>0.22*$G$8</f>
        <v>1.516834</v>
      </c>
      <c r="P43" s="106">
        <f>0*$G$8</f>
        <v>0</v>
      </c>
      <c r="Q43" s="106">
        <f>2.06*$G$8</f>
        <v>14.203082</v>
      </c>
      <c r="R43" s="106">
        <f>0.88*$G$8</f>
        <v>6.0673360000000001</v>
      </c>
      <c r="S43" s="106">
        <f>0.27*$G$8</f>
        <v>1.8615690000000003</v>
      </c>
      <c r="T43" s="106">
        <f>0*$G$8</f>
        <v>0</v>
      </c>
      <c r="U43" s="106">
        <f>2.45*$G$8</f>
        <v>16.892015000000001</v>
      </c>
      <c r="V43" s="106">
        <f>0.89*$G$8</f>
        <v>6.1362830000000006</v>
      </c>
      <c r="W43" s="106">
        <f>0.31*$G$8</f>
        <v>2.1373570000000002</v>
      </c>
      <c r="X43" s="106">
        <f>0*$G$8</f>
        <v>0</v>
      </c>
      <c r="Y43" s="106">
        <f>2.83*$G$8</f>
        <v>19.512001000000001</v>
      </c>
      <c r="Z43" s="106">
        <f>0.9*$G$8</f>
        <v>6.2052300000000002</v>
      </c>
    </row>
    <row r="44" spans="1:26" s="12" customFormat="1" ht="17.25" customHeight="1" x14ac:dyDescent="0.25">
      <c r="A44" s="1"/>
      <c r="B44" s="1"/>
      <c r="C44" s="42"/>
      <c r="D44" s="33" t="s">
        <v>29</v>
      </c>
      <c r="F44" s="11" t="s">
        <v>136</v>
      </c>
      <c r="G44" s="89">
        <f t="shared" ref="G44:H44" si="30">G43/$G$8</f>
        <v>0.13</v>
      </c>
      <c r="H44" s="89">
        <f t="shared" si="30"/>
        <v>0</v>
      </c>
      <c r="I44" s="89">
        <f t="shared" ref="I44:L44" si="31">I43/$G$8</f>
        <v>1.3</v>
      </c>
      <c r="J44" s="89">
        <f t="shared" si="31"/>
        <v>0.86</v>
      </c>
      <c r="K44" s="89">
        <f t="shared" si="31"/>
        <v>0.18</v>
      </c>
      <c r="L44" s="89">
        <f t="shared" si="31"/>
        <v>0</v>
      </c>
      <c r="M44" s="89">
        <f t="shared" ref="M44:P44" si="32">M43/$G$8</f>
        <v>1.68</v>
      </c>
      <c r="N44" s="89">
        <f t="shared" si="32"/>
        <v>0.87</v>
      </c>
      <c r="O44" s="89">
        <f t="shared" si="32"/>
        <v>0.22</v>
      </c>
      <c r="P44" s="89">
        <f t="shared" si="32"/>
        <v>0</v>
      </c>
      <c r="Q44" s="89">
        <f t="shared" ref="Q44:T44" si="33">Q43/$G$8</f>
        <v>2.06</v>
      </c>
      <c r="R44" s="89">
        <f t="shared" si="33"/>
        <v>0.88</v>
      </c>
      <c r="S44" s="89">
        <f t="shared" si="33"/>
        <v>0.27</v>
      </c>
      <c r="T44" s="89">
        <f t="shared" si="33"/>
        <v>0</v>
      </c>
      <c r="U44" s="89">
        <f t="shared" ref="U44:X44" si="34">U43/$G$8</f>
        <v>2.4500000000000002</v>
      </c>
      <c r="V44" s="89">
        <f t="shared" si="34"/>
        <v>0.89</v>
      </c>
      <c r="W44" s="89">
        <f t="shared" si="34"/>
        <v>0.31</v>
      </c>
      <c r="X44" s="89">
        <f t="shared" si="34"/>
        <v>0</v>
      </c>
      <c r="Y44" s="89">
        <f t="shared" ref="Y44:Z44" si="35">Y43/$G$8</f>
        <v>2.83</v>
      </c>
      <c r="Z44" s="89">
        <f t="shared" si="35"/>
        <v>0.9</v>
      </c>
    </row>
    <row r="45" spans="1:26" s="12" customFormat="1" ht="17.25" customHeight="1" x14ac:dyDescent="0.25">
      <c r="A45" s="1"/>
      <c r="B45" s="1"/>
      <c r="C45" s="42"/>
      <c r="D45" s="72" t="s">
        <v>233</v>
      </c>
      <c r="F45" s="1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s="12" customFormat="1" ht="17.25" customHeight="1" x14ac:dyDescent="0.35">
      <c r="A46" s="1"/>
      <c r="B46" s="1"/>
      <c r="C46" s="38"/>
      <c r="D46" s="29" t="s">
        <v>234</v>
      </c>
      <c r="E46" s="9"/>
      <c r="F46" s="9" t="s">
        <v>119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103">
        <v>0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3">
        <v>0</v>
      </c>
      <c r="W46" s="103">
        <v>0</v>
      </c>
      <c r="X46" s="103">
        <v>0</v>
      </c>
      <c r="Y46" s="103">
        <v>0</v>
      </c>
      <c r="Z46" s="103">
        <v>0</v>
      </c>
    </row>
    <row r="47" spans="1:26" s="12" customFormat="1" x14ac:dyDescent="0.25">
      <c r="A47" s="26"/>
      <c r="B47" s="44"/>
      <c r="C47" s="27"/>
      <c r="D47" s="9" t="s">
        <v>235</v>
      </c>
      <c r="E47" s="9"/>
      <c r="F47" s="9" t="s">
        <v>10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</row>
    <row r="48" spans="1:26" s="12" customFormat="1" x14ac:dyDescent="0.25">
      <c r="A48" s="26"/>
      <c r="B48" s="69"/>
      <c r="C48" s="27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12" customFormat="1" ht="21" x14ac:dyDescent="0.35">
      <c r="A49" s="26"/>
      <c r="B49" s="44"/>
      <c r="C49" s="27"/>
      <c r="D49" s="28" t="s">
        <v>259</v>
      </c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s="12" customFormat="1" x14ac:dyDescent="0.25">
      <c r="A50" s="26"/>
      <c r="B50" s="44"/>
      <c r="C50" s="27" t="s">
        <v>52</v>
      </c>
      <c r="D50" s="9" t="s">
        <v>51</v>
      </c>
      <c r="E50" s="9"/>
      <c r="F50" s="9" t="s">
        <v>10</v>
      </c>
      <c r="G50" s="87">
        <f t="shared" ref="G50:H50" si="36">G23/2-G22/2</f>
        <v>90</v>
      </c>
      <c r="H50" s="87">
        <f t="shared" si="36"/>
        <v>94</v>
      </c>
      <c r="I50" s="87">
        <f t="shared" ref="I50:L50" si="37">I23/2-I22/2</f>
        <v>90</v>
      </c>
      <c r="J50" s="87">
        <f t="shared" si="37"/>
        <v>90</v>
      </c>
      <c r="K50" s="87">
        <f t="shared" si="37"/>
        <v>90</v>
      </c>
      <c r="L50" s="87">
        <f t="shared" si="37"/>
        <v>94</v>
      </c>
      <c r="M50" s="87">
        <f t="shared" ref="M50:P50" si="38">M23/2-M22/2</f>
        <v>90</v>
      </c>
      <c r="N50" s="87">
        <f t="shared" si="38"/>
        <v>90</v>
      </c>
      <c r="O50" s="87">
        <f t="shared" si="38"/>
        <v>90</v>
      </c>
      <c r="P50" s="87">
        <f t="shared" si="38"/>
        <v>94</v>
      </c>
      <c r="Q50" s="87">
        <f t="shared" ref="Q50:T50" si="39">Q23/2-Q22/2</f>
        <v>90</v>
      </c>
      <c r="R50" s="87">
        <f t="shared" si="39"/>
        <v>90</v>
      </c>
      <c r="S50" s="87">
        <f t="shared" si="39"/>
        <v>90</v>
      </c>
      <c r="T50" s="87">
        <f t="shared" si="39"/>
        <v>94</v>
      </c>
      <c r="U50" s="87">
        <f t="shared" ref="U50:X50" si="40">U23/2-U22/2</f>
        <v>90</v>
      </c>
      <c r="V50" s="87">
        <f t="shared" si="40"/>
        <v>90</v>
      </c>
      <c r="W50" s="87">
        <f t="shared" si="40"/>
        <v>90</v>
      </c>
      <c r="X50" s="87">
        <f t="shared" si="40"/>
        <v>94</v>
      </c>
      <c r="Y50" s="87">
        <f t="shared" ref="Y50:Z50" si="41">Y23/2-Y22/2</f>
        <v>90</v>
      </c>
      <c r="Z50" s="87">
        <f t="shared" si="41"/>
        <v>90</v>
      </c>
    </row>
    <row r="51" spans="1:26" s="12" customFormat="1" x14ac:dyDescent="0.25">
      <c r="A51" s="26"/>
      <c r="B51" s="45"/>
      <c r="C51" s="27" t="s">
        <v>52</v>
      </c>
      <c r="D51" s="9" t="s">
        <v>194</v>
      </c>
      <c r="E51" s="9"/>
      <c r="F51" s="9" t="s">
        <v>10</v>
      </c>
      <c r="G51" s="87">
        <f t="shared" ref="G51:H51" si="42">G17/2</f>
        <v>6</v>
      </c>
      <c r="H51" s="87">
        <f t="shared" si="42"/>
        <v>6</v>
      </c>
      <c r="I51" s="87">
        <f t="shared" ref="I51:L51" si="43">I17/2</f>
        <v>6</v>
      </c>
      <c r="J51" s="87">
        <f t="shared" si="43"/>
        <v>6</v>
      </c>
      <c r="K51" s="87">
        <f t="shared" si="43"/>
        <v>6</v>
      </c>
      <c r="L51" s="87">
        <f t="shared" si="43"/>
        <v>6</v>
      </c>
      <c r="M51" s="87">
        <f t="shared" ref="M51:P51" si="44">M17/2</f>
        <v>6</v>
      </c>
      <c r="N51" s="87">
        <f t="shared" si="44"/>
        <v>6</v>
      </c>
      <c r="O51" s="87">
        <f t="shared" si="44"/>
        <v>6</v>
      </c>
      <c r="P51" s="87">
        <f t="shared" si="44"/>
        <v>6</v>
      </c>
      <c r="Q51" s="87">
        <f t="shared" ref="Q51:T51" si="45">Q17/2</f>
        <v>6</v>
      </c>
      <c r="R51" s="87">
        <f t="shared" si="45"/>
        <v>6</v>
      </c>
      <c r="S51" s="87">
        <f t="shared" si="45"/>
        <v>6</v>
      </c>
      <c r="T51" s="87">
        <f t="shared" si="45"/>
        <v>6</v>
      </c>
      <c r="U51" s="87">
        <f t="shared" ref="U51:X51" si="46">U17/2</f>
        <v>6</v>
      </c>
      <c r="V51" s="87">
        <f t="shared" si="46"/>
        <v>6</v>
      </c>
      <c r="W51" s="87">
        <f t="shared" si="46"/>
        <v>6</v>
      </c>
      <c r="X51" s="87">
        <f t="shared" si="46"/>
        <v>6</v>
      </c>
      <c r="Y51" s="87">
        <f t="shared" ref="Y51:Z51" si="47">Y17/2</f>
        <v>6</v>
      </c>
      <c r="Z51" s="87">
        <f t="shared" si="47"/>
        <v>6</v>
      </c>
    </row>
    <row r="52" spans="1:26" s="12" customFormat="1" x14ac:dyDescent="0.25">
      <c r="A52" s="26"/>
      <c r="B52" s="45"/>
      <c r="C52" s="27" t="s">
        <v>52</v>
      </c>
      <c r="D52" s="9" t="s">
        <v>195</v>
      </c>
      <c r="E52" s="9"/>
      <c r="F52" s="9" t="s">
        <v>10</v>
      </c>
      <c r="G52" s="87">
        <f t="shared" ref="G52:H52" si="48">G17+G20/2</f>
        <v>312</v>
      </c>
      <c r="H52" s="87">
        <f t="shared" si="48"/>
        <v>396</v>
      </c>
      <c r="I52" s="87">
        <f t="shared" ref="I52:L52" si="49">I17+I20/2</f>
        <v>312</v>
      </c>
      <c r="J52" s="87">
        <f t="shared" si="49"/>
        <v>312</v>
      </c>
      <c r="K52" s="87">
        <f t="shared" si="49"/>
        <v>312</v>
      </c>
      <c r="L52" s="87">
        <f t="shared" si="49"/>
        <v>396</v>
      </c>
      <c r="M52" s="87">
        <f t="shared" ref="M52:P52" si="50">M17+M20/2</f>
        <v>312</v>
      </c>
      <c r="N52" s="87">
        <f t="shared" si="50"/>
        <v>312</v>
      </c>
      <c r="O52" s="87">
        <f t="shared" si="50"/>
        <v>312</v>
      </c>
      <c r="P52" s="87">
        <f t="shared" si="50"/>
        <v>396</v>
      </c>
      <c r="Q52" s="87">
        <f t="shared" ref="Q52:T52" si="51">Q17+Q20/2</f>
        <v>312</v>
      </c>
      <c r="R52" s="87">
        <f t="shared" si="51"/>
        <v>312</v>
      </c>
      <c r="S52" s="87">
        <f t="shared" si="51"/>
        <v>312</v>
      </c>
      <c r="T52" s="87">
        <f t="shared" si="51"/>
        <v>396</v>
      </c>
      <c r="U52" s="87">
        <f t="shared" ref="U52:X52" si="52">U17+U20/2</f>
        <v>312</v>
      </c>
      <c r="V52" s="87">
        <f t="shared" si="52"/>
        <v>312</v>
      </c>
      <c r="W52" s="87">
        <f t="shared" si="52"/>
        <v>312</v>
      </c>
      <c r="X52" s="87">
        <f t="shared" si="52"/>
        <v>396</v>
      </c>
      <c r="Y52" s="87">
        <f t="shared" ref="Y52:Z52" si="53">Y17+Y20/2</f>
        <v>312</v>
      </c>
      <c r="Z52" s="87">
        <f t="shared" si="53"/>
        <v>312</v>
      </c>
    </row>
    <row r="53" spans="1:26" s="12" customFormat="1" x14ac:dyDescent="0.25">
      <c r="A53" s="26"/>
      <c r="B53" s="45"/>
      <c r="C53" s="27" t="s">
        <v>52</v>
      </c>
      <c r="D53" s="9" t="s">
        <v>196</v>
      </c>
      <c r="E53" s="9"/>
      <c r="F53" s="9" t="s">
        <v>10</v>
      </c>
      <c r="G53" s="87">
        <f t="shared" ref="G53:H53" si="54">G17+G20+G22/2</f>
        <v>622</v>
      </c>
      <c r="H53" s="87">
        <f t="shared" si="54"/>
        <v>786</v>
      </c>
      <c r="I53" s="87">
        <f t="shared" ref="I53:L53" si="55">I17+I20+I22/2</f>
        <v>622</v>
      </c>
      <c r="J53" s="87">
        <f t="shared" si="55"/>
        <v>622</v>
      </c>
      <c r="K53" s="87">
        <f t="shared" si="55"/>
        <v>622</v>
      </c>
      <c r="L53" s="87">
        <f t="shared" si="55"/>
        <v>786</v>
      </c>
      <c r="M53" s="87">
        <f t="shared" ref="M53:P53" si="56">M17+M20+M22/2</f>
        <v>622</v>
      </c>
      <c r="N53" s="87">
        <f t="shared" si="56"/>
        <v>622</v>
      </c>
      <c r="O53" s="87">
        <f t="shared" si="56"/>
        <v>622</v>
      </c>
      <c r="P53" s="87">
        <f t="shared" si="56"/>
        <v>786</v>
      </c>
      <c r="Q53" s="87">
        <f t="shared" ref="Q53:T53" si="57">Q17+Q20+Q22/2</f>
        <v>622</v>
      </c>
      <c r="R53" s="87">
        <f t="shared" si="57"/>
        <v>622</v>
      </c>
      <c r="S53" s="87">
        <f t="shared" si="57"/>
        <v>622</v>
      </c>
      <c r="T53" s="87">
        <f t="shared" si="57"/>
        <v>786</v>
      </c>
      <c r="U53" s="87">
        <f t="shared" ref="U53:X53" si="58">U17+U20+U22/2</f>
        <v>622</v>
      </c>
      <c r="V53" s="87">
        <f t="shared" si="58"/>
        <v>622</v>
      </c>
      <c r="W53" s="87">
        <f t="shared" si="58"/>
        <v>622</v>
      </c>
      <c r="X53" s="87">
        <f t="shared" si="58"/>
        <v>786</v>
      </c>
      <c r="Y53" s="87">
        <f t="shared" ref="Y53:Z53" si="59">Y17+Y20+Y22/2</f>
        <v>622</v>
      </c>
      <c r="Z53" s="87">
        <f t="shared" si="59"/>
        <v>622</v>
      </c>
    </row>
    <row r="54" spans="1:26" s="12" customFormat="1" x14ac:dyDescent="0.25">
      <c r="A54" s="26"/>
      <c r="B54" s="46"/>
      <c r="C54" s="27" t="s">
        <v>52</v>
      </c>
      <c r="D54" s="9" t="s">
        <v>182</v>
      </c>
      <c r="E54" s="9"/>
      <c r="F54" s="9" t="s">
        <v>12</v>
      </c>
      <c r="G54" s="90">
        <f t="shared" ref="G54:H54" si="60">G17*G16</f>
        <v>8400</v>
      </c>
      <c r="H54" s="90">
        <f t="shared" si="60"/>
        <v>8400</v>
      </c>
      <c r="I54" s="90">
        <f t="shared" ref="I54:L54" si="61">I17*I16</f>
        <v>8400</v>
      </c>
      <c r="J54" s="90">
        <f t="shared" si="61"/>
        <v>8400</v>
      </c>
      <c r="K54" s="90">
        <f t="shared" si="61"/>
        <v>8400</v>
      </c>
      <c r="L54" s="90">
        <f t="shared" si="61"/>
        <v>8400</v>
      </c>
      <c r="M54" s="90">
        <f t="shared" ref="M54:P54" si="62">M17*M16</f>
        <v>8400</v>
      </c>
      <c r="N54" s="90">
        <f t="shared" si="62"/>
        <v>8400</v>
      </c>
      <c r="O54" s="90">
        <f t="shared" si="62"/>
        <v>8400</v>
      </c>
      <c r="P54" s="90">
        <f t="shared" si="62"/>
        <v>8400</v>
      </c>
      <c r="Q54" s="90">
        <f t="shared" ref="Q54:T54" si="63">Q17*Q16</f>
        <v>8400</v>
      </c>
      <c r="R54" s="90">
        <f t="shared" si="63"/>
        <v>8400</v>
      </c>
      <c r="S54" s="90">
        <f t="shared" si="63"/>
        <v>8400</v>
      </c>
      <c r="T54" s="90">
        <f t="shared" si="63"/>
        <v>8400</v>
      </c>
      <c r="U54" s="90">
        <f t="shared" ref="U54:X54" si="64">U17*U16</f>
        <v>8400</v>
      </c>
      <c r="V54" s="90">
        <f t="shared" si="64"/>
        <v>8400</v>
      </c>
      <c r="W54" s="90">
        <f t="shared" si="64"/>
        <v>8400</v>
      </c>
      <c r="X54" s="90">
        <f t="shared" si="64"/>
        <v>8400</v>
      </c>
      <c r="Y54" s="90">
        <f t="shared" ref="Y54:Z54" si="65">Y17*Y16</f>
        <v>8400</v>
      </c>
      <c r="Z54" s="90">
        <f t="shared" si="65"/>
        <v>8400</v>
      </c>
    </row>
    <row r="55" spans="1:26" s="12" customFormat="1" x14ac:dyDescent="0.25">
      <c r="A55" s="26"/>
      <c r="B55" s="46"/>
      <c r="C55" s="27" t="s">
        <v>52</v>
      </c>
      <c r="D55" s="9" t="s">
        <v>21</v>
      </c>
      <c r="E55" s="9"/>
      <c r="F55" s="9" t="s">
        <v>12</v>
      </c>
      <c r="G55" s="90">
        <f t="shared" ref="G55:H55" si="66">G21*G20</f>
        <v>6000</v>
      </c>
      <c r="H55" s="90">
        <f t="shared" si="66"/>
        <v>7680</v>
      </c>
      <c r="I55" s="90">
        <f t="shared" ref="I55:L55" si="67">I21*I20</f>
        <v>6000</v>
      </c>
      <c r="J55" s="90">
        <f t="shared" si="67"/>
        <v>6000</v>
      </c>
      <c r="K55" s="90">
        <f t="shared" si="67"/>
        <v>6000</v>
      </c>
      <c r="L55" s="90">
        <f t="shared" si="67"/>
        <v>7680</v>
      </c>
      <c r="M55" s="90">
        <f t="shared" ref="M55:P55" si="68">M21*M20</f>
        <v>6000</v>
      </c>
      <c r="N55" s="90">
        <f t="shared" si="68"/>
        <v>6000</v>
      </c>
      <c r="O55" s="90">
        <f t="shared" si="68"/>
        <v>6000</v>
      </c>
      <c r="P55" s="90">
        <f t="shared" si="68"/>
        <v>7680</v>
      </c>
      <c r="Q55" s="90">
        <f t="shared" ref="Q55:T55" si="69">Q21*Q20</f>
        <v>6000</v>
      </c>
      <c r="R55" s="90">
        <f t="shared" si="69"/>
        <v>6000</v>
      </c>
      <c r="S55" s="90">
        <f t="shared" si="69"/>
        <v>6000</v>
      </c>
      <c r="T55" s="90">
        <f t="shared" si="69"/>
        <v>7680</v>
      </c>
      <c r="U55" s="90">
        <f t="shared" ref="U55:X55" si="70">U21*U20</f>
        <v>6000</v>
      </c>
      <c r="V55" s="90">
        <f t="shared" si="70"/>
        <v>6000</v>
      </c>
      <c r="W55" s="90">
        <f t="shared" si="70"/>
        <v>6000</v>
      </c>
      <c r="X55" s="90">
        <f t="shared" si="70"/>
        <v>7680</v>
      </c>
      <c r="Y55" s="90">
        <f t="shared" ref="Y55:Z55" si="71">Y21*Y20</f>
        <v>6000</v>
      </c>
      <c r="Z55" s="90">
        <f t="shared" si="71"/>
        <v>6000</v>
      </c>
    </row>
    <row r="56" spans="1:26" s="12" customFormat="1" x14ac:dyDescent="0.25">
      <c r="A56" s="26"/>
      <c r="B56" s="46"/>
      <c r="C56" s="27" t="s">
        <v>52</v>
      </c>
      <c r="D56" s="9" t="s">
        <v>22</v>
      </c>
      <c r="E56" s="9"/>
      <c r="F56" s="9" t="s">
        <v>12</v>
      </c>
      <c r="G56" s="90">
        <f t="shared" ref="G56:H56" si="72">G22*G23</f>
        <v>4000</v>
      </c>
      <c r="H56" s="90">
        <f t="shared" si="72"/>
        <v>2400</v>
      </c>
      <c r="I56" s="90">
        <f t="shared" ref="I56:L56" si="73">I22*I23</f>
        <v>4000</v>
      </c>
      <c r="J56" s="90">
        <f t="shared" si="73"/>
        <v>4000</v>
      </c>
      <c r="K56" s="90">
        <f t="shared" si="73"/>
        <v>4000</v>
      </c>
      <c r="L56" s="90">
        <f t="shared" si="73"/>
        <v>2400</v>
      </c>
      <c r="M56" s="90">
        <f t="shared" ref="M56:P56" si="74">M22*M23</f>
        <v>4000</v>
      </c>
      <c r="N56" s="90">
        <f t="shared" si="74"/>
        <v>4000</v>
      </c>
      <c r="O56" s="90">
        <f t="shared" si="74"/>
        <v>4000</v>
      </c>
      <c r="P56" s="90">
        <f t="shared" si="74"/>
        <v>2400</v>
      </c>
      <c r="Q56" s="90">
        <f t="shared" ref="Q56:T56" si="75">Q22*Q23</f>
        <v>4000</v>
      </c>
      <c r="R56" s="90">
        <f t="shared" si="75"/>
        <v>4000</v>
      </c>
      <c r="S56" s="90">
        <f t="shared" si="75"/>
        <v>4000</v>
      </c>
      <c r="T56" s="90">
        <f t="shared" si="75"/>
        <v>2400</v>
      </c>
      <c r="U56" s="90">
        <f t="shared" ref="U56:X56" si="76">U22*U23</f>
        <v>4000</v>
      </c>
      <c r="V56" s="90">
        <f t="shared" si="76"/>
        <v>4000</v>
      </c>
      <c r="W56" s="90">
        <f t="shared" si="76"/>
        <v>4000</v>
      </c>
      <c r="X56" s="90">
        <f t="shared" si="76"/>
        <v>2400</v>
      </c>
      <c r="Y56" s="90">
        <f t="shared" ref="Y56:Z56" si="77">Y22*Y23</f>
        <v>4000</v>
      </c>
      <c r="Z56" s="90">
        <f t="shared" si="77"/>
        <v>4000</v>
      </c>
    </row>
    <row r="57" spans="1:26" s="12" customFormat="1" x14ac:dyDescent="0.25">
      <c r="A57" s="26"/>
      <c r="B57" s="46"/>
      <c r="C57" s="27" t="s">
        <v>52</v>
      </c>
      <c r="D57" s="9" t="s">
        <v>7</v>
      </c>
      <c r="E57" s="9"/>
      <c r="F57" s="9" t="s">
        <v>12</v>
      </c>
      <c r="G57" s="90">
        <f t="shared" ref="G57:H57" si="78">G55+G56+G54</f>
        <v>18400</v>
      </c>
      <c r="H57" s="90">
        <f t="shared" si="78"/>
        <v>18480</v>
      </c>
      <c r="I57" s="90">
        <f t="shared" ref="I57:L57" si="79">I55+I56+I54</f>
        <v>18400</v>
      </c>
      <c r="J57" s="90">
        <f t="shared" si="79"/>
        <v>18400</v>
      </c>
      <c r="K57" s="90">
        <f t="shared" si="79"/>
        <v>18400</v>
      </c>
      <c r="L57" s="90">
        <f t="shared" si="79"/>
        <v>18480</v>
      </c>
      <c r="M57" s="90">
        <f t="shared" ref="M57:P57" si="80">M55+M56+M54</f>
        <v>18400</v>
      </c>
      <c r="N57" s="90">
        <f t="shared" si="80"/>
        <v>18400</v>
      </c>
      <c r="O57" s="90">
        <f t="shared" si="80"/>
        <v>18400</v>
      </c>
      <c r="P57" s="90">
        <f t="shared" si="80"/>
        <v>18480</v>
      </c>
      <c r="Q57" s="90">
        <f t="shared" ref="Q57:T57" si="81">Q55+Q56+Q54</f>
        <v>18400</v>
      </c>
      <c r="R57" s="90">
        <f t="shared" si="81"/>
        <v>18400</v>
      </c>
      <c r="S57" s="90">
        <f t="shared" si="81"/>
        <v>18400</v>
      </c>
      <c r="T57" s="90">
        <f t="shared" si="81"/>
        <v>18480</v>
      </c>
      <c r="U57" s="90">
        <f t="shared" ref="U57:X57" si="82">U55+U56+U54</f>
        <v>18400</v>
      </c>
      <c r="V57" s="90">
        <f t="shared" si="82"/>
        <v>18400</v>
      </c>
      <c r="W57" s="90">
        <f t="shared" si="82"/>
        <v>18400</v>
      </c>
      <c r="X57" s="90">
        <f t="shared" si="82"/>
        <v>18480</v>
      </c>
      <c r="Y57" s="90">
        <f t="shared" ref="Y57:Z57" si="83">Y55+Y56+Y54</f>
        <v>18400</v>
      </c>
      <c r="Z57" s="90">
        <f t="shared" si="83"/>
        <v>18400</v>
      </c>
    </row>
    <row r="58" spans="1:26" s="12" customFormat="1" x14ac:dyDescent="0.25">
      <c r="A58" s="26"/>
      <c r="B58" s="44"/>
      <c r="C58" s="27" t="s">
        <v>52</v>
      </c>
      <c r="D58" s="9" t="s">
        <v>17</v>
      </c>
      <c r="E58" s="9"/>
      <c r="F58" s="9" t="s">
        <v>10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87">
        <v>0</v>
      </c>
    </row>
    <row r="59" spans="1:26" s="12" customFormat="1" x14ac:dyDescent="0.25">
      <c r="A59" s="26"/>
      <c r="B59" s="44"/>
      <c r="C59" s="27" t="s">
        <v>52</v>
      </c>
      <c r="D59" s="9" t="s">
        <v>197</v>
      </c>
      <c r="E59" s="9"/>
      <c r="F59" s="9" t="s">
        <v>10</v>
      </c>
      <c r="G59" s="87">
        <f t="shared" ref="G59:H59" si="84">(G54*G51+G55*G52+G56*G53)/G57</f>
        <v>239.69565217391303</v>
      </c>
      <c r="H59" s="87">
        <f t="shared" si="84"/>
        <v>269.3766233766234</v>
      </c>
      <c r="I59" s="87">
        <f t="shared" ref="I59:L59" si="85">(I54*I51+I55*I52+I56*I53)/I57</f>
        <v>239.69565217391303</v>
      </c>
      <c r="J59" s="87">
        <f t="shared" si="85"/>
        <v>239.69565217391303</v>
      </c>
      <c r="K59" s="87">
        <f t="shared" si="85"/>
        <v>239.69565217391303</v>
      </c>
      <c r="L59" s="87">
        <f t="shared" si="85"/>
        <v>269.3766233766234</v>
      </c>
      <c r="M59" s="87">
        <f t="shared" ref="M59:P59" si="86">(M54*M51+M55*M52+M56*M53)/M57</f>
        <v>239.69565217391303</v>
      </c>
      <c r="N59" s="87">
        <f t="shared" si="86"/>
        <v>239.69565217391303</v>
      </c>
      <c r="O59" s="87">
        <f t="shared" si="86"/>
        <v>239.69565217391303</v>
      </c>
      <c r="P59" s="87">
        <f t="shared" si="86"/>
        <v>269.3766233766234</v>
      </c>
      <c r="Q59" s="87">
        <f t="shared" ref="Q59:T59" si="87">(Q54*Q51+Q55*Q52+Q56*Q53)/Q57</f>
        <v>239.69565217391303</v>
      </c>
      <c r="R59" s="87">
        <f t="shared" si="87"/>
        <v>239.69565217391303</v>
      </c>
      <c r="S59" s="87">
        <f t="shared" si="87"/>
        <v>239.69565217391303</v>
      </c>
      <c r="T59" s="87">
        <f t="shared" si="87"/>
        <v>269.3766233766234</v>
      </c>
      <c r="U59" s="87">
        <f t="shared" ref="U59:X59" si="88">(U54*U51+U55*U52+U56*U53)/U57</f>
        <v>239.69565217391303</v>
      </c>
      <c r="V59" s="87">
        <f t="shared" si="88"/>
        <v>239.69565217391303</v>
      </c>
      <c r="W59" s="87">
        <f t="shared" si="88"/>
        <v>239.69565217391303</v>
      </c>
      <c r="X59" s="87">
        <f t="shared" si="88"/>
        <v>269.3766233766234</v>
      </c>
      <c r="Y59" s="87">
        <f t="shared" ref="Y59:Z59" si="89">(Y54*Y51+Y55*Y52+Y56*Y53)/Y57</f>
        <v>239.69565217391303</v>
      </c>
      <c r="Z59" s="87">
        <f t="shared" si="89"/>
        <v>239.69565217391303</v>
      </c>
    </row>
    <row r="60" spans="1:26" s="12" customFormat="1" x14ac:dyDescent="0.25">
      <c r="A60" s="26"/>
      <c r="B60" s="46"/>
      <c r="C60" s="27" t="s">
        <v>52</v>
      </c>
      <c r="D60" s="9" t="s">
        <v>198</v>
      </c>
      <c r="E60" s="9"/>
      <c r="F60" s="9" t="s">
        <v>10</v>
      </c>
      <c r="G60" s="87">
        <f t="shared" ref="G60:H60" si="90">(G55*G52+G56*G53)/(G55+G56)</f>
        <v>436</v>
      </c>
      <c r="H60" s="87">
        <f t="shared" si="90"/>
        <v>488.85714285714283</v>
      </c>
      <c r="I60" s="87">
        <f t="shared" ref="I60:L60" si="91">(I55*I52+I56*I53)/(I55+I56)</f>
        <v>436</v>
      </c>
      <c r="J60" s="87">
        <f t="shared" si="91"/>
        <v>436</v>
      </c>
      <c r="K60" s="87">
        <f t="shared" si="91"/>
        <v>436</v>
      </c>
      <c r="L60" s="87">
        <f t="shared" si="91"/>
        <v>488.85714285714283</v>
      </c>
      <c r="M60" s="87">
        <f t="shared" ref="M60:P60" si="92">(M55*M52+M56*M53)/(M55+M56)</f>
        <v>436</v>
      </c>
      <c r="N60" s="87">
        <f t="shared" si="92"/>
        <v>436</v>
      </c>
      <c r="O60" s="87">
        <f t="shared" si="92"/>
        <v>436</v>
      </c>
      <c r="P60" s="87">
        <f t="shared" si="92"/>
        <v>488.85714285714283</v>
      </c>
      <c r="Q60" s="87">
        <f t="shared" ref="Q60:T60" si="93">(Q55*Q52+Q56*Q53)/(Q55+Q56)</f>
        <v>436</v>
      </c>
      <c r="R60" s="87">
        <f t="shared" si="93"/>
        <v>436</v>
      </c>
      <c r="S60" s="87">
        <f t="shared" si="93"/>
        <v>436</v>
      </c>
      <c r="T60" s="87">
        <f t="shared" si="93"/>
        <v>488.85714285714283</v>
      </c>
      <c r="U60" s="87">
        <f t="shared" ref="U60:X60" si="94">(U55*U52+U56*U53)/(U55+U56)</f>
        <v>436</v>
      </c>
      <c r="V60" s="87">
        <f t="shared" si="94"/>
        <v>436</v>
      </c>
      <c r="W60" s="87">
        <f t="shared" si="94"/>
        <v>436</v>
      </c>
      <c r="X60" s="87">
        <f t="shared" si="94"/>
        <v>488.85714285714283</v>
      </c>
      <c r="Y60" s="87">
        <f t="shared" ref="Y60:Z60" si="95">(Y55*Y52+Y56*Y53)/(Y55+Y56)</f>
        <v>436</v>
      </c>
      <c r="Z60" s="87">
        <f t="shared" si="95"/>
        <v>436</v>
      </c>
    </row>
    <row r="61" spans="1:26" s="12" customFormat="1" x14ac:dyDescent="0.25">
      <c r="A61" s="26"/>
      <c r="B61" s="44"/>
      <c r="C61" s="27" t="s">
        <v>52</v>
      </c>
      <c r="D61" s="9" t="s">
        <v>27</v>
      </c>
      <c r="E61" s="9"/>
      <c r="F61" s="9" t="s">
        <v>10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  <c r="R61" s="87">
        <v>0</v>
      </c>
      <c r="S61" s="87">
        <v>0</v>
      </c>
      <c r="T61" s="87">
        <v>0</v>
      </c>
      <c r="U61" s="87">
        <v>0</v>
      </c>
      <c r="V61" s="87">
        <v>0</v>
      </c>
      <c r="W61" s="87">
        <v>0</v>
      </c>
      <c r="X61" s="87">
        <v>0</v>
      </c>
      <c r="Y61" s="87">
        <v>0</v>
      </c>
      <c r="Z61" s="87">
        <v>0</v>
      </c>
    </row>
    <row r="62" spans="1:26" s="12" customFormat="1" x14ac:dyDescent="0.25">
      <c r="A62" s="26"/>
      <c r="B62" s="44"/>
      <c r="C62" s="27" t="s">
        <v>52</v>
      </c>
      <c r="D62" s="9" t="s">
        <v>124</v>
      </c>
      <c r="E62" s="9"/>
      <c r="F62" s="9" t="s">
        <v>10</v>
      </c>
      <c r="G62" s="87">
        <f t="shared" ref="G62:H62" si="96">G59-G17/2</f>
        <v>233.69565217391303</v>
      </c>
      <c r="H62" s="87">
        <f t="shared" si="96"/>
        <v>263.3766233766234</v>
      </c>
      <c r="I62" s="87">
        <f t="shared" ref="I62:L62" si="97">I59-I17/2</f>
        <v>233.69565217391303</v>
      </c>
      <c r="J62" s="87">
        <f t="shared" si="97"/>
        <v>233.69565217391303</v>
      </c>
      <c r="K62" s="87">
        <f t="shared" si="97"/>
        <v>233.69565217391303</v>
      </c>
      <c r="L62" s="87">
        <f t="shared" si="97"/>
        <v>263.3766233766234</v>
      </c>
      <c r="M62" s="87">
        <f t="shared" ref="M62:P62" si="98">M59-M17/2</f>
        <v>233.69565217391303</v>
      </c>
      <c r="N62" s="87">
        <f t="shared" si="98"/>
        <v>233.69565217391303</v>
      </c>
      <c r="O62" s="87">
        <f t="shared" si="98"/>
        <v>233.69565217391303</v>
      </c>
      <c r="P62" s="87">
        <f t="shared" si="98"/>
        <v>263.3766233766234</v>
      </c>
      <c r="Q62" s="87">
        <f t="shared" ref="Q62:T62" si="99">Q59-Q17/2</f>
        <v>233.69565217391303</v>
      </c>
      <c r="R62" s="87">
        <f t="shared" si="99"/>
        <v>233.69565217391303</v>
      </c>
      <c r="S62" s="87">
        <f t="shared" si="99"/>
        <v>233.69565217391303</v>
      </c>
      <c r="T62" s="87">
        <f t="shared" si="99"/>
        <v>263.3766233766234</v>
      </c>
      <c r="U62" s="87">
        <f t="shared" ref="U62:X62" si="100">U59-U17/2</f>
        <v>233.69565217391303</v>
      </c>
      <c r="V62" s="87">
        <f t="shared" si="100"/>
        <v>233.69565217391303</v>
      </c>
      <c r="W62" s="87">
        <f t="shared" si="100"/>
        <v>233.69565217391303</v>
      </c>
      <c r="X62" s="87">
        <f t="shared" si="100"/>
        <v>263.3766233766234</v>
      </c>
      <c r="Y62" s="87">
        <f t="shared" ref="Y62:Z62" si="101">Y59-Y17/2</f>
        <v>233.69565217391303</v>
      </c>
      <c r="Z62" s="87">
        <f t="shared" si="101"/>
        <v>233.69565217391303</v>
      </c>
    </row>
    <row r="63" spans="1:26" s="12" customFormat="1" x14ac:dyDescent="0.25">
      <c r="A63" s="26"/>
      <c r="B63" s="44"/>
      <c r="C63" s="27" t="s">
        <v>52</v>
      </c>
      <c r="D63" s="9" t="s">
        <v>125</v>
      </c>
      <c r="E63" s="9"/>
      <c r="F63" s="9" t="s">
        <v>10</v>
      </c>
      <c r="G63" s="87">
        <f t="shared" ref="G63:H63" si="102">G20+G22-(G62-G17/2)</f>
        <v>392.304347826087</v>
      </c>
      <c r="H63" s="87">
        <f t="shared" si="102"/>
        <v>522.62337662337654</v>
      </c>
      <c r="I63" s="87">
        <f t="shared" ref="I63:L63" si="103">I20+I22-(I62-I17/2)</f>
        <v>392.304347826087</v>
      </c>
      <c r="J63" s="87">
        <f t="shared" si="103"/>
        <v>392.304347826087</v>
      </c>
      <c r="K63" s="87">
        <f t="shared" si="103"/>
        <v>392.304347826087</v>
      </c>
      <c r="L63" s="87">
        <f t="shared" si="103"/>
        <v>522.62337662337654</v>
      </c>
      <c r="M63" s="87">
        <f t="shared" ref="M63:P63" si="104">M20+M22-(M62-M17/2)</f>
        <v>392.304347826087</v>
      </c>
      <c r="N63" s="87">
        <f t="shared" si="104"/>
        <v>392.304347826087</v>
      </c>
      <c r="O63" s="87">
        <f t="shared" si="104"/>
        <v>392.304347826087</v>
      </c>
      <c r="P63" s="87">
        <f t="shared" si="104"/>
        <v>522.62337662337654</v>
      </c>
      <c r="Q63" s="87">
        <f t="shared" ref="Q63:T63" si="105">Q20+Q22-(Q62-Q17/2)</f>
        <v>392.304347826087</v>
      </c>
      <c r="R63" s="87">
        <f t="shared" si="105"/>
        <v>392.304347826087</v>
      </c>
      <c r="S63" s="87">
        <f t="shared" si="105"/>
        <v>392.304347826087</v>
      </c>
      <c r="T63" s="87">
        <f t="shared" si="105"/>
        <v>522.62337662337654</v>
      </c>
      <c r="U63" s="87">
        <f t="shared" ref="U63:X63" si="106">U20+U22-(U62-U17/2)</f>
        <v>392.304347826087</v>
      </c>
      <c r="V63" s="87">
        <f t="shared" si="106"/>
        <v>392.304347826087</v>
      </c>
      <c r="W63" s="87">
        <f t="shared" si="106"/>
        <v>392.304347826087</v>
      </c>
      <c r="X63" s="87">
        <f t="shared" si="106"/>
        <v>522.62337662337654</v>
      </c>
      <c r="Y63" s="87">
        <f t="shared" ref="Y63:Z63" si="107">Y20+Y22-(Y62-Y17/2)</f>
        <v>392.304347826087</v>
      </c>
      <c r="Z63" s="87">
        <f t="shared" si="107"/>
        <v>392.304347826087</v>
      </c>
    </row>
    <row r="64" spans="1:26" s="12" customFormat="1" x14ac:dyDescent="0.25">
      <c r="A64" s="1" t="s">
        <v>175</v>
      </c>
      <c r="B64" s="44"/>
      <c r="C64" s="27" t="s">
        <v>52</v>
      </c>
      <c r="D64" s="9" t="s">
        <v>200</v>
      </c>
      <c r="E64" s="9"/>
      <c r="F64" s="9" t="s">
        <v>23</v>
      </c>
      <c r="G64" s="91">
        <f t="shared" ref="G64:H64" si="108">(G21*G20^3/12)+(G23*G22^3/12)+(G16*G17^3/12)+G54*(G51-G59)^2+G55*(G52-G59)^2+G56*(G53-G62)^2</f>
        <v>1273477437.6811595</v>
      </c>
      <c r="H64" s="91">
        <f t="shared" si="108"/>
        <v>1738963411.9480519</v>
      </c>
      <c r="I64" s="91">
        <f t="shared" ref="I64:L64" si="109">(I21*I20^3/12)+(I23*I22^3/12)+(I16*I17^3/12)+I54*(I51-I59)^2+I55*(I52-I59)^2+I56*(I53-I62)^2</f>
        <v>1273477437.6811595</v>
      </c>
      <c r="J64" s="91">
        <f t="shared" si="109"/>
        <v>1273477437.6811595</v>
      </c>
      <c r="K64" s="91">
        <f t="shared" si="109"/>
        <v>1273477437.6811595</v>
      </c>
      <c r="L64" s="91">
        <f t="shared" si="109"/>
        <v>1738963411.9480519</v>
      </c>
      <c r="M64" s="91">
        <f t="shared" ref="M64:P64" si="110">(M21*M20^3/12)+(M23*M22^3/12)+(M16*M17^3/12)+M54*(M51-M59)^2+M55*(M52-M59)^2+M56*(M53-M62)^2</f>
        <v>1273477437.6811595</v>
      </c>
      <c r="N64" s="91">
        <f t="shared" si="110"/>
        <v>1273477437.6811595</v>
      </c>
      <c r="O64" s="91">
        <f t="shared" si="110"/>
        <v>1273477437.6811595</v>
      </c>
      <c r="P64" s="91">
        <f t="shared" si="110"/>
        <v>1738963411.9480519</v>
      </c>
      <c r="Q64" s="91">
        <f t="shared" ref="Q64:T64" si="111">(Q21*Q20^3/12)+(Q23*Q22^3/12)+(Q16*Q17^3/12)+Q54*(Q51-Q59)^2+Q55*(Q52-Q59)^2+Q56*(Q53-Q62)^2</f>
        <v>1273477437.6811595</v>
      </c>
      <c r="R64" s="91">
        <f t="shared" si="111"/>
        <v>1273477437.6811595</v>
      </c>
      <c r="S64" s="91">
        <f t="shared" si="111"/>
        <v>1273477437.6811595</v>
      </c>
      <c r="T64" s="91">
        <f t="shared" si="111"/>
        <v>1738963411.9480519</v>
      </c>
      <c r="U64" s="91">
        <f t="shared" ref="U64:X64" si="112">(U21*U20^3/12)+(U23*U22^3/12)+(U16*U17^3/12)+U54*(U51-U59)^2+U55*(U52-U59)^2+U56*(U53-U62)^2</f>
        <v>1273477437.6811595</v>
      </c>
      <c r="V64" s="91">
        <f t="shared" si="112"/>
        <v>1273477437.6811595</v>
      </c>
      <c r="W64" s="91">
        <f t="shared" si="112"/>
        <v>1273477437.6811595</v>
      </c>
      <c r="X64" s="91">
        <f t="shared" si="112"/>
        <v>1738963411.9480519</v>
      </c>
      <c r="Y64" s="91">
        <f t="shared" ref="Y64:Z64" si="113">(Y21*Y20^3/12)+(Y23*Y22^3/12)+(Y16*Y17^3/12)+Y54*(Y51-Y59)^2+Y55*(Y52-Y59)^2+Y56*(Y53-Y62)^2</f>
        <v>1273477437.6811595</v>
      </c>
      <c r="Z64" s="91">
        <f t="shared" si="113"/>
        <v>1273477437.6811595</v>
      </c>
    </row>
    <row r="65" spans="1:26" s="12" customFormat="1" x14ac:dyDescent="0.25">
      <c r="A65" s="1" t="s">
        <v>55</v>
      </c>
      <c r="B65" s="44"/>
      <c r="C65" s="27" t="s">
        <v>52</v>
      </c>
      <c r="D65" s="9" t="s">
        <v>202</v>
      </c>
      <c r="E65" s="9"/>
      <c r="F65" s="9" t="s">
        <v>23</v>
      </c>
      <c r="G65" s="91">
        <f t="shared" ref="G65:H65" si="114">1/12*G56*G23^2+G61*(G56/(1+G56/G55))</f>
        <v>13333333.333333332</v>
      </c>
      <c r="H65" s="91">
        <f t="shared" si="114"/>
        <v>8000000</v>
      </c>
      <c r="I65" s="91">
        <f t="shared" ref="I65:L65" si="115">1/12*I56*I23^2+I61*(I56/(1+I56/I55))</f>
        <v>13333333.333333332</v>
      </c>
      <c r="J65" s="91">
        <f t="shared" si="115"/>
        <v>13333333.333333332</v>
      </c>
      <c r="K65" s="91">
        <f t="shared" si="115"/>
        <v>13333333.333333332</v>
      </c>
      <c r="L65" s="91">
        <f t="shared" si="115"/>
        <v>8000000</v>
      </c>
      <c r="M65" s="91">
        <f t="shared" ref="M65:P65" si="116">1/12*M56*M23^2+M61*(M56/(1+M56/M55))</f>
        <v>13333333.333333332</v>
      </c>
      <c r="N65" s="91">
        <f t="shared" si="116"/>
        <v>13333333.333333332</v>
      </c>
      <c r="O65" s="91">
        <f t="shared" si="116"/>
        <v>13333333.333333332</v>
      </c>
      <c r="P65" s="91">
        <f t="shared" si="116"/>
        <v>8000000</v>
      </c>
      <c r="Q65" s="91">
        <f t="shared" ref="Q65:T65" si="117">1/12*Q56*Q23^2+Q61*(Q56/(1+Q56/Q55))</f>
        <v>13333333.333333332</v>
      </c>
      <c r="R65" s="91">
        <f t="shared" si="117"/>
        <v>13333333.333333332</v>
      </c>
      <c r="S65" s="91">
        <f t="shared" si="117"/>
        <v>13333333.333333332</v>
      </c>
      <c r="T65" s="91">
        <f t="shared" si="117"/>
        <v>8000000</v>
      </c>
      <c r="U65" s="91">
        <f t="shared" ref="U65:X65" si="118">1/12*U56*U23^2+U61*(U56/(1+U56/U55))</f>
        <v>13333333.333333332</v>
      </c>
      <c r="V65" s="91">
        <f t="shared" si="118"/>
        <v>13333333.333333332</v>
      </c>
      <c r="W65" s="91">
        <f t="shared" si="118"/>
        <v>13333333.333333332</v>
      </c>
      <c r="X65" s="91">
        <f t="shared" si="118"/>
        <v>8000000</v>
      </c>
      <c r="Y65" s="91">
        <f t="shared" ref="Y65:Z65" si="119">1/12*Y56*Y23^2+Y61*(Y56/(1+Y56/Y55))</f>
        <v>13333333.333333332</v>
      </c>
      <c r="Z65" s="91">
        <f t="shared" si="119"/>
        <v>13333333.333333332</v>
      </c>
    </row>
    <row r="66" spans="1:26" s="12" customFormat="1" x14ac:dyDescent="0.25">
      <c r="A66" s="1" t="s">
        <v>199</v>
      </c>
      <c r="B66" s="44"/>
      <c r="C66" s="27" t="s">
        <v>52</v>
      </c>
      <c r="D66" s="9" t="s">
        <v>13</v>
      </c>
      <c r="E66" s="9"/>
      <c r="F66" s="9" t="s">
        <v>10</v>
      </c>
      <c r="G66" s="87">
        <f t="shared" ref="G66:H66" si="120">SQRT(G64/G57)</f>
        <v>263.07932322544593</v>
      </c>
      <c r="H66" s="87">
        <f t="shared" si="120"/>
        <v>306.7568283327866</v>
      </c>
      <c r="I66" s="87">
        <f t="shared" ref="I66:L66" si="121">SQRT(I64/I57)</f>
        <v>263.07932322544593</v>
      </c>
      <c r="J66" s="87">
        <f t="shared" si="121"/>
        <v>263.07932322544593</v>
      </c>
      <c r="K66" s="87">
        <f t="shared" si="121"/>
        <v>263.07932322544593</v>
      </c>
      <c r="L66" s="87">
        <f t="shared" si="121"/>
        <v>306.7568283327866</v>
      </c>
      <c r="M66" s="87">
        <f t="shared" ref="M66:P66" si="122">SQRT(M64/M57)</f>
        <v>263.07932322544593</v>
      </c>
      <c r="N66" s="87">
        <f t="shared" si="122"/>
        <v>263.07932322544593</v>
      </c>
      <c r="O66" s="87">
        <f t="shared" si="122"/>
        <v>263.07932322544593</v>
      </c>
      <c r="P66" s="87">
        <f t="shared" si="122"/>
        <v>306.7568283327866</v>
      </c>
      <c r="Q66" s="87">
        <f t="shared" ref="Q66:T66" si="123">SQRT(Q64/Q57)</f>
        <v>263.07932322544593</v>
      </c>
      <c r="R66" s="87">
        <f t="shared" si="123"/>
        <v>263.07932322544593</v>
      </c>
      <c r="S66" s="87">
        <f t="shared" si="123"/>
        <v>263.07932322544593</v>
      </c>
      <c r="T66" s="87">
        <f t="shared" si="123"/>
        <v>306.7568283327866</v>
      </c>
      <c r="U66" s="87">
        <f t="shared" ref="U66:X66" si="124">SQRT(U64/U57)</f>
        <v>263.07932322544593</v>
      </c>
      <c r="V66" s="87">
        <f t="shared" si="124"/>
        <v>263.07932322544593</v>
      </c>
      <c r="W66" s="87">
        <f t="shared" si="124"/>
        <v>263.07932322544593</v>
      </c>
      <c r="X66" s="87">
        <f t="shared" si="124"/>
        <v>306.7568283327866</v>
      </c>
      <c r="Y66" s="87">
        <f t="shared" ref="Y66:Z66" si="125">SQRT(Y64/Y57)</f>
        <v>263.07932322544593</v>
      </c>
      <c r="Z66" s="87">
        <f t="shared" si="125"/>
        <v>263.07932322544593</v>
      </c>
    </row>
    <row r="67" spans="1:26" s="12" customFormat="1" x14ac:dyDescent="0.25">
      <c r="A67" s="1" t="s">
        <v>56</v>
      </c>
      <c r="B67" s="44"/>
      <c r="C67" s="27" t="s">
        <v>52</v>
      </c>
      <c r="D67" s="9" t="s">
        <v>201</v>
      </c>
      <c r="E67" s="9"/>
      <c r="F67" s="9" t="s">
        <v>23</v>
      </c>
      <c r="G67" s="91">
        <f t="shared" ref="G67:H67" si="126">G64</f>
        <v>1273477437.6811595</v>
      </c>
      <c r="H67" s="91">
        <f t="shared" si="126"/>
        <v>1738963411.9480519</v>
      </c>
      <c r="I67" s="91">
        <f t="shared" ref="I67:L67" si="127">I64</f>
        <v>1273477437.6811595</v>
      </c>
      <c r="J67" s="91">
        <f t="shared" si="127"/>
        <v>1273477437.6811595</v>
      </c>
      <c r="K67" s="91">
        <f t="shared" si="127"/>
        <v>1273477437.6811595</v>
      </c>
      <c r="L67" s="91">
        <f t="shared" si="127"/>
        <v>1738963411.9480519</v>
      </c>
      <c r="M67" s="91">
        <f t="shared" ref="M67:P67" si="128">M64</f>
        <v>1273477437.6811595</v>
      </c>
      <c r="N67" s="91">
        <f t="shared" si="128"/>
        <v>1273477437.6811595</v>
      </c>
      <c r="O67" s="91">
        <f t="shared" si="128"/>
        <v>1273477437.6811595</v>
      </c>
      <c r="P67" s="91">
        <f t="shared" si="128"/>
        <v>1738963411.9480519</v>
      </c>
      <c r="Q67" s="91">
        <f t="shared" ref="Q67:T67" si="129">Q64</f>
        <v>1273477437.6811595</v>
      </c>
      <c r="R67" s="91">
        <f t="shared" si="129"/>
        <v>1273477437.6811595</v>
      </c>
      <c r="S67" s="91">
        <f t="shared" si="129"/>
        <v>1273477437.6811595</v>
      </c>
      <c r="T67" s="91">
        <f t="shared" si="129"/>
        <v>1738963411.9480519</v>
      </c>
      <c r="U67" s="91">
        <f t="shared" ref="U67:X67" si="130">U64</f>
        <v>1273477437.6811595</v>
      </c>
      <c r="V67" s="91">
        <f t="shared" si="130"/>
        <v>1273477437.6811595</v>
      </c>
      <c r="W67" s="91">
        <f t="shared" si="130"/>
        <v>1273477437.6811595</v>
      </c>
      <c r="X67" s="91">
        <f t="shared" si="130"/>
        <v>1738963411.9480519</v>
      </c>
      <c r="Y67" s="91">
        <f t="shared" ref="Y67:Z67" si="131">Y64</f>
        <v>1273477437.6811595</v>
      </c>
      <c r="Z67" s="91">
        <f t="shared" si="131"/>
        <v>1273477437.6811595</v>
      </c>
    </row>
    <row r="68" spans="1:26" s="12" customFormat="1" x14ac:dyDescent="0.25">
      <c r="A68" s="26"/>
      <c r="B68" s="69"/>
      <c r="C68" s="27"/>
    </row>
    <row r="69" spans="1:26" s="12" customFormat="1" ht="21" x14ac:dyDescent="0.35">
      <c r="A69" s="26"/>
      <c r="B69" s="69"/>
      <c r="C69" s="27"/>
      <c r="D69" s="28" t="s">
        <v>260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s="12" customFormat="1" x14ac:dyDescent="0.25">
      <c r="A70" s="26"/>
      <c r="B70" s="69"/>
      <c r="C70" s="27"/>
      <c r="D70" s="9" t="s">
        <v>51</v>
      </c>
      <c r="E70" s="9"/>
      <c r="F70" s="9" t="s">
        <v>10</v>
      </c>
      <c r="G70" s="87">
        <f t="shared" ref="G70:H70" si="132">G32/2-G31/2</f>
        <v>44</v>
      </c>
      <c r="H70" s="87">
        <f t="shared" si="132"/>
        <v>44</v>
      </c>
      <c r="I70" s="87">
        <f t="shared" ref="I70:L70" si="133">I32/2-I31/2</f>
        <v>44</v>
      </c>
      <c r="J70" s="87">
        <f t="shared" si="133"/>
        <v>44</v>
      </c>
      <c r="K70" s="87">
        <f t="shared" si="133"/>
        <v>44</v>
      </c>
      <c r="L70" s="87">
        <f t="shared" si="133"/>
        <v>44</v>
      </c>
      <c r="M70" s="87">
        <f t="shared" ref="M70:P70" si="134">M32/2-M31/2</f>
        <v>44</v>
      </c>
      <c r="N70" s="87">
        <f t="shared" si="134"/>
        <v>44</v>
      </c>
      <c r="O70" s="87">
        <f t="shared" si="134"/>
        <v>44</v>
      </c>
      <c r="P70" s="87">
        <f t="shared" si="134"/>
        <v>44</v>
      </c>
      <c r="Q70" s="87">
        <f t="shared" ref="Q70:T70" si="135">Q32/2-Q31/2</f>
        <v>44</v>
      </c>
      <c r="R70" s="87">
        <f t="shared" si="135"/>
        <v>44</v>
      </c>
      <c r="S70" s="87">
        <f t="shared" si="135"/>
        <v>44</v>
      </c>
      <c r="T70" s="87">
        <f t="shared" si="135"/>
        <v>44</v>
      </c>
      <c r="U70" s="87">
        <f t="shared" ref="U70:X70" si="136">U32/2-U31/2</f>
        <v>44</v>
      </c>
      <c r="V70" s="87">
        <f t="shared" si="136"/>
        <v>44</v>
      </c>
      <c r="W70" s="87">
        <f t="shared" si="136"/>
        <v>44</v>
      </c>
      <c r="X70" s="87">
        <f t="shared" si="136"/>
        <v>44</v>
      </c>
      <c r="Y70" s="87">
        <f t="shared" ref="Y70:Z70" si="137">Y32/2-Y31/2</f>
        <v>44</v>
      </c>
      <c r="Z70" s="87">
        <f t="shared" si="137"/>
        <v>44</v>
      </c>
    </row>
    <row r="71" spans="1:26" s="12" customFormat="1" x14ac:dyDescent="0.25">
      <c r="A71" s="26"/>
      <c r="B71" s="50"/>
      <c r="C71" s="27"/>
      <c r="D71" s="9" t="s">
        <v>194</v>
      </c>
      <c r="E71" s="9"/>
      <c r="F71" s="9" t="s">
        <v>10</v>
      </c>
      <c r="G71" s="87">
        <f t="shared" ref="G71:H71" si="138">G17/2</f>
        <v>6</v>
      </c>
      <c r="H71" s="87">
        <f t="shared" si="138"/>
        <v>6</v>
      </c>
      <c r="I71" s="87">
        <f t="shared" ref="I71:L71" si="139">I17/2</f>
        <v>6</v>
      </c>
      <c r="J71" s="87">
        <f t="shared" si="139"/>
        <v>6</v>
      </c>
      <c r="K71" s="87">
        <f t="shared" si="139"/>
        <v>6</v>
      </c>
      <c r="L71" s="87">
        <f t="shared" si="139"/>
        <v>6</v>
      </c>
      <c r="M71" s="87">
        <f t="shared" ref="M71:P71" si="140">M17/2</f>
        <v>6</v>
      </c>
      <c r="N71" s="87">
        <f t="shared" si="140"/>
        <v>6</v>
      </c>
      <c r="O71" s="87">
        <f t="shared" si="140"/>
        <v>6</v>
      </c>
      <c r="P71" s="87">
        <f t="shared" si="140"/>
        <v>6</v>
      </c>
      <c r="Q71" s="87">
        <f t="shared" ref="Q71:T71" si="141">Q17/2</f>
        <v>6</v>
      </c>
      <c r="R71" s="87">
        <f t="shared" si="141"/>
        <v>6</v>
      </c>
      <c r="S71" s="87">
        <f t="shared" si="141"/>
        <v>6</v>
      </c>
      <c r="T71" s="87">
        <f t="shared" si="141"/>
        <v>6</v>
      </c>
      <c r="U71" s="87">
        <f t="shared" ref="U71:X71" si="142">U17/2</f>
        <v>6</v>
      </c>
      <c r="V71" s="87">
        <f t="shared" si="142"/>
        <v>6</v>
      </c>
      <c r="W71" s="87">
        <f t="shared" si="142"/>
        <v>6</v>
      </c>
      <c r="X71" s="87">
        <f t="shared" si="142"/>
        <v>6</v>
      </c>
      <c r="Y71" s="87">
        <f t="shared" ref="Y71:Z71" si="143">Y17/2</f>
        <v>6</v>
      </c>
      <c r="Z71" s="87">
        <f t="shared" si="143"/>
        <v>6</v>
      </c>
    </row>
    <row r="72" spans="1:26" s="12" customFormat="1" x14ac:dyDescent="0.25">
      <c r="A72" s="26"/>
      <c r="B72" s="50"/>
      <c r="C72" s="27"/>
      <c r="D72" s="9" t="s">
        <v>195</v>
      </c>
      <c r="E72" s="9"/>
      <c r="F72" s="9" t="s">
        <v>10</v>
      </c>
      <c r="G72" s="87">
        <f t="shared" ref="G72:H72" si="144">G17+G29/2</f>
        <v>312</v>
      </c>
      <c r="H72" s="87">
        <f t="shared" si="144"/>
        <v>312</v>
      </c>
      <c r="I72" s="87">
        <f t="shared" ref="I72:L72" si="145">I17+I29/2</f>
        <v>312</v>
      </c>
      <c r="J72" s="87">
        <f t="shared" si="145"/>
        <v>312</v>
      </c>
      <c r="K72" s="87">
        <f t="shared" si="145"/>
        <v>312</v>
      </c>
      <c r="L72" s="87">
        <f t="shared" si="145"/>
        <v>312</v>
      </c>
      <c r="M72" s="87">
        <f t="shared" ref="M72:P72" si="146">M17+M29/2</f>
        <v>312</v>
      </c>
      <c r="N72" s="87">
        <f t="shared" si="146"/>
        <v>312</v>
      </c>
      <c r="O72" s="87">
        <f t="shared" si="146"/>
        <v>312</v>
      </c>
      <c r="P72" s="87">
        <f t="shared" si="146"/>
        <v>312</v>
      </c>
      <c r="Q72" s="87">
        <f t="shared" ref="Q72:T72" si="147">Q17+Q29/2</f>
        <v>312</v>
      </c>
      <c r="R72" s="87">
        <f t="shared" si="147"/>
        <v>312</v>
      </c>
      <c r="S72" s="87">
        <f t="shared" si="147"/>
        <v>312</v>
      </c>
      <c r="T72" s="87">
        <f t="shared" si="147"/>
        <v>312</v>
      </c>
      <c r="U72" s="87">
        <f t="shared" ref="U72:X72" si="148">U17+U29/2</f>
        <v>312</v>
      </c>
      <c r="V72" s="87">
        <f t="shared" si="148"/>
        <v>312</v>
      </c>
      <c r="W72" s="87">
        <f t="shared" si="148"/>
        <v>312</v>
      </c>
      <c r="X72" s="87">
        <f t="shared" si="148"/>
        <v>312</v>
      </c>
      <c r="Y72" s="87">
        <f t="shared" ref="Y72:Z72" si="149">Y17+Y29/2</f>
        <v>312</v>
      </c>
      <c r="Z72" s="87">
        <f t="shared" si="149"/>
        <v>312</v>
      </c>
    </row>
    <row r="73" spans="1:26" s="12" customFormat="1" x14ac:dyDescent="0.25">
      <c r="A73" s="26"/>
      <c r="B73" s="50"/>
      <c r="C73" s="27"/>
      <c r="D73" s="9" t="s">
        <v>196</v>
      </c>
      <c r="E73" s="9"/>
      <c r="F73" s="9" t="s">
        <v>10</v>
      </c>
      <c r="G73" s="87">
        <f t="shared" ref="G73:H73" si="150">G17+G29+G31/2</f>
        <v>618</v>
      </c>
      <c r="H73" s="87">
        <f t="shared" si="150"/>
        <v>618</v>
      </c>
      <c r="I73" s="87">
        <f t="shared" ref="I73:L73" si="151">I17+I29+I31/2</f>
        <v>618</v>
      </c>
      <c r="J73" s="87">
        <f t="shared" si="151"/>
        <v>618</v>
      </c>
      <c r="K73" s="87">
        <f t="shared" si="151"/>
        <v>618</v>
      </c>
      <c r="L73" s="87">
        <f t="shared" si="151"/>
        <v>618</v>
      </c>
      <c r="M73" s="87">
        <f t="shared" ref="M73:P73" si="152">M17+M29+M31/2</f>
        <v>618</v>
      </c>
      <c r="N73" s="87">
        <f t="shared" si="152"/>
        <v>618</v>
      </c>
      <c r="O73" s="87">
        <f t="shared" si="152"/>
        <v>618</v>
      </c>
      <c r="P73" s="87">
        <f t="shared" si="152"/>
        <v>618</v>
      </c>
      <c r="Q73" s="87">
        <f t="shared" ref="Q73:T73" si="153">Q17+Q29+Q31/2</f>
        <v>618</v>
      </c>
      <c r="R73" s="87">
        <f t="shared" si="153"/>
        <v>618</v>
      </c>
      <c r="S73" s="87">
        <f t="shared" si="153"/>
        <v>618</v>
      </c>
      <c r="T73" s="87">
        <f t="shared" si="153"/>
        <v>618</v>
      </c>
      <c r="U73" s="87">
        <f t="shared" ref="U73:X73" si="154">U17+U29+U31/2</f>
        <v>618</v>
      </c>
      <c r="V73" s="87">
        <f t="shared" si="154"/>
        <v>618</v>
      </c>
      <c r="W73" s="87">
        <f t="shared" si="154"/>
        <v>618</v>
      </c>
      <c r="X73" s="87">
        <f t="shared" si="154"/>
        <v>618</v>
      </c>
      <c r="Y73" s="87">
        <f t="shared" ref="Y73:Z73" si="155">Y17+Y29+Y31/2</f>
        <v>618</v>
      </c>
      <c r="Z73" s="87">
        <f t="shared" si="155"/>
        <v>618</v>
      </c>
    </row>
    <row r="74" spans="1:26" s="12" customFormat="1" x14ac:dyDescent="0.25">
      <c r="A74" s="26"/>
      <c r="B74" s="69"/>
      <c r="C74" s="27"/>
      <c r="D74" s="9" t="s">
        <v>182</v>
      </c>
      <c r="E74" s="9"/>
      <c r="F74" s="9" t="s">
        <v>12</v>
      </c>
      <c r="G74" s="90">
        <f t="shared" ref="G74:H74" si="156">G17*G16</f>
        <v>8400</v>
      </c>
      <c r="H74" s="90">
        <f t="shared" si="156"/>
        <v>8400</v>
      </c>
      <c r="I74" s="90">
        <f t="shared" ref="I74:L74" si="157">I17*I16</f>
        <v>8400</v>
      </c>
      <c r="J74" s="90">
        <f t="shared" si="157"/>
        <v>8400</v>
      </c>
      <c r="K74" s="90">
        <f t="shared" si="157"/>
        <v>8400</v>
      </c>
      <c r="L74" s="90">
        <f t="shared" si="157"/>
        <v>8400</v>
      </c>
      <c r="M74" s="90">
        <f t="shared" ref="M74:P74" si="158">M17*M16</f>
        <v>8400</v>
      </c>
      <c r="N74" s="90">
        <f t="shared" si="158"/>
        <v>8400</v>
      </c>
      <c r="O74" s="90">
        <f t="shared" si="158"/>
        <v>8400</v>
      </c>
      <c r="P74" s="90">
        <f t="shared" si="158"/>
        <v>8400</v>
      </c>
      <c r="Q74" s="90">
        <f t="shared" ref="Q74:T74" si="159">Q17*Q16</f>
        <v>8400</v>
      </c>
      <c r="R74" s="90">
        <f t="shared" si="159"/>
        <v>8400</v>
      </c>
      <c r="S74" s="90">
        <f t="shared" si="159"/>
        <v>8400</v>
      </c>
      <c r="T74" s="90">
        <f t="shared" si="159"/>
        <v>8400</v>
      </c>
      <c r="U74" s="90">
        <f t="shared" ref="U74:X74" si="160">U17*U16</f>
        <v>8400</v>
      </c>
      <c r="V74" s="90">
        <f t="shared" si="160"/>
        <v>8400</v>
      </c>
      <c r="W74" s="90">
        <f t="shared" si="160"/>
        <v>8400</v>
      </c>
      <c r="X74" s="90">
        <f t="shared" si="160"/>
        <v>8400</v>
      </c>
      <c r="Y74" s="90">
        <f t="shared" ref="Y74:Z74" si="161">Y17*Y16</f>
        <v>8400</v>
      </c>
      <c r="Z74" s="90">
        <f t="shared" si="161"/>
        <v>8400</v>
      </c>
    </row>
    <row r="75" spans="1:26" s="12" customFormat="1" x14ac:dyDescent="0.25">
      <c r="A75" s="26"/>
      <c r="B75" s="50"/>
      <c r="C75" s="27"/>
      <c r="D75" s="9" t="s">
        <v>273</v>
      </c>
      <c r="E75" s="9"/>
      <c r="F75" s="9" t="s">
        <v>12</v>
      </c>
      <c r="G75" s="90">
        <f t="shared" ref="G75:H75" si="162">G29*G30</f>
        <v>5400</v>
      </c>
      <c r="H75" s="90">
        <f t="shared" si="162"/>
        <v>5400</v>
      </c>
      <c r="I75" s="90">
        <f t="shared" ref="I75:L75" si="163">I29*I30</f>
        <v>5400</v>
      </c>
      <c r="J75" s="90">
        <f t="shared" si="163"/>
        <v>5400</v>
      </c>
      <c r="K75" s="90">
        <f t="shared" si="163"/>
        <v>5400</v>
      </c>
      <c r="L75" s="90">
        <f t="shared" si="163"/>
        <v>5400</v>
      </c>
      <c r="M75" s="90">
        <f t="shared" ref="M75:P75" si="164">M29*M30</f>
        <v>5400</v>
      </c>
      <c r="N75" s="90">
        <f t="shared" si="164"/>
        <v>5400</v>
      </c>
      <c r="O75" s="90">
        <f t="shared" si="164"/>
        <v>5400</v>
      </c>
      <c r="P75" s="90">
        <f t="shared" si="164"/>
        <v>5400</v>
      </c>
      <c r="Q75" s="90">
        <f t="shared" ref="Q75:T75" si="165">Q29*Q30</f>
        <v>5400</v>
      </c>
      <c r="R75" s="90">
        <f t="shared" si="165"/>
        <v>5400</v>
      </c>
      <c r="S75" s="90">
        <f t="shared" si="165"/>
        <v>5400</v>
      </c>
      <c r="T75" s="90">
        <f t="shared" si="165"/>
        <v>5400</v>
      </c>
      <c r="U75" s="90">
        <f t="shared" ref="U75:X75" si="166">U29*U30</f>
        <v>5400</v>
      </c>
      <c r="V75" s="90">
        <f t="shared" si="166"/>
        <v>5400</v>
      </c>
      <c r="W75" s="90">
        <f t="shared" si="166"/>
        <v>5400</v>
      </c>
      <c r="X75" s="90">
        <f t="shared" si="166"/>
        <v>5400</v>
      </c>
      <c r="Y75" s="90">
        <f t="shared" ref="Y75:Z75" si="167">Y29*Y30</f>
        <v>5400</v>
      </c>
      <c r="Z75" s="90">
        <f t="shared" si="167"/>
        <v>5400</v>
      </c>
    </row>
    <row r="76" spans="1:26" s="12" customFormat="1" x14ac:dyDescent="0.25">
      <c r="A76" s="26"/>
      <c r="B76" s="69"/>
      <c r="C76" s="27"/>
      <c r="D76" s="9" t="s">
        <v>22</v>
      </c>
      <c r="E76" s="9"/>
      <c r="F76" s="9" t="s">
        <v>12</v>
      </c>
      <c r="G76" s="90">
        <f t="shared" ref="G76:H76" si="168">G31*G32</f>
        <v>1200</v>
      </c>
      <c r="H76" s="90">
        <f t="shared" si="168"/>
        <v>1200</v>
      </c>
      <c r="I76" s="90">
        <f t="shared" ref="I76:L76" si="169">I31*I32</f>
        <v>1200</v>
      </c>
      <c r="J76" s="90">
        <f t="shared" si="169"/>
        <v>1200</v>
      </c>
      <c r="K76" s="90">
        <f t="shared" si="169"/>
        <v>1200</v>
      </c>
      <c r="L76" s="90">
        <f t="shared" si="169"/>
        <v>1200</v>
      </c>
      <c r="M76" s="90">
        <f t="shared" ref="M76:P76" si="170">M31*M32</f>
        <v>1200</v>
      </c>
      <c r="N76" s="90">
        <f t="shared" si="170"/>
        <v>1200</v>
      </c>
      <c r="O76" s="90">
        <f t="shared" si="170"/>
        <v>1200</v>
      </c>
      <c r="P76" s="90">
        <f t="shared" si="170"/>
        <v>1200</v>
      </c>
      <c r="Q76" s="90">
        <f t="shared" ref="Q76:T76" si="171">Q31*Q32</f>
        <v>1200</v>
      </c>
      <c r="R76" s="90">
        <f t="shared" si="171"/>
        <v>1200</v>
      </c>
      <c r="S76" s="90">
        <f t="shared" si="171"/>
        <v>1200</v>
      </c>
      <c r="T76" s="90">
        <f t="shared" si="171"/>
        <v>1200</v>
      </c>
      <c r="U76" s="90">
        <f t="shared" ref="U76:X76" si="172">U31*U32</f>
        <v>1200</v>
      </c>
      <c r="V76" s="90">
        <f t="shared" si="172"/>
        <v>1200</v>
      </c>
      <c r="W76" s="90">
        <f t="shared" si="172"/>
        <v>1200</v>
      </c>
      <c r="X76" s="90">
        <f t="shared" si="172"/>
        <v>1200</v>
      </c>
      <c r="Y76" s="90">
        <f t="shared" ref="Y76:Z76" si="173">Y31*Y32</f>
        <v>1200</v>
      </c>
      <c r="Z76" s="90">
        <f t="shared" si="173"/>
        <v>1200</v>
      </c>
    </row>
    <row r="77" spans="1:26" s="12" customFormat="1" x14ac:dyDescent="0.25">
      <c r="A77" s="26"/>
      <c r="B77" s="52"/>
      <c r="C77" s="25" t="s">
        <v>176</v>
      </c>
      <c r="D77" s="9" t="s">
        <v>41</v>
      </c>
      <c r="E77" s="9"/>
      <c r="F77" s="9" t="s">
        <v>12</v>
      </c>
      <c r="G77" s="90">
        <f t="shared" ref="G77:H77" si="174">G75+G76</f>
        <v>6600</v>
      </c>
      <c r="H77" s="90">
        <f t="shared" si="174"/>
        <v>6600</v>
      </c>
      <c r="I77" s="90">
        <f t="shared" ref="I77:L77" si="175">I75+I76</f>
        <v>6600</v>
      </c>
      <c r="J77" s="90">
        <f t="shared" si="175"/>
        <v>6600</v>
      </c>
      <c r="K77" s="90">
        <f t="shared" si="175"/>
        <v>6600</v>
      </c>
      <c r="L77" s="90">
        <f t="shared" si="175"/>
        <v>6600</v>
      </c>
      <c r="M77" s="90">
        <f t="shared" ref="M77:P77" si="176">M75+M76</f>
        <v>6600</v>
      </c>
      <c r="N77" s="90">
        <f t="shared" si="176"/>
        <v>6600</v>
      </c>
      <c r="O77" s="90">
        <f t="shared" si="176"/>
        <v>6600</v>
      </c>
      <c r="P77" s="90">
        <f t="shared" si="176"/>
        <v>6600</v>
      </c>
      <c r="Q77" s="90">
        <f t="shared" ref="Q77:T77" si="177">Q75+Q76</f>
        <v>6600</v>
      </c>
      <c r="R77" s="90">
        <f t="shared" si="177"/>
        <v>6600</v>
      </c>
      <c r="S77" s="90">
        <f t="shared" si="177"/>
        <v>6600</v>
      </c>
      <c r="T77" s="90">
        <f t="shared" si="177"/>
        <v>6600</v>
      </c>
      <c r="U77" s="90">
        <f t="shared" ref="U77:X77" si="178">U75+U76</f>
        <v>6600</v>
      </c>
      <c r="V77" s="90">
        <f t="shared" si="178"/>
        <v>6600</v>
      </c>
      <c r="W77" s="90">
        <f t="shared" si="178"/>
        <v>6600</v>
      </c>
      <c r="X77" s="90">
        <f t="shared" si="178"/>
        <v>6600</v>
      </c>
      <c r="Y77" s="90">
        <f t="shared" ref="Y77:Z77" si="179">Y75+Y76</f>
        <v>6600</v>
      </c>
      <c r="Z77" s="90">
        <f t="shared" si="179"/>
        <v>6600</v>
      </c>
    </row>
    <row r="78" spans="1:26" s="12" customFormat="1" x14ac:dyDescent="0.25">
      <c r="A78" s="26"/>
      <c r="B78" s="50"/>
      <c r="C78" s="27"/>
      <c r="D78" s="9" t="s">
        <v>7</v>
      </c>
      <c r="E78" s="9"/>
      <c r="F78" s="9" t="s">
        <v>12</v>
      </c>
      <c r="G78" s="90">
        <f t="shared" ref="G78:H78" si="180">G74+G75+G76</f>
        <v>15000</v>
      </c>
      <c r="H78" s="90">
        <f t="shared" si="180"/>
        <v>15000</v>
      </c>
      <c r="I78" s="90">
        <f t="shared" ref="I78:L78" si="181">I74+I75+I76</f>
        <v>15000</v>
      </c>
      <c r="J78" s="90">
        <f t="shared" si="181"/>
        <v>15000</v>
      </c>
      <c r="K78" s="90">
        <f t="shared" si="181"/>
        <v>15000</v>
      </c>
      <c r="L78" s="90">
        <f t="shared" si="181"/>
        <v>15000</v>
      </c>
      <c r="M78" s="90">
        <f t="shared" ref="M78:P78" si="182">M74+M75+M76</f>
        <v>15000</v>
      </c>
      <c r="N78" s="90">
        <f t="shared" si="182"/>
        <v>15000</v>
      </c>
      <c r="O78" s="90">
        <f t="shared" si="182"/>
        <v>15000</v>
      </c>
      <c r="P78" s="90">
        <f t="shared" si="182"/>
        <v>15000</v>
      </c>
      <c r="Q78" s="90">
        <f t="shared" ref="Q78:T78" si="183">Q74+Q75+Q76</f>
        <v>15000</v>
      </c>
      <c r="R78" s="90">
        <f t="shared" si="183"/>
        <v>15000</v>
      </c>
      <c r="S78" s="90">
        <f t="shared" si="183"/>
        <v>15000</v>
      </c>
      <c r="T78" s="90">
        <f t="shared" si="183"/>
        <v>15000</v>
      </c>
      <c r="U78" s="90">
        <f t="shared" ref="U78:X78" si="184">U74+U75+U76</f>
        <v>15000</v>
      </c>
      <c r="V78" s="90">
        <f t="shared" si="184"/>
        <v>15000</v>
      </c>
      <c r="W78" s="90">
        <f t="shared" si="184"/>
        <v>15000</v>
      </c>
      <c r="X78" s="90">
        <f t="shared" si="184"/>
        <v>15000</v>
      </c>
      <c r="Y78" s="90">
        <f t="shared" ref="Y78:Z78" si="185">Y74+Y75+Y76</f>
        <v>15000</v>
      </c>
      <c r="Z78" s="90">
        <f t="shared" si="185"/>
        <v>15000</v>
      </c>
    </row>
    <row r="79" spans="1:26" s="12" customFormat="1" x14ac:dyDescent="0.25">
      <c r="A79" s="26"/>
      <c r="B79" s="50"/>
      <c r="C79" s="27"/>
      <c r="D79" s="9" t="s">
        <v>17</v>
      </c>
      <c r="E79" s="9"/>
      <c r="F79" s="9" t="s">
        <v>10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  <c r="R79" s="87">
        <v>0</v>
      </c>
      <c r="S79" s="87">
        <v>0</v>
      </c>
      <c r="T79" s="87">
        <v>0</v>
      </c>
      <c r="U79" s="87">
        <v>0</v>
      </c>
      <c r="V79" s="87">
        <v>0</v>
      </c>
      <c r="W79" s="87">
        <v>0</v>
      </c>
      <c r="X79" s="87">
        <v>0</v>
      </c>
      <c r="Y79" s="87">
        <v>0</v>
      </c>
      <c r="Z79" s="87">
        <v>0</v>
      </c>
    </row>
    <row r="80" spans="1:26" s="12" customFormat="1" x14ac:dyDescent="0.25">
      <c r="A80" s="26"/>
      <c r="B80" s="50"/>
      <c r="C80" s="27"/>
      <c r="D80" s="9" t="s">
        <v>197</v>
      </c>
      <c r="E80" s="9"/>
      <c r="F80" s="9" t="s">
        <v>10</v>
      </c>
      <c r="G80" s="87">
        <f t="shared" ref="G80:H80" si="186">(G75*G71+G75*G72+G76*G73)/G78</f>
        <v>163.92</v>
      </c>
      <c r="H80" s="87">
        <f t="shared" si="186"/>
        <v>163.92</v>
      </c>
      <c r="I80" s="87">
        <f t="shared" ref="I80:L80" si="187">(I75*I71+I75*I72+I76*I73)/I78</f>
        <v>163.92</v>
      </c>
      <c r="J80" s="87">
        <f t="shared" si="187"/>
        <v>163.92</v>
      </c>
      <c r="K80" s="87">
        <f t="shared" si="187"/>
        <v>163.92</v>
      </c>
      <c r="L80" s="87">
        <f t="shared" si="187"/>
        <v>163.92</v>
      </c>
      <c r="M80" s="87">
        <f t="shared" ref="M80:P80" si="188">(M75*M71+M75*M72+M76*M73)/M78</f>
        <v>163.92</v>
      </c>
      <c r="N80" s="87">
        <f t="shared" si="188"/>
        <v>163.92</v>
      </c>
      <c r="O80" s="87">
        <f t="shared" si="188"/>
        <v>163.92</v>
      </c>
      <c r="P80" s="87">
        <f t="shared" si="188"/>
        <v>163.92</v>
      </c>
      <c r="Q80" s="87">
        <f t="shared" ref="Q80:T80" si="189">(Q75*Q71+Q75*Q72+Q76*Q73)/Q78</f>
        <v>163.92</v>
      </c>
      <c r="R80" s="87">
        <f t="shared" si="189"/>
        <v>163.92</v>
      </c>
      <c r="S80" s="87">
        <f t="shared" si="189"/>
        <v>163.92</v>
      </c>
      <c r="T80" s="87">
        <f t="shared" si="189"/>
        <v>163.92</v>
      </c>
      <c r="U80" s="87">
        <f t="shared" ref="U80:X80" si="190">(U75*U71+U75*U72+U76*U73)/U78</f>
        <v>163.92</v>
      </c>
      <c r="V80" s="87">
        <f t="shared" si="190"/>
        <v>163.92</v>
      </c>
      <c r="W80" s="87">
        <f t="shared" si="190"/>
        <v>163.92</v>
      </c>
      <c r="X80" s="87">
        <f t="shared" si="190"/>
        <v>163.92</v>
      </c>
      <c r="Y80" s="87">
        <f t="shared" ref="Y80:Z80" si="191">(Y75*Y71+Y75*Y72+Y76*Y73)/Y78</f>
        <v>163.92</v>
      </c>
      <c r="Z80" s="87">
        <f t="shared" si="191"/>
        <v>163.92</v>
      </c>
    </row>
    <row r="81" spans="1:26" s="12" customFormat="1" x14ac:dyDescent="0.25">
      <c r="A81" s="26"/>
      <c r="B81" s="50"/>
      <c r="C81" s="27"/>
      <c r="D81" s="9" t="s">
        <v>198</v>
      </c>
      <c r="E81" s="9"/>
      <c r="F81" s="9" t="s">
        <v>10</v>
      </c>
      <c r="G81" s="87">
        <f t="shared" ref="G81:H81" si="192">(G75*G72+G76*G73)/(G75+G76)</f>
        <v>367.63636363636363</v>
      </c>
      <c r="H81" s="87">
        <f t="shared" si="192"/>
        <v>367.63636363636363</v>
      </c>
      <c r="I81" s="87">
        <f t="shared" ref="I81:L81" si="193">(I75*I72+I76*I73)/(I75+I76)</f>
        <v>367.63636363636363</v>
      </c>
      <c r="J81" s="87">
        <f t="shared" si="193"/>
        <v>367.63636363636363</v>
      </c>
      <c r="K81" s="87">
        <f t="shared" si="193"/>
        <v>367.63636363636363</v>
      </c>
      <c r="L81" s="87">
        <f t="shared" si="193"/>
        <v>367.63636363636363</v>
      </c>
      <c r="M81" s="87">
        <f t="shared" ref="M81:P81" si="194">(M75*M72+M76*M73)/(M75+M76)</f>
        <v>367.63636363636363</v>
      </c>
      <c r="N81" s="87">
        <f t="shared" si="194"/>
        <v>367.63636363636363</v>
      </c>
      <c r="O81" s="87">
        <f t="shared" si="194"/>
        <v>367.63636363636363</v>
      </c>
      <c r="P81" s="87">
        <f t="shared" si="194"/>
        <v>367.63636363636363</v>
      </c>
      <c r="Q81" s="87">
        <f t="shared" ref="Q81:T81" si="195">(Q75*Q72+Q76*Q73)/(Q75+Q76)</f>
        <v>367.63636363636363</v>
      </c>
      <c r="R81" s="87">
        <f t="shared" si="195"/>
        <v>367.63636363636363</v>
      </c>
      <c r="S81" s="87">
        <f t="shared" si="195"/>
        <v>367.63636363636363</v>
      </c>
      <c r="T81" s="87">
        <f t="shared" si="195"/>
        <v>367.63636363636363</v>
      </c>
      <c r="U81" s="87">
        <f t="shared" ref="U81:X81" si="196">(U75*U72+U76*U73)/(U75+U76)</f>
        <v>367.63636363636363</v>
      </c>
      <c r="V81" s="87">
        <f t="shared" si="196"/>
        <v>367.63636363636363</v>
      </c>
      <c r="W81" s="87">
        <f t="shared" si="196"/>
        <v>367.63636363636363</v>
      </c>
      <c r="X81" s="87">
        <f t="shared" si="196"/>
        <v>367.63636363636363</v>
      </c>
      <c r="Y81" s="87">
        <f t="shared" ref="Y81:Z81" si="197">(Y75*Y72+Y76*Y73)/(Y75+Y76)</f>
        <v>367.63636363636363</v>
      </c>
      <c r="Z81" s="87">
        <f t="shared" si="197"/>
        <v>367.63636363636363</v>
      </c>
    </row>
    <row r="82" spans="1:26" s="12" customFormat="1" x14ac:dyDescent="0.25">
      <c r="A82" s="26"/>
      <c r="B82" s="50"/>
      <c r="C82" s="27"/>
      <c r="D82" s="9" t="s">
        <v>27</v>
      </c>
      <c r="E82" s="9"/>
      <c r="F82" s="9" t="s">
        <v>10</v>
      </c>
      <c r="G82" s="87">
        <v>0</v>
      </c>
      <c r="H82" s="87">
        <v>0</v>
      </c>
      <c r="I82" s="87">
        <v>0</v>
      </c>
      <c r="J82" s="87">
        <v>0</v>
      </c>
      <c r="K82" s="87">
        <v>0</v>
      </c>
      <c r="L82" s="87">
        <v>0</v>
      </c>
      <c r="M82" s="87">
        <v>0</v>
      </c>
      <c r="N82" s="87">
        <v>0</v>
      </c>
      <c r="O82" s="87">
        <v>0</v>
      </c>
      <c r="P82" s="87">
        <v>0</v>
      </c>
      <c r="Q82" s="87">
        <v>0</v>
      </c>
      <c r="R82" s="87">
        <v>0</v>
      </c>
      <c r="S82" s="87">
        <v>0</v>
      </c>
      <c r="T82" s="87">
        <v>0</v>
      </c>
      <c r="U82" s="87">
        <v>0</v>
      </c>
      <c r="V82" s="87">
        <v>0</v>
      </c>
      <c r="W82" s="87">
        <v>0</v>
      </c>
      <c r="X82" s="87">
        <v>0</v>
      </c>
      <c r="Y82" s="87">
        <v>0</v>
      </c>
      <c r="Z82" s="87">
        <v>0</v>
      </c>
    </row>
    <row r="83" spans="1:26" s="12" customFormat="1" x14ac:dyDescent="0.25">
      <c r="A83" s="26"/>
      <c r="B83" s="50"/>
      <c r="C83" s="27"/>
      <c r="D83" s="9" t="s">
        <v>124</v>
      </c>
      <c r="E83" s="9"/>
      <c r="F83" s="9" t="s">
        <v>10</v>
      </c>
      <c r="G83" s="87">
        <f t="shared" ref="G83:H83" si="198">G80-G17/2</f>
        <v>157.91999999999999</v>
      </c>
      <c r="H83" s="87">
        <f t="shared" si="198"/>
        <v>157.91999999999999</v>
      </c>
      <c r="I83" s="87">
        <f t="shared" ref="I83:L83" si="199">I80-I17/2</f>
        <v>157.91999999999999</v>
      </c>
      <c r="J83" s="87">
        <f t="shared" si="199"/>
        <v>157.91999999999999</v>
      </c>
      <c r="K83" s="87">
        <f t="shared" si="199"/>
        <v>157.91999999999999</v>
      </c>
      <c r="L83" s="87">
        <f t="shared" si="199"/>
        <v>157.91999999999999</v>
      </c>
      <c r="M83" s="87">
        <f t="shared" ref="M83:P83" si="200">M80-M17/2</f>
        <v>157.91999999999999</v>
      </c>
      <c r="N83" s="87">
        <f t="shared" si="200"/>
        <v>157.91999999999999</v>
      </c>
      <c r="O83" s="87">
        <f t="shared" si="200"/>
        <v>157.91999999999999</v>
      </c>
      <c r="P83" s="87">
        <f t="shared" si="200"/>
        <v>157.91999999999999</v>
      </c>
      <c r="Q83" s="87">
        <f t="shared" ref="Q83:T83" si="201">Q80-Q17/2</f>
        <v>157.91999999999999</v>
      </c>
      <c r="R83" s="87">
        <f t="shared" si="201"/>
        <v>157.91999999999999</v>
      </c>
      <c r="S83" s="87">
        <f t="shared" si="201"/>
        <v>157.91999999999999</v>
      </c>
      <c r="T83" s="87">
        <f t="shared" si="201"/>
        <v>157.91999999999999</v>
      </c>
      <c r="U83" s="87">
        <f t="shared" ref="U83:X83" si="202">U80-U17/2</f>
        <v>157.91999999999999</v>
      </c>
      <c r="V83" s="87">
        <f t="shared" si="202"/>
        <v>157.91999999999999</v>
      </c>
      <c r="W83" s="87">
        <f t="shared" si="202"/>
        <v>157.91999999999999</v>
      </c>
      <c r="X83" s="87">
        <f t="shared" si="202"/>
        <v>157.91999999999999</v>
      </c>
      <c r="Y83" s="87">
        <f t="shared" ref="Y83:Z83" si="203">Y80-Y17/2</f>
        <v>157.91999999999999</v>
      </c>
      <c r="Z83" s="87">
        <f t="shared" si="203"/>
        <v>157.91999999999999</v>
      </c>
    </row>
    <row r="84" spans="1:26" s="12" customFormat="1" x14ac:dyDescent="0.25">
      <c r="A84" s="26"/>
      <c r="B84" s="50"/>
      <c r="C84" s="27"/>
      <c r="D84" s="9" t="s">
        <v>125</v>
      </c>
      <c r="E84" s="9"/>
      <c r="F84" s="9" t="s">
        <v>10</v>
      </c>
      <c r="G84" s="87">
        <f t="shared" ref="G84:H84" si="204">G29+G31-(G83-G17/2)</f>
        <v>460.08000000000004</v>
      </c>
      <c r="H84" s="87">
        <f t="shared" si="204"/>
        <v>460.08000000000004</v>
      </c>
      <c r="I84" s="87">
        <f t="shared" ref="I84:L84" si="205">I29+I31-(I83-I17/2)</f>
        <v>460.08000000000004</v>
      </c>
      <c r="J84" s="87">
        <f t="shared" si="205"/>
        <v>460.08000000000004</v>
      </c>
      <c r="K84" s="87">
        <f t="shared" si="205"/>
        <v>460.08000000000004</v>
      </c>
      <c r="L84" s="87">
        <f t="shared" si="205"/>
        <v>460.08000000000004</v>
      </c>
      <c r="M84" s="87">
        <f t="shared" ref="M84:P84" si="206">M29+M31-(M83-M17/2)</f>
        <v>460.08000000000004</v>
      </c>
      <c r="N84" s="87">
        <f t="shared" si="206"/>
        <v>460.08000000000004</v>
      </c>
      <c r="O84" s="87">
        <f t="shared" si="206"/>
        <v>460.08000000000004</v>
      </c>
      <c r="P84" s="87">
        <f t="shared" si="206"/>
        <v>460.08000000000004</v>
      </c>
      <c r="Q84" s="87">
        <f t="shared" ref="Q84:T84" si="207">Q29+Q31-(Q83-Q17/2)</f>
        <v>460.08000000000004</v>
      </c>
      <c r="R84" s="87">
        <f t="shared" si="207"/>
        <v>460.08000000000004</v>
      </c>
      <c r="S84" s="87">
        <f t="shared" si="207"/>
        <v>460.08000000000004</v>
      </c>
      <c r="T84" s="87">
        <f t="shared" si="207"/>
        <v>460.08000000000004</v>
      </c>
      <c r="U84" s="87">
        <f t="shared" ref="U84:X84" si="208">U29+U31-(U83-U17/2)</f>
        <v>460.08000000000004</v>
      </c>
      <c r="V84" s="87">
        <f t="shared" si="208"/>
        <v>460.08000000000004</v>
      </c>
      <c r="W84" s="87">
        <f t="shared" si="208"/>
        <v>460.08000000000004</v>
      </c>
      <c r="X84" s="87">
        <f t="shared" si="208"/>
        <v>460.08000000000004</v>
      </c>
      <c r="Y84" s="87">
        <f t="shared" ref="Y84:Z84" si="209">Y29+Y31-(Y83-Y17/2)</f>
        <v>460.08000000000004</v>
      </c>
      <c r="Z84" s="87">
        <f t="shared" si="209"/>
        <v>460.08000000000004</v>
      </c>
    </row>
    <row r="85" spans="1:26" s="12" customFormat="1" x14ac:dyDescent="0.25">
      <c r="A85" s="1" t="s">
        <v>175</v>
      </c>
      <c r="B85" s="50"/>
      <c r="C85" s="27"/>
      <c r="D85" s="9" t="s">
        <v>211</v>
      </c>
      <c r="E85" s="9"/>
      <c r="F85" s="9" t="s">
        <v>23</v>
      </c>
      <c r="G85" s="91">
        <f t="shared" ref="G85:H85" si="210">(G30*G29^3/12)+(G31*G32^3/12)+(G17*G16^3/12)+G74*(G71-G80)^2+G75*(G72-G80)^2+G76*(G73-G80)^2</f>
        <v>1081321184</v>
      </c>
      <c r="H85" s="91">
        <f t="shared" si="210"/>
        <v>1081321184</v>
      </c>
      <c r="I85" s="91">
        <f t="shared" ref="I85:L85" si="211">(I30*I29^3/12)+(I31*I32^3/12)+(I17*I16^3/12)+I74*(I71-I80)^2+I75*(I72-I80)^2+I76*(I73-I80)^2</f>
        <v>1081321184</v>
      </c>
      <c r="J85" s="91">
        <f t="shared" si="211"/>
        <v>1081321184</v>
      </c>
      <c r="K85" s="91">
        <f t="shared" si="211"/>
        <v>1081321184</v>
      </c>
      <c r="L85" s="91">
        <f t="shared" si="211"/>
        <v>1081321184</v>
      </c>
      <c r="M85" s="91">
        <f t="shared" ref="M85:P85" si="212">(M30*M29^3/12)+(M31*M32^3/12)+(M17*M16^3/12)+M74*(M71-M80)^2+M75*(M72-M80)^2+M76*(M73-M80)^2</f>
        <v>1081321184</v>
      </c>
      <c r="N85" s="91">
        <f t="shared" si="212"/>
        <v>1081321184</v>
      </c>
      <c r="O85" s="91">
        <f t="shared" si="212"/>
        <v>1081321184</v>
      </c>
      <c r="P85" s="91">
        <f t="shared" si="212"/>
        <v>1081321184</v>
      </c>
      <c r="Q85" s="91">
        <f t="shared" ref="Q85:T85" si="213">(Q30*Q29^3/12)+(Q31*Q32^3/12)+(Q17*Q16^3/12)+Q74*(Q71-Q80)^2+Q75*(Q72-Q80)^2+Q76*(Q73-Q80)^2</f>
        <v>1081321184</v>
      </c>
      <c r="R85" s="91">
        <f t="shared" si="213"/>
        <v>1081321184</v>
      </c>
      <c r="S85" s="91">
        <f t="shared" si="213"/>
        <v>1081321184</v>
      </c>
      <c r="T85" s="91">
        <f t="shared" si="213"/>
        <v>1081321184</v>
      </c>
      <c r="U85" s="91">
        <f t="shared" ref="U85:X85" si="214">(U30*U29^3/12)+(U31*U32^3/12)+(U17*U16^3/12)+U74*(U71-U80)^2+U75*(U72-U80)^2+U76*(U73-U80)^2</f>
        <v>1081321184</v>
      </c>
      <c r="V85" s="91">
        <f t="shared" si="214"/>
        <v>1081321184</v>
      </c>
      <c r="W85" s="91">
        <f t="shared" si="214"/>
        <v>1081321184</v>
      </c>
      <c r="X85" s="91">
        <f t="shared" si="214"/>
        <v>1081321184</v>
      </c>
      <c r="Y85" s="91">
        <f t="shared" ref="Y85:Z85" si="215">(Y30*Y29^3/12)+(Y31*Y32^3/12)+(Y17*Y16^3/12)+Y74*(Y71-Y80)^2+Y75*(Y72-Y80)^2+Y76*(Y73-Y80)^2</f>
        <v>1081321184</v>
      </c>
      <c r="Z85" s="91">
        <f t="shared" si="215"/>
        <v>1081321184</v>
      </c>
    </row>
    <row r="86" spans="1:26" s="12" customFormat="1" x14ac:dyDescent="0.25">
      <c r="A86" s="1" t="s">
        <v>55</v>
      </c>
      <c r="B86" s="50"/>
      <c r="C86" s="27"/>
      <c r="D86" s="9" t="s">
        <v>202</v>
      </c>
      <c r="E86" s="9"/>
      <c r="F86" s="9" t="s">
        <v>23</v>
      </c>
      <c r="G86" s="91">
        <f t="shared" ref="G86:H86" si="216">1/12*G56*G32^2+G82*(G56/(1+G56/G75))</f>
        <v>3333333.333333333</v>
      </c>
      <c r="H86" s="91">
        <f t="shared" si="216"/>
        <v>2000000</v>
      </c>
      <c r="I86" s="91">
        <f t="shared" ref="I86:L86" si="217">1/12*I56*I32^2+I82*(I56/(1+I56/I75))</f>
        <v>3333333.333333333</v>
      </c>
      <c r="J86" s="91">
        <f t="shared" si="217"/>
        <v>3333333.333333333</v>
      </c>
      <c r="K86" s="91">
        <f t="shared" si="217"/>
        <v>3333333.333333333</v>
      </c>
      <c r="L86" s="91">
        <f t="shared" si="217"/>
        <v>2000000</v>
      </c>
      <c r="M86" s="91">
        <f t="shared" ref="M86:P86" si="218">1/12*M56*M32^2+M82*(M56/(1+M56/M75))</f>
        <v>3333333.333333333</v>
      </c>
      <c r="N86" s="91">
        <f t="shared" si="218"/>
        <v>3333333.333333333</v>
      </c>
      <c r="O86" s="91">
        <f t="shared" si="218"/>
        <v>3333333.333333333</v>
      </c>
      <c r="P86" s="91">
        <f t="shared" si="218"/>
        <v>2000000</v>
      </c>
      <c r="Q86" s="91">
        <f t="shared" ref="Q86:T86" si="219">1/12*Q56*Q32^2+Q82*(Q56/(1+Q56/Q75))</f>
        <v>3333333.333333333</v>
      </c>
      <c r="R86" s="91">
        <f t="shared" si="219"/>
        <v>3333333.333333333</v>
      </c>
      <c r="S86" s="91">
        <f t="shared" si="219"/>
        <v>3333333.333333333</v>
      </c>
      <c r="T86" s="91">
        <f t="shared" si="219"/>
        <v>2000000</v>
      </c>
      <c r="U86" s="91">
        <f t="shared" ref="U86:X86" si="220">1/12*U56*U32^2+U82*(U56/(1+U56/U75))</f>
        <v>3333333.333333333</v>
      </c>
      <c r="V86" s="91">
        <f t="shared" si="220"/>
        <v>3333333.333333333</v>
      </c>
      <c r="W86" s="91">
        <f t="shared" si="220"/>
        <v>3333333.333333333</v>
      </c>
      <c r="X86" s="91">
        <f t="shared" si="220"/>
        <v>2000000</v>
      </c>
      <c r="Y86" s="91">
        <f t="shared" ref="Y86:Z86" si="221">1/12*Y56*Y32^2+Y82*(Y56/(1+Y56/Y75))</f>
        <v>3333333.333333333</v>
      </c>
      <c r="Z86" s="91">
        <f t="shared" si="221"/>
        <v>3333333.333333333</v>
      </c>
    </row>
    <row r="87" spans="1:26" s="12" customFormat="1" x14ac:dyDescent="0.25">
      <c r="A87" s="1" t="s">
        <v>199</v>
      </c>
      <c r="B87" s="50"/>
      <c r="C87" s="27"/>
      <c r="D87" s="9" t="s">
        <v>46</v>
      </c>
      <c r="E87" s="9"/>
      <c r="F87" s="9" t="s">
        <v>10</v>
      </c>
      <c r="G87" s="87">
        <f t="shared" ref="G87:H87" si="222">SQRT(G85/G78)</f>
        <v>268.49223253817479</v>
      </c>
      <c r="H87" s="87">
        <f t="shared" si="222"/>
        <v>268.49223253817479</v>
      </c>
      <c r="I87" s="87">
        <f t="shared" ref="I87:L87" si="223">SQRT(I85/I78)</f>
        <v>268.49223253817479</v>
      </c>
      <c r="J87" s="87">
        <f t="shared" si="223"/>
        <v>268.49223253817479</v>
      </c>
      <c r="K87" s="87">
        <f t="shared" si="223"/>
        <v>268.49223253817479</v>
      </c>
      <c r="L87" s="87">
        <f t="shared" si="223"/>
        <v>268.49223253817479</v>
      </c>
      <c r="M87" s="87">
        <f t="shared" ref="M87:P87" si="224">SQRT(M85/M78)</f>
        <v>268.49223253817479</v>
      </c>
      <c r="N87" s="87">
        <f t="shared" si="224"/>
        <v>268.49223253817479</v>
      </c>
      <c r="O87" s="87">
        <f t="shared" si="224"/>
        <v>268.49223253817479</v>
      </c>
      <c r="P87" s="87">
        <f t="shared" si="224"/>
        <v>268.49223253817479</v>
      </c>
      <c r="Q87" s="87">
        <f t="shared" ref="Q87:T87" si="225">SQRT(Q85/Q78)</f>
        <v>268.49223253817479</v>
      </c>
      <c r="R87" s="87">
        <f t="shared" si="225"/>
        <v>268.49223253817479</v>
      </c>
      <c r="S87" s="87">
        <f t="shared" si="225"/>
        <v>268.49223253817479</v>
      </c>
      <c r="T87" s="87">
        <f t="shared" si="225"/>
        <v>268.49223253817479</v>
      </c>
      <c r="U87" s="87">
        <f t="shared" ref="U87:X87" si="226">SQRT(U85/U78)</f>
        <v>268.49223253817479</v>
      </c>
      <c r="V87" s="87">
        <f t="shared" si="226"/>
        <v>268.49223253817479</v>
      </c>
      <c r="W87" s="87">
        <f t="shared" si="226"/>
        <v>268.49223253817479</v>
      </c>
      <c r="X87" s="87">
        <f t="shared" si="226"/>
        <v>268.49223253817479</v>
      </c>
      <c r="Y87" s="87">
        <f t="shared" ref="Y87:Z87" si="227">SQRT(Y85/Y78)</f>
        <v>268.49223253817479</v>
      </c>
      <c r="Z87" s="87">
        <f t="shared" si="227"/>
        <v>268.49223253817479</v>
      </c>
    </row>
    <row r="88" spans="1:26" s="12" customFormat="1" x14ac:dyDescent="0.25">
      <c r="A88" s="1" t="s">
        <v>56</v>
      </c>
      <c r="B88" s="69"/>
      <c r="C88" s="27"/>
      <c r="D88" s="9" t="s">
        <v>201</v>
      </c>
      <c r="E88" s="9"/>
      <c r="F88" s="9" t="s">
        <v>23</v>
      </c>
      <c r="G88" s="91">
        <f t="shared" ref="G88:H88" si="228">G85</f>
        <v>1081321184</v>
      </c>
      <c r="H88" s="91">
        <f t="shared" si="228"/>
        <v>1081321184</v>
      </c>
      <c r="I88" s="91">
        <f t="shared" ref="I88:L88" si="229">I85</f>
        <v>1081321184</v>
      </c>
      <c r="J88" s="91">
        <f t="shared" si="229"/>
        <v>1081321184</v>
      </c>
      <c r="K88" s="91">
        <f t="shared" si="229"/>
        <v>1081321184</v>
      </c>
      <c r="L88" s="91">
        <f t="shared" si="229"/>
        <v>1081321184</v>
      </c>
      <c r="M88" s="91">
        <f t="shared" ref="M88:P88" si="230">M85</f>
        <v>1081321184</v>
      </c>
      <c r="N88" s="91">
        <f t="shared" si="230"/>
        <v>1081321184</v>
      </c>
      <c r="O88" s="91">
        <f t="shared" si="230"/>
        <v>1081321184</v>
      </c>
      <c r="P88" s="91">
        <f t="shared" si="230"/>
        <v>1081321184</v>
      </c>
      <c r="Q88" s="91">
        <f t="shared" ref="Q88:T88" si="231">Q85</f>
        <v>1081321184</v>
      </c>
      <c r="R88" s="91">
        <f t="shared" si="231"/>
        <v>1081321184</v>
      </c>
      <c r="S88" s="91">
        <f t="shared" si="231"/>
        <v>1081321184</v>
      </c>
      <c r="T88" s="91">
        <f t="shared" si="231"/>
        <v>1081321184</v>
      </c>
      <c r="U88" s="91">
        <f t="shared" ref="U88:X88" si="232">U85</f>
        <v>1081321184</v>
      </c>
      <c r="V88" s="91">
        <f t="shared" si="232"/>
        <v>1081321184</v>
      </c>
      <c r="W88" s="91">
        <f t="shared" si="232"/>
        <v>1081321184</v>
      </c>
      <c r="X88" s="91">
        <f t="shared" si="232"/>
        <v>1081321184</v>
      </c>
      <c r="Y88" s="91">
        <f t="shared" ref="Y88:Z88" si="233">Y85</f>
        <v>1081321184</v>
      </c>
      <c r="Z88" s="91">
        <f t="shared" si="233"/>
        <v>1081321184</v>
      </c>
    </row>
    <row r="89" spans="1:26" s="12" customFormat="1" x14ac:dyDescent="0.25">
      <c r="A89" s="26"/>
      <c r="B89" s="47"/>
      <c r="C89" s="27"/>
    </row>
    <row r="90" spans="1:26" s="12" customFormat="1" ht="21" x14ac:dyDescent="0.35">
      <c r="A90" s="26"/>
      <c r="B90" s="36"/>
      <c r="C90" s="42"/>
      <c r="D90" s="28" t="s">
        <v>261</v>
      </c>
      <c r="E90" s="9"/>
      <c r="F90" s="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s="12" customFormat="1" x14ac:dyDescent="0.25">
      <c r="A91" s="1"/>
      <c r="B91" s="1"/>
      <c r="D91" s="9" t="s">
        <v>51</v>
      </c>
      <c r="E91" s="9"/>
      <c r="F91" s="9" t="s">
        <v>10</v>
      </c>
      <c r="G91" s="87">
        <f>IF($G$19="L",#REF!,G50)</f>
        <v>90</v>
      </c>
      <c r="H91" s="87">
        <f>IF($G$19="L",#REF!,H50)</f>
        <v>94</v>
      </c>
      <c r="I91" s="87">
        <f>IF($G$19="L",#REF!,I50)</f>
        <v>90</v>
      </c>
      <c r="J91" s="87">
        <f>IF($G$19="L",#REF!,J50)</f>
        <v>90</v>
      </c>
      <c r="K91" s="87">
        <f>IF($G$19="L",#REF!,K50)</f>
        <v>90</v>
      </c>
      <c r="L91" s="87">
        <f>IF($G$19="L",#REF!,L50)</f>
        <v>94</v>
      </c>
      <c r="M91" s="87">
        <f>IF($G$19="L",#REF!,M50)</f>
        <v>90</v>
      </c>
      <c r="N91" s="87">
        <f>IF($G$19="L",#REF!,N50)</f>
        <v>90</v>
      </c>
      <c r="O91" s="87">
        <f>IF($G$19="L",#REF!,O50)</f>
        <v>90</v>
      </c>
      <c r="P91" s="87">
        <f>IF($G$19="L",#REF!,P50)</f>
        <v>94</v>
      </c>
      <c r="Q91" s="87">
        <f>IF($G$19="L",#REF!,Q50)</f>
        <v>90</v>
      </c>
      <c r="R91" s="87">
        <f>IF($G$19="L",#REF!,R50)</f>
        <v>90</v>
      </c>
      <c r="S91" s="87">
        <f>IF($G$19="L",#REF!,S50)</f>
        <v>90</v>
      </c>
      <c r="T91" s="87">
        <f>IF($G$19="L",#REF!,T50)</f>
        <v>94</v>
      </c>
      <c r="U91" s="87">
        <f>IF($G$19="L",#REF!,U50)</f>
        <v>90</v>
      </c>
      <c r="V91" s="87">
        <f>IF($G$19="L",#REF!,V50)</f>
        <v>90</v>
      </c>
      <c r="W91" s="87">
        <f>IF($G$19="L",#REF!,W50)</f>
        <v>90</v>
      </c>
      <c r="X91" s="87">
        <f>IF($G$19="L",#REF!,X50)</f>
        <v>94</v>
      </c>
      <c r="Y91" s="87">
        <f>IF($G$19="L",#REF!,Y50)</f>
        <v>90</v>
      </c>
      <c r="Z91" s="87">
        <f>IF($G$19="L",#REF!,Z50)</f>
        <v>90</v>
      </c>
    </row>
    <row r="92" spans="1:26" s="12" customFormat="1" x14ac:dyDescent="0.25">
      <c r="B92" s="25"/>
      <c r="D92" s="9" t="s">
        <v>14</v>
      </c>
      <c r="E92" s="9"/>
      <c r="F92" s="9" t="s">
        <v>10</v>
      </c>
      <c r="G92" s="87" t="str">
        <f>IF($G$19="L",#REF!,"Not Required")</f>
        <v>Not Required</v>
      </c>
      <c r="H92" s="87" t="str">
        <f>IF($G$19="L",#REF!,"Not Required")</f>
        <v>Not Required</v>
      </c>
      <c r="I92" s="87" t="str">
        <f>IF($G$19="L",#REF!,"Not Required")</f>
        <v>Not Required</v>
      </c>
      <c r="J92" s="87" t="str">
        <f>IF($G$19="L",#REF!,"Not Required")</f>
        <v>Not Required</v>
      </c>
      <c r="K92" s="87" t="str">
        <f>IF($G$19="L",#REF!,"Not Required")</f>
        <v>Not Required</v>
      </c>
      <c r="L92" s="87" t="str">
        <f>IF($G$19="L",#REF!,"Not Required")</f>
        <v>Not Required</v>
      </c>
      <c r="M92" s="87" t="str">
        <f>IF($G$19="L",#REF!,"Not Required")</f>
        <v>Not Required</v>
      </c>
      <c r="N92" s="87" t="str">
        <f>IF($G$19="L",#REF!,"Not Required")</f>
        <v>Not Required</v>
      </c>
      <c r="O92" s="87" t="str">
        <f>IF($G$19="L",#REF!,"Not Required")</f>
        <v>Not Required</v>
      </c>
      <c r="P92" s="87" t="str">
        <f>IF($G$19="L",#REF!,"Not Required")</f>
        <v>Not Required</v>
      </c>
      <c r="Q92" s="87" t="str">
        <f>IF($G$19="L",#REF!,"Not Required")</f>
        <v>Not Required</v>
      </c>
      <c r="R92" s="87" t="str">
        <f>IF($G$19="L",#REF!,"Not Required")</f>
        <v>Not Required</v>
      </c>
      <c r="S92" s="87" t="str">
        <f>IF($G$19="L",#REF!,"Not Required")</f>
        <v>Not Required</v>
      </c>
      <c r="T92" s="87" t="str">
        <f>IF($G$19="L",#REF!,"Not Required")</f>
        <v>Not Required</v>
      </c>
      <c r="U92" s="87" t="str">
        <f>IF($G$19="L",#REF!,"Not Required")</f>
        <v>Not Required</v>
      </c>
      <c r="V92" s="87" t="str">
        <f>IF($G$19="L",#REF!,"Not Required")</f>
        <v>Not Required</v>
      </c>
      <c r="W92" s="87" t="str">
        <f>IF($G$19="L",#REF!,"Not Required")</f>
        <v>Not Required</v>
      </c>
      <c r="X92" s="87" t="str">
        <f>IF($G$19="L",#REF!,"Not Required")</f>
        <v>Not Required</v>
      </c>
      <c r="Y92" s="87" t="str">
        <f>IF($G$19="L",#REF!,"Not Required")</f>
        <v>Not Required</v>
      </c>
      <c r="Z92" s="87" t="str">
        <f>IF($G$19="L",#REF!,"Not Required")</f>
        <v>Not Required</v>
      </c>
    </row>
    <row r="93" spans="1:26" s="12" customFormat="1" x14ac:dyDescent="0.25">
      <c r="B93" s="25"/>
      <c r="D93" s="9" t="s">
        <v>17</v>
      </c>
      <c r="E93" s="9"/>
      <c r="F93" s="9" t="s">
        <v>10</v>
      </c>
      <c r="G93" s="87">
        <f>IF($G$19="L",#REF!,G58)</f>
        <v>0</v>
      </c>
      <c r="H93" s="87">
        <f>IF($G$19="L",#REF!,H58)</f>
        <v>0</v>
      </c>
      <c r="I93" s="87">
        <f>IF($G$19="L",#REF!,I58)</f>
        <v>0</v>
      </c>
      <c r="J93" s="87">
        <f>IF($G$19="L",#REF!,J58)</f>
        <v>0</v>
      </c>
      <c r="K93" s="87">
        <f>IF($G$19="L",#REF!,K58)</f>
        <v>0</v>
      </c>
      <c r="L93" s="87">
        <f>IF($G$19="L",#REF!,L58)</f>
        <v>0</v>
      </c>
      <c r="M93" s="87">
        <f>IF($G$19="L",#REF!,M58)</f>
        <v>0</v>
      </c>
      <c r="N93" s="87">
        <f>IF($G$19="L",#REF!,N58)</f>
        <v>0</v>
      </c>
      <c r="O93" s="87">
        <f>IF($G$19="L",#REF!,O58)</f>
        <v>0</v>
      </c>
      <c r="P93" s="87">
        <f>IF($G$19="L",#REF!,P58)</f>
        <v>0</v>
      </c>
      <c r="Q93" s="87">
        <f>IF($G$19="L",#REF!,Q58)</f>
        <v>0</v>
      </c>
      <c r="R93" s="87">
        <f>IF($G$19="L",#REF!,R58)</f>
        <v>0</v>
      </c>
      <c r="S93" s="87">
        <f>IF($G$19="L",#REF!,S58)</f>
        <v>0</v>
      </c>
      <c r="T93" s="87">
        <f>IF($G$19="L",#REF!,T58)</f>
        <v>0</v>
      </c>
      <c r="U93" s="87">
        <f>IF($G$19="L",#REF!,U58)</f>
        <v>0</v>
      </c>
      <c r="V93" s="87">
        <f>IF($G$19="L",#REF!,V58)</f>
        <v>0</v>
      </c>
      <c r="W93" s="87">
        <f>IF($G$19="L",#REF!,W58)</f>
        <v>0</v>
      </c>
      <c r="X93" s="87">
        <f>IF($G$19="L",#REF!,X58)</f>
        <v>0</v>
      </c>
      <c r="Y93" s="87">
        <f>IF($G$19="L",#REF!,Y58)</f>
        <v>0</v>
      </c>
      <c r="Z93" s="87">
        <f>IF($G$19="L",#REF!,Z58)</f>
        <v>0</v>
      </c>
    </row>
    <row r="94" spans="1:26" s="12" customFormat="1" x14ac:dyDescent="0.25">
      <c r="B94" s="25"/>
      <c r="D94" s="9" t="s">
        <v>18</v>
      </c>
      <c r="E94" s="9"/>
      <c r="F94" s="9" t="s">
        <v>10</v>
      </c>
      <c r="G94" s="87">
        <f>IF($G$19="L",#REF!,G59)</f>
        <v>239.69565217391303</v>
      </c>
      <c r="H94" s="87">
        <f>IF($G$19="L",#REF!,H59)</f>
        <v>269.3766233766234</v>
      </c>
      <c r="I94" s="87">
        <f>IF($G$19="L",#REF!,I59)</f>
        <v>239.69565217391303</v>
      </c>
      <c r="J94" s="87">
        <f>IF($G$19="L",#REF!,J59)</f>
        <v>239.69565217391303</v>
      </c>
      <c r="K94" s="87">
        <f>IF($G$19="L",#REF!,K59)</f>
        <v>239.69565217391303</v>
      </c>
      <c r="L94" s="87">
        <f>IF($G$19="L",#REF!,L59)</f>
        <v>269.3766233766234</v>
      </c>
      <c r="M94" s="87">
        <f>IF($G$19="L",#REF!,M59)</f>
        <v>239.69565217391303</v>
      </c>
      <c r="N94" s="87">
        <f>IF($G$19="L",#REF!,N59)</f>
        <v>239.69565217391303</v>
      </c>
      <c r="O94" s="87">
        <f>IF($G$19="L",#REF!,O59)</f>
        <v>239.69565217391303</v>
      </c>
      <c r="P94" s="87">
        <f>IF($G$19="L",#REF!,P59)</f>
        <v>269.3766233766234</v>
      </c>
      <c r="Q94" s="87">
        <f>IF($G$19="L",#REF!,Q59)</f>
        <v>239.69565217391303</v>
      </c>
      <c r="R94" s="87">
        <f>IF($G$19="L",#REF!,R59)</f>
        <v>239.69565217391303</v>
      </c>
      <c r="S94" s="87">
        <f>IF($G$19="L",#REF!,S59)</f>
        <v>239.69565217391303</v>
      </c>
      <c r="T94" s="87">
        <f>IF($G$19="L",#REF!,T59)</f>
        <v>269.3766233766234</v>
      </c>
      <c r="U94" s="87">
        <f>IF($G$19="L",#REF!,U59)</f>
        <v>239.69565217391303</v>
      </c>
      <c r="V94" s="87">
        <f>IF($G$19="L",#REF!,V59)</f>
        <v>239.69565217391303</v>
      </c>
      <c r="W94" s="87">
        <f>IF($G$19="L",#REF!,W59)</f>
        <v>239.69565217391303</v>
      </c>
      <c r="X94" s="87">
        <f>IF($G$19="L",#REF!,X59)</f>
        <v>269.3766233766234</v>
      </c>
      <c r="Y94" s="87">
        <f>IF($G$19="L",#REF!,Y59)</f>
        <v>239.69565217391303</v>
      </c>
      <c r="Z94" s="87">
        <f>IF($G$19="L",#REF!,Z59)</f>
        <v>239.69565217391303</v>
      </c>
    </row>
    <row r="95" spans="1:26" s="12" customFormat="1" x14ac:dyDescent="0.25">
      <c r="B95" s="25"/>
      <c r="D95" s="9" t="s">
        <v>20</v>
      </c>
      <c r="E95" s="9"/>
      <c r="F95" s="9" t="s">
        <v>10</v>
      </c>
      <c r="G95" s="87">
        <f>IF($G$19="L",#REF!,G60)</f>
        <v>436</v>
      </c>
      <c r="H95" s="87">
        <f>IF($G$19="L",#REF!,H60)</f>
        <v>488.85714285714283</v>
      </c>
      <c r="I95" s="87">
        <f>IF($G$19="L",#REF!,I60)</f>
        <v>436</v>
      </c>
      <c r="J95" s="87">
        <f>IF($G$19="L",#REF!,J60)</f>
        <v>436</v>
      </c>
      <c r="K95" s="87">
        <f>IF($G$19="L",#REF!,K60)</f>
        <v>436</v>
      </c>
      <c r="L95" s="87">
        <f>IF($G$19="L",#REF!,L60)</f>
        <v>488.85714285714283</v>
      </c>
      <c r="M95" s="87">
        <f>IF($G$19="L",#REF!,M60)</f>
        <v>436</v>
      </c>
      <c r="N95" s="87">
        <f>IF($G$19="L",#REF!,N60)</f>
        <v>436</v>
      </c>
      <c r="O95" s="87">
        <f>IF($G$19="L",#REF!,O60)</f>
        <v>436</v>
      </c>
      <c r="P95" s="87">
        <f>IF($G$19="L",#REF!,P60)</f>
        <v>488.85714285714283</v>
      </c>
      <c r="Q95" s="87">
        <f>IF($G$19="L",#REF!,Q60)</f>
        <v>436</v>
      </c>
      <c r="R95" s="87">
        <f>IF($G$19="L",#REF!,R60)</f>
        <v>436</v>
      </c>
      <c r="S95" s="87">
        <f>IF($G$19="L",#REF!,S60)</f>
        <v>436</v>
      </c>
      <c r="T95" s="87">
        <f>IF($G$19="L",#REF!,T60)</f>
        <v>488.85714285714283</v>
      </c>
      <c r="U95" s="87">
        <f>IF($G$19="L",#REF!,U60)</f>
        <v>436</v>
      </c>
      <c r="V95" s="87">
        <f>IF($G$19="L",#REF!,V60)</f>
        <v>436</v>
      </c>
      <c r="W95" s="87">
        <f>IF($G$19="L",#REF!,W60)</f>
        <v>436</v>
      </c>
      <c r="X95" s="87">
        <f>IF($G$19="L",#REF!,X60)</f>
        <v>488.85714285714283</v>
      </c>
      <c r="Y95" s="87">
        <f>IF($G$19="L",#REF!,Y60)</f>
        <v>436</v>
      </c>
      <c r="Z95" s="87">
        <f>IF($G$19="L",#REF!,Z60)</f>
        <v>436</v>
      </c>
    </row>
    <row r="96" spans="1:26" s="12" customFormat="1" x14ac:dyDescent="0.25">
      <c r="B96" s="1"/>
      <c r="D96" s="9" t="s">
        <v>27</v>
      </c>
      <c r="E96" s="9"/>
      <c r="F96" s="9" t="s">
        <v>10</v>
      </c>
      <c r="G96" s="87">
        <f>IF($G$19="L",#REF!,G61)</f>
        <v>0</v>
      </c>
      <c r="H96" s="87">
        <f>IF($G$19="L",#REF!,H61)</f>
        <v>0</v>
      </c>
      <c r="I96" s="87">
        <f>IF($G$19="L",#REF!,I61)</f>
        <v>0</v>
      </c>
      <c r="J96" s="87">
        <f>IF($G$19="L",#REF!,J61)</f>
        <v>0</v>
      </c>
      <c r="K96" s="87">
        <f>IF($G$19="L",#REF!,K61)</f>
        <v>0</v>
      </c>
      <c r="L96" s="87">
        <f>IF($G$19="L",#REF!,L61)</f>
        <v>0</v>
      </c>
      <c r="M96" s="87">
        <f>IF($G$19="L",#REF!,M61)</f>
        <v>0</v>
      </c>
      <c r="N96" s="87">
        <f>IF($G$19="L",#REF!,N61)</f>
        <v>0</v>
      </c>
      <c r="O96" s="87">
        <f>IF($G$19="L",#REF!,O61)</f>
        <v>0</v>
      </c>
      <c r="P96" s="87">
        <f>IF($G$19="L",#REF!,P61)</f>
        <v>0</v>
      </c>
      <c r="Q96" s="87">
        <f>IF($G$19="L",#REF!,Q61)</f>
        <v>0</v>
      </c>
      <c r="R96" s="87">
        <f>IF($G$19="L",#REF!,R61)</f>
        <v>0</v>
      </c>
      <c r="S96" s="87">
        <f>IF($G$19="L",#REF!,S61)</f>
        <v>0</v>
      </c>
      <c r="T96" s="87">
        <f>IF($G$19="L",#REF!,T61)</f>
        <v>0</v>
      </c>
      <c r="U96" s="87">
        <f>IF($G$19="L",#REF!,U61)</f>
        <v>0</v>
      </c>
      <c r="V96" s="87">
        <f>IF($G$19="L",#REF!,V61)</f>
        <v>0</v>
      </c>
      <c r="W96" s="87">
        <f>IF($G$19="L",#REF!,W61)</f>
        <v>0</v>
      </c>
      <c r="X96" s="87">
        <f>IF($G$19="L",#REF!,X61)</f>
        <v>0</v>
      </c>
      <c r="Y96" s="87">
        <f>IF($G$19="L",#REF!,Y61)</f>
        <v>0</v>
      </c>
      <c r="Z96" s="87">
        <f>IF($G$19="L",#REF!,Z61)</f>
        <v>0</v>
      </c>
    </row>
    <row r="97" spans="1:26" s="12" customFormat="1" x14ac:dyDescent="0.25">
      <c r="B97" s="1"/>
      <c r="D97" s="9" t="s">
        <v>124</v>
      </c>
      <c r="E97" s="9"/>
      <c r="F97" s="9" t="s">
        <v>10</v>
      </c>
      <c r="G97" s="87">
        <f>IF($G$19="L",#REF!,G62)</f>
        <v>233.69565217391303</v>
      </c>
      <c r="H97" s="87">
        <f>IF($G$19="L",#REF!,H62)</f>
        <v>263.3766233766234</v>
      </c>
      <c r="I97" s="87">
        <f>IF($G$19="L",#REF!,I62)</f>
        <v>233.69565217391303</v>
      </c>
      <c r="J97" s="87">
        <f>IF($G$19="L",#REF!,J62)</f>
        <v>233.69565217391303</v>
      </c>
      <c r="K97" s="87">
        <f>IF($G$19="L",#REF!,K62)</f>
        <v>233.69565217391303</v>
      </c>
      <c r="L97" s="87">
        <f>IF($G$19="L",#REF!,L62)</f>
        <v>263.3766233766234</v>
      </c>
      <c r="M97" s="87">
        <f>IF($G$19="L",#REF!,M62)</f>
        <v>233.69565217391303</v>
      </c>
      <c r="N97" s="87">
        <f>IF($G$19="L",#REF!,N62)</f>
        <v>233.69565217391303</v>
      </c>
      <c r="O97" s="87">
        <f>IF($G$19="L",#REF!,O62)</f>
        <v>233.69565217391303</v>
      </c>
      <c r="P97" s="87">
        <f>IF($G$19="L",#REF!,P62)</f>
        <v>263.3766233766234</v>
      </c>
      <c r="Q97" s="87">
        <f>IF($G$19="L",#REF!,Q62)</f>
        <v>233.69565217391303</v>
      </c>
      <c r="R97" s="87">
        <f>IF($G$19="L",#REF!,R62)</f>
        <v>233.69565217391303</v>
      </c>
      <c r="S97" s="87">
        <f>IF($G$19="L",#REF!,S62)</f>
        <v>233.69565217391303</v>
      </c>
      <c r="T97" s="87">
        <f>IF($G$19="L",#REF!,T62)</f>
        <v>263.3766233766234</v>
      </c>
      <c r="U97" s="87">
        <f>IF($G$19="L",#REF!,U62)</f>
        <v>233.69565217391303</v>
      </c>
      <c r="V97" s="87">
        <f>IF($G$19="L",#REF!,V62)</f>
        <v>233.69565217391303</v>
      </c>
      <c r="W97" s="87">
        <f>IF($G$19="L",#REF!,W62)</f>
        <v>233.69565217391303</v>
      </c>
      <c r="X97" s="87">
        <f>IF($G$19="L",#REF!,X62)</f>
        <v>263.3766233766234</v>
      </c>
      <c r="Y97" s="87">
        <f>IF($G$19="L",#REF!,Y62)</f>
        <v>233.69565217391303</v>
      </c>
      <c r="Z97" s="87">
        <f>IF($G$19="L",#REF!,Z62)</f>
        <v>233.69565217391303</v>
      </c>
    </row>
    <row r="98" spans="1:26" s="12" customFormat="1" x14ac:dyDescent="0.25">
      <c r="B98" s="1"/>
      <c r="D98" s="9" t="s">
        <v>125</v>
      </c>
      <c r="E98" s="9"/>
      <c r="F98" s="9" t="s">
        <v>10</v>
      </c>
      <c r="G98" s="87">
        <f>IF($G$19="L",#REF!,G63)</f>
        <v>392.304347826087</v>
      </c>
      <c r="H98" s="87">
        <f>IF($G$19="L",#REF!,H63)</f>
        <v>522.62337662337654</v>
      </c>
      <c r="I98" s="87">
        <f>IF($G$19="L",#REF!,I63)</f>
        <v>392.304347826087</v>
      </c>
      <c r="J98" s="87">
        <f>IF($G$19="L",#REF!,J63)</f>
        <v>392.304347826087</v>
      </c>
      <c r="K98" s="87">
        <f>IF($G$19="L",#REF!,K63)</f>
        <v>392.304347826087</v>
      </c>
      <c r="L98" s="87">
        <f>IF($G$19="L",#REF!,L63)</f>
        <v>522.62337662337654</v>
      </c>
      <c r="M98" s="87">
        <f>IF($G$19="L",#REF!,M63)</f>
        <v>392.304347826087</v>
      </c>
      <c r="N98" s="87">
        <f>IF($G$19="L",#REF!,N63)</f>
        <v>392.304347826087</v>
      </c>
      <c r="O98" s="87">
        <f>IF($G$19="L",#REF!,O63)</f>
        <v>392.304347826087</v>
      </c>
      <c r="P98" s="87">
        <f>IF($G$19="L",#REF!,P63)</f>
        <v>522.62337662337654</v>
      </c>
      <c r="Q98" s="87">
        <f>IF($G$19="L",#REF!,Q63)</f>
        <v>392.304347826087</v>
      </c>
      <c r="R98" s="87">
        <f>IF($G$19="L",#REF!,R63)</f>
        <v>392.304347826087</v>
      </c>
      <c r="S98" s="87">
        <f>IF($G$19="L",#REF!,S63)</f>
        <v>392.304347826087</v>
      </c>
      <c r="T98" s="87">
        <f>IF($G$19="L",#REF!,T63)</f>
        <v>522.62337662337654</v>
      </c>
      <c r="U98" s="87">
        <f>IF($G$19="L",#REF!,U63)</f>
        <v>392.304347826087</v>
      </c>
      <c r="V98" s="87">
        <f>IF($G$19="L",#REF!,V63)</f>
        <v>392.304347826087</v>
      </c>
      <c r="W98" s="87">
        <f>IF($G$19="L",#REF!,W63)</f>
        <v>392.304347826087</v>
      </c>
      <c r="X98" s="87">
        <f>IF($G$19="L",#REF!,X63)</f>
        <v>522.62337662337654</v>
      </c>
      <c r="Y98" s="87">
        <f>IF($G$19="L",#REF!,Y63)</f>
        <v>392.304347826087</v>
      </c>
      <c r="Z98" s="87">
        <f>IF($G$19="L",#REF!,Z63)</f>
        <v>392.304347826087</v>
      </c>
    </row>
    <row r="99" spans="1:26" s="12" customFormat="1" ht="15" customHeight="1" x14ac:dyDescent="0.25">
      <c r="B99" s="1"/>
      <c r="D99" s="9" t="s">
        <v>21</v>
      </c>
      <c r="E99" s="9"/>
      <c r="F99" s="9" t="s">
        <v>16</v>
      </c>
      <c r="G99" s="90">
        <f>IF($G$19="L",#REF!,G55)</f>
        <v>6000</v>
      </c>
      <c r="H99" s="90">
        <f>IF($G$19="L",#REF!,H55)</f>
        <v>7680</v>
      </c>
      <c r="I99" s="90">
        <f>IF($G$19="L",#REF!,I55)</f>
        <v>6000</v>
      </c>
      <c r="J99" s="90">
        <f>IF($G$19="L",#REF!,J55)</f>
        <v>6000</v>
      </c>
      <c r="K99" s="90">
        <f>IF($G$19="L",#REF!,K55)</f>
        <v>6000</v>
      </c>
      <c r="L99" s="90">
        <f>IF($G$19="L",#REF!,L55)</f>
        <v>7680</v>
      </c>
      <c r="M99" s="90">
        <f>IF($G$19="L",#REF!,M55)</f>
        <v>6000</v>
      </c>
      <c r="N99" s="90">
        <f>IF($G$19="L",#REF!,N55)</f>
        <v>6000</v>
      </c>
      <c r="O99" s="90">
        <f>IF($G$19="L",#REF!,O55)</f>
        <v>6000</v>
      </c>
      <c r="P99" s="90">
        <f>IF($G$19="L",#REF!,P55)</f>
        <v>7680</v>
      </c>
      <c r="Q99" s="90">
        <f>IF($G$19="L",#REF!,Q55)</f>
        <v>6000</v>
      </c>
      <c r="R99" s="90">
        <f>IF($G$19="L",#REF!,R55)</f>
        <v>6000</v>
      </c>
      <c r="S99" s="90">
        <f>IF($G$19="L",#REF!,S55)</f>
        <v>6000</v>
      </c>
      <c r="T99" s="90">
        <f>IF($G$19="L",#REF!,T55)</f>
        <v>7680</v>
      </c>
      <c r="U99" s="90">
        <f>IF($G$19="L",#REF!,U55)</f>
        <v>6000</v>
      </c>
      <c r="V99" s="90">
        <f>IF($G$19="L",#REF!,V55)</f>
        <v>6000</v>
      </c>
      <c r="W99" s="90">
        <f>IF($G$19="L",#REF!,W55)</f>
        <v>6000</v>
      </c>
      <c r="X99" s="90">
        <f>IF($G$19="L",#REF!,X55)</f>
        <v>7680</v>
      </c>
      <c r="Y99" s="90">
        <f>IF($G$19="L",#REF!,Y55)</f>
        <v>6000</v>
      </c>
      <c r="Z99" s="90">
        <f>IF($G$19="L",#REF!,Z55)</f>
        <v>6000</v>
      </c>
    </row>
    <row r="100" spans="1:26" s="12" customFormat="1" ht="15" customHeight="1" x14ac:dyDescent="0.25">
      <c r="B100" s="1"/>
      <c r="D100" s="9" t="s">
        <v>22</v>
      </c>
      <c r="E100" s="9"/>
      <c r="F100" s="9" t="s">
        <v>16</v>
      </c>
      <c r="G100" s="90">
        <f>IF($G$19="L",#REF!,G56)</f>
        <v>4000</v>
      </c>
      <c r="H100" s="90">
        <f>IF($G$19="L",#REF!,H56)</f>
        <v>2400</v>
      </c>
      <c r="I100" s="90">
        <f>IF($G$19="L",#REF!,I56)</f>
        <v>4000</v>
      </c>
      <c r="J100" s="90">
        <f>IF($G$19="L",#REF!,J56)</f>
        <v>4000</v>
      </c>
      <c r="K100" s="90">
        <f>IF($G$19="L",#REF!,K56)</f>
        <v>4000</v>
      </c>
      <c r="L100" s="90">
        <f>IF($G$19="L",#REF!,L56)</f>
        <v>2400</v>
      </c>
      <c r="M100" s="90">
        <f>IF($G$19="L",#REF!,M56)</f>
        <v>4000</v>
      </c>
      <c r="N100" s="90">
        <f>IF($G$19="L",#REF!,N56)</f>
        <v>4000</v>
      </c>
      <c r="O100" s="90">
        <f>IF($G$19="L",#REF!,O56)</f>
        <v>4000</v>
      </c>
      <c r="P100" s="90">
        <f>IF($G$19="L",#REF!,P56)</f>
        <v>2400</v>
      </c>
      <c r="Q100" s="90">
        <f>IF($G$19="L",#REF!,Q56)</f>
        <v>4000</v>
      </c>
      <c r="R100" s="90">
        <f>IF($G$19="L",#REF!,R56)</f>
        <v>4000</v>
      </c>
      <c r="S100" s="90">
        <f>IF($G$19="L",#REF!,S56)</f>
        <v>4000</v>
      </c>
      <c r="T100" s="90">
        <f>IF($G$19="L",#REF!,T56)</f>
        <v>2400</v>
      </c>
      <c r="U100" s="90">
        <f>IF($G$19="L",#REF!,U56)</f>
        <v>4000</v>
      </c>
      <c r="V100" s="90">
        <f>IF($G$19="L",#REF!,V56)</f>
        <v>4000</v>
      </c>
      <c r="W100" s="90">
        <f>IF($G$19="L",#REF!,W56)</f>
        <v>4000</v>
      </c>
      <c r="X100" s="90">
        <f>IF($G$19="L",#REF!,X56)</f>
        <v>2400</v>
      </c>
      <c r="Y100" s="90">
        <f>IF($G$19="L",#REF!,Y56)</f>
        <v>4000</v>
      </c>
      <c r="Z100" s="90">
        <f>IF($G$19="L",#REF!,Z56)</f>
        <v>4000</v>
      </c>
    </row>
    <row r="101" spans="1:26" s="12" customFormat="1" ht="15" customHeight="1" x14ac:dyDescent="0.25">
      <c r="B101" s="1"/>
      <c r="D101" s="9" t="s">
        <v>7</v>
      </c>
      <c r="E101" s="9"/>
      <c r="F101" s="9" t="s">
        <v>12</v>
      </c>
      <c r="G101" s="7">
        <f>IF($G$19="L",#REF!,G57)</f>
        <v>18400</v>
      </c>
      <c r="H101" s="7">
        <f>IF($G$19="L",#REF!,H57)</f>
        <v>18480</v>
      </c>
      <c r="I101" s="7">
        <f>IF($G$19="L",#REF!,I57)</f>
        <v>18400</v>
      </c>
      <c r="J101" s="7">
        <f>IF($G$19="L",#REF!,J57)</f>
        <v>18400</v>
      </c>
      <c r="K101" s="7">
        <f>IF($G$19="L",#REF!,K57)</f>
        <v>18400</v>
      </c>
      <c r="L101" s="7">
        <f>IF($G$19="L",#REF!,L57)</f>
        <v>18480</v>
      </c>
      <c r="M101" s="7">
        <f>IF($G$19="L",#REF!,M57)</f>
        <v>18400</v>
      </c>
      <c r="N101" s="7">
        <f>IF($G$19="L",#REF!,N57)</f>
        <v>18400</v>
      </c>
      <c r="O101" s="7">
        <f>IF($G$19="L",#REF!,O57)</f>
        <v>18400</v>
      </c>
      <c r="P101" s="7">
        <f>IF($G$19="L",#REF!,P57)</f>
        <v>18480</v>
      </c>
      <c r="Q101" s="7">
        <f>IF($G$19="L",#REF!,Q57)</f>
        <v>18400</v>
      </c>
      <c r="R101" s="7">
        <f>IF($G$19="L",#REF!,R57)</f>
        <v>18400</v>
      </c>
      <c r="S101" s="7">
        <f>IF($G$19="L",#REF!,S57)</f>
        <v>18400</v>
      </c>
      <c r="T101" s="7">
        <f>IF($G$19="L",#REF!,T57)</f>
        <v>18480</v>
      </c>
      <c r="U101" s="7">
        <f>IF($G$19="L",#REF!,U57)</f>
        <v>18400</v>
      </c>
      <c r="V101" s="7">
        <f>IF($G$19="L",#REF!,V57)</f>
        <v>18400</v>
      </c>
      <c r="W101" s="7">
        <f>IF($G$19="L",#REF!,W57)</f>
        <v>18400</v>
      </c>
      <c r="X101" s="7">
        <f>IF($G$19="L",#REF!,X57)</f>
        <v>18480</v>
      </c>
      <c r="Y101" s="7">
        <f>IF($G$19="L",#REF!,Y57)</f>
        <v>18400</v>
      </c>
      <c r="Z101" s="7">
        <f>IF($G$19="L",#REF!,Z57)</f>
        <v>18400</v>
      </c>
    </row>
    <row r="102" spans="1:26" s="12" customFormat="1" ht="15" customHeight="1" x14ac:dyDescent="0.25">
      <c r="B102" s="1"/>
      <c r="D102" s="9" t="s">
        <v>6</v>
      </c>
      <c r="E102" s="9"/>
      <c r="F102" s="9" t="s">
        <v>23</v>
      </c>
      <c r="G102" s="91">
        <f>IF($G$19="L",#REF!,G64)</f>
        <v>1273477437.6811595</v>
      </c>
      <c r="H102" s="91">
        <f>IF($G$19="L",#REF!,H64)</f>
        <v>1738963411.9480519</v>
      </c>
      <c r="I102" s="91">
        <f>IF($G$19="L",#REF!,I64)</f>
        <v>1273477437.6811595</v>
      </c>
      <c r="J102" s="91">
        <f>IF($G$19="L",#REF!,J64)</f>
        <v>1273477437.6811595</v>
      </c>
      <c r="K102" s="91">
        <f>IF($G$19="L",#REF!,K64)</f>
        <v>1273477437.6811595</v>
      </c>
      <c r="L102" s="91">
        <f>IF($G$19="L",#REF!,L64)</f>
        <v>1738963411.9480519</v>
      </c>
      <c r="M102" s="91">
        <f>IF($G$19="L",#REF!,M64)</f>
        <v>1273477437.6811595</v>
      </c>
      <c r="N102" s="91">
        <f>IF($G$19="L",#REF!,N64)</f>
        <v>1273477437.6811595</v>
      </c>
      <c r="O102" s="91">
        <f>IF($G$19="L",#REF!,O64)</f>
        <v>1273477437.6811595</v>
      </c>
      <c r="P102" s="91">
        <f>IF($G$19="L",#REF!,P64)</f>
        <v>1738963411.9480519</v>
      </c>
      <c r="Q102" s="91">
        <f>IF($G$19="L",#REF!,Q64)</f>
        <v>1273477437.6811595</v>
      </c>
      <c r="R102" s="91">
        <f>IF($G$19="L",#REF!,R64)</f>
        <v>1273477437.6811595</v>
      </c>
      <c r="S102" s="91">
        <f>IF($G$19="L",#REF!,S64)</f>
        <v>1273477437.6811595</v>
      </c>
      <c r="T102" s="91">
        <f>IF($G$19="L",#REF!,T64)</f>
        <v>1738963411.9480519</v>
      </c>
      <c r="U102" s="91">
        <f>IF($G$19="L",#REF!,U64)</f>
        <v>1273477437.6811595</v>
      </c>
      <c r="V102" s="91">
        <f>IF($G$19="L",#REF!,V64)</f>
        <v>1273477437.6811595</v>
      </c>
      <c r="W102" s="91">
        <f>IF($G$19="L",#REF!,W64)</f>
        <v>1273477437.6811595</v>
      </c>
      <c r="X102" s="91">
        <f>IF($G$19="L",#REF!,X64)</f>
        <v>1738963411.9480519</v>
      </c>
      <c r="Y102" s="91">
        <f>IF($G$19="L",#REF!,Y64)</f>
        <v>1273477437.6811595</v>
      </c>
      <c r="Z102" s="91">
        <f>IF($G$19="L",#REF!,Z64)</f>
        <v>1273477437.6811595</v>
      </c>
    </row>
    <row r="103" spans="1:26" s="12" customFormat="1" ht="15" customHeight="1" x14ac:dyDescent="0.25">
      <c r="B103" s="1"/>
      <c r="D103" s="9" t="s">
        <v>177</v>
      </c>
      <c r="E103" s="9"/>
      <c r="F103" s="9" t="s">
        <v>23</v>
      </c>
      <c r="G103" s="91">
        <f>IF($G$19="L",#REF!,G65)</f>
        <v>13333333.333333332</v>
      </c>
      <c r="H103" s="91">
        <f>IF($G$19="L",#REF!,H65)</f>
        <v>8000000</v>
      </c>
      <c r="I103" s="91">
        <f>IF($G$19="L",#REF!,I65)</f>
        <v>13333333.333333332</v>
      </c>
      <c r="J103" s="91">
        <f>IF($G$19="L",#REF!,J65)</f>
        <v>13333333.333333332</v>
      </c>
      <c r="K103" s="91">
        <f>IF($G$19="L",#REF!,K65)</f>
        <v>13333333.333333332</v>
      </c>
      <c r="L103" s="91">
        <f>IF($G$19="L",#REF!,L65)</f>
        <v>8000000</v>
      </c>
      <c r="M103" s="91">
        <f>IF($G$19="L",#REF!,M65)</f>
        <v>13333333.333333332</v>
      </c>
      <c r="N103" s="91">
        <f>IF($G$19="L",#REF!,N65)</f>
        <v>13333333.333333332</v>
      </c>
      <c r="O103" s="91">
        <f>IF($G$19="L",#REF!,O65)</f>
        <v>13333333.333333332</v>
      </c>
      <c r="P103" s="91">
        <f>IF($G$19="L",#REF!,P65)</f>
        <v>8000000</v>
      </c>
      <c r="Q103" s="91">
        <f>IF($G$19="L",#REF!,Q65)</f>
        <v>13333333.333333332</v>
      </c>
      <c r="R103" s="91">
        <f>IF($G$19="L",#REF!,R65)</f>
        <v>13333333.333333332</v>
      </c>
      <c r="S103" s="91">
        <f>IF($G$19="L",#REF!,S65)</f>
        <v>13333333.333333332</v>
      </c>
      <c r="T103" s="91">
        <f>IF($G$19="L",#REF!,T65)</f>
        <v>8000000</v>
      </c>
      <c r="U103" s="91">
        <f>IF($G$19="L",#REF!,U65)</f>
        <v>13333333.333333332</v>
      </c>
      <c r="V103" s="91">
        <f>IF($G$19="L",#REF!,V65)</f>
        <v>13333333.333333332</v>
      </c>
      <c r="W103" s="91">
        <f>IF($G$19="L",#REF!,W65)</f>
        <v>13333333.333333332</v>
      </c>
      <c r="X103" s="91">
        <f>IF($G$19="L",#REF!,X65)</f>
        <v>8000000</v>
      </c>
      <c r="Y103" s="91">
        <f>IF($G$19="L",#REF!,Y65)</f>
        <v>13333333.333333332</v>
      </c>
      <c r="Z103" s="91">
        <f>IF($G$19="L",#REF!,Z65)</f>
        <v>13333333.333333332</v>
      </c>
    </row>
    <row r="104" spans="1:26" s="12" customFormat="1" ht="15" customHeight="1" x14ac:dyDescent="0.25">
      <c r="B104" s="1"/>
      <c r="D104" s="9" t="s">
        <v>13</v>
      </c>
      <c r="E104" s="9"/>
      <c r="F104" s="9" t="s">
        <v>10</v>
      </c>
      <c r="G104" s="9">
        <f>IF($G$19="L",#REF!,G66)</f>
        <v>263.07932322544593</v>
      </c>
      <c r="H104" s="9">
        <f>IF($G$19="L",#REF!,H66)</f>
        <v>306.7568283327866</v>
      </c>
      <c r="I104" s="9">
        <f>IF($G$19="L",#REF!,I66)</f>
        <v>263.07932322544593</v>
      </c>
      <c r="J104" s="9">
        <f>IF($G$19="L",#REF!,J66)</f>
        <v>263.07932322544593</v>
      </c>
      <c r="K104" s="9">
        <f>IF($G$19="L",#REF!,K66)</f>
        <v>263.07932322544593</v>
      </c>
      <c r="L104" s="9">
        <f>IF($G$19="L",#REF!,L66)</f>
        <v>306.7568283327866</v>
      </c>
      <c r="M104" s="9">
        <f>IF($G$19="L",#REF!,M66)</f>
        <v>263.07932322544593</v>
      </c>
      <c r="N104" s="9">
        <f>IF($G$19="L",#REF!,N66)</f>
        <v>263.07932322544593</v>
      </c>
      <c r="O104" s="9">
        <f>IF($G$19="L",#REF!,O66)</f>
        <v>263.07932322544593</v>
      </c>
      <c r="P104" s="9">
        <f>IF($G$19="L",#REF!,P66)</f>
        <v>306.7568283327866</v>
      </c>
      <c r="Q104" s="9">
        <f>IF($G$19="L",#REF!,Q66)</f>
        <v>263.07932322544593</v>
      </c>
      <c r="R104" s="9">
        <f>IF($G$19="L",#REF!,R66)</f>
        <v>263.07932322544593</v>
      </c>
      <c r="S104" s="9">
        <f>IF($G$19="L",#REF!,S66)</f>
        <v>263.07932322544593</v>
      </c>
      <c r="T104" s="9">
        <f>IF($G$19="L",#REF!,T66)</f>
        <v>306.7568283327866</v>
      </c>
      <c r="U104" s="9">
        <f>IF($G$19="L",#REF!,U66)</f>
        <v>263.07932322544593</v>
      </c>
      <c r="V104" s="9">
        <f>IF($G$19="L",#REF!,V66)</f>
        <v>263.07932322544593</v>
      </c>
      <c r="W104" s="9">
        <f>IF($G$19="L",#REF!,W66)</f>
        <v>263.07932322544593</v>
      </c>
      <c r="X104" s="9">
        <f>IF($G$19="L",#REF!,X66)</f>
        <v>306.7568283327866</v>
      </c>
      <c r="Y104" s="9">
        <f>IF($G$19="L",#REF!,Y66)</f>
        <v>263.07932322544593</v>
      </c>
      <c r="Z104" s="9">
        <f>IF($G$19="L",#REF!,Z66)</f>
        <v>263.07932322544593</v>
      </c>
    </row>
    <row r="105" spans="1:26" s="12" customFormat="1" x14ac:dyDescent="0.25">
      <c r="A105" s="1"/>
      <c r="B105" s="1"/>
      <c r="D105" s="9" t="s">
        <v>179</v>
      </c>
      <c r="E105" s="9"/>
      <c r="F105" s="9" t="s">
        <v>23</v>
      </c>
      <c r="G105" s="91">
        <f>IF($G$19="L",#REF!,G67)</f>
        <v>1273477437.6811595</v>
      </c>
      <c r="H105" s="91">
        <f>IF($G$19="L",#REF!,H67)</f>
        <v>1738963411.9480519</v>
      </c>
      <c r="I105" s="91">
        <f>IF($G$19="L",#REF!,I67)</f>
        <v>1273477437.6811595</v>
      </c>
      <c r="J105" s="91">
        <f>IF($G$19="L",#REF!,J67)</f>
        <v>1273477437.6811595</v>
      </c>
      <c r="K105" s="91">
        <f>IF($G$19="L",#REF!,K67)</f>
        <v>1273477437.6811595</v>
      </c>
      <c r="L105" s="91">
        <f>IF($G$19="L",#REF!,L67)</f>
        <v>1738963411.9480519</v>
      </c>
      <c r="M105" s="91">
        <f>IF($G$19="L",#REF!,M67)</f>
        <v>1273477437.6811595</v>
      </c>
      <c r="N105" s="91">
        <f>IF($G$19="L",#REF!,N67)</f>
        <v>1273477437.6811595</v>
      </c>
      <c r="O105" s="91">
        <f>IF($G$19="L",#REF!,O67)</f>
        <v>1273477437.6811595</v>
      </c>
      <c r="P105" s="91">
        <f>IF($G$19="L",#REF!,P67)</f>
        <v>1738963411.9480519</v>
      </c>
      <c r="Q105" s="91">
        <f>IF($G$19="L",#REF!,Q67)</f>
        <v>1273477437.6811595</v>
      </c>
      <c r="R105" s="91">
        <f>IF($G$19="L",#REF!,R67)</f>
        <v>1273477437.6811595</v>
      </c>
      <c r="S105" s="91">
        <f>IF($G$19="L",#REF!,S67)</f>
        <v>1273477437.6811595</v>
      </c>
      <c r="T105" s="91">
        <f>IF($G$19="L",#REF!,T67)</f>
        <v>1738963411.9480519</v>
      </c>
      <c r="U105" s="91">
        <f>IF($G$19="L",#REF!,U67)</f>
        <v>1273477437.6811595</v>
      </c>
      <c r="V105" s="91">
        <f>IF($G$19="L",#REF!,V67)</f>
        <v>1273477437.6811595</v>
      </c>
      <c r="W105" s="91">
        <f>IF($G$19="L",#REF!,W67)</f>
        <v>1273477437.6811595</v>
      </c>
      <c r="X105" s="91">
        <f>IF($G$19="L",#REF!,X67)</f>
        <v>1738963411.9480519</v>
      </c>
      <c r="Y105" s="91">
        <f>IF($G$19="L",#REF!,Y67)</f>
        <v>1273477437.6811595</v>
      </c>
      <c r="Z105" s="91">
        <f>IF($G$19="L",#REF!,Z67)</f>
        <v>1273477437.6811595</v>
      </c>
    </row>
    <row r="106" spans="1:26" s="12" customFormat="1" x14ac:dyDescent="0.25">
      <c r="A106" s="1"/>
      <c r="B106" s="3"/>
      <c r="C106" s="25"/>
      <c r="D106" s="9" t="s">
        <v>178</v>
      </c>
      <c r="E106" s="9"/>
      <c r="F106" s="9" t="s">
        <v>23</v>
      </c>
      <c r="G106" s="91">
        <f t="shared" ref="G106:H106" si="234">G17^3*G16/10.9</f>
        <v>110972.47706422018</v>
      </c>
      <c r="H106" s="91">
        <f t="shared" si="234"/>
        <v>110972.47706422018</v>
      </c>
      <c r="I106" s="91">
        <f t="shared" ref="I106:L106" si="235">I17^3*I16/10.9</f>
        <v>110972.47706422018</v>
      </c>
      <c r="J106" s="91">
        <f t="shared" si="235"/>
        <v>110972.47706422018</v>
      </c>
      <c r="K106" s="91">
        <f t="shared" si="235"/>
        <v>110972.47706422018</v>
      </c>
      <c r="L106" s="91">
        <f t="shared" si="235"/>
        <v>110972.47706422018</v>
      </c>
      <c r="M106" s="91">
        <f t="shared" ref="M106:P106" si="236">M17^3*M16/10.9</f>
        <v>110972.47706422018</v>
      </c>
      <c r="N106" s="91">
        <f t="shared" si="236"/>
        <v>110972.47706422018</v>
      </c>
      <c r="O106" s="91">
        <f t="shared" si="236"/>
        <v>110972.47706422018</v>
      </c>
      <c r="P106" s="91">
        <f t="shared" si="236"/>
        <v>110972.47706422018</v>
      </c>
      <c r="Q106" s="91">
        <f t="shared" ref="Q106:T106" si="237">Q17^3*Q16/10.9</f>
        <v>110972.47706422018</v>
      </c>
      <c r="R106" s="91">
        <f t="shared" si="237"/>
        <v>110972.47706422018</v>
      </c>
      <c r="S106" s="91">
        <f t="shared" si="237"/>
        <v>110972.47706422018</v>
      </c>
      <c r="T106" s="91">
        <f t="shared" si="237"/>
        <v>110972.47706422018</v>
      </c>
      <c r="U106" s="91">
        <f t="shared" ref="U106:X106" si="238">U17^3*U16/10.9</f>
        <v>110972.47706422018</v>
      </c>
      <c r="V106" s="91">
        <f t="shared" si="238"/>
        <v>110972.47706422018</v>
      </c>
      <c r="W106" s="91">
        <f t="shared" si="238"/>
        <v>110972.47706422018</v>
      </c>
      <c r="X106" s="91">
        <f t="shared" si="238"/>
        <v>110972.47706422018</v>
      </c>
      <c r="Y106" s="91">
        <f t="shared" ref="Y106:Z106" si="239">Y17^3*Y16/10.9</f>
        <v>110972.47706422018</v>
      </c>
      <c r="Z106" s="91">
        <f t="shared" si="239"/>
        <v>110972.47706422018</v>
      </c>
    </row>
    <row r="107" spans="1:26" s="12" customFormat="1" x14ac:dyDescent="0.25">
      <c r="A107" s="1"/>
      <c r="B107" s="3"/>
      <c r="C107" s="25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s="12" customFormat="1" ht="21" x14ac:dyDescent="0.35">
      <c r="A108" s="26"/>
      <c r="B108" s="50"/>
      <c r="C108" s="42"/>
      <c r="D108" s="28" t="s">
        <v>262</v>
      </c>
      <c r="E108" s="9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s="12" customFormat="1" x14ac:dyDescent="0.25">
      <c r="A109" s="1"/>
      <c r="B109" s="1"/>
      <c r="D109" s="9" t="s">
        <v>51</v>
      </c>
      <c r="E109" s="9"/>
      <c r="F109" s="9" t="s">
        <v>10</v>
      </c>
      <c r="G109" s="87">
        <f>IF($G$19="L",#REF!,G70)</f>
        <v>44</v>
      </c>
      <c r="H109" s="87">
        <f>IF($G$19="L",#REF!,H70)</f>
        <v>44</v>
      </c>
      <c r="I109" s="87">
        <f>IF($G$19="L",#REF!,I70)</f>
        <v>44</v>
      </c>
      <c r="J109" s="87">
        <f>IF($G$19="L",#REF!,J70)</f>
        <v>44</v>
      </c>
      <c r="K109" s="87">
        <f>IF($G$19="L",#REF!,K70)</f>
        <v>44</v>
      </c>
      <c r="L109" s="87">
        <f>IF($G$19="L",#REF!,L70)</f>
        <v>44</v>
      </c>
      <c r="M109" s="87">
        <f>IF($G$19="L",#REF!,M70)</f>
        <v>44</v>
      </c>
      <c r="N109" s="87">
        <f>IF($G$19="L",#REF!,N70)</f>
        <v>44</v>
      </c>
      <c r="O109" s="87">
        <f>IF($G$19="L",#REF!,O70)</f>
        <v>44</v>
      </c>
      <c r="P109" s="87">
        <f>IF($G$19="L",#REF!,P70)</f>
        <v>44</v>
      </c>
      <c r="Q109" s="87">
        <f>IF($G$19="L",#REF!,Q70)</f>
        <v>44</v>
      </c>
      <c r="R109" s="87">
        <f>IF($G$19="L",#REF!,R70)</f>
        <v>44</v>
      </c>
      <c r="S109" s="87">
        <f>IF($G$19="L",#REF!,S70)</f>
        <v>44</v>
      </c>
      <c r="T109" s="87">
        <f>IF($G$19="L",#REF!,T70)</f>
        <v>44</v>
      </c>
      <c r="U109" s="87">
        <f>IF($G$19="L",#REF!,U70)</f>
        <v>44</v>
      </c>
      <c r="V109" s="87">
        <f>IF($G$19="L",#REF!,V70)</f>
        <v>44</v>
      </c>
      <c r="W109" s="87">
        <f>IF($G$19="L",#REF!,W70)</f>
        <v>44</v>
      </c>
      <c r="X109" s="87">
        <f>IF($G$19="L",#REF!,X70)</f>
        <v>44</v>
      </c>
      <c r="Y109" s="87">
        <f>IF($G$19="L",#REF!,Y70)</f>
        <v>44</v>
      </c>
      <c r="Z109" s="87">
        <f>IF($G$19="L",#REF!,Z70)</f>
        <v>44</v>
      </c>
    </row>
    <row r="110" spans="1:26" s="12" customFormat="1" x14ac:dyDescent="0.25">
      <c r="B110" s="25"/>
      <c r="D110" s="9" t="s">
        <v>14</v>
      </c>
      <c r="E110" s="9"/>
      <c r="F110" s="9" t="s">
        <v>10</v>
      </c>
      <c r="G110" s="87" t="str">
        <f>IF($G$19="L",#REF!,"Not Required")</f>
        <v>Not Required</v>
      </c>
      <c r="H110" s="87" t="str">
        <f>IF($G$19="L",#REF!,"Not Required")</f>
        <v>Not Required</v>
      </c>
      <c r="I110" s="87" t="str">
        <f>IF($G$19="L",#REF!,"Not Required")</f>
        <v>Not Required</v>
      </c>
      <c r="J110" s="87" t="str">
        <f>IF($G$19="L",#REF!,"Not Required")</f>
        <v>Not Required</v>
      </c>
      <c r="K110" s="87" t="str">
        <f>IF($G$19="L",#REF!,"Not Required")</f>
        <v>Not Required</v>
      </c>
      <c r="L110" s="87" t="str">
        <f>IF($G$19="L",#REF!,"Not Required")</f>
        <v>Not Required</v>
      </c>
      <c r="M110" s="87" t="str">
        <f>IF($G$19="L",#REF!,"Not Required")</f>
        <v>Not Required</v>
      </c>
      <c r="N110" s="87" t="str">
        <f>IF($G$19="L",#REF!,"Not Required")</f>
        <v>Not Required</v>
      </c>
      <c r="O110" s="87" t="str">
        <f>IF($G$19="L",#REF!,"Not Required")</f>
        <v>Not Required</v>
      </c>
      <c r="P110" s="87" t="str">
        <f>IF($G$19="L",#REF!,"Not Required")</f>
        <v>Not Required</v>
      </c>
      <c r="Q110" s="87" t="str">
        <f>IF($G$19="L",#REF!,"Not Required")</f>
        <v>Not Required</v>
      </c>
      <c r="R110" s="87" t="str">
        <f>IF($G$19="L",#REF!,"Not Required")</f>
        <v>Not Required</v>
      </c>
      <c r="S110" s="87" t="str">
        <f>IF($G$19="L",#REF!,"Not Required")</f>
        <v>Not Required</v>
      </c>
      <c r="T110" s="87" t="str">
        <f>IF($G$19="L",#REF!,"Not Required")</f>
        <v>Not Required</v>
      </c>
      <c r="U110" s="87" t="str">
        <f>IF($G$19="L",#REF!,"Not Required")</f>
        <v>Not Required</v>
      </c>
      <c r="V110" s="87" t="str">
        <f>IF($G$19="L",#REF!,"Not Required")</f>
        <v>Not Required</v>
      </c>
      <c r="W110" s="87" t="str">
        <f>IF($G$19="L",#REF!,"Not Required")</f>
        <v>Not Required</v>
      </c>
      <c r="X110" s="87" t="str">
        <f>IF($G$19="L",#REF!,"Not Required")</f>
        <v>Not Required</v>
      </c>
      <c r="Y110" s="87" t="str">
        <f>IF($G$19="L",#REF!,"Not Required")</f>
        <v>Not Required</v>
      </c>
      <c r="Z110" s="87" t="str">
        <f>IF($G$19="L",#REF!,"Not Required")</f>
        <v>Not Required</v>
      </c>
    </row>
    <row r="111" spans="1:26" s="12" customFormat="1" x14ac:dyDescent="0.25">
      <c r="B111" s="25"/>
      <c r="D111" s="9" t="s">
        <v>17</v>
      </c>
      <c r="E111" s="9"/>
      <c r="F111" s="9" t="s">
        <v>10</v>
      </c>
      <c r="G111" s="87">
        <f>IF($G$19="L",#REF!,G79)</f>
        <v>0</v>
      </c>
      <c r="H111" s="87">
        <f>IF($G$19="L",#REF!,H79)</f>
        <v>0</v>
      </c>
      <c r="I111" s="87">
        <f>IF($G$19="L",#REF!,I79)</f>
        <v>0</v>
      </c>
      <c r="J111" s="87">
        <f>IF($G$19="L",#REF!,J79)</f>
        <v>0</v>
      </c>
      <c r="K111" s="87">
        <f>IF($G$19="L",#REF!,K79)</f>
        <v>0</v>
      </c>
      <c r="L111" s="87">
        <f>IF($G$19="L",#REF!,L79)</f>
        <v>0</v>
      </c>
      <c r="M111" s="87">
        <f>IF($G$19="L",#REF!,M79)</f>
        <v>0</v>
      </c>
      <c r="N111" s="87">
        <f>IF($G$19="L",#REF!,N79)</f>
        <v>0</v>
      </c>
      <c r="O111" s="87">
        <f>IF($G$19="L",#REF!,O79)</f>
        <v>0</v>
      </c>
      <c r="P111" s="87">
        <f>IF($G$19="L",#REF!,P79)</f>
        <v>0</v>
      </c>
      <c r="Q111" s="87">
        <f>IF($G$19="L",#REF!,Q79)</f>
        <v>0</v>
      </c>
      <c r="R111" s="87">
        <f>IF($G$19="L",#REF!,R79)</f>
        <v>0</v>
      </c>
      <c r="S111" s="87">
        <f>IF($G$19="L",#REF!,S79)</f>
        <v>0</v>
      </c>
      <c r="T111" s="87">
        <f>IF($G$19="L",#REF!,T79)</f>
        <v>0</v>
      </c>
      <c r="U111" s="87">
        <f>IF($G$19="L",#REF!,U79)</f>
        <v>0</v>
      </c>
      <c r="V111" s="87">
        <f>IF($G$19="L",#REF!,V79)</f>
        <v>0</v>
      </c>
      <c r="W111" s="87">
        <f>IF($G$19="L",#REF!,W79)</f>
        <v>0</v>
      </c>
      <c r="X111" s="87">
        <f>IF($G$19="L",#REF!,X79)</f>
        <v>0</v>
      </c>
      <c r="Y111" s="87">
        <f>IF($G$19="L",#REF!,Y79)</f>
        <v>0</v>
      </c>
      <c r="Z111" s="87">
        <f>IF($G$19="L",#REF!,Z79)</f>
        <v>0</v>
      </c>
    </row>
    <row r="112" spans="1:26" s="12" customFormat="1" x14ac:dyDescent="0.25">
      <c r="B112" s="25"/>
      <c r="D112" s="9" t="s">
        <v>18</v>
      </c>
      <c r="E112" s="9"/>
      <c r="F112" s="9" t="s">
        <v>10</v>
      </c>
      <c r="G112" s="87">
        <f>IF($G$19="L",#REF!,G80)</f>
        <v>163.92</v>
      </c>
      <c r="H112" s="87">
        <f>IF($G$19="L",#REF!,H80)</f>
        <v>163.92</v>
      </c>
      <c r="I112" s="87">
        <f>IF($G$19="L",#REF!,I80)</f>
        <v>163.92</v>
      </c>
      <c r="J112" s="87">
        <f>IF($G$19="L",#REF!,J80)</f>
        <v>163.92</v>
      </c>
      <c r="K112" s="87">
        <f>IF($G$19="L",#REF!,K80)</f>
        <v>163.92</v>
      </c>
      <c r="L112" s="87">
        <f>IF($G$19="L",#REF!,L80)</f>
        <v>163.92</v>
      </c>
      <c r="M112" s="87">
        <f>IF($G$19="L",#REF!,M80)</f>
        <v>163.92</v>
      </c>
      <c r="N112" s="87">
        <f>IF($G$19="L",#REF!,N80)</f>
        <v>163.92</v>
      </c>
      <c r="O112" s="87">
        <f>IF($G$19="L",#REF!,O80)</f>
        <v>163.92</v>
      </c>
      <c r="P112" s="87">
        <f>IF($G$19="L",#REF!,P80)</f>
        <v>163.92</v>
      </c>
      <c r="Q112" s="87">
        <f>IF($G$19="L",#REF!,Q80)</f>
        <v>163.92</v>
      </c>
      <c r="R112" s="87">
        <f>IF($G$19="L",#REF!,R80)</f>
        <v>163.92</v>
      </c>
      <c r="S112" s="87">
        <f>IF($G$19="L",#REF!,S80)</f>
        <v>163.92</v>
      </c>
      <c r="T112" s="87">
        <f>IF($G$19="L",#REF!,T80)</f>
        <v>163.92</v>
      </c>
      <c r="U112" s="87">
        <f>IF($G$19="L",#REF!,U80)</f>
        <v>163.92</v>
      </c>
      <c r="V112" s="87">
        <f>IF($G$19="L",#REF!,V80)</f>
        <v>163.92</v>
      </c>
      <c r="W112" s="87">
        <f>IF($G$19="L",#REF!,W80)</f>
        <v>163.92</v>
      </c>
      <c r="X112" s="87">
        <f>IF($G$19="L",#REF!,X80)</f>
        <v>163.92</v>
      </c>
      <c r="Y112" s="87">
        <f>IF($G$19="L",#REF!,Y80)</f>
        <v>163.92</v>
      </c>
      <c r="Z112" s="87">
        <f>IF($G$19="L",#REF!,Z80)</f>
        <v>163.92</v>
      </c>
    </row>
    <row r="113" spans="1:26" s="12" customFormat="1" x14ac:dyDescent="0.25">
      <c r="B113" s="25"/>
      <c r="D113" s="9" t="s">
        <v>20</v>
      </c>
      <c r="E113" s="9"/>
      <c r="F113" s="9" t="s">
        <v>10</v>
      </c>
      <c r="G113" s="87">
        <f>IF($G$19="L",#REF!,G81)</f>
        <v>367.63636363636363</v>
      </c>
      <c r="H113" s="87">
        <f>IF($G$19="L",#REF!,H81)</f>
        <v>367.63636363636363</v>
      </c>
      <c r="I113" s="87">
        <f>IF($G$19="L",#REF!,I81)</f>
        <v>367.63636363636363</v>
      </c>
      <c r="J113" s="87">
        <f>IF($G$19="L",#REF!,J81)</f>
        <v>367.63636363636363</v>
      </c>
      <c r="K113" s="87">
        <f>IF($G$19="L",#REF!,K81)</f>
        <v>367.63636363636363</v>
      </c>
      <c r="L113" s="87">
        <f>IF($G$19="L",#REF!,L81)</f>
        <v>367.63636363636363</v>
      </c>
      <c r="M113" s="87">
        <f>IF($G$19="L",#REF!,M81)</f>
        <v>367.63636363636363</v>
      </c>
      <c r="N113" s="87">
        <f>IF($G$19="L",#REF!,N81)</f>
        <v>367.63636363636363</v>
      </c>
      <c r="O113" s="87">
        <f>IF($G$19="L",#REF!,O81)</f>
        <v>367.63636363636363</v>
      </c>
      <c r="P113" s="87">
        <f>IF($G$19="L",#REF!,P81)</f>
        <v>367.63636363636363</v>
      </c>
      <c r="Q113" s="87">
        <f>IF($G$19="L",#REF!,Q81)</f>
        <v>367.63636363636363</v>
      </c>
      <c r="R113" s="87">
        <f>IF($G$19="L",#REF!,R81)</f>
        <v>367.63636363636363</v>
      </c>
      <c r="S113" s="87">
        <f>IF($G$19="L",#REF!,S81)</f>
        <v>367.63636363636363</v>
      </c>
      <c r="T113" s="87">
        <f>IF($G$19="L",#REF!,T81)</f>
        <v>367.63636363636363</v>
      </c>
      <c r="U113" s="87">
        <f>IF($G$19="L",#REF!,U81)</f>
        <v>367.63636363636363</v>
      </c>
      <c r="V113" s="87">
        <f>IF($G$19="L",#REF!,V81)</f>
        <v>367.63636363636363</v>
      </c>
      <c r="W113" s="87">
        <f>IF($G$19="L",#REF!,W81)</f>
        <v>367.63636363636363</v>
      </c>
      <c r="X113" s="87">
        <f>IF($G$19="L",#REF!,X81)</f>
        <v>367.63636363636363</v>
      </c>
      <c r="Y113" s="87">
        <f>IF($G$19="L",#REF!,Y81)</f>
        <v>367.63636363636363</v>
      </c>
      <c r="Z113" s="87">
        <f>IF($G$19="L",#REF!,Z81)</f>
        <v>367.63636363636363</v>
      </c>
    </row>
    <row r="114" spans="1:26" s="12" customFormat="1" x14ac:dyDescent="0.25">
      <c r="B114" s="1"/>
      <c r="D114" s="9" t="s">
        <v>27</v>
      </c>
      <c r="E114" s="9"/>
      <c r="F114" s="9" t="s">
        <v>10</v>
      </c>
      <c r="G114" s="87">
        <f>IF($G$19="L",#REF!,G82)</f>
        <v>0</v>
      </c>
      <c r="H114" s="87">
        <f>IF($G$19="L",#REF!,H82)</f>
        <v>0</v>
      </c>
      <c r="I114" s="87">
        <f>IF($G$19="L",#REF!,I82)</f>
        <v>0</v>
      </c>
      <c r="J114" s="87">
        <f>IF($G$19="L",#REF!,J82)</f>
        <v>0</v>
      </c>
      <c r="K114" s="87">
        <f>IF($G$19="L",#REF!,K82)</f>
        <v>0</v>
      </c>
      <c r="L114" s="87">
        <f>IF($G$19="L",#REF!,L82)</f>
        <v>0</v>
      </c>
      <c r="M114" s="87">
        <f>IF($G$19="L",#REF!,M82)</f>
        <v>0</v>
      </c>
      <c r="N114" s="87">
        <f>IF($G$19="L",#REF!,N82)</f>
        <v>0</v>
      </c>
      <c r="O114" s="87">
        <f>IF($G$19="L",#REF!,O82)</f>
        <v>0</v>
      </c>
      <c r="P114" s="87">
        <f>IF($G$19="L",#REF!,P82)</f>
        <v>0</v>
      </c>
      <c r="Q114" s="87">
        <f>IF($G$19="L",#REF!,Q82)</f>
        <v>0</v>
      </c>
      <c r="R114" s="87">
        <f>IF($G$19="L",#REF!,R82)</f>
        <v>0</v>
      </c>
      <c r="S114" s="87">
        <f>IF($G$19="L",#REF!,S82)</f>
        <v>0</v>
      </c>
      <c r="T114" s="87">
        <f>IF($G$19="L",#REF!,T82)</f>
        <v>0</v>
      </c>
      <c r="U114" s="87">
        <f>IF($G$19="L",#REF!,U82)</f>
        <v>0</v>
      </c>
      <c r="V114" s="87">
        <f>IF($G$19="L",#REF!,V82)</f>
        <v>0</v>
      </c>
      <c r="W114" s="87">
        <f>IF($G$19="L",#REF!,W82)</f>
        <v>0</v>
      </c>
      <c r="X114" s="87">
        <f>IF($G$19="L",#REF!,X82)</f>
        <v>0</v>
      </c>
      <c r="Y114" s="87">
        <f>IF($G$19="L",#REF!,Y82)</f>
        <v>0</v>
      </c>
      <c r="Z114" s="87">
        <f>IF($G$19="L",#REF!,Z82)</f>
        <v>0</v>
      </c>
    </row>
    <row r="115" spans="1:26" s="12" customFormat="1" x14ac:dyDescent="0.25">
      <c r="B115" s="1"/>
      <c r="D115" s="9" t="s">
        <v>124</v>
      </c>
      <c r="E115" s="9"/>
      <c r="F115" s="9" t="s">
        <v>10</v>
      </c>
      <c r="G115" s="87">
        <f>IF($G$19="L",#REF!,G83)</f>
        <v>157.91999999999999</v>
      </c>
      <c r="H115" s="87">
        <f>IF($G$19="L",#REF!,H83)</f>
        <v>157.91999999999999</v>
      </c>
      <c r="I115" s="87">
        <f>IF($G$19="L",#REF!,I83)</f>
        <v>157.91999999999999</v>
      </c>
      <c r="J115" s="87">
        <f>IF($G$19="L",#REF!,J83)</f>
        <v>157.91999999999999</v>
      </c>
      <c r="K115" s="87">
        <f>IF($G$19="L",#REF!,K83)</f>
        <v>157.91999999999999</v>
      </c>
      <c r="L115" s="87">
        <f>IF($G$19="L",#REF!,L83)</f>
        <v>157.91999999999999</v>
      </c>
      <c r="M115" s="87">
        <f>IF($G$19="L",#REF!,M83)</f>
        <v>157.91999999999999</v>
      </c>
      <c r="N115" s="87">
        <f>IF($G$19="L",#REF!,N83)</f>
        <v>157.91999999999999</v>
      </c>
      <c r="O115" s="87">
        <f>IF($G$19="L",#REF!,O83)</f>
        <v>157.91999999999999</v>
      </c>
      <c r="P115" s="87">
        <f>IF($G$19="L",#REF!,P83)</f>
        <v>157.91999999999999</v>
      </c>
      <c r="Q115" s="87">
        <f>IF($G$19="L",#REF!,Q83)</f>
        <v>157.91999999999999</v>
      </c>
      <c r="R115" s="87">
        <f>IF($G$19="L",#REF!,R83)</f>
        <v>157.91999999999999</v>
      </c>
      <c r="S115" s="87">
        <f>IF($G$19="L",#REF!,S83)</f>
        <v>157.91999999999999</v>
      </c>
      <c r="T115" s="87">
        <f>IF($G$19="L",#REF!,T83)</f>
        <v>157.91999999999999</v>
      </c>
      <c r="U115" s="87">
        <f>IF($G$19="L",#REF!,U83)</f>
        <v>157.91999999999999</v>
      </c>
      <c r="V115" s="87">
        <f>IF($G$19="L",#REF!,V83)</f>
        <v>157.91999999999999</v>
      </c>
      <c r="W115" s="87">
        <f>IF($G$19="L",#REF!,W83)</f>
        <v>157.91999999999999</v>
      </c>
      <c r="X115" s="87">
        <f>IF($G$19="L",#REF!,X83)</f>
        <v>157.91999999999999</v>
      </c>
      <c r="Y115" s="87">
        <f>IF($G$19="L",#REF!,Y83)</f>
        <v>157.91999999999999</v>
      </c>
      <c r="Z115" s="87">
        <f>IF($G$19="L",#REF!,Z83)</f>
        <v>157.91999999999999</v>
      </c>
    </row>
    <row r="116" spans="1:26" s="12" customFormat="1" x14ac:dyDescent="0.25">
      <c r="B116" s="1"/>
      <c r="D116" s="9" t="s">
        <v>125</v>
      </c>
      <c r="E116" s="9"/>
      <c r="F116" s="9" t="s">
        <v>10</v>
      </c>
      <c r="G116" s="87">
        <f>IF($G$19="L",#REF!,G84)</f>
        <v>460.08000000000004</v>
      </c>
      <c r="H116" s="87">
        <f>IF($G$19="L",#REF!,H84)</f>
        <v>460.08000000000004</v>
      </c>
      <c r="I116" s="87">
        <f>IF($G$19="L",#REF!,I84)</f>
        <v>460.08000000000004</v>
      </c>
      <c r="J116" s="87">
        <f>IF($G$19="L",#REF!,J84)</f>
        <v>460.08000000000004</v>
      </c>
      <c r="K116" s="87">
        <f>IF($G$19="L",#REF!,K84)</f>
        <v>460.08000000000004</v>
      </c>
      <c r="L116" s="87">
        <f>IF($G$19="L",#REF!,L84)</f>
        <v>460.08000000000004</v>
      </c>
      <c r="M116" s="87">
        <f>IF($G$19="L",#REF!,M84)</f>
        <v>460.08000000000004</v>
      </c>
      <c r="N116" s="87">
        <f>IF($G$19="L",#REF!,N84)</f>
        <v>460.08000000000004</v>
      </c>
      <c r="O116" s="87">
        <f>IF($G$19="L",#REF!,O84)</f>
        <v>460.08000000000004</v>
      </c>
      <c r="P116" s="87">
        <f>IF($G$19="L",#REF!,P84)</f>
        <v>460.08000000000004</v>
      </c>
      <c r="Q116" s="87">
        <f>IF($G$19="L",#REF!,Q84)</f>
        <v>460.08000000000004</v>
      </c>
      <c r="R116" s="87">
        <f>IF($G$19="L",#REF!,R84)</f>
        <v>460.08000000000004</v>
      </c>
      <c r="S116" s="87">
        <f>IF($G$19="L",#REF!,S84)</f>
        <v>460.08000000000004</v>
      </c>
      <c r="T116" s="87">
        <f>IF($G$19="L",#REF!,T84)</f>
        <v>460.08000000000004</v>
      </c>
      <c r="U116" s="87">
        <f>IF($G$19="L",#REF!,U84)</f>
        <v>460.08000000000004</v>
      </c>
      <c r="V116" s="87">
        <f>IF($G$19="L",#REF!,V84)</f>
        <v>460.08000000000004</v>
      </c>
      <c r="W116" s="87">
        <f>IF($G$19="L",#REF!,W84)</f>
        <v>460.08000000000004</v>
      </c>
      <c r="X116" s="87">
        <f>IF($G$19="L",#REF!,X84)</f>
        <v>460.08000000000004</v>
      </c>
      <c r="Y116" s="87">
        <f>IF($G$19="L",#REF!,Y84)</f>
        <v>460.08000000000004</v>
      </c>
      <c r="Z116" s="87">
        <f>IF($G$19="L",#REF!,Z84)</f>
        <v>460.08000000000004</v>
      </c>
    </row>
    <row r="117" spans="1:26" s="12" customFormat="1" ht="15" customHeight="1" x14ac:dyDescent="0.25">
      <c r="B117" s="1"/>
      <c r="D117" s="9" t="s">
        <v>208</v>
      </c>
      <c r="E117" s="9"/>
      <c r="F117" s="9" t="s">
        <v>16</v>
      </c>
      <c r="G117" s="90">
        <f>IF($G$19="L",#REF!,G77)</f>
        <v>6600</v>
      </c>
      <c r="H117" s="90">
        <f>IF($G$19="L",#REF!,H77)</f>
        <v>6600</v>
      </c>
      <c r="I117" s="90">
        <f>IF($G$19="L",#REF!,I77)</f>
        <v>6600</v>
      </c>
      <c r="J117" s="90">
        <f>IF($G$19="L",#REF!,J77)</f>
        <v>6600</v>
      </c>
      <c r="K117" s="90">
        <f>IF($G$19="L",#REF!,K77)</f>
        <v>6600</v>
      </c>
      <c r="L117" s="90">
        <f>IF($G$19="L",#REF!,L77)</f>
        <v>6600</v>
      </c>
      <c r="M117" s="90">
        <f>IF($G$19="L",#REF!,M77)</f>
        <v>6600</v>
      </c>
      <c r="N117" s="90">
        <f>IF($G$19="L",#REF!,N77)</f>
        <v>6600</v>
      </c>
      <c r="O117" s="90">
        <f>IF($G$19="L",#REF!,O77)</f>
        <v>6600</v>
      </c>
      <c r="P117" s="90">
        <f>IF($G$19="L",#REF!,P77)</f>
        <v>6600</v>
      </c>
      <c r="Q117" s="90">
        <f>IF($G$19="L",#REF!,Q77)</f>
        <v>6600</v>
      </c>
      <c r="R117" s="90">
        <f>IF($G$19="L",#REF!,R77)</f>
        <v>6600</v>
      </c>
      <c r="S117" s="90">
        <f>IF($G$19="L",#REF!,S77)</f>
        <v>6600</v>
      </c>
      <c r="T117" s="90">
        <f>IF($G$19="L",#REF!,T77)</f>
        <v>6600</v>
      </c>
      <c r="U117" s="90">
        <f>IF($G$19="L",#REF!,U77)</f>
        <v>6600</v>
      </c>
      <c r="V117" s="90">
        <f>IF($G$19="L",#REF!,V77)</f>
        <v>6600</v>
      </c>
      <c r="W117" s="90">
        <f>IF($G$19="L",#REF!,W77)</f>
        <v>6600</v>
      </c>
      <c r="X117" s="90">
        <f>IF($G$19="L",#REF!,X77)</f>
        <v>6600</v>
      </c>
      <c r="Y117" s="90">
        <f>IF($G$19="L",#REF!,Y77)</f>
        <v>6600</v>
      </c>
      <c r="Z117" s="90">
        <f>IF($G$19="L",#REF!,Z77)</f>
        <v>6600</v>
      </c>
    </row>
    <row r="118" spans="1:26" s="12" customFormat="1" ht="15" customHeight="1" x14ac:dyDescent="0.25">
      <c r="B118" s="1"/>
      <c r="D118" s="9" t="s">
        <v>41</v>
      </c>
      <c r="E118" s="9"/>
      <c r="F118" s="9" t="s">
        <v>16</v>
      </c>
      <c r="G118" s="90">
        <f>IF($G$19="L",#REF!,G77)</f>
        <v>6600</v>
      </c>
      <c r="H118" s="90">
        <f>IF($G$19="L",#REF!,H77)</f>
        <v>6600</v>
      </c>
      <c r="I118" s="90">
        <f>IF($G$19="L",#REF!,I77)</f>
        <v>6600</v>
      </c>
      <c r="J118" s="90">
        <f>IF($G$19="L",#REF!,J77)</f>
        <v>6600</v>
      </c>
      <c r="K118" s="90">
        <f>IF($G$19="L",#REF!,K77)</f>
        <v>6600</v>
      </c>
      <c r="L118" s="90">
        <f>IF($G$19="L",#REF!,L77)</f>
        <v>6600</v>
      </c>
      <c r="M118" s="90">
        <f>IF($G$19="L",#REF!,M77)</f>
        <v>6600</v>
      </c>
      <c r="N118" s="90">
        <f>IF($G$19="L",#REF!,N77)</f>
        <v>6600</v>
      </c>
      <c r="O118" s="90">
        <f>IF($G$19="L",#REF!,O77)</f>
        <v>6600</v>
      </c>
      <c r="P118" s="90">
        <f>IF($G$19="L",#REF!,P77)</f>
        <v>6600</v>
      </c>
      <c r="Q118" s="90">
        <f>IF($G$19="L",#REF!,Q77)</f>
        <v>6600</v>
      </c>
      <c r="R118" s="90">
        <f>IF($G$19="L",#REF!,R77)</f>
        <v>6600</v>
      </c>
      <c r="S118" s="90">
        <f>IF($G$19="L",#REF!,S77)</f>
        <v>6600</v>
      </c>
      <c r="T118" s="90">
        <f>IF($G$19="L",#REF!,T77)</f>
        <v>6600</v>
      </c>
      <c r="U118" s="90">
        <f>IF($G$19="L",#REF!,U77)</f>
        <v>6600</v>
      </c>
      <c r="V118" s="90">
        <f>IF($G$19="L",#REF!,V77)</f>
        <v>6600</v>
      </c>
      <c r="W118" s="90">
        <f>IF($G$19="L",#REF!,W77)</f>
        <v>6600</v>
      </c>
      <c r="X118" s="90">
        <f>IF($G$19="L",#REF!,X77)</f>
        <v>6600</v>
      </c>
      <c r="Y118" s="90">
        <f>IF($G$19="L",#REF!,Y77)</f>
        <v>6600</v>
      </c>
      <c r="Z118" s="90">
        <f>IF($G$19="L",#REF!,Z77)</f>
        <v>6600</v>
      </c>
    </row>
    <row r="119" spans="1:26" s="12" customFormat="1" ht="15" customHeight="1" x14ac:dyDescent="0.25">
      <c r="B119" s="1"/>
      <c r="D119" s="9" t="s">
        <v>22</v>
      </c>
      <c r="E119" s="9"/>
      <c r="F119" s="9" t="s">
        <v>16</v>
      </c>
      <c r="G119" s="90">
        <f>IF($G$19="L",#REF!,G76)</f>
        <v>1200</v>
      </c>
      <c r="H119" s="90">
        <f>IF($G$19="L",#REF!,H76)</f>
        <v>1200</v>
      </c>
      <c r="I119" s="90">
        <f>IF($G$19="L",#REF!,I76)</f>
        <v>1200</v>
      </c>
      <c r="J119" s="90">
        <f>IF($G$19="L",#REF!,J76)</f>
        <v>1200</v>
      </c>
      <c r="K119" s="90">
        <f>IF($G$19="L",#REF!,K76)</f>
        <v>1200</v>
      </c>
      <c r="L119" s="90">
        <f>IF($G$19="L",#REF!,L76)</f>
        <v>1200</v>
      </c>
      <c r="M119" s="90">
        <f>IF($G$19="L",#REF!,M76)</f>
        <v>1200</v>
      </c>
      <c r="N119" s="90">
        <f>IF($G$19="L",#REF!,N76)</f>
        <v>1200</v>
      </c>
      <c r="O119" s="90">
        <f>IF($G$19="L",#REF!,O76)</f>
        <v>1200</v>
      </c>
      <c r="P119" s="90">
        <f>IF($G$19="L",#REF!,P76)</f>
        <v>1200</v>
      </c>
      <c r="Q119" s="90">
        <f>IF($G$19="L",#REF!,Q76)</f>
        <v>1200</v>
      </c>
      <c r="R119" s="90">
        <f>IF($G$19="L",#REF!,R76)</f>
        <v>1200</v>
      </c>
      <c r="S119" s="90">
        <f>IF($G$19="L",#REF!,S76)</f>
        <v>1200</v>
      </c>
      <c r="T119" s="90">
        <f>IF($G$19="L",#REF!,T76)</f>
        <v>1200</v>
      </c>
      <c r="U119" s="90">
        <f>IF($G$19="L",#REF!,U76)</f>
        <v>1200</v>
      </c>
      <c r="V119" s="90">
        <f>IF($G$19="L",#REF!,V76)</f>
        <v>1200</v>
      </c>
      <c r="W119" s="90">
        <f>IF($G$19="L",#REF!,W76)</f>
        <v>1200</v>
      </c>
      <c r="X119" s="90">
        <f>IF($G$19="L",#REF!,X76)</f>
        <v>1200</v>
      </c>
      <c r="Y119" s="90">
        <f>IF($G$19="L",#REF!,Y76)</f>
        <v>1200</v>
      </c>
      <c r="Z119" s="90">
        <f>IF($G$19="L",#REF!,Z76)</f>
        <v>1200</v>
      </c>
    </row>
    <row r="120" spans="1:26" s="12" customFormat="1" ht="15" customHeight="1" x14ac:dyDescent="0.25">
      <c r="B120" s="1"/>
      <c r="D120" s="9" t="s">
        <v>7</v>
      </c>
      <c r="E120" s="9"/>
      <c r="F120" s="9" t="s">
        <v>12</v>
      </c>
      <c r="G120" s="90">
        <f t="shared" ref="G120:H120" si="240">IF($G$19="L",G78,G78)</f>
        <v>15000</v>
      </c>
      <c r="H120" s="90">
        <f t="shared" si="240"/>
        <v>15000</v>
      </c>
      <c r="I120" s="90">
        <f t="shared" ref="I120:L120" si="241">IF($G$19="L",I78,I78)</f>
        <v>15000</v>
      </c>
      <c r="J120" s="90">
        <f t="shared" si="241"/>
        <v>15000</v>
      </c>
      <c r="K120" s="90">
        <f t="shared" si="241"/>
        <v>15000</v>
      </c>
      <c r="L120" s="90">
        <f t="shared" si="241"/>
        <v>15000</v>
      </c>
      <c r="M120" s="90">
        <f t="shared" ref="M120:P120" si="242">IF($G$19="L",M78,M78)</f>
        <v>15000</v>
      </c>
      <c r="N120" s="90">
        <f t="shared" si="242"/>
        <v>15000</v>
      </c>
      <c r="O120" s="90">
        <f t="shared" si="242"/>
        <v>15000</v>
      </c>
      <c r="P120" s="90">
        <f t="shared" si="242"/>
        <v>15000</v>
      </c>
      <c r="Q120" s="90">
        <f t="shared" ref="Q120:T120" si="243">IF($G$19="L",Q78,Q78)</f>
        <v>15000</v>
      </c>
      <c r="R120" s="90">
        <f t="shared" si="243"/>
        <v>15000</v>
      </c>
      <c r="S120" s="90">
        <f t="shared" si="243"/>
        <v>15000</v>
      </c>
      <c r="T120" s="90">
        <f t="shared" si="243"/>
        <v>15000</v>
      </c>
      <c r="U120" s="90">
        <f t="shared" ref="U120:X120" si="244">IF($G$19="L",U78,U78)</f>
        <v>15000</v>
      </c>
      <c r="V120" s="90">
        <f t="shared" si="244"/>
        <v>15000</v>
      </c>
      <c r="W120" s="90">
        <f t="shared" si="244"/>
        <v>15000</v>
      </c>
      <c r="X120" s="90">
        <f t="shared" si="244"/>
        <v>15000</v>
      </c>
      <c r="Y120" s="90">
        <f t="shared" ref="Y120:Z120" si="245">IF($G$19="L",Y78,Y78)</f>
        <v>15000</v>
      </c>
      <c r="Z120" s="90">
        <f t="shared" si="245"/>
        <v>15000</v>
      </c>
    </row>
    <row r="121" spans="1:26" s="12" customFormat="1" ht="15" customHeight="1" x14ac:dyDescent="0.25">
      <c r="B121" s="1"/>
      <c r="D121" s="9" t="s">
        <v>42</v>
      </c>
      <c r="E121" s="9"/>
      <c r="F121" s="9" t="s">
        <v>23</v>
      </c>
      <c r="G121" s="91">
        <f>IF($G$19="L",#REF!,G85)</f>
        <v>1081321184</v>
      </c>
      <c r="H121" s="91">
        <f>IF($G$19="L",#REF!,H85)</f>
        <v>1081321184</v>
      </c>
      <c r="I121" s="91">
        <f>IF($G$19="L",#REF!,I85)</f>
        <v>1081321184</v>
      </c>
      <c r="J121" s="91">
        <f>IF($G$19="L",#REF!,J85)</f>
        <v>1081321184</v>
      </c>
      <c r="K121" s="91">
        <f>IF($G$19="L",#REF!,K85)</f>
        <v>1081321184</v>
      </c>
      <c r="L121" s="91">
        <f>IF($G$19="L",#REF!,L85)</f>
        <v>1081321184</v>
      </c>
      <c r="M121" s="91">
        <f>IF($G$19="L",#REF!,M85)</f>
        <v>1081321184</v>
      </c>
      <c r="N121" s="91">
        <f>IF($G$19="L",#REF!,N85)</f>
        <v>1081321184</v>
      </c>
      <c r="O121" s="91">
        <f>IF($G$19="L",#REF!,O85)</f>
        <v>1081321184</v>
      </c>
      <c r="P121" s="91">
        <f>IF($G$19="L",#REF!,P85)</f>
        <v>1081321184</v>
      </c>
      <c r="Q121" s="91">
        <f>IF($G$19="L",#REF!,Q85)</f>
        <v>1081321184</v>
      </c>
      <c r="R121" s="91">
        <f>IF($G$19="L",#REF!,R85)</f>
        <v>1081321184</v>
      </c>
      <c r="S121" s="91">
        <f>IF($G$19="L",#REF!,S85)</f>
        <v>1081321184</v>
      </c>
      <c r="T121" s="91">
        <f>IF($G$19="L",#REF!,T85)</f>
        <v>1081321184</v>
      </c>
      <c r="U121" s="91">
        <f>IF($G$19="L",#REF!,U85)</f>
        <v>1081321184</v>
      </c>
      <c r="V121" s="91">
        <f>IF($G$19="L",#REF!,V85)</f>
        <v>1081321184</v>
      </c>
      <c r="W121" s="91">
        <f>IF($G$19="L",#REF!,W85)</f>
        <v>1081321184</v>
      </c>
      <c r="X121" s="91">
        <f>IF($G$19="L",#REF!,X85)</f>
        <v>1081321184</v>
      </c>
      <c r="Y121" s="91">
        <f>IF($G$19="L",#REF!,Y85)</f>
        <v>1081321184</v>
      </c>
      <c r="Z121" s="91">
        <f>IF($G$19="L",#REF!,Z85)</f>
        <v>1081321184</v>
      </c>
    </row>
    <row r="122" spans="1:26" s="12" customFormat="1" ht="15" customHeight="1" x14ac:dyDescent="0.25">
      <c r="B122" s="1"/>
      <c r="D122" s="9" t="s">
        <v>177</v>
      </c>
      <c r="E122" s="9"/>
      <c r="F122" s="9" t="s">
        <v>23</v>
      </c>
      <c r="G122" s="91">
        <f>IF($G$19="L",#REF!,G86)</f>
        <v>3333333.333333333</v>
      </c>
      <c r="H122" s="91">
        <f>IF($G$19="L",#REF!,H86)</f>
        <v>2000000</v>
      </c>
      <c r="I122" s="91">
        <f>IF($G$19="L",#REF!,I86)</f>
        <v>3333333.333333333</v>
      </c>
      <c r="J122" s="91">
        <f>IF($G$19="L",#REF!,J86)</f>
        <v>3333333.333333333</v>
      </c>
      <c r="K122" s="91">
        <f>IF($G$19="L",#REF!,K86)</f>
        <v>3333333.333333333</v>
      </c>
      <c r="L122" s="91">
        <f>IF($G$19="L",#REF!,L86)</f>
        <v>2000000</v>
      </c>
      <c r="M122" s="91">
        <f>IF($G$19="L",#REF!,M86)</f>
        <v>3333333.333333333</v>
      </c>
      <c r="N122" s="91">
        <f>IF($G$19="L",#REF!,N86)</f>
        <v>3333333.333333333</v>
      </c>
      <c r="O122" s="91">
        <f>IF($G$19="L",#REF!,O86)</f>
        <v>3333333.333333333</v>
      </c>
      <c r="P122" s="91">
        <f>IF($G$19="L",#REF!,P86)</f>
        <v>2000000</v>
      </c>
      <c r="Q122" s="91">
        <f>IF($G$19="L",#REF!,Q86)</f>
        <v>3333333.333333333</v>
      </c>
      <c r="R122" s="91">
        <f>IF($G$19="L",#REF!,R86)</f>
        <v>3333333.333333333</v>
      </c>
      <c r="S122" s="91">
        <f>IF($G$19="L",#REF!,S86)</f>
        <v>3333333.333333333</v>
      </c>
      <c r="T122" s="91">
        <f>IF($G$19="L",#REF!,T86)</f>
        <v>2000000</v>
      </c>
      <c r="U122" s="91">
        <f>IF($G$19="L",#REF!,U86)</f>
        <v>3333333.333333333</v>
      </c>
      <c r="V122" s="91">
        <f>IF($G$19="L",#REF!,V86)</f>
        <v>3333333.333333333</v>
      </c>
      <c r="W122" s="91">
        <f>IF($G$19="L",#REF!,W86)</f>
        <v>3333333.333333333</v>
      </c>
      <c r="X122" s="91">
        <f>IF($G$19="L",#REF!,X86)</f>
        <v>2000000</v>
      </c>
      <c r="Y122" s="91">
        <f>IF($G$19="L",#REF!,Y86)</f>
        <v>3333333.333333333</v>
      </c>
      <c r="Z122" s="91">
        <f>IF($G$19="L",#REF!,Z86)</f>
        <v>3333333.333333333</v>
      </c>
    </row>
    <row r="123" spans="1:26" s="12" customFormat="1" ht="15" customHeight="1" x14ac:dyDescent="0.25">
      <c r="B123" s="1"/>
      <c r="D123" s="9" t="s">
        <v>46</v>
      </c>
      <c r="E123" s="9"/>
      <c r="F123" s="9" t="s">
        <v>10</v>
      </c>
      <c r="G123" s="87">
        <f>IF($G$19="L",#REF!,G87)</f>
        <v>268.49223253817479</v>
      </c>
      <c r="H123" s="87">
        <f>IF($G$19="L",#REF!,H87)</f>
        <v>268.49223253817479</v>
      </c>
      <c r="I123" s="87">
        <f>IF($G$19="L",#REF!,I87)</f>
        <v>268.49223253817479</v>
      </c>
      <c r="J123" s="87">
        <f>IF($G$19="L",#REF!,J87)</f>
        <v>268.49223253817479</v>
      </c>
      <c r="K123" s="87">
        <f>IF($G$19="L",#REF!,K87)</f>
        <v>268.49223253817479</v>
      </c>
      <c r="L123" s="87">
        <f>IF($G$19="L",#REF!,L87)</f>
        <v>268.49223253817479</v>
      </c>
      <c r="M123" s="87">
        <f>IF($G$19="L",#REF!,M87)</f>
        <v>268.49223253817479</v>
      </c>
      <c r="N123" s="87">
        <f>IF($G$19="L",#REF!,N87)</f>
        <v>268.49223253817479</v>
      </c>
      <c r="O123" s="87">
        <f>IF($G$19="L",#REF!,O87)</f>
        <v>268.49223253817479</v>
      </c>
      <c r="P123" s="87">
        <f>IF($G$19="L",#REF!,P87)</f>
        <v>268.49223253817479</v>
      </c>
      <c r="Q123" s="87">
        <f>IF($G$19="L",#REF!,Q87)</f>
        <v>268.49223253817479</v>
      </c>
      <c r="R123" s="87">
        <f>IF($G$19="L",#REF!,R87)</f>
        <v>268.49223253817479</v>
      </c>
      <c r="S123" s="87">
        <f>IF($G$19="L",#REF!,S87)</f>
        <v>268.49223253817479</v>
      </c>
      <c r="T123" s="87">
        <f>IF($G$19="L",#REF!,T87)</f>
        <v>268.49223253817479</v>
      </c>
      <c r="U123" s="87">
        <f>IF($G$19="L",#REF!,U87)</f>
        <v>268.49223253817479</v>
      </c>
      <c r="V123" s="87">
        <f>IF($G$19="L",#REF!,V87)</f>
        <v>268.49223253817479</v>
      </c>
      <c r="W123" s="87">
        <f>IF($G$19="L",#REF!,W87)</f>
        <v>268.49223253817479</v>
      </c>
      <c r="X123" s="87">
        <f>IF($G$19="L",#REF!,X87)</f>
        <v>268.49223253817479</v>
      </c>
      <c r="Y123" s="87">
        <f>IF($G$19="L",#REF!,Y87)</f>
        <v>268.49223253817479</v>
      </c>
      <c r="Z123" s="87">
        <f>IF($G$19="L",#REF!,Z87)</f>
        <v>268.49223253817479</v>
      </c>
    </row>
    <row r="124" spans="1:26" s="12" customFormat="1" x14ac:dyDescent="0.25">
      <c r="A124" s="1"/>
      <c r="B124" s="1"/>
      <c r="D124" s="9" t="s">
        <v>219</v>
      </c>
      <c r="E124" s="9"/>
      <c r="F124" s="9" t="s">
        <v>23</v>
      </c>
      <c r="G124" s="91">
        <f>IF($G$19="L",#REF!,G88)</f>
        <v>1081321184</v>
      </c>
      <c r="H124" s="91">
        <f>IF($G$19="L",#REF!,H88)</f>
        <v>1081321184</v>
      </c>
      <c r="I124" s="91">
        <f>IF($G$19="L",#REF!,I88)</f>
        <v>1081321184</v>
      </c>
      <c r="J124" s="91">
        <f>IF($G$19="L",#REF!,J88)</f>
        <v>1081321184</v>
      </c>
      <c r="K124" s="91">
        <f>IF($G$19="L",#REF!,K88)</f>
        <v>1081321184</v>
      </c>
      <c r="L124" s="91">
        <f>IF($G$19="L",#REF!,L88)</f>
        <v>1081321184</v>
      </c>
      <c r="M124" s="91">
        <f>IF($G$19="L",#REF!,M88)</f>
        <v>1081321184</v>
      </c>
      <c r="N124" s="91">
        <f>IF($G$19="L",#REF!,N88)</f>
        <v>1081321184</v>
      </c>
      <c r="O124" s="91">
        <f>IF($G$19="L",#REF!,O88)</f>
        <v>1081321184</v>
      </c>
      <c r="P124" s="91">
        <f>IF($G$19="L",#REF!,P88)</f>
        <v>1081321184</v>
      </c>
      <c r="Q124" s="91">
        <f>IF($G$19="L",#REF!,Q88)</f>
        <v>1081321184</v>
      </c>
      <c r="R124" s="91">
        <f>IF($G$19="L",#REF!,R88)</f>
        <v>1081321184</v>
      </c>
      <c r="S124" s="91">
        <f>IF($G$19="L",#REF!,S88)</f>
        <v>1081321184</v>
      </c>
      <c r="T124" s="91">
        <f>IF($G$19="L",#REF!,T88)</f>
        <v>1081321184</v>
      </c>
      <c r="U124" s="91">
        <f>IF($G$19="L",#REF!,U88)</f>
        <v>1081321184</v>
      </c>
      <c r="V124" s="91">
        <f>IF($G$19="L",#REF!,V88)</f>
        <v>1081321184</v>
      </c>
      <c r="W124" s="91">
        <f>IF($G$19="L",#REF!,W88)</f>
        <v>1081321184</v>
      </c>
      <c r="X124" s="91">
        <f>IF($G$19="L",#REF!,X88)</f>
        <v>1081321184</v>
      </c>
      <c r="Y124" s="91">
        <f>IF($G$19="L",#REF!,Y88)</f>
        <v>1081321184</v>
      </c>
      <c r="Z124" s="91">
        <f>IF($G$19="L",#REF!,Z88)</f>
        <v>1081321184</v>
      </c>
    </row>
    <row r="125" spans="1:26" s="12" customFormat="1" x14ac:dyDescent="0.25">
      <c r="A125" s="1"/>
      <c r="B125" s="3"/>
      <c r="C125" s="25"/>
      <c r="D125" s="9" t="s">
        <v>178</v>
      </c>
      <c r="E125" s="9"/>
      <c r="F125" s="9" t="s">
        <v>23</v>
      </c>
      <c r="G125" s="91">
        <f t="shared" ref="G125:H125" si="246">G17^3*G16/10.9</f>
        <v>110972.47706422018</v>
      </c>
      <c r="H125" s="91">
        <f t="shared" si="246"/>
        <v>110972.47706422018</v>
      </c>
      <c r="I125" s="91">
        <f t="shared" ref="I125:L125" si="247">I17^3*I16/10.9</f>
        <v>110972.47706422018</v>
      </c>
      <c r="J125" s="91">
        <f t="shared" si="247"/>
        <v>110972.47706422018</v>
      </c>
      <c r="K125" s="91">
        <f t="shared" si="247"/>
        <v>110972.47706422018</v>
      </c>
      <c r="L125" s="91">
        <f t="shared" si="247"/>
        <v>110972.47706422018</v>
      </c>
      <c r="M125" s="91">
        <f t="shared" ref="M125:P125" si="248">M17^3*M16/10.9</f>
        <v>110972.47706422018</v>
      </c>
      <c r="N125" s="91">
        <f t="shared" si="248"/>
        <v>110972.47706422018</v>
      </c>
      <c r="O125" s="91">
        <f t="shared" si="248"/>
        <v>110972.47706422018</v>
      </c>
      <c r="P125" s="91">
        <f t="shared" si="248"/>
        <v>110972.47706422018</v>
      </c>
      <c r="Q125" s="91">
        <f t="shared" ref="Q125:T125" si="249">Q17^3*Q16/10.9</f>
        <v>110972.47706422018</v>
      </c>
      <c r="R125" s="91">
        <f t="shared" si="249"/>
        <v>110972.47706422018</v>
      </c>
      <c r="S125" s="91">
        <f t="shared" si="249"/>
        <v>110972.47706422018</v>
      </c>
      <c r="T125" s="91">
        <f t="shared" si="249"/>
        <v>110972.47706422018</v>
      </c>
      <c r="U125" s="91">
        <f t="shared" ref="U125:X125" si="250">U17^3*U16/10.9</f>
        <v>110972.47706422018</v>
      </c>
      <c r="V125" s="91">
        <f t="shared" si="250"/>
        <v>110972.47706422018</v>
      </c>
      <c r="W125" s="91">
        <f t="shared" si="250"/>
        <v>110972.47706422018</v>
      </c>
      <c r="X125" s="91">
        <f t="shared" si="250"/>
        <v>110972.47706422018</v>
      </c>
      <c r="Y125" s="91">
        <f t="shared" ref="Y125:Z125" si="251">Y17^3*Y16/10.9</f>
        <v>110972.47706422018</v>
      </c>
      <c r="Z125" s="91">
        <f t="shared" si="251"/>
        <v>110972.47706422018</v>
      </c>
    </row>
    <row r="126" spans="1:26" s="12" customFormat="1" x14ac:dyDescent="0.25">
      <c r="A126" s="1"/>
      <c r="B126" s="1"/>
      <c r="C126" s="1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s="12" customFormat="1" ht="21" x14ac:dyDescent="0.35">
      <c r="A127" s="1"/>
      <c r="B127" s="1"/>
      <c r="C127" s="1"/>
      <c r="D127" s="28" t="s">
        <v>263</v>
      </c>
      <c r="E127" s="9"/>
      <c r="F127" s="10"/>
    </row>
    <row r="128" spans="1:26" s="12" customFormat="1" x14ac:dyDescent="0.25">
      <c r="A128" s="1" t="s">
        <v>58</v>
      </c>
      <c r="B128" s="1"/>
      <c r="C128" s="27" t="s">
        <v>52</v>
      </c>
      <c r="D128" s="29" t="s">
        <v>100</v>
      </c>
      <c r="E128" s="9"/>
      <c r="F128" s="9" t="s">
        <v>25</v>
      </c>
      <c r="G128" s="92">
        <f t="shared" ref="G128:H128" si="252">SQRT(G39^2+G41^2-G39*G41+3*G43^2)</f>
        <v>42.924422115205644</v>
      </c>
      <c r="H128" s="92">
        <f t="shared" si="252"/>
        <v>8.8695431731369911</v>
      </c>
      <c r="I128" s="92">
        <f t="shared" ref="I128:L128" si="253">SQRT(I39^2+I41^2-I39*I41+3*I43^2)</f>
        <v>22.994418863007866</v>
      </c>
      <c r="J128" s="92">
        <f t="shared" si="253"/>
        <v>55.811095317519928</v>
      </c>
      <c r="K128" s="92">
        <f t="shared" si="253"/>
        <v>45.373674444560926</v>
      </c>
      <c r="L128" s="92">
        <f t="shared" si="253"/>
        <v>9.362332398988567</v>
      </c>
      <c r="M128" s="92">
        <f t="shared" ref="M128:P128" si="254">SQRT(M39^2+M41^2-M39*M41+3*M43^2)</f>
        <v>25.927280770830926</v>
      </c>
      <c r="N128" s="92">
        <f t="shared" si="254"/>
        <v>55.579578972428997</v>
      </c>
      <c r="O128" s="92">
        <f t="shared" si="254"/>
        <v>47.834313589397567</v>
      </c>
      <c r="P128" s="92">
        <f t="shared" si="254"/>
        <v>9.8666505522143115</v>
      </c>
      <c r="Q128" s="92">
        <f t="shared" ref="Q128:T128" si="255">SQRT(Q39^2+Q41^2-Q39*Q41+3*Q43^2)</f>
        <v>31.413133941691445</v>
      </c>
      <c r="R128" s="92">
        <f t="shared" si="255"/>
        <v>55.413189023277702</v>
      </c>
      <c r="S128" s="92">
        <f t="shared" si="255"/>
        <v>50.31600710650622</v>
      </c>
      <c r="T128" s="92">
        <f t="shared" si="255"/>
        <v>10.31996337575071</v>
      </c>
      <c r="U128" s="92">
        <f t="shared" ref="U128:X128" si="256">SQRT(U39^2+U41^2-U39*U41+3*U43^2)</f>
        <v>37.118083465271376</v>
      </c>
      <c r="V128" s="92">
        <f t="shared" si="256"/>
        <v>55.193010154919058</v>
      </c>
      <c r="W128" s="92">
        <f t="shared" si="256"/>
        <v>52.802554784883604</v>
      </c>
      <c r="X128" s="92">
        <f t="shared" si="256"/>
        <v>10.814793546648776</v>
      </c>
      <c r="Y128" s="92">
        <f t="shared" ref="Y128:Z128" si="257">SQRT(Y39^2+Y41^2-Y39*Y41+3*Y43^2)</f>
        <v>42.741301347229182</v>
      </c>
      <c r="Z128" s="92">
        <f t="shared" si="257"/>
        <v>55.037328726606148</v>
      </c>
    </row>
    <row r="129" spans="1:26" s="12" customFormat="1" x14ac:dyDescent="0.25">
      <c r="A129" s="1" t="s">
        <v>62</v>
      </c>
      <c r="B129" s="1"/>
      <c r="C129" s="27" t="s">
        <v>52</v>
      </c>
      <c r="D129" s="29" t="s">
        <v>15</v>
      </c>
      <c r="E129" s="9"/>
      <c r="F129" s="9" t="s">
        <v>5</v>
      </c>
      <c r="G129" s="9">
        <f t="shared" ref="G129:H129" si="258">2-(G16/G24)</f>
        <v>1.6860986547085202</v>
      </c>
      <c r="H129" s="9">
        <f t="shared" si="258"/>
        <v>1.7627118644067796</v>
      </c>
      <c r="I129" s="9">
        <f t="shared" ref="I129:L129" si="259">2-(I16/I24)</f>
        <v>1.6860986547085202</v>
      </c>
      <c r="J129" s="9">
        <f t="shared" si="259"/>
        <v>1.6860986547085202</v>
      </c>
      <c r="K129" s="9">
        <f t="shared" si="259"/>
        <v>1.6860986547085202</v>
      </c>
      <c r="L129" s="9">
        <f t="shared" si="259"/>
        <v>1.7627118644067796</v>
      </c>
      <c r="M129" s="9">
        <f t="shared" ref="M129:P129" si="260">2-(M16/M24)</f>
        <v>1.6860986547085202</v>
      </c>
      <c r="N129" s="9">
        <f t="shared" si="260"/>
        <v>1.6860986547085202</v>
      </c>
      <c r="O129" s="9">
        <f t="shared" si="260"/>
        <v>1.6860986547085202</v>
      </c>
      <c r="P129" s="9">
        <f t="shared" si="260"/>
        <v>1.7627118644067796</v>
      </c>
      <c r="Q129" s="9">
        <f t="shared" ref="Q129:T129" si="261">2-(Q16/Q24)</f>
        <v>1.6860986547085202</v>
      </c>
      <c r="R129" s="9">
        <f t="shared" si="261"/>
        <v>1.6860986547085202</v>
      </c>
      <c r="S129" s="9">
        <f t="shared" si="261"/>
        <v>1.6860986547085202</v>
      </c>
      <c r="T129" s="9">
        <f t="shared" si="261"/>
        <v>1.7627118644067796</v>
      </c>
      <c r="U129" s="9">
        <f t="shared" ref="U129:X129" si="262">2-(U16/U24)</f>
        <v>1.6860986547085202</v>
      </c>
      <c r="V129" s="9">
        <f t="shared" si="262"/>
        <v>1.6860986547085202</v>
      </c>
      <c r="W129" s="9">
        <f t="shared" si="262"/>
        <v>1.6860986547085202</v>
      </c>
      <c r="X129" s="9">
        <f t="shared" si="262"/>
        <v>1.7627118644067796</v>
      </c>
      <c r="Y129" s="9">
        <f t="shared" ref="Y129:Z129" si="263">2-(Y16/Y24)</f>
        <v>1.6860986547085202</v>
      </c>
      <c r="Z129" s="9">
        <f t="shared" si="263"/>
        <v>1.6860986547085202</v>
      </c>
    </row>
    <row r="130" spans="1:26" s="12" customFormat="1" x14ac:dyDescent="0.25">
      <c r="A130" s="1" t="s">
        <v>137</v>
      </c>
      <c r="B130" s="1"/>
      <c r="C130" s="27" t="s">
        <v>52</v>
      </c>
      <c r="D130" s="29" t="s">
        <v>101</v>
      </c>
      <c r="E130" s="9"/>
      <c r="F130" s="9" t="s">
        <v>5</v>
      </c>
      <c r="G130" s="9">
        <f t="shared" ref="G130:H130" si="264">$G$5*$G$8/G128*((G39/G153)^G129+(G41/G154)^G129+(G43/G155)^G129)^(1/G129)</f>
        <v>4.8143698796389218</v>
      </c>
      <c r="H130" s="9">
        <f t="shared" si="264"/>
        <v>4.92628309254009</v>
      </c>
      <c r="I130" s="9">
        <f t="shared" ref="I130:L130" si="265">$G$5*$G$8/I128*((I39/I153)^I129+(I41/I154)^I129+(I43/I155)^I129)^(1/I129)</f>
        <v>3.6848238713984292</v>
      </c>
      <c r="J130" s="9">
        <f t="shared" si="265"/>
        <v>2.961352850773399</v>
      </c>
      <c r="K130" s="9">
        <f t="shared" si="265"/>
        <v>4.7906545885008729</v>
      </c>
      <c r="L130" s="9">
        <f t="shared" si="265"/>
        <v>4.9228071954529922</v>
      </c>
      <c r="M130" s="9">
        <f t="shared" ref="M130:P130" si="266">$G$5*$G$8/M128*((M39/M153)^M129+(M41/M154)^M129+(M43/M155)^M129)^(1/M129)</f>
        <v>3.1820148986817065</v>
      </c>
      <c r="N130" s="9">
        <f t="shared" si="266"/>
        <v>2.9236290535997225</v>
      </c>
      <c r="O130" s="9">
        <f t="shared" si="266"/>
        <v>4.7683200835452464</v>
      </c>
      <c r="P130" s="9">
        <f t="shared" si="266"/>
        <v>4.9157197131382038</v>
      </c>
      <c r="Q130" s="9">
        <f t="shared" ref="Q130:T130" si="267">$G$5*$G$8/Q128*((Q39/Q153)^Q129+(Q41/Q154)^Q129+(Q43/Q155)^Q129)^(1/Q129)</f>
        <v>3.0930620240822044</v>
      </c>
      <c r="R130" s="9">
        <f t="shared" si="267"/>
        <v>2.8877365544378417</v>
      </c>
      <c r="S130" s="9">
        <f t="shared" si="267"/>
        <v>4.7463053157062083</v>
      </c>
      <c r="T130" s="9">
        <f t="shared" si="267"/>
        <v>4.9059076272352229</v>
      </c>
      <c r="U130" s="9">
        <f t="shared" ref="U130:X130" si="268">$G$5*$G$8/U128*((U39/U153)^U129+(U41/U154)^U129+(U43/U155)^U129)^(1/U129)</f>
        <v>3.0218463013964665</v>
      </c>
      <c r="V130" s="9">
        <f t="shared" si="268"/>
        <v>2.8490394983587812</v>
      </c>
      <c r="W130" s="9">
        <f t="shared" si="268"/>
        <v>4.7259746261618218</v>
      </c>
      <c r="X130" s="9">
        <f t="shared" si="268"/>
        <v>4.9029506677351442</v>
      </c>
      <c r="Y130" s="9">
        <f t="shared" ref="Y130:Z130" si="269">$G$5*$G$8/Y128*((Y39/Y153)^Y129+(Y41/Y154)^Y129+(Y43/Y155)^Y129)^(1/Y129)</f>
        <v>2.9690032591393574</v>
      </c>
      <c r="Z130" s="9">
        <f t="shared" si="269"/>
        <v>2.8075754276372225</v>
      </c>
    </row>
    <row r="131" spans="1:26" s="12" customFormat="1" x14ac:dyDescent="0.25">
      <c r="A131" s="1" t="s">
        <v>63</v>
      </c>
      <c r="B131" s="1"/>
      <c r="C131" s="27" t="s">
        <v>52</v>
      </c>
      <c r="D131" s="29" t="s">
        <v>30</v>
      </c>
      <c r="E131" s="9"/>
      <c r="F131" s="9" t="s">
        <v>25</v>
      </c>
      <c r="G131" s="92">
        <f t="shared" ref="G131:H131" si="270">$G$5*$G$8/SQRT(1+G130^2)</f>
        <v>47.674120667373117</v>
      </c>
      <c r="H131" s="92">
        <f t="shared" si="270"/>
        <v>46.634419889155701</v>
      </c>
      <c r="I131" s="92">
        <f t="shared" ref="I131:L131" si="271">$G$5*$G$8/SQRT(1+I130^2)</f>
        <v>61.396894683414757</v>
      </c>
      <c r="J131" s="92">
        <f t="shared" si="271"/>
        <v>74.999032644661597</v>
      </c>
      <c r="K131" s="92">
        <f t="shared" si="271"/>
        <v>47.900292453000866</v>
      </c>
      <c r="L131" s="92">
        <f t="shared" si="271"/>
        <v>46.666043085174557</v>
      </c>
      <c r="M131" s="92">
        <f t="shared" ref="M131:P131" si="272">$G$5*$G$8/SQRT(1+M130^2)</f>
        <v>70.281336279751727</v>
      </c>
      <c r="N131" s="92">
        <f t="shared" si="272"/>
        <v>75.86597219941099</v>
      </c>
      <c r="O131" s="92">
        <f t="shared" si="272"/>
        <v>48.115223415367254</v>
      </c>
      <c r="P131" s="92">
        <f t="shared" si="272"/>
        <v>46.730654260756218</v>
      </c>
      <c r="Q131" s="92">
        <f t="shared" ref="Q131:T131" si="273">$G$5*$G$8/SQRT(1+Q130^2)</f>
        <v>72.11369781758026</v>
      </c>
      <c r="R131" s="92">
        <f t="shared" si="273"/>
        <v>76.708516243516101</v>
      </c>
      <c r="S131" s="92">
        <f t="shared" si="273"/>
        <v>48.328931380365837</v>
      </c>
      <c r="T131" s="92">
        <f t="shared" si="273"/>
        <v>46.820393295598819</v>
      </c>
      <c r="U131" s="92">
        <f t="shared" ref="U131:X131" si="274">$G$5*$G$8/SQRT(1+U130^2)</f>
        <v>73.647199389532474</v>
      </c>
      <c r="V131" s="92">
        <f t="shared" si="274"/>
        <v>77.636811868209762</v>
      </c>
      <c r="W131" s="92">
        <f t="shared" si="274"/>
        <v>48.52794637387516</v>
      </c>
      <c r="X131" s="92">
        <f t="shared" si="274"/>
        <v>46.847503169708659</v>
      </c>
      <c r="Y131" s="92">
        <f t="shared" ref="Y131:Z131" si="275">$G$5*$G$8/SQRT(1+Y130^2)</f>
        <v>74.825490733918755</v>
      </c>
      <c r="Z131" s="92">
        <f t="shared" si="275"/>
        <v>78.655152471538528</v>
      </c>
    </row>
    <row r="132" spans="1:26" s="12" customFormat="1" x14ac:dyDescent="0.25">
      <c r="A132" s="1" t="s">
        <v>64</v>
      </c>
      <c r="B132" s="1"/>
      <c r="C132" s="27" t="s">
        <v>52</v>
      </c>
      <c r="D132" s="29" t="s">
        <v>31</v>
      </c>
      <c r="E132" s="39" t="s">
        <v>138</v>
      </c>
      <c r="F132" s="9" t="s">
        <v>5</v>
      </c>
      <c r="G132" s="9">
        <f t="shared" ref="G132:H132" si="276">IF(G128/G131&lt;1,G128/G131,1)</f>
        <v>0.90037155409102199</v>
      </c>
      <c r="H132" s="9">
        <f t="shared" si="276"/>
        <v>0.19019306328284577</v>
      </c>
      <c r="I132" s="9">
        <f t="shared" ref="I132:L132" si="277">IF(I128/I131&lt;1,I128/I131,1)</f>
        <v>0.37452087734364498</v>
      </c>
      <c r="J132" s="9">
        <f t="shared" si="277"/>
        <v>0.74415753576379684</v>
      </c>
      <c r="K132" s="9">
        <f t="shared" si="277"/>
        <v>0.94725255569328681</v>
      </c>
      <c r="L132" s="9">
        <f t="shared" si="277"/>
        <v>0.20062408938123377</v>
      </c>
      <c r="M132" s="9">
        <f t="shared" ref="M132:P132" si="278">IF(M128/M131&lt;1,M128/M131,1)</f>
        <v>0.36890705474962143</v>
      </c>
      <c r="N132" s="9">
        <f t="shared" si="278"/>
        <v>0.73260221099309275</v>
      </c>
      <c r="O132" s="9">
        <f t="shared" si="278"/>
        <v>0.99416172666300107</v>
      </c>
      <c r="P132" s="9">
        <f t="shared" si="278"/>
        <v>0.21113872057426325</v>
      </c>
      <c r="Q132" s="9">
        <f t="shared" ref="Q132:T132" si="279">IF(Q128/Q131&lt;1,Q128/Q131,1)</f>
        <v>0.43560564625536902</v>
      </c>
      <c r="R132" s="9">
        <f t="shared" si="279"/>
        <v>0.72238640162671097</v>
      </c>
      <c r="S132" s="9">
        <f t="shared" si="279"/>
        <v>1</v>
      </c>
      <c r="T132" s="9">
        <f t="shared" si="279"/>
        <v>0.22041599075419985</v>
      </c>
      <c r="U132" s="9">
        <f t="shared" ref="U132:X132" si="280">IF(U128/U131&lt;1,U128/U131,1)</f>
        <v>0.50399857391653913</v>
      </c>
      <c r="V132" s="9">
        <f t="shared" si="280"/>
        <v>0.71091288818776377</v>
      </c>
      <c r="W132" s="9">
        <f t="shared" si="280"/>
        <v>1</v>
      </c>
      <c r="X132" s="9">
        <f t="shared" si="280"/>
        <v>0.23085101264567634</v>
      </c>
      <c r="Y132" s="9">
        <f t="shared" ref="Y132:Z132" si="281">IF(Y128/Y131&lt;1,Y128/Y131,1)</f>
        <v>0.57121311104017047</v>
      </c>
      <c r="Z132" s="9">
        <f t="shared" si="281"/>
        <v>0.69972947730946777</v>
      </c>
    </row>
    <row r="133" spans="1:26" s="12" customFormat="1" x14ac:dyDescent="0.25">
      <c r="A133" s="1" t="s">
        <v>65</v>
      </c>
      <c r="B133" s="1"/>
      <c r="C133" s="27" t="s">
        <v>52</v>
      </c>
      <c r="D133" s="29" t="s">
        <v>32</v>
      </c>
      <c r="E133" s="9"/>
      <c r="F133" s="9" t="s">
        <v>5</v>
      </c>
      <c r="G133" s="9">
        <f t="shared" ref="G133:H133" si="282">G20/G16*(G17/G21)^3*SQRT(1-G132)</f>
        <v>0.46750754736779393</v>
      </c>
      <c r="H133" s="9">
        <f t="shared" si="282"/>
        <v>1.706073214028623</v>
      </c>
      <c r="I133" s="9">
        <f t="shared" ref="I133:L133" si="283">I20/I16*(I17/I21)^3*SQRT(1-I132)</f>
        <v>1.1713949776811361</v>
      </c>
      <c r="J133" s="9">
        <f t="shared" si="283"/>
        <v>0.7491749771129258</v>
      </c>
      <c r="K133" s="9">
        <f t="shared" si="283"/>
        <v>0.34017129210558922</v>
      </c>
      <c r="L133" s="9">
        <f t="shared" si="283"/>
        <v>1.6950497386582153</v>
      </c>
      <c r="M133" s="9">
        <f t="shared" ref="M133:P133" si="284">M20/M16*(M17/M21)^3*SQRT(1-M132)</f>
        <v>1.176640008175287</v>
      </c>
      <c r="N133" s="9">
        <f t="shared" si="284"/>
        <v>0.76590667500388765</v>
      </c>
      <c r="O133" s="9">
        <f t="shared" si="284"/>
        <v>0.11317204419609267</v>
      </c>
      <c r="P133" s="9">
        <f t="shared" si="284"/>
        <v>1.6838648758049473</v>
      </c>
      <c r="Q133" s="9">
        <f t="shared" ref="Q133:T133" si="285">Q20/Q16*(Q17/Q21)^3*SQRT(1-Q132)</f>
        <v>1.1127261096430372</v>
      </c>
      <c r="R133" s="9">
        <f t="shared" si="285"/>
        <v>0.7804000997042585</v>
      </c>
      <c r="S133" s="9">
        <f t="shared" si="285"/>
        <v>0</v>
      </c>
      <c r="T133" s="9">
        <f t="shared" si="285"/>
        <v>1.6739341878104288</v>
      </c>
      <c r="U133" s="9">
        <f t="shared" ref="U133:X133" si="286">U20/U16*(U17/U21)^3*SQRT(1-U132)</f>
        <v>1.0431299408505652</v>
      </c>
      <c r="V133" s="9">
        <f t="shared" si="286"/>
        <v>0.79636343945323773</v>
      </c>
      <c r="W133" s="9">
        <f t="shared" si="286"/>
        <v>0</v>
      </c>
      <c r="X133" s="9">
        <f t="shared" si="286"/>
        <v>1.6626933294979203</v>
      </c>
      <c r="Y133" s="9">
        <f t="shared" ref="Y133:Z133" si="287">Y20/Y16*(Y17/Y21)^3*SQRT(1-Y132)</f>
        <v>0.96987931538716365</v>
      </c>
      <c r="Z133" s="9">
        <f t="shared" si="287"/>
        <v>0.81162104295901871</v>
      </c>
    </row>
    <row r="134" spans="1:26" s="12" customFormat="1" x14ac:dyDescent="0.25">
      <c r="A134" s="1" t="s">
        <v>66</v>
      </c>
      <c r="B134" s="1"/>
      <c r="C134" s="27" t="s">
        <v>52</v>
      </c>
      <c r="D134" s="29" t="s">
        <v>102</v>
      </c>
      <c r="E134" s="9"/>
      <c r="F134" s="9" t="s">
        <v>5</v>
      </c>
      <c r="G134" s="9">
        <f t="shared" ref="G134:H134" si="288">(3*G133+0.2)/(G133+0.2)</f>
        <v>2.4007558392750252</v>
      </c>
      <c r="H134" s="9">
        <f t="shared" si="288"/>
        <v>2.7901444723864666</v>
      </c>
      <c r="I134" s="9">
        <f t="shared" ref="I134:L134" si="289">(3*I133+0.2)/(I133+0.2)</f>
        <v>2.7083261886547434</v>
      </c>
      <c r="J134" s="9">
        <f t="shared" si="289"/>
        <v>2.5785813894750294</v>
      </c>
      <c r="K134" s="9">
        <f t="shared" si="289"/>
        <v>2.2594941533438422</v>
      </c>
      <c r="L134" s="9">
        <f t="shared" si="289"/>
        <v>2.7889237459892642</v>
      </c>
      <c r="M134" s="9">
        <f t="shared" ref="M134:P134" si="290">(3*M133+0.2)/(M133+0.2)</f>
        <v>2.709437472669276</v>
      </c>
      <c r="N134" s="9">
        <f t="shared" si="290"/>
        <v>2.5858813171589379</v>
      </c>
      <c r="O134" s="9">
        <f t="shared" si="290"/>
        <v>1.7227467859502172</v>
      </c>
      <c r="P134" s="9">
        <f t="shared" si="290"/>
        <v>2.7876705462598075</v>
      </c>
      <c r="Q134" s="9">
        <f t="shared" ref="Q134:T134" si="291">(3*Q133+0.2)/(Q133+0.2)</f>
        <v>2.6952905887513965</v>
      </c>
      <c r="R134" s="9">
        <f t="shared" si="291"/>
        <v>2.5920033054661444</v>
      </c>
      <c r="S134" s="9">
        <f t="shared" si="291"/>
        <v>1</v>
      </c>
      <c r="T134" s="9">
        <f t="shared" si="291"/>
        <v>2.7865453319535338</v>
      </c>
      <c r="U134" s="9">
        <f t="shared" ref="U134:X134" si="292">(3*U133+0.2)/(U133+0.2)</f>
        <v>2.6782315453472911</v>
      </c>
      <c r="V134" s="9">
        <f t="shared" si="292"/>
        <v>2.5985400666452567</v>
      </c>
      <c r="W134" s="9">
        <f t="shared" si="292"/>
        <v>1</v>
      </c>
      <c r="X134" s="9">
        <f t="shared" si="292"/>
        <v>2.7852571898629077</v>
      </c>
      <c r="Y134" s="9">
        <f t="shared" ref="Y134:Z134" si="293">(3*Y133+0.2)/(Y133+0.2)</f>
        <v>2.6580843897837254</v>
      </c>
      <c r="Z134" s="9">
        <f t="shared" si="293"/>
        <v>2.6045950182787925</v>
      </c>
    </row>
    <row r="135" spans="1:26" s="12" customFormat="1" ht="30" x14ac:dyDescent="0.25">
      <c r="A135" s="1" t="s">
        <v>72</v>
      </c>
      <c r="B135" s="1"/>
      <c r="C135" s="42"/>
      <c r="D135" s="30" t="s">
        <v>180</v>
      </c>
      <c r="E135" s="9"/>
      <c r="F135" s="9" t="s">
        <v>5</v>
      </c>
      <c r="G135" s="9">
        <f t="shared" ref="G135:H135" si="294">SQRT(G180/G152)</f>
        <v>9.0160037657077821E-2</v>
      </c>
      <c r="H135" s="9">
        <f t="shared" si="294"/>
        <v>0.10228777093491793</v>
      </c>
      <c r="I135" s="9">
        <f t="shared" ref="I135:L135" si="295">SQRT(I180/I152)</f>
        <v>9.0160037657077821E-2</v>
      </c>
      <c r="J135" s="9">
        <f t="shared" si="295"/>
        <v>9.0160037657077821E-2</v>
      </c>
      <c r="K135" s="9">
        <f t="shared" si="295"/>
        <v>9.0160037657077821E-2</v>
      </c>
      <c r="L135" s="9">
        <f t="shared" si="295"/>
        <v>0.10228777093491793</v>
      </c>
      <c r="M135" s="9">
        <f t="shared" ref="M135:P135" si="296">SQRT(M180/M152)</f>
        <v>9.0160037657077821E-2</v>
      </c>
      <c r="N135" s="9">
        <f t="shared" si="296"/>
        <v>9.0160037657077821E-2</v>
      </c>
      <c r="O135" s="9">
        <f t="shared" si="296"/>
        <v>9.0160037657077821E-2</v>
      </c>
      <c r="P135" s="9">
        <f t="shared" si="296"/>
        <v>0.10228777093491793</v>
      </c>
      <c r="Q135" s="9">
        <f t="shared" ref="Q135:T135" si="297">SQRT(Q180/Q152)</f>
        <v>9.0160037657077821E-2</v>
      </c>
      <c r="R135" s="9">
        <f t="shared" si="297"/>
        <v>9.0160037657077821E-2</v>
      </c>
      <c r="S135" s="9">
        <f t="shared" si="297"/>
        <v>9.0160037657077821E-2</v>
      </c>
      <c r="T135" s="9">
        <f t="shared" si="297"/>
        <v>0.10228777093491793</v>
      </c>
      <c r="U135" s="9">
        <f t="shared" ref="U135:X135" si="298">SQRT(U180/U152)</f>
        <v>9.0160037657077821E-2</v>
      </c>
      <c r="V135" s="9">
        <f t="shared" si="298"/>
        <v>9.0160037657077821E-2</v>
      </c>
      <c r="W135" s="9">
        <f t="shared" si="298"/>
        <v>9.0160037657077821E-2</v>
      </c>
      <c r="X135" s="9">
        <f t="shared" si="298"/>
        <v>0.10228777093491793</v>
      </c>
      <c r="Y135" s="9">
        <f t="shared" ref="Y135:Z135" si="299">SQRT(Y180/Y152)</f>
        <v>9.0160037657077821E-2</v>
      </c>
      <c r="Z135" s="9">
        <f t="shared" si="299"/>
        <v>9.0160037657077821E-2</v>
      </c>
    </row>
    <row r="136" spans="1:26" s="12" customFormat="1" ht="18" x14ac:dyDescent="0.35">
      <c r="A136" s="26" t="s">
        <v>163</v>
      </c>
      <c r="B136" s="1"/>
      <c r="C136" s="27" t="s">
        <v>52</v>
      </c>
      <c r="D136" s="30" t="s">
        <v>185</v>
      </c>
      <c r="E136" s="9"/>
      <c r="F136" s="9"/>
      <c r="G136" s="9">
        <f t="shared" ref="G136:H136" si="300">IF(G24&gt;G33,5.34*(G24/G33)^2+4,5.34+4*(G24/G33)^2)</f>
        <v>6.9638040816326523</v>
      </c>
      <c r="H136" s="9">
        <f t="shared" si="300"/>
        <v>8.1816326530612251</v>
      </c>
      <c r="I136" s="9">
        <f t="shared" ref="I136:L136" si="301">IF(I24&gt;I33,5.34*(I24/I33)^2+4,5.34+4*(I24/I33)^2)</f>
        <v>6.9638040816326523</v>
      </c>
      <c r="J136" s="9">
        <f t="shared" si="301"/>
        <v>6.9638040816326523</v>
      </c>
      <c r="K136" s="9">
        <f t="shared" si="301"/>
        <v>6.9638040816326523</v>
      </c>
      <c r="L136" s="9">
        <f t="shared" si="301"/>
        <v>8.1816326530612251</v>
      </c>
      <c r="M136" s="9">
        <f t="shared" ref="M136:P136" si="302">IF(M24&gt;M33,5.34*(M24/M33)^2+4,5.34+4*(M24/M33)^2)</f>
        <v>6.9638040816326523</v>
      </c>
      <c r="N136" s="9">
        <f t="shared" si="302"/>
        <v>6.9638040816326523</v>
      </c>
      <c r="O136" s="9">
        <f t="shared" si="302"/>
        <v>6.9638040816326523</v>
      </c>
      <c r="P136" s="9">
        <f t="shared" si="302"/>
        <v>8.1816326530612251</v>
      </c>
      <c r="Q136" s="9">
        <f t="shared" ref="Q136:T136" si="303">IF(Q24&gt;Q33,5.34*(Q24/Q33)^2+4,5.34+4*(Q24/Q33)^2)</f>
        <v>6.9638040816326523</v>
      </c>
      <c r="R136" s="9">
        <f t="shared" si="303"/>
        <v>6.9638040816326523</v>
      </c>
      <c r="S136" s="9">
        <f t="shared" si="303"/>
        <v>6.9638040816326523</v>
      </c>
      <c r="T136" s="9">
        <f t="shared" si="303"/>
        <v>8.1816326530612251</v>
      </c>
      <c r="U136" s="9">
        <f t="shared" ref="U136:X136" si="304">IF(U24&gt;U33,5.34*(U24/U33)^2+4,5.34+4*(U24/U33)^2)</f>
        <v>6.9638040816326523</v>
      </c>
      <c r="V136" s="9">
        <f t="shared" si="304"/>
        <v>6.9638040816326523</v>
      </c>
      <c r="W136" s="9">
        <f t="shared" si="304"/>
        <v>6.9638040816326523</v>
      </c>
      <c r="X136" s="9">
        <f t="shared" si="304"/>
        <v>8.1816326530612251</v>
      </c>
      <c r="Y136" s="9">
        <f t="shared" ref="Y136:Z136" si="305">IF(Y24&gt;Y33,5.34*(Y24/Y33)^2+4,5.34+4*(Y24/Y33)^2)</f>
        <v>6.9638040816326523</v>
      </c>
      <c r="Z136" s="9">
        <f t="shared" si="305"/>
        <v>6.9638040816326523</v>
      </c>
    </row>
    <row r="137" spans="1:26" s="12" customFormat="1" ht="18" x14ac:dyDescent="0.35">
      <c r="A137" s="26" t="s">
        <v>186</v>
      </c>
      <c r="B137" s="1"/>
      <c r="C137" s="27" t="s">
        <v>52</v>
      </c>
      <c r="D137" s="30" t="s">
        <v>184</v>
      </c>
      <c r="E137" s="9"/>
      <c r="F137" s="9"/>
      <c r="G137" s="9">
        <f t="shared" ref="G137:H137" si="306">IF(G24&lt;G16,5.34*(G16/G24)^2+4,5.34+4*(G16/G24)^2)</f>
        <v>5.7341362183032034</v>
      </c>
      <c r="H137" s="9">
        <f t="shared" si="306"/>
        <v>5.5652226371732256</v>
      </c>
      <c r="I137" s="9">
        <f t="shared" ref="I137:L137" si="307">IF(I24&lt;I16,5.34*(I16/I24)^2+4,5.34+4*(I16/I24)^2)</f>
        <v>5.7341362183032034</v>
      </c>
      <c r="J137" s="9">
        <f t="shared" si="307"/>
        <v>5.7341362183032034</v>
      </c>
      <c r="K137" s="9">
        <f t="shared" si="307"/>
        <v>5.7341362183032034</v>
      </c>
      <c r="L137" s="9">
        <f t="shared" si="307"/>
        <v>5.5652226371732256</v>
      </c>
      <c r="M137" s="9">
        <f t="shared" ref="M137:P137" si="308">IF(M24&lt;M16,5.34*(M16/M24)^2+4,5.34+4*(M16/M24)^2)</f>
        <v>5.7341362183032034</v>
      </c>
      <c r="N137" s="9">
        <f t="shared" si="308"/>
        <v>5.7341362183032034</v>
      </c>
      <c r="O137" s="9">
        <f t="shared" si="308"/>
        <v>5.7341362183032034</v>
      </c>
      <c r="P137" s="9">
        <f t="shared" si="308"/>
        <v>5.5652226371732256</v>
      </c>
      <c r="Q137" s="9">
        <f t="shared" ref="Q137:T137" si="309">IF(Q24&lt;Q16,5.34*(Q16/Q24)^2+4,5.34+4*(Q16/Q24)^2)</f>
        <v>5.7341362183032034</v>
      </c>
      <c r="R137" s="9">
        <f t="shared" si="309"/>
        <v>5.7341362183032034</v>
      </c>
      <c r="S137" s="9">
        <f t="shared" si="309"/>
        <v>5.7341362183032034</v>
      </c>
      <c r="T137" s="9">
        <f t="shared" si="309"/>
        <v>5.5652226371732256</v>
      </c>
      <c r="U137" s="9">
        <f t="shared" ref="U137:X137" si="310">IF(U24&lt;U16,5.34*(U16/U24)^2+4,5.34+4*(U16/U24)^2)</f>
        <v>5.7341362183032034</v>
      </c>
      <c r="V137" s="9">
        <f t="shared" si="310"/>
        <v>5.7341362183032034</v>
      </c>
      <c r="W137" s="9">
        <f t="shared" si="310"/>
        <v>5.7341362183032034</v>
      </c>
      <c r="X137" s="9">
        <f t="shared" si="310"/>
        <v>5.5652226371732256</v>
      </c>
      <c r="Y137" s="9">
        <f t="shared" ref="Y137:Z137" si="311">IF(Y24&lt;Y16,5.34*(Y16/Y24)^2+4,5.34+4*(Y16/Y24)^2)</f>
        <v>5.7341362183032034</v>
      </c>
      <c r="Z137" s="9">
        <f t="shared" si="311"/>
        <v>5.7341362183032034</v>
      </c>
    </row>
    <row r="138" spans="1:26" s="12" customFormat="1" ht="30" x14ac:dyDescent="0.25">
      <c r="A138" s="1" t="s">
        <v>72</v>
      </c>
      <c r="B138" s="1"/>
      <c r="C138" s="42"/>
      <c r="D138" s="30" t="s">
        <v>181</v>
      </c>
      <c r="E138" s="9"/>
      <c r="F138" s="9" t="s">
        <v>5</v>
      </c>
      <c r="G138" s="9">
        <f t="shared" ref="G138:H138" si="312">SQRT(G194/G152)</f>
        <v>8.6443926563291501E-2</v>
      </c>
      <c r="H138" s="9">
        <f t="shared" si="312"/>
        <v>9.118516282737979E-2</v>
      </c>
      <c r="I138" s="9">
        <f t="shared" ref="I138:L138" si="313">SQRT(I194/I152)</f>
        <v>8.6673006658633908E-2</v>
      </c>
      <c r="J138" s="9">
        <f t="shared" si="313"/>
        <v>8.6577619211935769E-2</v>
      </c>
      <c r="K138" s="9">
        <f t="shared" si="313"/>
        <v>8.6335210306721491E-2</v>
      </c>
      <c r="L138" s="9">
        <f t="shared" si="313"/>
        <v>9.1184234936661515E-2</v>
      </c>
      <c r="M138" s="9">
        <f t="shared" ref="M138:P138" si="314">SQRT(M194/M152)</f>
        <v>8.6673815970911977E-2</v>
      </c>
      <c r="N138" s="9">
        <f t="shared" si="314"/>
        <v>8.6583033771546886E-2</v>
      </c>
      <c r="O138" s="9">
        <f t="shared" si="314"/>
        <v>8.59005879610623E-2</v>
      </c>
      <c r="P138" s="9">
        <f t="shared" si="314"/>
        <v>9.1183282282315523E-2</v>
      </c>
      <c r="Q138" s="9">
        <f t="shared" ref="Q138:T138" si="315">SQRT(Q194/Q152)</f>
        <v>8.6663503570328829E-2</v>
      </c>
      <c r="R138" s="9">
        <f t="shared" si="315"/>
        <v>8.6587570200282793E-2</v>
      </c>
      <c r="S138" s="9">
        <f t="shared" si="315"/>
        <v>8.5255875539180972E-2</v>
      </c>
      <c r="T138" s="9">
        <f t="shared" si="315"/>
        <v>9.1182426850378515E-2</v>
      </c>
      <c r="U138" s="9">
        <f t="shared" ref="U138:X138" si="316">SQRT(U194/U152)</f>
        <v>8.6651040339525559E-2</v>
      </c>
      <c r="V138" s="9">
        <f t="shared" si="316"/>
        <v>8.659240953264416E-2</v>
      </c>
      <c r="W138" s="9">
        <f t="shared" si="316"/>
        <v>8.5255875539180972E-2</v>
      </c>
      <c r="X138" s="9">
        <f t="shared" si="316"/>
        <v>9.1181447473927008E-2</v>
      </c>
      <c r="Y138" s="9">
        <f t="shared" ref="Y138:Z138" si="317">SQRT(Y194/Y152)</f>
        <v>8.6636281379657912E-2</v>
      </c>
      <c r="Z138" s="9">
        <f t="shared" si="317"/>
        <v>8.6596888078264489E-2</v>
      </c>
    </row>
    <row r="139" spans="1:26" s="12" customFormat="1" x14ac:dyDescent="0.25">
      <c r="A139" s="26"/>
      <c r="B139" s="69"/>
      <c r="C139" s="27"/>
    </row>
    <row r="140" spans="1:26" s="12" customFormat="1" ht="21" x14ac:dyDescent="0.35">
      <c r="A140" s="1"/>
      <c r="B140" s="1"/>
      <c r="C140" s="42"/>
      <c r="D140" s="28" t="s">
        <v>264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s="12" customFormat="1" x14ac:dyDescent="0.25">
      <c r="A141" s="1"/>
      <c r="B141" s="1"/>
      <c r="C141" s="42" t="s">
        <v>274</v>
      </c>
      <c r="D141" s="29" t="s">
        <v>100</v>
      </c>
      <c r="E141" s="9"/>
      <c r="F141" s="9" t="s">
        <v>25</v>
      </c>
      <c r="G141" s="92">
        <f t="shared" ref="G141:H141" si="318">SQRT(G39^2+G41^2-G39*G41+3*G43^2)</f>
        <v>42.924422115205644</v>
      </c>
      <c r="H141" s="92">
        <f t="shared" si="318"/>
        <v>8.8695431731369911</v>
      </c>
      <c r="I141" s="92">
        <f>SQRT(I39^2+I41^2-I39*I41+3*I43^2)</f>
        <v>22.994418863007866</v>
      </c>
      <c r="J141" s="92">
        <f>SQRT(J39^2+J41^2-J39*J41+3*J43^2)</f>
        <v>55.811095317519928</v>
      </c>
      <c r="K141" s="92">
        <f t="shared" ref="K141:L141" si="319">SQRT(K39^2+K41^2-K39*K41+3*K43^2)</f>
        <v>45.373674444560926</v>
      </c>
      <c r="L141" s="92">
        <f t="shared" si="319"/>
        <v>9.362332398988567</v>
      </c>
      <c r="M141" s="92">
        <f>SQRT(M39^2+M41^2-M39*M41+3*M43^2)</f>
        <v>25.927280770830926</v>
      </c>
      <c r="N141" s="92">
        <f>SQRT(N39^2+N41^2-N39*N41+3*N43^2)</f>
        <v>55.579578972428997</v>
      </c>
      <c r="O141" s="92">
        <f t="shared" ref="O141:P141" si="320">SQRT(O39^2+O41^2-O39*O41+3*O43^2)</f>
        <v>47.834313589397567</v>
      </c>
      <c r="P141" s="92">
        <f t="shared" si="320"/>
        <v>9.8666505522143115</v>
      </c>
      <c r="Q141" s="92">
        <f>SQRT(Q39^2+Q41^2-Q39*Q41+3*Q43^2)</f>
        <v>31.413133941691445</v>
      </c>
      <c r="R141" s="92">
        <f>SQRT(R39^2+R41^2-R39*R41+3*R43^2)</f>
        <v>55.413189023277702</v>
      </c>
      <c r="S141" s="92">
        <f t="shared" ref="S141:T141" si="321">SQRT(S39^2+S41^2-S39*S41+3*S43^2)</f>
        <v>50.31600710650622</v>
      </c>
      <c r="T141" s="92">
        <f t="shared" si="321"/>
        <v>10.31996337575071</v>
      </c>
      <c r="U141" s="92">
        <f>SQRT(U39^2+U41^2-U39*U41+3*U43^2)</f>
        <v>37.118083465271376</v>
      </c>
      <c r="V141" s="92">
        <f>SQRT(V39^2+V41^2-V39*V41+3*V43^2)</f>
        <v>55.193010154919058</v>
      </c>
      <c r="W141" s="92">
        <f t="shared" ref="W141:X141" si="322">SQRT(W39^2+W41^2-W39*W41+3*W43^2)</f>
        <v>52.802554784883604</v>
      </c>
      <c r="X141" s="92">
        <f t="shared" si="322"/>
        <v>10.814793546648776</v>
      </c>
      <c r="Y141" s="92">
        <f>SQRT(Y39^2+Y41^2-Y39*Y41+3*Y43^2)</f>
        <v>42.741301347229182</v>
      </c>
      <c r="Z141" s="92">
        <f>SQRT(Z39^2+Z41^2-Z39*Z41+3*Z43^2)</f>
        <v>55.037328726606148</v>
      </c>
    </row>
    <row r="142" spans="1:26" s="12" customFormat="1" x14ac:dyDescent="0.25">
      <c r="A142" s="1"/>
      <c r="B142" s="1"/>
      <c r="C142" s="42"/>
      <c r="D142" s="29" t="s">
        <v>15</v>
      </c>
      <c r="E142" s="9"/>
      <c r="F142" s="9" t="s">
        <v>5</v>
      </c>
      <c r="G142" s="9">
        <f t="shared" ref="G142:H142" si="323">2-(G16/G33)</f>
        <v>1.8</v>
      </c>
      <c r="H142" s="9">
        <f t="shared" si="323"/>
        <v>1.8</v>
      </c>
      <c r="I142" s="9">
        <f t="shared" ref="I142:L142" si="324">2-(I16/I33)</f>
        <v>1.8</v>
      </c>
      <c r="J142" s="9">
        <f t="shared" si="324"/>
        <v>1.8</v>
      </c>
      <c r="K142" s="9">
        <f t="shared" si="324"/>
        <v>1.8</v>
      </c>
      <c r="L142" s="9">
        <f t="shared" si="324"/>
        <v>1.8</v>
      </c>
      <c r="M142" s="9">
        <f t="shared" ref="M142:P142" si="325">2-(M16/M33)</f>
        <v>1.8</v>
      </c>
      <c r="N142" s="9">
        <f t="shared" si="325"/>
        <v>1.8</v>
      </c>
      <c r="O142" s="9">
        <f t="shared" si="325"/>
        <v>1.8</v>
      </c>
      <c r="P142" s="9">
        <f t="shared" si="325"/>
        <v>1.8</v>
      </c>
      <c r="Q142" s="9">
        <f t="shared" ref="Q142:T142" si="326">2-(Q16/Q33)</f>
        <v>1.8</v>
      </c>
      <c r="R142" s="9">
        <f t="shared" si="326"/>
        <v>1.8</v>
      </c>
      <c r="S142" s="9">
        <f t="shared" si="326"/>
        <v>1.8</v>
      </c>
      <c r="T142" s="9">
        <f t="shared" si="326"/>
        <v>1.8</v>
      </c>
      <c r="U142" s="9">
        <f t="shared" ref="U142:X142" si="327">2-(U16/U33)</f>
        <v>1.8</v>
      </c>
      <c r="V142" s="9">
        <f t="shared" si="327"/>
        <v>1.8</v>
      </c>
      <c r="W142" s="9">
        <f t="shared" si="327"/>
        <v>1.8</v>
      </c>
      <c r="X142" s="9">
        <f t="shared" si="327"/>
        <v>1.8</v>
      </c>
      <c r="Y142" s="9">
        <f t="shared" ref="Y142:Z142" si="328">2-(Y16/Y33)</f>
        <v>1.8</v>
      </c>
      <c r="Z142" s="9">
        <f t="shared" si="328"/>
        <v>1.8</v>
      </c>
    </row>
    <row r="143" spans="1:26" s="12" customFormat="1" x14ac:dyDescent="0.25">
      <c r="A143" s="1"/>
      <c r="B143" s="1"/>
      <c r="C143" s="42"/>
      <c r="D143" s="29" t="s">
        <v>101</v>
      </c>
      <c r="E143" s="9"/>
      <c r="F143" s="9" t="s">
        <v>5</v>
      </c>
      <c r="G143" s="9">
        <f t="shared" ref="G143:H143" si="329">$G$5*$G$8/G128*((G39/G153)^G142+(G41/G154)^G141+(G43/G155)^G141)^(1/G141)</f>
        <v>4.9219317617858316</v>
      </c>
      <c r="H143" s="9">
        <f t="shared" si="329"/>
        <v>12.829705405062885</v>
      </c>
      <c r="I143" s="9">
        <f>$G$5*$G$8/I128*((I39/I153)^I142+(I41/I154)^I141+(I43/I155)^I141)^(1/I141)</f>
        <v>7.9540163213709416</v>
      </c>
      <c r="J143" s="9">
        <f>$G$5*$G$8/J128*((J39/J153)^J142+(J41/J154)^J141+(J43/J155)^J141)^(1/J141)</f>
        <v>4.0328503700872034</v>
      </c>
      <c r="K143" s="9">
        <f t="shared" ref="K143:L143" si="330">$G$5*$G$8/K128*((K39/K153)^K142+(K41/K154)^K141+(K43/K155)^K141)^(1/K141)</f>
        <v>4.7865023698374349</v>
      </c>
      <c r="L143" s="9">
        <f t="shared" si="330"/>
        <v>12.779893402095496</v>
      </c>
      <c r="M143" s="9">
        <f>$G$5*$G$8/M128*((M39/M153)^M142+(M41/M154)^M141+(M43/M155)^M141)^(1/M141)</f>
        <v>7.2438918079228412</v>
      </c>
      <c r="N143" s="9">
        <f>$G$5*$G$8/N128*((N39/N153)^N142+(N41/N154)^N141+(N43/N155)^N141)^(1/N141)</f>
        <v>4.0483906488184811</v>
      </c>
      <c r="O143" s="9">
        <f t="shared" ref="O143:P143" si="331">$G$5*$G$8/O128*((O39/O153)^O142+(O41/O154)^O141+(O43/O155)^O141)^(1/O141)</f>
        <v>4.7383740115344555</v>
      </c>
      <c r="P143" s="9">
        <f t="shared" si="331"/>
        <v>12.709703495187242</v>
      </c>
      <c r="Q143" s="9">
        <f>$G$5*$G$8/Q128*((Q39/Q153)^Q142+(Q41/Q154)^Q141+(Q43/Q155)^Q141)^(1/Q141)</f>
        <v>6.2067073873164773</v>
      </c>
      <c r="R143" s="9">
        <f>$G$5*$G$8/R128*((R39/R153)^R142+(R41/R154)^R141+(R43/R155)^R141)^(1/R141)</f>
        <v>4.0596136375414593</v>
      </c>
      <c r="S143" s="9">
        <f t="shared" ref="S143:T143" si="332">$G$5*$G$8/S128*((S39/S153)^S142+(S41/S154)^S141+(S43/S155)^S141)^(1/S141)</f>
        <v>4.7150836063609658</v>
      </c>
      <c r="T143" s="9">
        <f t="shared" si="332"/>
        <v>12.63132657240549</v>
      </c>
      <c r="U143" s="9">
        <f>$G$5*$G$8/U128*((U39/U153)^U142+(U41/U154)^U141+(U43/U155)^U141)^(1/U141)</f>
        <v>5.3975218785126939</v>
      </c>
      <c r="V143" s="9">
        <f>$G$5*$G$8/V128*((V39/V153)^V142+(V41/V154)^V141+(V43/V155)^V141)^(1/V141)</f>
        <v>4.0745537122649749</v>
      </c>
      <c r="W143" s="9">
        <f t="shared" ref="W143:X143" si="333">$G$5*$G$8/W128*((W39/W153)^W142+(W41/W154)^W141+(W43/W155)^W141)^(1/W141)</f>
        <v>4.6966292461744636</v>
      </c>
      <c r="X143" s="9">
        <f t="shared" si="333"/>
        <v>12.489409912876461</v>
      </c>
      <c r="Y143" s="9">
        <f>$G$5*$G$8/Y128*((Y39/Y153)^Y142+(Y41/Y154)^Y141+(Y43/Y155)^Y141)^(1/Y141)</f>
        <v>4.7804583641505838</v>
      </c>
      <c r="Z143" s="9">
        <f>$G$5*$G$8/Z128*((Z39/Z153)^Z142+(Z41/Z154)^Z141+(Z43/Z155)^Z141)^(1/Z141)</f>
        <v>4.0851567171354661</v>
      </c>
    </row>
    <row r="144" spans="1:26" s="12" customFormat="1" x14ac:dyDescent="0.25">
      <c r="A144" s="1"/>
      <c r="B144" s="1"/>
      <c r="C144" s="42"/>
      <c r="D144" s="29" t="s">
        <v>30</v>
      </c>
      <c r="E144" s="9"/>
      <c r="F144" s="9" t="s">
        <v>25</v>
      </c>
      <c r="G144" s="92">
        <f t="shared" ref="G144:H144" si="334">$G$5*$G$8/SQRT(1+G143^2)</f>
        <v>46.674014273477844</v>
      </c>
      <c r="H144" s="92">
        <f t="shared" si="334"/>
        <v>18.21639214285101</v>
      </c>
      <c r="I144" s="92">
        <f t="shared" ref="I144:L144" si="335">$G$5*$G$8/SQRT(1+I143^2)</f>
        <v>29.241684497702703</v>
      </c>
      <c r="J144" s="92">
        <f t="shared" si="335"/>
        <v>56.4189579157213</v>
      </c>
      <c r="K144" s="92">
        <f t="shared" si="335"/>
        <v>47.940108117399369</v>
      </c>
      <c r="L144" s="92">
        <f t="shared" si="335"/>
        <v>18.286962661327394</v>
      </c>
      <c r="M144" s="92">
        <f t="shared" ref="M144:P144" si="336">$G$5*$G$8/SQRT(1+M143^2)</f>
        <v>32.05701519308716</v>
      </c>
      <c r="N144" s="92">
        <f t="shared" si="336"/>
        <v>56.214863134551408</v>
      </c>
      <c r="O144" s="92">
        <f t="shared" si="336"/>
        <v>48.406379920702662</v>
      </c>
      <c r="P144" s="92">
        <f t="shared" si="336"/>
        <v>18.387333587021661</v>
      </c>
      <c r="Q144" s="92">
        <f t="shared" ref="Q144:T144" si="337">$G$5*$G$8/SQRT(1+Q143^2)</f>
        <v>37.287919291138387</v>
      </c>
      <c r="R144" s="92">
        <f t="shared" si="337"/>
        <v>56.068356590053682</v>
      </c>
      <c r="S144" s="92">
        <f t="shared" si="337"/>
        <v>48.635217922496246</v>
      </c>
      <c r="T144" s="92">
        <f t="shared" si="337"/>
        <v>18.500717866945124</v>
      </c>
      <c r="U144" s="92">
        <f t="shared" ref="U144:X144" si="338">$G$5*$G$8/SQRT(1+U143^2)</f>
        <v>42.70427550438756</v>
      </c>
      <c r="V144" s="92">
        <f t="shared" si="338"/>
        <v>55.874471893730401</v>
      </c>
      <c r="W144" s="92">
        <f t="shared" si="338"/>
        <v>48.818046979812976</v>
      </c>
      <c r="X144" s="92">
        <f t="shared" si="338"/>
        <v>18.709609126595208</v>
      </c>
      <c r="Y144" s="92">
        <f t="shared" ref="Y144:Z144" si="339">$G$5*$G$8/SQRT(1+Y143^2)</f>
        <v>47.998179994880637</v>
      </c>
      <c r="Z144" s="92">
        <f t="shared" si="339"/>
        <v>55.737658683528217</v>
      </c>
    </row>
    <row r="145" spans="1:26" s="12" customFormat="1" x14ac:dyDescent="0.25">
      <c r="A145" s="1"/>
      <c r="B145" s="1"/>
      <c r="C145" s="42"/>
      <c r="D145" s="29" t="s">
        <v>31</v>
      </c>
      <c r="E145" s="39" t="s">
        <v>138</v>
      </c>
      <c r="F145" s="9" t="s">
        <v>5</v>
      </c>
      <c r="G145" s="9">
        <f t="shared" ref="G145:H145" si="340">IF(G141/G144&lt;1,G141/G144,1)</f>
        <v>0.91966424536997926</v>
      </c>
      <c r="H145" s="9">
        <f t="shared" si="340"/>
        <v>0.48689900302886413</v>
      </c>
      <c r="I145" s="9">
        <f t="shared" ref="I145:L145" si="341">IF(I141/I144&lt;1,I141/I144,1)</f>
        <v>0.78635753233759031</v>
      </c>
      <c r="J145" s="9">
        <f t="shared" si="341"/>
        <v>0.98922591588612119</v>
      </c>
      <c r="K145" s="9">
        <f t="shared" si="341"/>
        <v>0.94646583469203771</v>
      </c>
      <c r="L145" s="9">
        <f t="shared" si="341"/>
        <v>0.51196760076443359</v>
      </c>
      <c r="M145" s="9">
        <f t="shared" ref="M145:P145" si="342">IF(M141/M144&lt;1,M141/M144,1)</f>
        <v>0.80878648915579443</v>
      </c>
      <c r="N145" s="9">
        <f t="shared" si="342"/>
        <v>0.9886990001096001</v>
      </c>
      <c r="O145" s="9">
        <f t="shared" si="342"/>
        <v>0.98818200550749236</v>
      </c>
      <c r="P145" s="9">
        <f t="shared" si="342"/>
        <v>0.53660039970006812</v>
      </c>
      <c r="Q145" s="9">
        <f t="shared" ref="Q145:T145" si="343">IF(Q141/Q144&lt;1,Q141/Q144,1)</f>
        <v>0.84244802442374123</v>
      </c>
      <c r="R145" s="9">
        <f t="shared" si="343"/>
        <v>0.98831484269164038</v>
      </c>
      <c r="S145" s="9">
        <f t="shared" si="343"/>
        <v>1</v>
      </c>
      <c r="T145" s="9">
        <f t="shared" si="343"/>
        <v>0.5578142129386876</v>
      </c>
      <c r="U145" s="9">
        <f t="shared" ref="U145:X145" si="344">IF(U141/U144&lt;1,U141/U144,1)</f>
        <v>0.86918892843546214</v>
      </c>
      <c r="V145" s="9">
        <f t="shared" si="344"/>
        <v>0.98780370148092966</v>
      </c>
      <c r="W145" s="9">
        <f t="shared" si="344"/>
        <v>1</v>
      </c>
      <c r="X145" s="9">
        <f t="shared" si="344"/>
        <v>0.57803417877265206</v>
      </c>
      <c r="Y145" s="9">
        <f t="shared" ref="Y145:Z145" si="345">IF(Y141/Y144&lt;1,Y141/Y144,1)</f>
        <v>0.89047754210238517</v>
      </c>
      <c r="Z145" s="9">
        <f t="shared" si="345"/>
        <v>0.98743524623274082</v>
      </c>
    </row>
    <row r="146" spans="1:26" s="12" customFormat="1" x14ac:dyDescent="0.25">
      <c r="A146" s="1"/>
      <c r="B146" s="1"/>
      <c r="C146" s="27"/>
      <c r="D146" s="29" t="s">
        <v>32</v>
      </c>
      <c r="E146" s="9"/>
      <c r="F146" s="9" t="s">
        <v>5</v>
      </c>
      <c r="G146" s="9">
        <f t="shared" ref="G146:H146" si="346">G29/G16*(G17/G30)^3*SQRT(1-G145)</f>
        <v>0.57586921033075633</v>
      </c>
      <c r="H146" s="9">
        <f t="shared" si="346"/>
        <v>1.4553613910737568</v>
      </c>
      <c r="I146" s="9">
        <f t="shared" ref="I146:L146" si="347">I29/I16*(I17/I30)^3*SQRT(1-I145)</f>
        <v>0.93910296774176782</v>
      </c>
      <c r="J146" s="9">
        <f t="shared" si="347"/>
        <v>0.21089175506929669</v>
      </c>
      <c r="K146" s="9">
        <f t="shared" si="347"/>
        <v>0.47009424881921658</v>
      </c>
      <c r="L146" s="9">
        <f t="shared" si="347"/>
        <v>1.4193638748717272</v>
      </c>
      <c r="M146" s="9">
        <f t="shared" ref="M146:P146" si="348">M29/M16*(M17/M30)^3*SQRT(1-M145)</f>
        <v>0.88844123672247477</v>
      </c>
      <c r="N146" s="9">
        <f t="shared" si="348"/>
        <v>0.21598712098974124</v>
      </c>
      <c r="O146" s="9">
        <f t="shared" si="348"/>
        <v>0.22087232959942504</v>
      </c>
      <c r="P146" s="9">
        <f t="shared" si="348"/>
        <v>1.3830798291805642</v>
      </c>
      <c r="Q146" s="9">
        <f t="shared" ref="Q146:T146" si="349">Q29/Q16*(Q17/Q30)^3*SQRT(1-Q145)</f>
        <v>0.80645724308141353</v>
      </c>
      <c r="R146" s="9">
        <f t="shared" si="349"/>
        <v>0.21962749180717725</v>
      </c>
      <c r="S146" s="9">
        <f t="shared" si="349"/>
        <v>0</v>
      </c>
      <c r="T146" s="9">
        <f t="shared" si="349"/>
        <v>1.3510512069766831</v>
      </c>
      <c r="U146" s="9">
        <f t="shared" ref="U146:X146" si="350">U29/U16*(U17/U30)^3*SQRT(1-U145)</f>
        <v>0.73483811057688586</v>
      </c>
      <c r="V146" s="9">
        <f t="shared" si="350"/>
        <v>0.22437963801169122</v>
      </c>
      <c r="W146" s="9">
        <f t="shared" si="350"/>
        <v>0</v>
      </c>
      <c r="X146" s="9">
        <f t="shared" si="350"/>
        <v>1.3197997984291796</v>
      </c>
      <c r="Y146" s="9">
        <f t="shared" ref="Y146:Z146" si="351">Y29/Y16*(Y17/Y30)^3*SQRT(1-Y145)</f>
        <v>0.67238963642984695</v>
      </c>
      <c r="Z146" s="9">
        <f t="shared" si="351"/>
        <v>0.22774372054596043</v>
      </c>
    </row>
    <row r="147" spans="1:26" s="12" customFormat="1" x14ac:dyDescent="0.25">
      <c r="A147" s="1"/>
      <c r="B147" s="1"/>
      <c r="C147" s="27"/>
      <c r="D147" s="29" t="s">
        <v>102</v>
      </c>
      <c r="E147" s="9"/>
      <c r="F147" s="9" t="s">
        <v>5</v>
      </c>
      <c r="G147" s="9">
        <f t="shared" ref="G147:H147" si="352">(3*G146+0.2)/(G146+0.2)</f>
        <v>2.4844491897938852</v>
      </c>
      <c r="H147" s="9">
        <f t="shared" si="352"/>
        <v>2.7583609221787286</v>
      </c>
      <c r="I147" s="9">
        <f t="shared" ref="I147:L147" si="353">(3*I146+0.2)/(I146+0.2)</f>
        <v>2.6488464947176933</v>
      </c>
      <c r="J147" s="9">
        <f t="shared" si="353"/>
        <v>2.026507601904691</v>
      </c>
      <c r="K147" s="9">
        <f t="shared" si="353"/>
        <v>2.4030690448323559</v>
      </c>
      <c r="L147" s="9">
        <f t="shared" si="353"/>
        <v>2.7529894261524852</v>
      </c>
      <c r="M147" s="9">
        <f t="shared" ref="M147:P147" si="354">(3*M146+0.2)/(M146+0.2)</f>
        <v>2.6325019794320879</v>
      </c>
      <c r="N147" s="9">
        <f t="shared" si="354"/>
        <v>2.038431769117524</v>
      </c>
      <c r="O147" s="9">
        <f t="shared" si="354"/>
        <v>2.0495930193826015</v>
      </c>
      <c r="P147" s="9">
        <f t="shared" si="354"/>
        <v>2.7473279662674694</v>
      </c>
      <c r="Q147" s="9">
        <f t="shared" ref="Q147:T147" si="355">(3*Q146+0.2)/(Q146+0.2)</f>
        <v>2.6025663258427723</v>
      </c>
      <c r="R147" s="9">
        <f t="shared" si="355"/>
        <v>2.0467736079984871</v>
      </c>
      <c r="S147" s="9">
        <f t="shared" si="355"/>
        <v>1</v>
      </c>
      <c r="T147" s="9">
        <f t="shared" si="355"/>
        <v>2.7421103841054473</v>
      </c>
      <c r="U147" s="9">
        <f t="shared" ref="U147:X147" si="356">(3*U146+0.2)/(U146+0.2)</f>
        <v>2.5721184283413936</v>
      </c>
      <c r="V147" s="9">
        <f t="shared" si="356"/>
        <v>2.0574477091453187</v>
      </c>
      <c r="W147" s="9">
        <f t="shared" si="356"/>
        <v>1</v>
      </c>
      <c r="X147" s="9">
        <f t="shared" si="356"/>
        <v>2.7368074397605344</v>
      </c>
      <c r="Y147" s="9">
        <f t="shared" ref="Y147:Z147" si="357">(3*Y146+0.2)/(Y146+0.2)</f>
        <v>2.5414892803667946</v>
      </c>
      <c r="Z147" s="9">
        <f t="shared" si="357"/>
        <v>2.064860614459866</v>
      </c>
    </row>
    <row r="148" spans="1:26" s="12" customFormat="1" ht="30" x14ac:dyDescent="0.25">
      <c r="A148" s="1"/>
      <c r="B148" s="1"/>
      <c r="C148" s="42"/>
      <c r="D148" s="30" t="s">
        <v>180</v>
      </c>
      <c r="E148" s="9"/>
      <c r="F148" s="9" t="s">
        <v>5</v>
      </c>
      <c r="G148" s="9">
        <f t="shared" ref="G148:H148" si="358">SQRT(G187/G152)</f>
        <v>9.0160037657077821E-2</v>
      </c>
      <c r="H148" s="9">
        <f t="shared" si="358"/>
        <v>0.10228777093491793</v>
      </c>
      <c r="I148" s="9">
        <f t="shared" ref="I148:L148" si="359">SQRT(I187/I152)</f>
        <v>9.0160037657077821E-2</v>
      </c>
      <c r="J148" s="9">
        <f t="shared" si="359"/>
        <v>9.0160037657077821E-2</v>
      </c>
      <c r="K148" s="9">
        <f t="shared" si="359"/>
        <v>9.0160037657077821E-2</v>
      </c>
      <c r="L148" s="9">
        <f t="shared" si="359"/>
        <v>0.10228777093491793</v>
      </c>
      <c r="M148" s="9">
        <f t="shared" ref="M148:P148" si="360">SQRT(M187/M152)</f>
        <v>9.0160037657077821E-2</v>
      </c>
      <c r="N148" s="9">
        <f t="shared" si="360"/>
        <v>9.0160037657077821E-2</v>
      </c>
      <c r="O148" s="9">
        <f t="shared" si="360"/>
        <v>9.0160037657077821E-2</v>
      </c>
      <c r="P148" s="9">
        <f t="shared" si="360"/>
        <v>0.10228777093491793</v>
      </c>
      <c r="Q148" s="9">
        <f t="shared" ref="Q148:T148" si="361">SQRT(Q187/Q152)</f>
        <v>9.0160037657077821E-2</v>
      </c>
      <c r="R148" s="9">
        <f t="shared" si="361"/>
        <v>9.0160037657077821E-2</v>
      </c>
      <c r="S148" s="9">
        <f t="shared" si="361"/>
        <v>9.0160037657077821E-2</v>
      </c>
      <c r="T148" s="9">
        <f t="shared" si="361"/>
        <v>0.10228777093491793</v>
      </c>
      <c r="U148" s="9">
        <f t="shared" ref="U148:X148" si="362">SQRT(U187/U152)</f>
        <v>9.0160037657077821E-2</v>
      </c>
      <c r="V148" s="9">
        <f t="shared" si="362"/>
        <v>9.0160037657077821E-2</v>
      </c>
      <c r="W148" s="9">
        <f t="shared" si="362"/>
        <v>9.0160037657077821E-2</v>
      </c>
      <c r="X148" s="9">
        <f t="shared" si="362"/>
        <v>0.10228777093491793</v>
      </c>
      <c r="Y148" s="9">
        <f t="shared" ref="Y148:Z148" si="363">SQRT(Y187/Y152)</f>
        <v>9.0160037657077821E-2</v>
      </c>
      <c r="Z148" s="9">
        <f t="shared" si="363"/>
        <v>9.0160037657077821E-2</v>
      </c>
    </row>
    <row r="149" spans="1:26" s="12" customFormat="1" ht="30" x14ac:dyDescent="0.25">
      <c r="A149" s="1"/>
      <c r="B149" s="1"/>
      <c r="C149" s="42"/>
      <c r="D149" s="30" t="s">
        <v>181</v>
      </c>
      <c r="E149" s="9"/>
      <c r="F149" s="9" t="s">
        <v>5</v>
      </c>
      <c r="G149" s="9">
        <f t="shared" ref="G149:H149" si="364">SQRT(G201/G152)</f>
        <v>6.9253728122051897E-2</v>
      </c>
      <c r="H149" s="9">
        <f t="shared" si="364"/>
        <v>6.4709745007395E-2</v>
      </c>
      <c r="I149" s="9">
        <f t="shared" ref="I149:L149" si="365">SQRT(I201/I152)</f>
        <v>6.9447214433894539E-2</v>
      </c>
      <c r="J149" s="9">
        <f t="shared" si="365"/>
        <v>6.8705808228074428E-2</v>
      </c>
      <c r="K149" s="9">
        <f t="shared" si="365"/>
        <v>6.9157323791335129E-2</v>
      </c>
      <c r="L149" s="9">
        <f t="shared" si="365"/>
        <v>6.4701972324760146E-2</v>
      </c>
      <c r="M149" s="9">
        <f t="shared" ref="M149:P149" si="366">SQRT(M201/M152)</f>
        <v>6.9428053165215414E-2</v>
      </c>
      <c r="N149" s="9">
        <f t="shared" si="366"/>
        <v>6.8720243824339208E-2</v>
      </c>
      <c r="O149" s="9">
        <f t="shared" si="366"/>
        <v>6.873374760309145E-2</v>
      </c>
      <c r="P149" s="9">
        <f t="shared" si="366"/>
        <v>6.4693778302895008E-2</v>
      </c>
      <c r="Q149" s="9">
        <f t="shared" ref="Q149:T149" si="367">SQRT(Q201/Q152)</f>
        <v>6.9392915475999059E-2</v>
      </c>
      <c r="R149" s="9">
        <f t="shared" si="367"/>
        <v>6.8730337202166258E-2</v>
      </c>
      <c r="S149" s="9">
        <f t="shared" si="367"/>
        <v>6.7428557379993939E-2</v>
      </c>
      <c r="T149" s="9">
        <f t="shared" si="367"/>
        <v>6.468622512522014E-2</v>
      </c>
      <c r="U149" s="9">
        <f t="shared" ref="U149:X149" si="368">SQRT(U201/U152)</f>
        <v>6.9357119352295493E-2</v>
      </c>
      <c r="V149" s="9">
        <f t="shared" si="368"/>
        <v>6.8743246077466791E-2</v>
      </c>
      <c r="W149" s="9">
        <f t="shared" si="368"/>
        <v>6.7428557379993939E-2</v>
      </c>
      <c r="X149" s="9">
        <f t="shared" si="368"/>
        <v>6.4678546805695736E-2</v>
      </c>
      <c r="Y149" s="9">
        <f t="shared" ref="Y149:Z149" si="369">SQRT(Y201/Y152)</f>
        <v>6.9321051885913879E-2</v>
      </c>
      <c r="Z149" s="9">
        <f t="shared" si="369"/>
        <v>6.8752206706868518E-2</v>
      </c>
    </row>
    <row r="150" spans="1:26" s="12" customFormat="1" x14ac:dyDescent="0.25">
      <c r="A150" s="1"/>
      <c r="B150" s="1"/>
      <c r="C150" s="1"/>
    </row>
    <row r="151" spans="1:26" s="12" customFormat="1" ht="21" x14ac:dyDescent="0.35">
      <c r="A151" s="1"/>
      <c r="B151" s="1"/>
      <c r="C151" s="1"/>
      <c r="D151" s="28" t="s">
        <v>265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2" customFormat="1" x14ac:dyDescent="0.25">
      <c r="A152" s="1" t="s">
        <v>57</v>
      </c>
      <c r="B152" s="1"/>
      <c r="C152" s="27" t="s">
        <v>52</v>
      </c>
      <c r="D152" s="9" t="s">
        <v>117</v>
      </c>
      <c r="E152" s="9"/>
      <c r="F152" s="9" t="s">
        <v>25</v>
      </c>
      <c r="G152" s="92">
        <f t="shared" ref="G152:H152" si="370">PI()^2*$G$4*$G$8*(G104/G26)^2</f>
        <v>28838.065387962528</v>
      </c>
      <c r="H152" s="92">
        <f t="shared" si="370"/>
        <v>22405.098731245496</v>
      </c>
      <c r="I152" s="92">
        <f t="shared" ref="I152:L152" si="371">PI()^2*$G$4*$G$8*(I104/I26)^2</f>
        <v>28838.065387962528</v>
      </c>
      <c r="J152" s="92">
        <f t="shared" si="371"/>
        <v>28838.065387962528</v>
      </c>
      <c r="K152" s="92">
        <f t="shared" si="371"/>
        <v>28838.065387962528</v>
      </c>
      <c r="L152" s="92">
        <f t="shared" si="371"/>
        <v>22405.098731245496</v>
      </c>
      <c r="M152" s="92">
        <f t="shared" ref="M152:P152" si="372">PI()^2*$G$4*$G$8*(M104/M26)^2</f>
        <v>28838.065387962528</v>
      </c>
      <c r="N152" s="92">
        <f t="shared" si="372"/>
        <v>28838.065387962528</v>
      </c>
      <c r="O152" s="92">
        <f t="shared" si="372"/>
        <v>28838.065387962528</v>
      </c>
      <c r="P152" s="92">
        <f t="shared" si="372"/>
        <v>22405.098731245496</v>
      </c>
      <c r="Q152" s="92">
        <f t="shared" ref="Q152:T152" si="373">PI()^2*$G$4*$G$8*(Q104/Q26)^2</f>
        <v>28838.065387962528</v>
      </c>
      <c r="R152" s="92">
        <f t="shared" si="373"/>
        <v>28838.065387962528</v>
      </c>
      <c r="S152" s="92">
        <f t="shared" si="373"/>
        <v>28838.065387962528</v>
      </c>
      <c r="T152" s="92">
        <f t="shared" si="373"/>
        <v>22405.098731245496</v>
      </c>
      <c r="U152" s="92">
        <f t="shared" ref="U152:X152" si="374">PI()^2*$G$4*$G$8*(U104/U26)^2</f>
        <v>28838.065387962528</v>
      </c>
      <c r="V152" s="92">
        <f t="shared" si="374"/>
        <v>28838.065387962528</v>
      </c>
      <c r="W152" s="92">
        <f t="shared" si="374"/>
        <v>28838.065387962528</v>
      </c>
      <c r="X152" s="92">
        <f t="shared" si="374"/>
        <v>22405.098731245496</v>
      </c>
      <c r="Y152" s="92">
        <f t="shared" ref="Y152:Z152" si="375">PI()^2*$G$4*$G$8*(Y104/Y26)^2</f>
        <v>28838.065387962528</v>
      </c>
      <c r="Z152" s="92">
        <f t="shared" si="375"/>
        <v>28838.065387962528</v>
      </c>
    </row>
    <row r="153" spans="1:26" s="12" customFormat="1" ht="30" x14ac:dyDescent="0.25">
      <c r="A153" s="1" t="s">
        <v>59</v>
      </c>
      <c r="B153" s="1"/>
      <c r="C153" s="27" t="s">
        <v>52</v>
      </c>
      <c r="D153" s="30" t="s">
        <v>97</v>
      </c>
      <c r="E153" s="9"/>
      <c r="F153" s="9" t="s">
        <v>25</v>
      </c>
      <c r="G153" s="92">
        <f t="shared" ref="G153:H153" si="376">3.62*$G$4*$G$8*(G17/G16)^2</f>
        <v>223.34572985142859</v>
      </c>
      <c r="H153" s="92">
        <f t="shared" si="376"/>
        <v>223.34572985142859</v>
      </c>
      <c r="I153" s="92">
        <f t="shared" ref="I153:L153" si="377">3.62*$G$4*$G$8*(I17/I16)^2</f>
        <v>223.34572985142859</v>
      </c>
      <c r="J153" s="92">
        <f t="shared" si="377"/>
        <v>223.34572985142859</v>
      </c>
      <c r="K153" s="92">
        <f t="shared" si="377"/>
        <v>223.34572985142859</v>
      </c>
      <c r="L153" s="92">
        <f t="shared" si="377"/>
        <v>223.34572985142859</v>
      </c>
      <c r="M153" s="92">
        <f t="shared" ref="M153:P153" si="378">3.62*$G$4*$G$8*(M17/M16)^2</f>
        <v>223.34572985142859</v>
      </c>
      <c r="N153" s="92">
        <f t="shared" si="378"/>
        <v>223.34572985142859</v>
      </c>
      <c r="O153" s="92">
        <f t="shared" si="378"/>
        <v>223.34572985142859</v>
      </c>
      <c r="P153" s="92">
        <f t="shared" si="378"/>
        <v>223.34572985142859</v>
      </c>
      <c r="Q153" s="92">
        <f t="shared" ref="Q153:T153" si="379">3.62*$G$4*$G$8*(Q17/Q16)^2</f>
        <v>223.34572985142859</v>
      </c>
      <c r="R153" s="92">
        <f t="shared" si="379"/>
        <v>223.34572985142859</v>
      </c>
      <c r="S153" s="92">
        <f t="shared" si="379"/>
        <v>223.34572985142859</v>
      </c>
      <c r="T153" s="92">
        <f t="shared" si="379"/>
        <v>223.34572985142859</v>
      </c>
      <c r="U153" s="92">
        <f t="shared" ref="U153:X153" si="380">3.62*$G$4*$G$8*(U17/U16)^2</f>
        <v>223.34572985142859</v>
      </c>
      <c r="V153" s="92">
        <f t="shared" si="380"/>
        <v>223.34572985142859</v>
      </c>
      <c r="W153" s="92">
        <f t="shared" si="380"/>
        <v>223.34572985142859</v>
      </c>
      <c r="X153" s="92">
        <f t="shared" si="380"/>
        <v>223.34572985142859</v>
      </c>
      <c r="Y153" s="92">
        <f t="shared" ref="Y153:Z153" si="381">3.62*$G$4*$G$8*(Y17/Y16)^2</f>
        <v>223.34572985142859</v>
      </c>
      <c r="Z153" s="92">
        <f t="shared" si="381"/>
        <v>223.34572985142859</v>
      </c>
    </row>
    <row r="154" spans="1:26" s="12" customFormat="1" ht="30" x14ac:dyDescent="0.25">
      <c r="A154" s="1" t="s">
        <v>60</v>
      </c>
      <c r="B154" s="1"/>
      <c r="C154" s="27" t="s">
        <v>52</v>
      </c>
      <c r="D154" s="30" t="s">
        <v>96</v>
      </c>
      <c r="E154" s="9"/>
      <c r="F154" s="9" t="s">
        <v>25</v>
      </c>
      <c r="G154" s="92">
        <f t="shared" ref="G154:H154" si="382">0.9*$G$4*$G$8*(G17/G16)^2</f>
        <v>55.527943885714294</v>
      </c>
      <c r="H154" s="92">
        <f t="shared" si="382"/>
        <v>55.527943885714294</v>
      </c>
      <c r="I154" s="92">
        <f t="shared" ref="I154:L154" si="383">0.9*$G$4*$G$8*(I17/I16)^2</f>
        <v>55.527943885714294</v>
      </c>
      <c r="J154" s="92">
        <f t="shared" si="383"/>
        <v>55.527943885714294</v>
      </c>
      <c r="K154" s="92">
        <f t="shared" si="383"/>
        <v>55.527943885714294</v>
      </c>
      <c r="L154" s="92">
        <f t="shared" si="383"/>
        <v>55.527943885714294</v>
      </c>
      <c r="M154" s="92">
        <f t="shared" ref="M154:P154" si="384">0.9*$G$4*$G$8*(M17/M16)^2</f>
        <v>55.527943885714294</v>
      </c>
      <c r="N154" s="92">
        <f t="shared" si="384"/>
        <v>55.527943885714294</v>
      </c>
      <c r="O154" s="92">
        <f t="shared" si="384"/>
        <v>55.527943885714294</v>
      </c>
      <c r="P154" s="92">
        <f t="shared" si="384"/>
        <v>55.527943885714294</v>
      </c>
      <c r="Q154" s="92">
        <f t="shared" ref="Q154:T154" si="385">0.9*$G$4*$G$8*(Q17/Q16)^2</f>
        <v>55.527943885714294</v>
      </c>
      <c r="R154" s="92">
        <f t="shared" si="385"/>
        <v>55.527943885714294</v>
      </c>
      <c r="S154" s="92">
        <f t="shared" si="385"/>
        <v>55.527943885714294</v>
      </c>
      <c r="T154" s="92">
        <f t="shared" si="385"/>
        <v>55.527943885714294</v>
      </c>
      <c r="U154" s="92">
        <f t="shared" ref="U154:X154" si="386">0.9*$G$4*$G$8*(U17/U16)^2</f>
        <v>55.527943885714294</v>
      </c>
      <c r="V154" s="92">
        <f t="shared" si="386"/>
        <v>55.527943885714294</v>
      </c>
      <c r="W154" s="92">
        <f t="shared" si="386"/>
        <v>55.527943885714294</v>
      </c>
      <c r="X154" s="92">
        <f t="shared" si="386"/>
        <v>55.527943885714294</v>
      </c>
      <c r="Y154" s="92">
        <f t="shared" ref="Y154:Z154" si="387">0.9*$G$4*$G$8*(Y17/Y16)^2</f>
        <v>55.527943885714294</v>
      </c>
      <c r="Z154" s="92">
        <f t="shared" si="387"/>
        <v>55.527943885714294</v>
      </c>
    </row>
    <row r="155" spans="1:26" s="12" customFormat="1" x14ac:dyDescent="0.25">
      <c r="A155" s="1" t="s">
        <v>61</v>
      </c>
      <c r="B155" s="1"/>
      <c r="C155" s="27" t="s">
        <v>52</v>
      </c>
      <c r="D155" s="29" t="s">
        <v>95</v>
      </c>
      <c r="E155" s="9"/>
      <c r="F155" s="9" t="s">
        <v>25</v>
      </c>
      <c r="G155" s="92">
        <f t="shared" ref="G155:H155" si="388">5*$G$4*$G$8*(G17/G16)^2</f>
        <v>308.48857714285714</v>
      </c>
      <c r="H155" s="92">
        <f t="shared" si="388"/>
        <v>308.48857714285714</v>
      </c>
      <c r="I155" s="92">
        <f t="shared" ref="I155:L155" si="389">5*$G$4*$G$8*(I17/I16)^2</f>
        <v>308.48857714285714</v>
      </c>
      <c r="J155" s="92">
        <f t="shared" si="389"/>
        <v>308.48857714285714</v>
      </c>
      <c r="K155" s="92">
        <f t="shared" si="389"/>
        <v>308.48857714285714</v>
      </c>
      <c r="L155" s="92">
        <f t="shared" si="389"/>
        <v>308.48857714285714</v>
      </c>
      <c r="M155" s="92">
        <f t="shared" ref="M155:P155" si="390">5*$G$4*$G$8*(M17/M16)^2</f>
        <v>308.48857714285714</v>
      </c>
      <c r="N155" s="92">
        <f t="shared" si="390"/>
        <v>308.48857714285714</v>
      </c>
      <c r="O155" s="92">
        <f t="shared" si="390"/>
        <v>308.48857714285714</v>
      </c>
      <c r="P155" s="92">
        <f t="shared" si="390"/>
        <v>308.48857714285714</v>
      </c>
      <c r="Q155" s="92">
        <f t="shared" ref="Q155:T155" si="391">5*$G$4*$G$8*(Q17/Q16)^2</f>
        <v>308.48857714285714</v>
      </c>
      <c r="R155" s="92">
        <f t="shared" si="391"/>
        <v>308.48857714285714</v>
      </c>
      <c r="S155" s="92">
        <f t="shared" si="391"/>
        <v>308.48857714285714</v>
      </c>
      <c r="T155" s="92">
        <f t="shared" si="391"/>
        <v>308.48857714285714</v>
      </c>
      <c r="U155" s="92">
        <f t="shared" ref="U155:X155" si="392">5*$G$4*$G$8*(U17/U16)^2</f>
        <v>308.48857714285714</v>
      </c>
      <c r="V155" s="92">
        <f t="shared" si="392"/>
        <v>308.48857714285714</v>
      </c>
      <c r="W155" s="92">
        <f t="shared" si="392"/>
        <v>308.48857714285714</v>
      </c>
      <c r="X155" s="92">
        <f t="shared" si="392"/>
        <v>308.48857714285714</v>
      </c>
      <c r="Y155" s="92">
        <f t="shared" ref="Y155:Z155" si="393">5*$G$4*$G$8*(Y17/Y16)^2</f>
        <v>308.48857714285714</v>
      </c>
      <c r="Z155" s="92">
        <f t="shared" si="393"/>
        <v>308.48857714285714</v>
      </c>
    </row>
    <row r="156" spans="1:26" s="12" customFormat="1" x14ac:dyDescent="0.25">
      <c r="A156" s="26"/>
      <c r="B156" s="69"/>
      <c r="C156" s="27"/>
    </row>
    <row r="157" spans="1:26" s="12" customFormat="1" ht="21" x14ac:dyDescent="0.35">
      <c r="A157" s="1"/>
      <c r="B157" s="1"/>
      <c r="C157" s="27"/>
      <c r="D157" s="83" t="s">
        <v>266</v>
      </c>
      <c r="E157" s="11"/>
      <c r="F157" s="11"/>
    </row>
    <row r="158" spans="1:26" s="12" customFormat="1" x14ac:dyDescent="0.25">
      <c r="A158" s="1" t="s">
        <v>57</v>
      </c>
      <c r="B158" s="1"/>
      <c r="C158" s="27"/>
      <c r="D158" s="9" t="s">
        <v>117</v>
      </c>
      <c r="E158" s="9"/>
      <c r="F158" s="9" t="s">
        <v>25</v>
      </c>
      <c r="G158" s="7">
        <f t="shared" ref="G158:H158" si="394">PI()^2*$G$4*$G$8*(G123/G35)^2</f>
        <v>12193.539231532055</v>
      </c>
      <c r="H158" s="7">
        <f t="shared" si="394"/>
        <v>12193.539231532055</v>
      </c>
      <c r="I158" s="7">
        <f t="shared" ref="I158:L158" si="395">PI()^2*$G$4*$G$8*(I123/I35)^2</f>
        <v>12193.539231532055</v>
      </c>
      <c r="J158" s="7">
        <f t="shared" si="395"/>
        <v>12193.539231532055</v>
      </c>
      <c r="K158" s="7">
        <f t="shared" si="395"/>
        <v>12193.539231532055</v>
      </c>
      <c r="L158" s="7">
        <f t="shared" si="395"/>
        <v>12193.539231532055</v>
      </c>
      <c r="M158" s="7">
        <f t="shared" ref="M158:P158" si="396">PI()^2*$G$4*$G$8*(M123/M35)^2</f>
        <v>12193.539231532055</v>
      </c>
      <c r="N158" s="7">
        <f t="shared" si="396"/>
        <v>12193.539231532055</v>
      </c>
      <c r="O158" s="7">
        <f t="shared" si="396"/>
        <v>12193.539231532055</v>
      </c>
      <c r="P158" s="7">
        <f t="shared" si="396"/>
        <v>12193.539231532055</v>
      </c>
      <c r="Q158" s="7">
        <f t="shared" ref="Q158:T158" si="397">PI()^2*$G$4*$G$8*(Q123/Q35)^2</f>
        <v>12193.539231532055</v>
      </c>
      <c r="R158" s="7">
        <f t="shared" si="397"/>
        <v>12193.539231532055</v>
      </c>
      <c r="S158" s="7">
        <f t="shared" si="397"/>
        <v>12193.539231532055</v>
      </c>
      <c r="T158" s="7">
        <f t="shared" si="397"/>
        <v>12193.539231532055</v>
      </c>
      <c r="U158" s="7">
        <f t="shared" ref="U158:X158" si="398">PI()^2*$G$4*$G$8*(U123/U35)^2</f>
        <v>12193.539231532055</v>
      </c>
      <c r="V158" s="7">
        <f t="shared" si="398"/>
        <v>12193.539231532055</v>
      </c>
      <c r="W158" s="7">
        <f t="shared" si="398"/>
        <v>12193.539231532055</v>
      </c>
      <c r="X158" s="7">
        <f t="shared" si="398"/>
        <v>12193.539231532055</v>
      </c>
      <c r="Y158" s="7">
        <f t="shared" ref="Y158:Z158" si="399">PI()^2*$G$4*$G$8*(Y123/Y35)^2</f>
        <v>12193.539231532055</v>
      </c>
      <c r="Z158" s="7">
        <f t="shared" si="399"/>
        <v>12193.539231532055</v>
      </c>
    </row>
    <row r="159" spans="1:26" s="12" customFormat="1" ht="30" x14ac:dyDescent="0.25">
      <c r="A159" s="1" t="s">
        <v>59</v>
      </c>
      <c r="B159" s="1"/>
      <c r="C159" s="27"/>
      <c r="D159" s="30" t="s">
        <v>97</v>
      </c>
      <c r="E159" s="9"/>
      <c r="F159" s="9" t="s">
        <v>25</v>
      </c>
      <c r="G159" s="9">
        <f t="shared" ref="G159:H159" si="400">3.62*$G$4*$G$8*(G17/G16)^2</f>
        <v>223.34572985142859</v>
      </c>
      <c r="H159" s="9">
        <f t="shared" si="400"/>
        <v>223.34572985142859</v>
      </c>
      <c r="I159" s="9">
        <f t="shared" ref="I159:L159" si="401">3.62*$G$4*$G$8*(I17/I16)^2</f>
        <v>223.34572985142859</v>
      </c>
      <c r="J159" s="9">
        <f t="shared" si="401"/>
        <v>223.34572985142859</v>
      </c>
      <c r="K159" s="9">
        <f t="shared" si="401"/>
        <v>223.34572985142859</v>
      </c>
      <c r="L159" s="9">
        <f t="shared" si="401"/>
        <v>223.34572985142859</v>
      </c>
      <c r="M159" s="9">
        <f t="shared" ref="M159:P159" si="402">3.62*$G$4*$G$8*(M17/M16)^2</f>
        <v>223.34572985142859</v>
      </c>
      <c r="N159" s="9">
        <f t="shared" si="402"/>
        <v>223.34572985142859</v>
      </c>
      <c r="O159" s="9">
        <f t="shared" si="402"/>
        <v>223.34572985142859</v>
      </c>
      <c r="P159" s="9">
        <f t="shared" si="402"/>
        <v>223.34572985142859</v>
      </c>
      <c r="Q159" s="9">
        <f t="shared" ref="Q159:T159" si="403">3.62*$G$4*$G$8*(Q17/Q16)^2</f>
        <v>223.34572985142859</v>
      </c>
      <c r="R159" s="9">
        <f t="shared" si="403"/>
        <v>223.34572985142859</v>
      </c>
      <c r="S159" s="9">
        <f t="shared" si="403"/>
        <v>223.34572985142859</v>
      </c>
      <c r="T159" s="9">
        <f t="shared" si="403"/>
        <v>223.34572985142859</v>
      </c>
      <c r="U159" s="9">
        <f t="shared" ref="U159:X159" si="404">3.62*$G$4*$G$8*(U17/U16)^2</f>
        <v>223.34572985142859</v>
      </c>
      <c r="V159" s="9">
        <f t="shared" si="404"/>
        <v>223.34572985142859</v>
      </c>
      <c r="W159" s="9">
        <f t="shared" si="404"/>
        <v>223.34572985142859</v>
      </c>
      <c r="X159" s="9">
        <f t="shared" si="404"/>
        <v>223.34572985142859</v>
      </c>
      <c r="Y159" s="9">
        <f t="shared" ref="Y159:Z159" si="405">3.62*$G$4*$G$8*(Y17/Y16)^2</f>
        <v>223.34572985142859</v>
      </c>
      <c r="Z159" s="9">
        <f t="shared" si="405"/>
        <v>223.34572985142859</v>
      </c>
    </row>
    <row r="160" spans="1:26" s="12" customFormat="1" ht="30" x14ac:dyDescent="0.25">
      <c r="A160" s="1" t="s">
        <v>60</v>
      </c>
      <c r="B160" s="1"/>
      <c r="C160" s="27"/>
      <c r="D160" s="30" t="s">
        <v>96</v>
      </c>
      <c r="E160" s="9"/>
      <c r="F160" s="9" t="s">
        <v>25</v>
      </c>
      <c r="G160" s="9">
        <f t="shared" ref="G160:H160" si="406">0.9*$G$4*$G$8*(G17/G16)^2</f>
        <v>55.527943885714294</v>
      </c>
      <c r="H160" s="9">
        <f t="shared" si="406"/>
        <v>55.527943885714294</v>
      </c>
      <c r="I160" s="9">
        <f t="shared" ref="I160:L160" si="407">0.9*$G$4*$G$8*(I17/I16)^2</f>
        <v>55.527943885714294</v>
      </c>
      <c r="J160" s="9">
        <f t="shared" si="407"/>
        <v>55.527943885714294</v>
      </c>
      <c r="K160" s="9">
        <f t="shared" si="407"/>
        <v>55.527943885714294</v>
      </c>
      <c r="L160" s="9">
        <f t="shared" si="407"/>
        <v>55.527943885714294</v>
      </c>
      <c r="M160" s="9">
        <f t="shared" ref="M160:P160" si="408">0.9*$G$4*$G$8*(M17/M16)^2</f>
        <v>55.527943885714294</v>
      </c>
      <c r="N160" s="9">
        <f t="shared" si="408"/>
        <v>55.527943885714294</v>
      </c>
      <c r="O160" s="9">
        <f t="shared" si="408"/>
        <v>55.527943885714294</v>
      </c>
      <c r="P160" s="9">
        <f t="shared" si="408"/>
        <v>55.527943885714294</v>
      </c>
      <c r="Q160" s="9">
        <f t="shared" ref="Q160:T160" si="409">0.9*$G$4*$G$8*(Q17/Q16)^2</f>
        <v>55.527943885714294</v>
      </c>
      <c r="R160" s="9">
        <f t="shared" si="409"/>
        <v>55.527943885714294</v>
      </c>
      <c r="S160" s="9">
        <f t="shared" si="409"/>
        <v>55.527943885714294</v>
      </c>
      <c r="T160" s="9">
        <f t="shared" si="409"/>
        <v>55.527943885714294</v>
      </c>
      <c r="U160" s="9">
        <f t="shared" ref="U160:X160" si="410">0.9*$G$4*$G$8*(U17/U16)^2</f>
        <v>55.527943885714294</v>
      </c>
      <c r="V160" s="9">
        <f t="shared" si="410"/>
        <v>55.527943885714294</v>
      </c>
      <c r="W160" s="9">
        <f t="shared" si="410"/>
        <v>55.527943885714294</v>
      </c>
      <c r="X160" s="9">
        <f t="shared" si="410"/>
        <v>55.527943885714294</v>
      </c>
      <c r="Y160" s="9">
        <f t="shared" ref="Y160:Z160" si="411">0.9*$G$4*$G$8*(Y17/Y16)^2</f>
        <v>55.527943885714294</v>
      </c>
      <c r="Z160" s="9">
        <f t="shared" si="411"/>
        <v>55.527943885714294</v>
      </c>
    </row>
    <row r="161" spans="1:26" s="12" customFormat="1" x14ac:dyDescent="0.25">
      <c r="A161" s="1" t="s">
        <v>61</v>
      </c>
      <c r="B161" s="1"/>
      <c r="C161" s="27"/>
      <c r="D161" s="29" t="s">
        <v>95</v>
      </c>
      <c r="E161" s="9"/>
      <c r="F161" s="9" t="s">
        <v>25</v>
      </c>
      <c r="G161" s="9">
        <f t="shared" ref="G161:H161" si="412">5*$G$4*$G$8*(G17/G16)^2</f>
        <v>308.48857714285714</v>
      </c>
      <c r="H161" s="9">
        <f t="shared" si="412"/>
        <v>308.48857714285714</v>
      </c>
      <c r="I161" s="9">
        <f t="shared" ref="I161:L161" si="413">5*$G$4*$G$8*(I17/I16)^2</f>
        <v>308.48857714285714</v>
      </c>
      <c r="J161" s="9">
        <f t="shared" si="413"/>
        <v>308.48857714285714</v>
      </c>
      <c r="K161" s="9">
        <f t="shared" si="413"/>
        <v>308.48857714285714</v>
      </c>
      <c r="L161" s="9">
        <f t="shared" si="413"/>
        <v>308.48857714285714</v>
      </c>
      <c r="M161" s="9">
        <f t="shared" ref="M161:P161" si="414">5*$G$4*$G$8*(M17/M16)^2</f>
        <v>308.48857714285714</v>
      </c>
      <c r="N161" s="9">
        <f t="shared" si="414"/>
        <v>308.48857714285714</v>
      </c>
      <c r="O161" s="9">
        <f t="shared" si="414"/>
        <v>308.48857714285714</v>
      </c>
      <c r="P161" s="9">
        <f t="shared" si="414"/>
        <v>308.48857714285714</v>
      </c>
      <c r="Q161" s="9">
        <f t="shared" ref="Q161:T161" si="415">5*$G$4*$G$8*(Q17/Q16)^2</f>
        <v>308.48857714285714</v>
      </c>
      <c r="R161" s="9">
        <f t="shared" si="415"/>
        <v>308.48857714285714</v>
      </c>
      <c r="S161" s="9">
        <f t="shared" si="415"/>
        <v>308.48857714285714</v>
      </c>
      <c r="T161" s="9">
        <f t="shared" si="415"/>
        <v>308.48857714285714</v>
      </c>
      <c r="U161" s="9">
        <f t="shared" ref="U161:X161" si="416">5*$G$4*$G$8*(U17/U16)^2</f>
        <v>308.48857714285714</v>
      </c>
      <c r="V161" s="9">
        <f t="shared" si="416"/>
        <v>308.48857714285714</v>
      </c>
      <c r="W161" s="9">
        <f t="shared" si="416"/>
        <v>308.48857714285714</v>
      </c>
      <c r="X161" s="9">
        <f t="shared" si="416"/>
        <v>308.48857714285714</v>
      </c>
      <c r="Y161" s="9">
        <f t="shared" ref="Y161:Z161" si="417">5*$G$4*$G$8*(Y17/Y16)^2</f>
        <v>308.48857714285714</v>
      </c>
      <c r="Z161" s="9">
        <f t="shared" si="417"/>
        <v>308.48857714285714</v>
      </c>
    </row>
    <row r="162" spans="1:26" s="12" customFormat="1" x14ac:dyDescent="0.25">
      <c r="A162" s="1"/>
      <c r="B162" s="1"/>
      <c r="C162" s="1"/>
    </row>
    <row r="163" spans="1:26" s="12" customFormat="1" ht="21" x14ac:dyDescent="0.35">
      <c r="A163" s="1"/>
      <c r="B163" s="1"/>
      <c r="C163" s="1"/>
      <c r="D163" s="28" t="s">
        <v>267</v>
      </c>
      <c r="E163" s="10" t="s">
        <v>94</v>
      </c>
      <c r="F163" s="10" t="s">
        <v>78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2" customFormat="1" x14ac:dyDescent="0.25">
      <c r="A164" s="1" t="s">
        <v>67</v>
      </c>
      <c r="B164" s="1"/>
      <c r="C164" s="27" t="s">
        <v>52</v>
      </c>
      <c r="D164" s="29" t="s">
        <v>98</v>
      </c>
      <c r="E164" s="9"/>
      <c r="F164" s="9" t="s">
        <v>25</v>
      </c>
      <c r="G164" s="92">
        <f t="shared" ref="G164:H164" si="418">(G99+(G22/G21)^2*G100)/(G99+3*G100)*G134*($G$7*$G$8*(G21/G20)^2)+PI()^2*$G$4*$G$8*G103/((G99/3+G100)*G25^2)</f>
        <v>441.69899370772418</v>
      </c>
      <c r="H164" s="92">
        <f t="shared" si="418"/>
        <v>301.40544227818526</v>
      </c>
      <c r="I164" s="92">
        <f t="shared" ref="I164:L164" si="419">(I99+(I22/I21)^2*I100)/(I99+3*I100)*I134*($G$7*$G$8*(I21/I20)^2)+PI()^2*$G$4*$G$8*I103/((I99/3+I100)*I25^2)</f>
        <v>450.13081637120354</v>
      </c>
      <c r="J164" s="92">
        <f t="shared" si="419"/>
        <v>446.57395485838754</v>
      </c>
      <c r="K164" s="92">
        <f t="shared" si="419"/>
        <v>437.82640492496944</v>
      </c>
      <c r="L164" s="92">
        <f t="shared" si="419"/>
        <v>301.39293532541114</v>
      </c>
      <c r="M164" s="92">
        <f t="shared" ref="M164:P164" si="420">(M99+(M22/M21)^2*M100)/(M99+3*M100)*M134*($G$7*$G$8*(M21/M20)^2)+PI()^2*$G$4*$G$8*M103/((M99/3+M100)*M25^2)</f>
        <v>450.16128143312574</v>
      </c>
      <c r="N164" s="92">
        <f t="shared" si="420"/>
        <v>446.77407719076143</v>
      </c>
      <c r="O164" s="92">
        <f t="shared" si="420"/>
        <v>423.11185709524648</v>
      </c>
      <c r="P164" s="92">
        <f t="shared" si="420"/>
        <v>301.38009566709889</v>
      </c>
      <c r="Q164" s="92">
        <f t="shared" ref="Q164:T164" si="421">(Q99+(Q22/Q21)^2*Q100)/(Q99+3*Q100)*Q134*($G$7*$G$8*(Q21/Q20)^2)+PI()^2*$G$4*$G$8*Q103/((Q99/3+Q100)*Q25^2)</f>
        <v>449.77345465893586</v>
      </c>
      <c r="R164" s="92">
        <f t="shared" si="421"/>
        <v>446.94190715180406</v>
      </c>
      <c r="S164" s="92">
        <f t="shared" si="421"/>
        <v>403.29826731969786</v>
      </c>
      <c r="T164" s="92">
        <f t="shared" si="421"/>
        <v>301.36856728348926</v>
      </c>
      <c r="U164" s="92">
        <f t="shared" ref="U164:X164" si="422">(U99+(U22/U21)^2*U100)/(U99+3*U100)*U134*($G$7*$G$8*(U21/U20)^2)+PI()^2*$G$4*$G$8*U103/((U99/3+U100)*U25^2)</f>
        <v>449.3057931009148</v>
      </c>
      <c r="V164" s="92">
        <f t="shared" si="422"/>
        <v>447.12110781652012</v>
      </c>
      <c r="W164" s="92">
        <f t="shared" si="422"/>
        <v>403.29826731969786</v>
      </c>
      <c r="X164" s="92">
        <f t="shared" si="422"/>
        <v>301.35536962320214</v>
      </c>
      <c r="Y164" s="92">
        <f t="shared" ref="Y164:Z164" si="423">(Y99+(Y22/Y21)^2*Y100)/(Y99+3*Y100)*Y134*($G$7*$G$8*(Y21/Y20)^2)+PI()^2*$G$4*$G$8*Y103/((Y99/3+Y100)*Y25^2)</f>
        <v>448.75347314150349</v>
      </c>
      <c r="Z164" s="92">
        <f t="shared" si="423"/>
        <v>447.28710001476963</v>
      </c>
    </row>
    <row r="165" spans="1:26" s="12" customFormat="1" x14ac:dyDescent="0.25">
      <c r="A165" s="1" t="s">
        <v>68</v>
      </c>
      <c r="B165" s="1"/>
      <c r="C165" s="27" t="s">
        <v>52</v>
      </c>
      <c r="D165" s="29" t="s">
        <v>104</v>
      </c>
      <c r="E165" s="9"/>
      <c r="F165" s="9" t="s">
        <v>5</v>
      </c>
      <c r="G165" s="9">
        <f t="shared" ref="G165:H165" si="424">SQRT($G$5*$G$8/G164)</f>
        <v>0.72850735477085016</v>
      </c>
      <c r="H165" s="9">
        <f t="shared" si="424"/>
        <v>0.88190458527852178</v>
      </c>
      <c r="I165" s="9">
        <f t="shared" ref="I165:L165" si="425">SQRT($G$5*$G$8/I164)</f>
        <v>0.72165192171924786</v>
      </c>
      <c r="J165" s="9">
        <f t="shared" si="425"/>
        <v>0.72452011985639553</v>
      </c>
      <c r="K165" s="9">
        <f t="shared" si="425"/>
        <v>0.73172209741117988</v>
      </c>
      <c r="L165" s="9">
        <f t="shared" si="425"/>
        <v>0.88192288335933455</v>
      </c>
      <c r="M165" s="9">
        <f t="shared" ref="M165:P165" si="426">SQRT($G$5*$G$8/M164)</f>
        <v>0.72162750209080873</v>
      </c>
      <c r="N165" s="9">
        <f t="shared" si="426"/>
        <v>0.72435783548961774</v>
      </c>
      <c r="O165" s="9">
        <f t="shared" si="426"/>
        <v>0.74433689686712934</v>
      </c>
      <c r="P165" s="9">
        <f t="shared" si="426"/>
        <v>0.8819416693840938</v>
      </c>
      <c r="Q165" s="9">
        <f t="shared" ref="Q165:T165" si="427">SQRT($G$5*$G$8/Q164)</f>
        <v>0.72193855442080979</v>
      </c>
      <c r="R165" s="9">
        <f t="shared" si="427"/>
        <v>0.72422182188246143</v>
      </c>
      <c r="S165" s="9">
        <f t="shared" si="427"/>
        <v>0.76240189563218397</v>
      </c>
      <c r="T165" s="9">
        <f t="shared" si="427"/>
        <v>0.88195853787297662</v>
      </c>
      <c r="U165" s="9">
        <f t="shared" ref="U165:X165" si="428">SQRT($G$5*$G$8/U164)</f>
        <v>0.72231417288158239</v>
      </c>
      <c r="V165" s="9">
        <f t="shared" si="428"/>
        <v>0.72407667771918816</v>
      </c>
      <c r="W165" s="9">
        <f t="shared" si="428"/>
        <v>0.76240189563218397</v>
      </c>
      <c r="X165" s="9">
        <f t="shared" si="428"/>
        <v>0.88197785005869989</v>
      </c>
      <c r="Y165" s="9">
        <f t="shared" ref="Y165:Z165" si="429">SQRT($G$5*$G$8/Y164)</f>
        <v>0.72275854365399028</v>
      </c>
      <c r="Z165" s="9">
        <f t="shared" si="429"/>
        <v>0.72394230962261819</v>
      </c>
    </row>
    <row r="166" spans="1:26" s="12" customFormat="1" x14ac:dyDescent="0.25">
      <c r="A166" s="1" t="s">
        <v>69</v>
      </c>
      <c r="B166" s="1"/>
      <c r="C166" s="27" t="s">
        <v>52</v>
      </c>
      <c r="D166" s="29" t="s">
        <v>103</v>
      </c>
      <c r="E166" s="9"/>
      <c r="F166" s="9" t="s">
        <v>5</v>
      </c>
      <c r="G166" s="9">
        <f t="shared" ref="G166:H166" si="430">0.35*(G165-0.6)</f>
        <v>4.4977574169797557E-2</v>
      </c>
      <c r="H166" s="9">
        <f t="shared" si="430"/>
        <v>9.8666604847482631E-2</v>
      </c>
      <c r="I166" s="9">
        <f t="shared" ref="I166:L166" si="431">0.35*(I165-0.6)</f>
        <v>4.2578172601736755E-2</v>
      </c>
      <c r="J166" s="9">
        <f t="shared" si="431"/>
        <v>4.3582041949738443E-2</v>
      </c>
      <c r="K166" s="9">
        <f t="shared" si="431"/>
        <v>4.6102734093912967E-2</v>
      </c>
      <c r="L166" s="9">
        <f t="shared" si="431"/>
        <v>9.8673009175767101E-2</v>
      </c>
      <c r="M166" s="9">
        <f t="shared" ref="M166:P166" si="432">0.35*(M165-0.6)</f>
        <v>4.2569625731783058E-2</v>
      </c>
      <c r="N166" s="9">
        <f t="shared" si="432"/>
        <v>4.3525242421366211E-2</v>
      </c>
      <c r="O166" s="9">
        <f t="shared" si="432"/>
        <v>5.0517913903495276E-2</v>
      </c>
      <c r="P166" s="9">
        <f t="shared" si="432"/>
        <v>9.8679584284432825E-2</v>
      </c>
      <c r="Q166" s="9">
        <f t="shared" ref="Q166:T166" si="433">0.35*(Q165-0.6)</f>
        <v>4.2678494047283431E-2</v>
      </c>
      <c r="R166" s="9">
        <f t="shared" si="433"/>
        <v>4.3477637658861507E-2</v>
      </c>
      <c r="S166" s="9">
        <f t="shared" si="433"/>
        <v>5.6840663471264395E-2</v>
      </c>
      <c r="T166" s="9">
        <f t="shared" si="433"/>
        <v>9.8685488255541826E-2</v>
      </c>
      <c r="U166" s="9">
        <f t="shared" ref="U166:X166" si="434">0.35*(U165-0.6)</f>
        <v>4.2809960508553846E-2</v>
      </c>
      <c r="V166" s="9">
        <f t="shared" si="434"/>
        <v>4.3426837201715862E-2</v>
      </c>
      <c r="W166" s="9">
        <f t="shared" si="434"/>
        <v>5.6840663471264395E-2</v>
      </c>
      <c r="X166" s="9">
        <f t="shared" si="434"/>
        <v>9.8692247520544965E-2</v>
      </c>
      <c r="Y166" s="9">
        <f t="shared" ref="Y166:Z166" si="435">0.35*(Y165-0.6)</f>
        <v>4.2965490278896602E-2</v>
      </c>
      <c r="Z166" s="9">
        <f t="shared" si="435"/>
        <v>4.337980836791637E-2</v>
      </c>
    </row>
    <row r="167" spans="1:26" s="12" customFormat="1" x14ac:dyDescent="0.25">
      <c r="A167" s="1" t="s">
        <v>70</v>
      </c>
      <c r="B167" s="1"/>
      <c r="C167" s="27" t="s">
        <v>52</v>
      </c>
      <c r="D167" s="29" t="s">
        <v>99</v>
      </c>
      <c r="E167" s="9" t="s">
        <v>33</v>
      </c>
      <c r="F167" s="9" t="s">
        <v>25</v>
      </c>
      <c r="G167" s="92">
        <f t="shared" ref="G167:H167" si="436">(1+G166+G165^2-SQRT(((1+G166+G165^2)^2-4*G165^2)))/((2*G165^2))*$G$5*$G$8</f>
        <v>215.49395587046308</v>
      </c>
      <c r="H167" s="92">
        <f t="shared" si="436"/>
        <v>186.29243439840425</v>
      </c>
      <c r="I167" s="92">
        <f t="shared" ref="I167:L167" si="437">(1+I166+I165^2-SQRT(((1+I166+I165^2)^2-4*I165^2)))/((2*I165^2))*$G$5*$G$8</f>
        <v>216.63760558880566</v>
      </c>
      <c r="J167" s="92">
        <f t="shared" si="437"/>
        <v>216.1610295992738</v>
      </c>
      <c r="K167" s="92">
        <f t="shared" si="437"/>
        <v>214.95226450593657</v>
      </c>
      <c r="L167" s="92">
        <f t="shared" si="437"/>
        <v>186.28864303288154</v>
      </c>
      <c r="M167" s="92">
        <f t="shared" ref="M167:P167" si="438">(1+M166+M165^2-SQRT(((1+M166+M165^2)^2-4*M165^2)))/((2*M165^2))*$G$5*$G$8</f>
        <v>216.64165133036732</v>
      </c>
      <c r="N167" s="92">
        <f t="shared" si="438"/>
        <v>216.18806784287352</v>
      </c>
      <c r="O167" s="92">
        <f t="shared" si="438"/>
        <v>212.79351825763348</v>
      </c>
      <c r="P167" s="92">
        <f t="shared" si="438"/>
        <v>186.28475052320684</v>
      </c>
      <c r="Q167" s="92">
        <f t="shared" ref="Q167:T167" si="439">(1+Q166+Q165^2-SQRT(((1+Q166+Q165^2)^2-4*Q165^2)))/((2*Q165^2))*$G$5*$G$8</f>
        <v>216.59010259997413</v>
      </c>
      <c r="R167" s="92">
        <f t="shared" si="439"/>
        <v>216.21072233792995</v>
      </c>
      <c r="S167" s="92">
        <f t="shared" si="439"/>
        <v>209.61133296236787</v>
      </c>
      <c r="T167" s="92">
        <f t="shared" si="439"/>
        <v>186.28125529527691</v>
      </c>
      <c r="U167" s="92">
        <f t="shared" ref="U167:X167" si="440">(1+U166+U165^2-SQRT(((1+U166+U165^2)^2-4*U165^2)))/((2*U165^2))*$G$5*$G$8</f>
        <v>216.52781067260952</v>
      </c>
      <c r="V167" s="92">
        <f t="shared" si="440"/>
        <v>216.23489081342984</v>
      </c>
      <c r="W167" s="92">
        <f t="shared" si="440"/>
        <v>209.61133296236787</v>
      </c>
      <c r="X167" s="92">
        <f t="shared" si="440"/>
        <v>186.27725368002447</v>
      </c>
      <c r="Y167" s="92">
        <f t="shared" ref="Y167:Z167" si="441">(1+Y166+Y165^2-SQRT(((1+Y166+Y165^2)^2-4*Y165^2)))/((2*Y165^2))*$G$5*$G$8</f>
        <v>216.45405614878075</v>
      </c>
      <c r="Z167" s="92">
        <f t="shared" si="441"/>
        <v>216.25725866002631</v>
      </c>
    </row>
    <row r="168" spans="1:26" s="12" customFormat="1" x14ac:dyDescent="0.25">
      <c r="A168" s="1" t="s">
        <v>71</v>
      </c>
      <c r="B168" s="1"/>
      <c r="C168" s="27" t="s">
        <v>52</v>
      </c>
      <c r="D168" s="29" t="s">
        <v>99</v>
      </c>
      <c r="E168" s="9" t="s">
        <v>34</v>
      </c>
      <c r="F168" s="9" t="s">
        <v>25</v>
      </c>
      <c r="G168" s="92">
        <f t="shared" ref="G168:Z168" si="442">$G$5*$G$8</f>
        <v>234.41980000000001</v>
      </c>
      <c r="H168" s="92">
        <f t="shared" si="442"/>
        <v>234.41980000000001</v>
      </c>
      <c r="I168" s="92">
        <f t="shared" si="442"/>
        <v>234.41980000000001</v>
      </c>
      <c r="J168" s="92">
        <f t="shared" si="442"/>
        <v>234.41980000000001</v>
      </c>
      <c r="K168" s="92">
        <f t="shared" si="442"/>
        <v>234.41980000000001</v>
      </c>
      <c r="L168" s="92">
        <f t="shared" si="442"/>
        <v>234.41980000000001</v>
      </c>
      <c r="M168" s="92">
        <f t="shared" si="442"/>
        <v>234.41980000000001</v>
      </c>
      <c r="N168" s="92">
        <f t="shared" si="442"/>
        <v>234.41980000000001</v>
      </c>
      <c r="O168" s="92">
        <f t="shared" si="442"/>
        <v>234.41980000000001</v>
      </c>
      <c r="P168" s="92">
        <f t="shared" si="442"/>
        <v>234.41980000000001</v>
      </c>
      <c r="Q168" s="92">
        <f t="shared" si="442"/>
        <v>234.41980000000001</v>
      </c>
      <c r="R168" s="92">
        <f t="shared" si="442"/>
        <v>234.41980000000001</v>
      </c>
      <c r="S168" s="92">
        <f t="shared" si="442"/>
        <v>234.41980000000001</v>
      </c>
      <c r="T168" s="92">
        <f t="shared" si="442"/>
        <v>234.41980000000001</v>
      </c>
      <c r="U168" s="92">
        <f t="shared" si="442"/>
        <v>234.41980000000001</v>
      </c>
      <c r="V168" s="92">
        <f t="shared" si="442"/>
        <v>234.41980000000001</v>
      </c>
      <c r="W168" s="92">
        <f t="shared" si="442"/>
        <v>234.41980000000001</v>
      </c>
      <c r="X168" s="92">
        <f t="shared" si="442"/>
        <v>234.41980000000001</v>
      </c>
      <c r="Y168" s="92">
        <f t="shared" si="442"/>
        <v>234.41980000000001</v>
      </c>
      <c r="Z168" s="92">
        <f t="shared" si="442"/>
        <v>234.41980000000001</v>
      </c>
    </row>
    <row r="169" spans="1:26" s="12" customFormat="1" x14ac:dyDescent="0.25">
      <c r="A169" s="1" t="s">
        <v>75</v>
      </c>
      <c r="B169" s="1"/>
      <c r="C169" s="27" t="s">
        <v>52</v>
      </c>
      <c r="D169" s="31" t="s">
        <v>99</v>
      </c>
      <c r="E169" s="9"/>
      <c r="F169" s="9" t="s">
        <v>25</v>
      </c>
      <c r="G169" s="94">
        <f t="shared" ref="G169:H169" si="443">IF(G165&gt;0.6,G167,G168)</f>
        <v>215.49395587046308</v>
      </c>
      <c r="H169" s="94">
        <f t="shared" si="443"/>
        <v>186.29243439840425</v>
      </c>
      <c r="I169" s="94">
        <f t="shared" ref="I169:L169" si="444">IF(I165&gt;0.6,I167,I168)</f>
        <v>216.63760558880566</v>
      </c>
      <c r="J169" s="94">
        <f t="shared" si="444"/>
        <v>216.1610295992738</v>
      </c>
      <c r="K169" s="94">
        <f t="shared" si="444"/>
        <v>214.95226450593657</v>
      </c>
      <c r="L169" s="94">
        <f t="shared" si="444"/>
        <v>186.28864303288154</v>
      </c>
      <c r="M169" s="94">
        <f t="shared" ref="M169:P169" si="445">IF(M165&gt;0.6,M167,M168)</f>
        <v>216.64165133036732</v>
      </c>
      <c r="N169" s="94">
        <f t="shared" si="445"/>
        <v>216.18806784287352</v>
      </c>
      <c r="O169" s="94">
        <f t="shared" si="445"/>
        <v>212.79351825763348</v>
      </c>
      <c r="P169" s="94">
        <f t="shared" si="445"/>
        <v>186.28475052320684</v>
      </c>
      <c r="Q169" s="94">
        <f t="shared" ref="Q169:T169" si="446">IF(Q165&gt;0.6,Q167,Q168)</f>
        <v>216.59010259997413</v>
      </c>
      <c r="R169" s="94">
        <f t="shared" si="446"/>
        <v>216.21072233792995</v>
      </c>
      <c r="S169" s="94">
        <f t="shared" si="446"/>
        <v>209.61133296236787</v>
      </c>
      <c r="T169" s="94">
        <f t="shared" si="446"/>
        <v>186.28125529527691</v>
      </c>
      <c r="U169" s="94">
        <f t="shared" ref="U169:X169" si="447">IF(U165&gt;0.6,U167,U168)</f>
        <v>216.52781067260952</v>
      </c>
      <c r="V169" s="94">
        <f t="shared" si="447"/>
        <v>216.23489081342984</v>
      </c>
      <c r="W169" s="94">
        <f t="shared" si="447"/>
        <v>209.61133296236787</v>
      </c>
      <c r="X169" s="94">
        <f t="shared" si="447"/>
        <v>186.27725368002447</v>
      </c>
      <c r="Y169" s="94">
        <f t="shared" ref="Y169:Z169" si="448">IF(Y165&gt;0.6,Y167,Y168)</f>
        <v>216.45405614878075</v>
      </c>
      <c r="Z169" s="94">
        <f t="shared" si="448"/>
        <v>216.25725866002631</v>
      </c>
    </row>
    <row r="170" spans="1:26" s="12" customFormat="1" x14ac:dyDescent="0.25">
      <c r="A170" s="1"/>
      <c r="B170" s="1"/>
      <c r="C170" s="27"/>
      <c r="D170" s="31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s="12" customFormat="1" ht="21" x14ac:dyDescent="0.35">
      <c r="A171" s="1"/>
      <c r="B171" s="1"/>
      <c r="C171" s="1"/>
      <c r="D171" s="28" t="s">
        <v>268</v>
      </c>
    </row>
    <row r="172" spans="1:26" s="12" customFormat="1" x14ac:dyDescent="0.25">
      <c r="A172" s="1" t="s">
        <v>67</v>
      </c>
      <c r="B172" s="1"/>
      <c r="C172" s="27" t="s">
        <v>52</v>
      </c>
      <c r="D172" s="29" t="s">
        <v>98</v>
      </c>
      <c r="E172" s="9"/>
      <c r="F172" s="9" t="s">
        <v>25</v>
      </c>
      <c r="G172" s="92">
        <f t="shared" ref="G172:H172" si="449">(G117+(G22/G30)^2*G119)/(G117+3*G117)*G147*($G$7*$G$8*(G30/G29)^2)+PI()^2*$G$4*$G$8*G122/((G117/3+G119)*G25^2)</f>
        <v>187.24763577862012</v>
      </c>
      <c r="H172" s="92">
        <f t="shared" si="449"/>
        <v>116.07696361764306</v>
      </c>
      <c r="I172" s="92">
        <f t="shared" ref="I172:L172" si="450">(I117+(I22/I30)^2*I119)/(I117+3*I117)*I147*($G$7*$G$8*(I30/I29)^2)+PI()^2*$G$4*$G$8*I122/((I117/3+I119)*I25^2)</f>
        <v>188.6647747684197</v>
      </c>
      <c r="J172" s="92">
        <f t="shared" si="450"/>
        <v>183.30008396474278</v>
      </c>
      <c r="K172" s="92">
        <f t="shared" si="450"/>
        <v>186.54612198875611</v>
      </c>
      <c r="L172" s="92">
        <f t="shared" si="450"/>
        <v>116.0446799245758</v>
      </c>
      <c r="M172" s="92">
        <f t="shared" ref="M172:P172" si="451">(M117+(M22/M30)^2*M119)/(M117+3*M117)*M147*($G$7*$G$8*(M30/M29)^2)+PI()^2*$G$4*$G$8*M122/((M117/3+M119)*M25^2)</f>
        <v>188.5238816443424</v>
      </c>
      <c r="N172" s="92">
        <f t="shared" si="451"/>
        <v>183.40287276828204</v>
      </c>
      <c r="O172" s="92">
        <f t="shared" si="451"/>
        <v>183.49908506892092</v>
      </c>
      <c r="P172" s="92">
        <f t="shared" si="451"/>
        <v>116.01065349463015</v>
      </c>
      <c r="Q172" s="92">
        <f t="shared" ref="Q172:T172" si="452">(Q117+(Q22/Q30)^2*Q119)/(Q117+3*Q117)*Q147*($G$7*$G$8*(Q30/Q29)^2)+PI()^2*$G$4*$G$8*Q122/((Q117/3+Q119)*Q25^2)</f>
        <v>188.26583007892157</v>
      </c>
      <c r="R172" s="92">
        <f t="shared" si="452"/>
        <v>183.47478115589411</v>
      </c>
      <c r="S172" s="92">
        <f t="shared" si="452"/>
        <v>174.45137475592071</v>
      </c>
      <c r="T172" s="92">
        <f t="shared" si="452"/>
        <v>115.97929485259655</v>
      </c>
      <c r="U172" s="92">
        <f t="shared" ref="U172:X172" si="453">(U117+(U22/U30)^2*U119)/(U117+3*U117)*U147*($G$7*$G$8*(U30/U29)^2)+PI()^2*$G$4*$G$8*U122/((U117/3+U119)*U25^2)</f>
        <v>188.00336286434879</v>
      </c>
      <c r="V172" s="92">
        <f t="shared" si="453"/>
        <v>183.56679412972753</v>
      </c>
      <c r="W172" s="92">
        <f t="shared" si="453"/>
        <v>174.45137475592071</v>
      </c>
      <c r="X172" s="92">
        <f t="shared" si="453"/>
        <v>115.9474231679211</v>
      </c>
      <c r="Y172" s="92">
        <f t="shared" ref="Y172:Z172" si="454">(Y117+(Y22/Y30)^2*Y119)/(Y117+3*Y117)*Y147*($G$7*$G$8*(Y30/Y29)^2)+PI()^2*$G$4*$G$8*Y122/((Y117/3+Y119)*Y25^2)</f>
        <v>187.73933323296728</v>
      </c>
      <c r="Z172" s="92">
        <f t="shared" si="454"/>
        <v>183.63069491662793</v>
      </c>
    </row>
    <row r="173" spans="1:26" s="12" customFormat="1" x14ac:dyDescent="0.25">
      <c r="A173" s="1" t="s">
        <v>68</v>
      </c>
      <c r="B173" s="1"/>
      <c r="C173" s="27" t="s">
        <v>52</v>
      </c>
      <c r="D173" s="29" t="s">
        <v>104</v>
      </c>
      <c r="E173" s="9"/>
      <c r="F173" s="9" t="s">
        <v>5</v>
      </c>
      <c r="G173" s="9">
        <f t="shared" ref="G173:H173" si="455">SQRT($G$5*$G$8/G172)</f>
        <v>1.1188940749701539</v>
      </c>
      <c r="H173" s="9">
        <f t="shared" si="455"/>
        <v>1.4210983197848488</v>
      </c>
      <c r="I173" s="9">
        <f t="shared" ref="I173:L173" si="456">SQRT($G$5*$G$8/I172)</f>
        <v>1.1146839164122031</v>
      </c>
      <c r="J173" s="9">
        <f t="shared" si="456"/>
        <v>1.1308781514585713</v>
      </c>
      <c r="K173" s="9">
        <f t="shared" si="456"/>
        <v>1.1209959226763828</v>
      </c>
      <c r="L173" s="9">
        <f t="shared" si="456"/>
        <v>1.4212959812011488</v>
      </c>
      <c r="M173" s="9">
        <f t="shared" ref="M173:P173" si="457">SQRT($G$5*$G$8/M172)</f>
        <v>1.1151003675426949</v>
      </c>
      <c r="N173" s="9">
        <f t="shared" si="457"/>
        <v>1.1305612046682729</v>
      </c>
      <c r="O173" s="9">
        <f t="shared" si="457"/>
        <v>1.1302647776961616</v>
      </c>
      <c r="P173" s="9">
        <f t="shared" si="457"/>
        <v>1.4215044020703991</v>
      </c>
      <c r="Q173" s="9">
        <f t="shared" ref="Q173:T173" si="458">SQRT($G$5*$G$8/Q172)</f>
        <v>1.1158643268300334</v>
      </c>
      <c r="R173" s="9">
        <f t="shared" si="458"/>
        <v>1.1303396352516406</v>
      </c>
      <c r="S173" s="9">
        <f t="shared" si="458"/>
        <v>1.159204203822827</v>
      </c>
      <c r="T173" s="9">
        <f t="shared" si="458"/>
        <v>1.4216965632445004</v>
      </c>
      <c r="U173" s="9">
        <f t="shared" ref="U173:X173" si="459">SQRT($G$5*$G$8/U172)</f>
        <v>1.11664297155353</v>
      </c>
      <c r="V173" s="9">
        <f t="shared" si="459"/>
        <v>1.1300563080074639</v>
      </c>
      <c r="W173" s="9">
        <f t="shared" si="459"/>
        <v>1.159204203822827</v>
      </c>
      <c r="X173" s="9">
        <f t="shared" si="459"/>
        <v>1.4218919481436252</v>
      </c>
      <c r="Y173" s="9">
        <f t="shared" ref="Y173:Z173" si="460">SQRT($G$5*$G$8/Y172)</f>
        <v>1.1174278982962011</v>
      </c>
      <c r="Z173" s="9">
        <f t="shared" si="460"/>
        <v>1.1298596693937943</v>
      </c>
    </row>
    <row r="174" spans="1:26" s="12" customFormat="1" x14ac:dyDescent="0.25">
      <c r="A174" s="1" t="s">
        <v>69</v>
      </c>
      <c r="B174" s="1"/>
      <c r="C174" s="25" t="s">
        <v>277</v>
      </c>
      <c r="D174" s="29" t="s">
        <v>103</v>
      </c>
      <c r="E174" s="9"/>
      <c r="F174" s="9" t="s">
        <v>5</v>
      </c>
      <c r="G174" s="9">
        <f t="shared" ref="G174:H174" si="461">0.35*(G173-0.6)</f>
        <v>0.18161292623955386</v>
      </c>
      <c r="H174" s="9">
        <f t="shared" si="461"/>
        <v>0.28738441192469705</v>
      </c>
      <c r="I174" s="9">
        <f t="shared" ref="I174:L174" si="462">0.35*(I173-0.6)</f>
        <v>0.18013937074427108</v>
      </c>
      <c r="J174" s="9">
        <f t="shared" si="462"/>
        <v>0.18580735301049994</v>
      </c>
      <c r="K174" s="9">
        <f t="shared" si="462"/>
        <v>0.18234857293673398</v>
      </c>
      <c r="L174" s="9">
        <f t="shared" si="462"/>
        <v>0.28745359342040205</v>
      </c>
      <c r="M174" s="9">
        <f t="shared" ref="M174:P174" si="463">0.35*(M173-0.6)</f>
        <v>0.18028512863994323</v>
      </c>
      <c r="N174" s="9">
        <f t="shared" si="463"/>
        <v>0.18569642163389552</v>
      </c>
      <c r="O174" s="9">
        <f t="shared" si="463"/>
        <v>0.18559267219365658</v>
      </c>
      <c r="P174" s="9">
        <f t="shared" si="463"/>
        <v>0.28752654072463968</v>
      </c>
      <c r="Q174" s="9">
        <f t="shared" ref="Q174:T174" si="464">0.35*(Q173-0.6)</f>
        <v>0.1805525143905117</v>
      </c>
      <c r="R174" s="9">
        <f t="shared" si="464"/>
        <v>0.1856188723380742</v>
      </c>
      <c r="S174" s="9">
        <f t="shared" si="464"/>
        <v>0.19572147133798942</v>
      </c>
      <c r="T174" s="9">
        <f t="shared" si="464"/>
        <v>0.28759379713557515</v>
      </c>
      <c r="U174" s="9">
        <f t="shared" ref="U174:X174" si="465">0.35*(U173-0.6)</f>
        <v>0.18082504004373548</v>
      </c>
      <c r="V174" s="9">
        <f t="shared" si="465"/>
        <v>0.18551970780261237</v>
      </c>
      <c r="W174" s="9">
        <f t="shared" si="465"/>
        <v>0.19572147133798942</v>
      </c>
      <c r="X174" s="9">
        <f t="shared" si="465"/>
        <v>0.28766218185026882</v>
      </c>
      <c r="Y174" s="9">
        <f t="shared" ref="Y174:Z174" si="466">0.35*(Y173-0.6)</f>
        <v>0.1810997644036704</v>
      </c>
      <c r="Z174" s="9">
        <f t="shared" si="466"/>
        <v>0.18545088428782802</v>
      </c>
    </row>
    <row r="175" spans="1:26" s="12" customFormat="1" x14ac:dyDescent="0.25">
      <c r="A175" s="1" t="s">
        <v>70</v>
      </c>
      <c r="B175" s="1"/>
      <c r="C175" s="25" t="s">
        <v>277</v>
      </c>
      <c r="D175" s="29" t="s">
        <v>99</v>
      </c>
      <c r="E175" s="9" t="s">
        <v>33</v>
      </c>
      <c r="F175" s="9" t="s">
        <v>25</v>
      </c>
      <c r="G175" s="92">
        <f t="shared" ref="G175:H175" si="467">(1+G174+G173^2-SQRT(((1+G174+G173^2)^2-4*G173^2)))/((2*G173^2))*$G$5*$G$8</f>
        <v>138.30963573598797</v>
      </c>
      <c r="H175" s="92">
        <f t="shared" si="467"/>
        <v>93.818014793738598</v>
      </c>
      <c r="I175" s="92">
        <f t="shared" ref="I175:L175" si="468">(1+I174+I173^2-SQRT(((1+I174+I173^2)^2-4*I173^2)))/((2*I173^2))*$G$5*$G$8</f>
        <v>139.08355522081101</v>
      </c>
      <c r="J175" s="92">
        <f t="shared" si="468"/>
        <v>136.12974403736101</v>
      </c>
      <c r="K175" s="92">
        <f t="shared" si="468"/>
        <v>137.92483717842813</v>
      </c>
      <c r="L175" s="92">
        <f t="shared" si="468"/>
        <v>93.795478037985717</v>
      </c>
      <c r="M175" s="92">
        <f t="shared" ref="M175:P175" si="469">(1+M174+M173^2-SQRT(((1+M174+M173^2)^2-4*M173^2)))/((2*M173^2))*$G$5*$G$8</f>
        <v>139.00681636992977</v>
      </c>
      <c r="N175" s="92">
        <f t="shared" si="469"/>
        <v>136.18695377021186</v>
      </c>
      <c r="O175" s="92">
        <f t="shared" si="469"/>
        <v>136.24048149593543</v>
      </c>
      <c r="P175" s="92">
        <f t="shared" si="469"/>
        <v>93.771722547883982</v>
      </c>
      <c r="Q175" s="92">
        <f t="shared" ref="Q175:T175" si="470">(1+Q174+Q173^2-SQRT(((1+Q174+Q173^2)^2-4*Q173^2)))/((2*Q173^2))*$G$5*$G$8</f>
        <v>138.86614866882979</v>
      </c>
      <c r="R175" s="92">
        <f t="shared" si="470"/>
        <v>136.22696199050105</v>
      </c>
      <c r="S175" s="92">
        <f t="shared" si="470"/>
        <v>131.11544657689791</v>
      </c>
      <c r="T175" s="92">
        <f t="shared" si="470"/>
        <v>93.749827609812385</v>
      </c>
      <c r="U175" s="92">
        <f t="shared" ref="U175:X175" si="471">(1+U174+U173^2-SQRT(((1+U174+U173^2)^2-4*U173^2)))/((2*U173^2))*$G$5*$G$8</f>
        <v>138.72291826273198</v>
      </c>
      <c r="V175" s="92">
        <f t="shared" si="471"/>
        <v>136.27813886755331</v>
      </c>
      <c r="W175" s="92">
        <f t="shared" si="471"/>
        <v>131.11544657689791</v>
      </c>
      <c r="X175" s="92">
        <f t="shared" si="471"/>
        <v>93.727572534410399</v>
      </c>
      <c r="Y175" s="92">
        <f t="shared" ref="Y175:Z175" si="472">(1+Y174+Y173^2-SQRT(((1+Y174+Y173^2)^2-4*Y173^2)))/((2*Y173^2))*$G$5*$G$8</f>
        <v>138.57867688437068</v>
      </c>
      <c r="Z175" s="92">
        <f t="shared" si="472"/>
        <v>136.31366868480305</v>
      </c>
    </row>
    <row r="176" spans="1:26" s="12" customFormat="1" x14ac:dyDescent="0.25">
      <c r="A176" s="1" t="s">
        <v>71</v>
      </c>
      <c r="B176" s="1"/>
      <c r="C176" s="25" t="s">
        <v>277</v>
      </c>
      <c r="D176" s="29" t="s">
        <v>99</v>
      </c>
      <c r="E176" s="9" t="s">
        <v>34</v>
      </c>
      <c r="F176" s="9" t="s">
        <v>25</v>
      </c>
      <c r="G176" s="92">
        <f t="shared" ref="G176:Z176" si="473">$G$5*$G$8</f>
        <v>234.41980000000001</v>
      </c>
      <c r="H176" s="92">
        <f t="shared" si="473"/>
        <v>234.41980000000001</v>
      </c>
      <c r="I176" s="92">
        <f t="shared" si="473"/>
        <v>234.41980000000001</v>
      </c>
      <c r="J176" s="92">
        <f t="shared" si="473"/>
        <v>234.41980000000001</v>
      </c>
      <c r="K176" s="92">
        <f t="shared" si="473"/>
        <v>234.41980000000001</v>
      </c>
      <c r="L176" s="92">
        <f t="shared" si="473"/>
        <v>234.41980000000001</v>
      </c>
      <c r="M176" s="92">
        <f t="shared" si="473"/>
        <v>234.41980000000001</v>
      </c>
      <c r="N176" s="92">
        <f t="shared" si="473"/>
        <v>234.41980000000001</v>
      </c>
      <c r="O176" s="92">
        <f t="shared" si="473"/>
        <v>234.41980000000001</v>
      </c>
      <c r="P176" s="92">
        <f t="shared" si="473"/>
        <v>234.41980000000001</v>
      </c>
      <c r="Q176" s="92">
        <f t="shared" si="473"/>
        <v>234.41980000000001</v>
      </c>
      <c r="R176" s="92">
        <f t="shared" si="473"/>
        <v>234.41980000000001</v>
      </c>
      <c r="S176" s="92">
        <f t="shared" si="473"/>
        <v>234.41980000000001</v>
      </c>
      <c r="T176" s="92">
        <f t="shared" si="473"/>
        <v>234.41980000000001</v>
      </c>
      <c r="U176" s="92">
        <f t="shared" si="473"/>
        <v>234.41980000000001</v>
      </c>
      <c r="V176" s="92">
        <f t="shared" si="473"/>
        <v>234.41980000000001</v>
      </c>
      <c r="W176" s="92">
        <f t="shared" si="473"/>
        <v>234.41980000000001</v>
      </c>
      <c r="X176" s="92">
        <f t="shared" si="473"/>
        <v>234.41980000000001</v>
      </c>
      <c r="Y176" s="92">
        <f t="shared" si="473"/>
        <v>234.41980000000001</v>
      </c>
      <c r="Z176" s="92">
        <f t="shared" si="473"/>
        <v>234.41980000000001</v>
      </c>
    </row>
    <row r="177" spans="1:26" s="12" customFormat="1" x14ac:dyDescent="0.25">
      <c r="A177" s="1" t="s">
        <v>75</v>
      </c>
      <c r="B177" s="1"/>
      <c r="C177" s="25" t="s">
        <v>277</v>
      </c>
      <c r="D177" s="31" t="s">
        <v>99</v>
      </c>
      <c r="E177" s="9"/>
      <c r="F177" s="9" t="s">
        <v>25</v>
      </c>
      <c r="G177" s="94">
        <f t="shared" ref="G177:H177" si="474">IF(G174&gt;0.6,G175,G176)</f>
        <v>234.41980000000001</v>
      </c>
      <c r="H177" s="94">
        <f t="shared" si="474"/>
        <v>234.41980000000001</v>
      </c>
      <c r="I177" s="94">
        <f t="shared" ref="I177:L177" si="475">IF(I174&gt;0.6,I175,I176)</f>
        <v>234.41980000000001</v>
      </c>
      <c r="J177" s="94">
        <f t="shared" si="475"/>
        <v>234.41980000000001</v>
      </c>
      <c r="K177" s="94">
        <f t="shared" si="475"/>
        <v>234.41980000000001</v>
      </c>
      <c r="L177" s="94">
        <f t="shared" si="475"/>
        <v>234.41980000000001</v>
      </c>
      <c r="M177" s="94">
        <f t="shared" ref="M177:P177" si="476">IF(M174&gt;0.6,M175,M176)</f>
        <v>234.41980000000001</v>
      </c>
      <c r="N177" s="94">
        <f t="shared" si="476"/>
        <v>234.41980000000001</v>
      </c>
      <c r="O177" s="94">
        <f t="shared" si="476"/>
        <v>234.41980000000001</v>
      </c>
      <c r="P177" s="94">
        <f t="shared" si="476"/>
        <v>234.41980000000001</v>
      </c>
      <c r="Q177" s="94">
        <f t="shared" ref="Q177:T177" si="477">IF(Q174&gt;0.6,Q175,Q176)</f>
        <v>234.41980000000001</v>
      </c>
      <c r="R177" s="94">
        <f t="shared" si="477"/>
        <v>234.41980000000001</v>
      </c>
      <c r="S177" s="94">
        <f t="shared" si="477"/>
        <v>234.41980000000001</v>
      </c>
      <c r="T177" s="94">
        <f t="shared" si="477"/>
        <v>234.41980000000001</v>
      </c>
      <c r="U177" s="94">
        <f t="shared" ref="U177:X177" si="478">IF(U174&gt;0.6,U175,U176)</f>
        <v>234.41980000000001</v>
      </c>
      <c r="V177" s="94">
        <f t="shared" si="478"/>
        <v>234.41980000000001</v>
      </c>
      <c r="W177" s="94">
        <f t="shared" si="478"/>
        <v>234.41980000000001</v>
      </c>
      <c r="X177" s="94">
        <f t="shared" si="478"/>
        <v>234.41980000000001</v>
      </c>
      <c r="Y177" s="94">
        <f t="shared" ref="Y177:Z177" si="479">IF(Y174&gt;0.6,Y175,Y176)</f>
        <v>234.41980000000001</v>
      </c>
      <c r="Z177" s="94">
        <f t="shared" si="479"/>
        <v>234.41980000000001</v>
      </c>
    </row>
    <row r="178" spans="1:26" s="12" customFormat="1" x14ac:dyDescent="0.25">
      <c r="A178" s="1"/>
      <c r="B178" s="1"/>
      <c r="C178" s="1"/>
      <c r="D178" s="32"/>
    </row>
    <row r="179" spans="1:26" s="12" customFormat="1" ht="21" customHeight="1" x14ac:dyDescent="0.35">
      <c r="A179" s="1"/>
      <c r="B179" s="1"/>
      <c r="C179" s="1"/>
      <c r="D179" s="28" t="s">
        <v>140</v>
      </c>
      <c r="E179" s="10" t="s">
        <v>94</v>
      </c>
      <c r="F179" s="10" t="s">
        <v>78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s="12" customFormat="1" ht="15" customHeight="1" x14ac:dyDescent="0.25">
      <c r="A180" s="1" t="s">
        <v>73</v>
      </c>
      <c r="B180" s="1"/>
      <c r="C180" s="27" t="s">
        <v>52</v>
      </c>
      <c r="D180" s="29" t="s">
        <v>54</v>
      </c>
      <c r="E180" s="9"/>
      <c r="F180" s="9" t="s">
        <v>25</v>
      </c>
      <c r="G180" s="92">
        <f t="shared" ref="G180:W187" si="480">$G$5*$G$8</f>
        <v>234.41980000000001</v>
      </c>
      <c r="H180" s="92">
        <f t="shared" si="480"/>
        <v>234.41980000000001</v>
      </c>
      <c r="I180" s="92">
        <f t="shared" si="480"/>
        <v>234.41980000000001</v>
      </c>
      <c r="J180" s="92">
        <f t="shared" si="480"/>
        <v>234.41980000000001</v>
      </c>
      <c r="K180" s="92">
        <f t="shared" si="480"/>
        <v>234.41980000000001</v>
      </c>
      <c r="L180" s="92">
        <f t="shared" si="480"/>
        <v>234.41980000000001</v>
      </c>
      <c r="M180" s="92">
        <f t="shared" si="480"/>
        <v>234.41980000000001</v>
      </c>
      <c r="N180" s="92">
        <f t="shared" si="480"/>
        <v>234.41980000000001</v>
      </c>
      <c r="O180" s="92">
        <f t="shared" si="480"/>
        <v>234.41980000000001</v>
      </c>
      <c r="P180" s="92">
        <f t="shared" si="480"/>
        <v>234.41980000000001</v>
      </c>
      <c r="Q180" s="92">
        <f t="shared" si="480"/>
        <v>234.41980000000001</v>
      </c>
      <c r="R180" s="92">
        <f t="shared" si="480"/>
        <v>234.41980000000001</v>
      </c>
      <c r="S180" s="92">
        <f t="shared" si="480"/>
        <v>234.41980000000001</v>
      </c>
      <c r="T180" s="92">
        <f t="shared" si="480"/>
        <v>234.41980000000001</v>
      </c>
      <c r="U180" s="92">
        <f t="shared" si="480"/>
        <v>234.41980000000001</v>
      </c>
      <c r="V180" s="92">
        <f t="shared" si="480"/>
        <v>234.41980000000001</v>
      </c>
      <c r="W180" s="92">
        <f t="shared" si="480"/>
        <v>234.41980000000001</v>
      </c>
      <c r="X180" s="92">
        <f t="shared" ref="W180:Z187" si="481">$G$5*$G$8</f>
        <v>234.41980000000001</v>
      </c>
      <c r="Y180" s="92">
        <f t="shared" si="481"/>
        <v>234.41980000000001</v>
      </c>
      <c r="Z180" s="92">
        <f t="shared" si="481"/>
        <v>234.41980000000001</v>
      </c>
    </row>
    <row r="181" spans="1:26" s="12" customFormat="1" ht="15" customHeight="1" x14ac:dyDescent="0.25">
      <c r="A181" s="1" t="s">
        <v>74</v>
      </c>
      <c r="B181" s="1"/>
      <c r="C181" s="27" t="s">
        <v>52</v>
      </c>
      <c r="D181" s="29" t="s">
        <v>103</v>
      </c>
      <c r="E181" s="9"/>
      <c r="F181" s="9"/>
      <c r="G181" s="9">
        <f t="shared" ref="G181:H181" si="482">(0.34+0.08*G97/G104)*(G135-0.2)</f>
        <v>-4.515133074793759E-2</v>
      </c>
      <c r="H181" s="9">
        <f t="shared" si="482"/>
        <v>-3.9933693424761857E-2</v>
      </c>
      <c r="I181" s="9">
        <f t="shared" ref="I181:L181" si="483">(0.34+0.08*I97/I104)*(I135-0.2)</f>
        <v>-4.515133074793759E-2</v>
      </c>
      <c r="J181" s="9">
        <f t="shared" si="483"/>
        <v>-4.515133074793759E-2</v>
      </c>
      <c r="K181" s="9">
        <f t="shared" si="483"/>
        <v>-4.515133074793759E-2</v>
      </c>
      <c r="L181" s="9">
        <f t="shared" si="483"/>
        <v>-3.9933693424761857E-2</v>
      </c>
      <c r="M181" s="9">
        <f t="shared" ref="M181:P181" si="484">(0.34+0.08*M97/M104)*(M135-0.2)</f>
        <v>-4.515133074793759E-2</v>
      </c>
      <c r="N181" s="9">
        <f t="shared" si="484"/>
        <v>-4.515133074793759E-2</v>
      </c>
      <c r="O181" s="9">
        <f t="shared" si="484"/>
        <v>-4.515133074793759E-2</v>
      </c>
      <c r="P181" s="9">
        <f t="shared" si="484"/>
        <v>-3.9933693424761857E-2</v>
      </c>
      <c r="Q181" s="9">
        <f t="shared" ref="Q181:T181" si="485">(0.34+0.08*Q97/Q104)*(Q135-0.2)</f>
        <v>-4.515133074793759E-2</v>
      </c>
      <c r="R181" s="9">
        <f t="shared" si="485"/>
        <v>-4.515133074793759E-2</v>
      </c>
      <c r="S181" s="9">
        <f t="shared" si="485"/>
        <v>-4.515133074793759E-2</v>
      </c>
      <c r="T181" s="9">
        <f t="shared" si="485"/>
        <v>-3.9933693424761857E-2</v>
      </c>
      <c r="U181" s="9">
        <f t="shared" ref="U181:X181" si="486">(0.34+0.08*U97/U104)*(U135-0.2)</f>
        <v>-4.515133074793759E-2</v>
      </c>
      <c r="V181" s="9">
        <f t="shared" si="486"/>
        <v>-4.515133074793759E-2</v>
      </c>
      <c r="W181" s="9">
        <f t="shared" si="486"/>
        <v>-4.515133074793759E-2</v>
      </c>
      <c r="X181" s="9">
        <f t="shared" si="486"/>
        <v>-3.9933693424761857E-2</v>
      </c>
      <c r="Y181" s="9">
        <f t="shared" ref="Y181:Z181" si="487">(0.34+0.08*Y97/Y104)*(Y135-0.2)</f>
        <v>-4.515133074793759E-2</v>
      </c>
      <c r="Z181" s="9">
        <f t="shared" si="487"/>
        <v>-4.515133074793759E-2</v>
      </c>
    </row>
    <row r="182" spans="1:26" s="12" customFormat="1" ht="15" customHeight="1" x14ac:dyDescent="0.25">
      <c r="A182" s="1" t="s">
        <v>73</v>
      </c>
      <c r="B182" s="1"/>
      <c r="C182" s="27" t="s">
        <v>52</v>
      </c>
      <c r="D182" s="9" t="s">
        <v>53</v>
      </c>
      <c r="E182" s="29" t="s">
        <v>35</v>
      </c>
      <c r="F182" s="9" t="s">
        <v>25</v>
      </c>
      <c r="G182" s="92">
        <f t="shared" ref="G182:H182" si="488">G180</f>
        <v>234.41980000000001</v>
      </c>
      <c r="H182" s="92">
        <f t="shared" si="488"/>
        <v>234.41980000000001</v>
      </c>
      <c r="I182" s="92">
        <f t="shared" ref="I182:L182" si="489">I180</f>
        <v>234.41980000000001</v>
      </c>
      <c r="J182" s="92">
        <f t="shared" si="489"/>
        <v>234.41980000000001</v>
      </c>
      <c r="K182" s="92">
        <f t="shared" si="489"/>
        <v>234.41980000000001</v>
      </c>
      <c r="L182" s="92">
        <f t="shared" si="489"/>
        <v>234.41980000000001</v>
      </c>
      <c r="M182" s="92">
        <f t="shared" ref="M182:P182" si="490">M180</f>
        <v>234.41980000000001</v>
      </c>
      <c r="N182" s="92">
        <f t="shared" si="490"/>
        <v>234.41980000000001</v>
      </c>
      <c r="O182" s="92">
        <f t="shared" si="490"/>
        <v>234.41980000000001</v>
      </c>
      <c r="P182" s="92">
        <f t="shared" si="490"/>
        <v>234.41980000000001</v>
      </c>
      <c r="Q182" s="92">
        <f t="shared" ref="Q182:T182" si="491">Q180</f>
        <v>234.41980000000001</v>
      </c>
      <c r="R182" s="92">
        <f t="shared" si="491"/>
        <v>234.41980000000001</v>
      </c>
      <c r="S182" s="92">
        <f t="shared" si="491"/>
        <v>234.41980000000001</v>
      </c>
      <c r="T182" s="92">
        <f t="shared" si="491"/>
        <v>234.41980000000001</v>
      </c>
      <c r="U182" s="92">
        <f t="shared" ref="U182:X182" si="492">U180</f>
        <v>234.41980000000001</v>
      </c>
      <c r="V182" s="92">
        <f t="shared" si="492"/>
        <v>234.41980000000001</v>
      </c>
      <c r="W182" s="92">
        <f t="shared" si="492"/>
        <v>234.41980000000001</v>
      </c>
      <c r="X182" s="92">
        <f t="shared" si="492"/>
        <v>234.41980000000001</v>
      </c>
      <c r="Y182" s="92">
        <f t="shared" ref="Y182:Z182" si="493">Y180</f>
        <v>234.41980000000001</v>
      </c>
      <c r="Z182" s="92">
        <f t="shared" si="493"/>
        <v>234.41980000000001</v>
      </c>
    </row>
    <row r="183" spans="1:26" s="12" customFormat="1" ht="15" customHeight="1" x14ac:dyDescent="0.25">
      <c r="A183" s="1" t="s">
        <v>73</v>
      </c>
      <c r="B183" s="1"/>
      <c r="C183" s="27" t="s">
        <v>52</v>
      </c>
      <c r="D183" s="9" t="s">
        <v>53</v>
      </c>
      <c r="E183" s="29" t="s">
        <v>36</v>
      </c>
      <c r="F183" s="9" t="s">
        <v>25</v>
      </c>
      <c r="G183" s="92">
        <f t="shared" ref="G183:H183" si="494">(1+G181+G135^2-SQRT((1+G181+G135^2)^2-4*G135^2))/(2*G135^2)*G180</f>
        <v>245.60442229403299</v>
      </c>
      <c r="H183" s="92">
        <f t="shared" si="494"/>
        <v>244.28243185981461</v>
      </c>
      <c r="I183" s="92">
        <f t="shared" ref="I183:L183" si="495">(1+I181+I135^2-SQRT((1+I181+I135^2)^2-4*I135^2))/(2*I135^2)*I180</f>
        <v>245.60442229403299</v>
      </c>
      <c r="J183" s="92">
        <f t="shared" si="495"/>
        <v>245.60442229403299</v>
      </c>
      <c r="K183" s="92">
        <f t="shared" si="495"/>
        <v>245.60442229403299</v>
      </c>
      <c r="L183" s="92">
        <f t="shared" si="495"/>
        <v>244.28243185981461</v>
      </c>
      <c r="M183" s="92">
        <f t="shared" ref="M183:P183" si="496">(1+M181+M135^2-SQRT((1+M181+M135^2)^2-4*M135^2))/(2*M135^2)*M180</f>
        <v>245.60442229403299</v>
      </c>
      <c r="N183" s="92">
        <f t="shared" si="496"/>
        <v>245.60442229403299</v>
      </c>
      <c r="O183" s="92">
        <f t="shared" si="496"/>
        <v>245.60442229403299</v>
      </c>
      <c r="P183" s="92">
        <f t="shared" si="496"/>
        <v>244.28243185981461</v>
      </c>
      <c r="Q183" s="92">
        <f t="shared" ref="Q183:T183" si="497">(1+Q181+Q135^2-SQRT((1+Q181+Q135^2)^2-4*Q135^2))/(2*Q135^2)*Q180</f>
        <v>245.60442229403299</v>
      </c>
      <c r="R183" s="92">
        <f t="shared" si="497"/>
        <v>245.60442229403299</v>
      </c>
      <c r="S183" s="92">
        <f t="shared" si="497"/>
        <v>245.60442229403299</v>
      </c>
      <c r="T183" s="92">
        <f t="shared" si="497"/>
        <v>244.28243185981461</v>
      </c>
      <c r="U183" s="92">
        <f t="shared" ref="U183:X183" si="498">(1+U181+U135^2-SQRT((1+U181+U135^2)^2-4*U135^2))/(2*U135^2)*U180</f>
        <v>245.60442229403299</v>
      </c>
      <c r="V183" s="92">
        <f t="shared" si="498"/>
        <v>245.60442229403299</v>
      </c>
      <c r="W183" s="92">
        <f t="shared" si="498"/>
        <v>245.60442229403299</v>
      </c>
      <c r="X183" s="92">
        <f t="shared" si="498"/>
        <v>244.28243185981461</v>
      </c>
      <c r="Y183" s="92">
        <f t="shared" ref="Y183:Z183" si="499">(1+Y181+Y135^2-SQRT((1+Y181+Y135^2)^2-4*Y135^2))/(2*Y135^2)*Y180</f>
        <v>245.60442229403299</v>
      </c>
      <c r="Z183" s="92">
        <f t="shared" si="499"/>
        <v>245.60442229403299</v>
      </c>
    </row>
    <row r="184" spans="1:26" s="12" customFormat="1" ht="15" customHeight="1" x14ac:dyDescent="0.25">
      <c r="A184" s="1" t="s">
        <v>73</v>
      </c>
      <c r="B184" s="1"/>
      <c r="C184" s="27" t="s">
        <v>52</v>
      </c>
      <c r="D184" s="10" t="s">
        <v>53</v>
      </c>
      <c r="E184" s="9"/>
      <c r="F184" s="9" t="s">
        <v>25</v>
      </c>
      <c r="G184" s="94">
        <f t="shared" ref="G184:H184" si="500">IF(G135&gt;0.2,G183,G182)</f>
        <v>234.41980000000001</v>
      </c>
      <c r="H184" s="94">
        <f t="shared" si="500"/>
        <v>234.41980000000001</v>
      </c>
      <c r="I184" s="94">
        <f t="shared" ref="I184:L184" si="501">IF(I135&gt;0.2,I183,I182)</f>
        <v>234.41980000000001</v>
      </c>
      <c r="J184" s="94">
        <f t="shared" si="501"/>
        <v>234.41980000000001</v>
      </c>
      <c r="K184" s="94">
        <f t="shared" si="501"/>
        <v>234.41980000000001</v>
      </c>
      <c r="L184" s="94">
        <f t="shared" si="501"/>
        <v>234.41980000000001</v>
      </c>
      <c r="M184" s="94">
        <f t="shared" ref="M184:P184" si="502">IF(M135&gt;0.2,M183,M182)</f>
        <v>234.41980000000001</v>
      </c>
      <c r="N184" s="94">
        <f t="shared" si="502"/>
        <v>234.41980000000001</v>
      </c>
      <c r="O184" s="94">
        <f t="shared" si="502"/>
        <v>234.41980000000001</v>
      </c>
      <c r="P184" s="94">
        <f t="shared" si="502"/>
        <v>234.41980000000001</v>
      </c>
      <c r="Q184" s="94">
        <f t="shared" ref="Q184:T184" si="503">IF(Q135&gt;0.2,Q183,Q182)</f>
        <v>234.41980000000001</v>
      </c>
      <c r="R184" s="94">
        <f t="shared" si="503"/>
        <v>234.41980000000001</v>
      </c>
      <c r="S184" s="94">
        <f t="shared" si="503"/>
        <v>234.41980000000001</v>
      </c>
      <c r="T184" s="94">
        <f t="shared" si="503"/>
        <v>234.41980000000001</v>
      </c>
      <c r="U184" s="94">
        <f t="shared" ref="U184:X184" si="504">IF(U135&gt;0.2,U183,U182)</f>
        <v>234.41980000000001</v>
      </c>
      <c r="V184" s="94">
        <f t="shared" si="504"/>
        <v>234.41980000000001</v>
      </c>
      <c r="W184" s="94">
        <f t="shared" si="504"/>
        <v>234.41980000000001</v>
      </c>
      <c r="X184" s="94">
        <f t="shared" si="504"/>
        <v>234.41980000000001</v>
      </c>
      <c r="Y184" s="94">
        <f t="shared" ref="Y184:Z184" si="505">IF(Y135&gt;0.2,Y183,Y182)</f>
        <v>234.41980000000001</v>
      </c>
      <c r="Z184" s="94">
        <f t="shared" si="505"/>
        <v>234.41980000000001</v>
      </c>
    </row>
    <row r="185" spans="1:26" s="12" customFormat="1" x14ac:dyDescent="0.25">
      <c r="A185" s="26"/>
      <c r="B185" s="69"/>
      <c r="C185" s="27"/>
    </row>
    <row r="186" spans="1:26" s="12" customFormat="1" ht="21" x14ac:dyDescent="0.35">
      <c r="A186" s="1"/>
      <c r="B186" s="1"/>
      <c r="C186" s="27"/>
      <c r="D186" s="28" t="s">
        <v>272</v>
      </c>
      <c r="E186" s="9"/>
      <c r="F186" s="9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s="12" customFormat="1" ht="15" customHeight="1" x14ac:dyDescent="0.25">
      <c r="A187" s="1" t="s">
        <v>73</v>
      </c>
      <c r="B187" s="1"/>
      <c r="C187" s="27" t="s">
        <v>52</v>
      </c>
      <c r="D187" s="29" t="s">
        <v>54</v>
      </c>
      <c r="E187" s="9"/>
      <c r="F187" s="9" t="s">
        <v>25</v>
      </c>
      <c r="G187" s="92">
        <f t="shared" si="480"/>
        <v>234.41980000000001</v>
      </c>
      <c r="H187" s="92">
        <f t="shared" si="480"/>
        <v>234.41980000000001</v>
      </c>
      <c r="I187" s="92">
        <f t="shared" si="480"/>
        <v>234.41980000000001</v>
      </c>
      <c r="J187" s="92">
        <f t="shared" si="480"/>
        <v>234.41980000000001</v>
      </c>
      <c r="K187" s="92">
        <f t="shared" si="480"/>
        <v>234.41980000000001</v>
      </c>
      <c r="L187" s="92">
        <f t="shared" si="480"/>
        <v>234.41980000000001</v>
      </c>
      <c r="M187" s="92">
        <f t="shared" si="480"/>
        <v>234.41980000000001</v>
      </c>
      <c r="N187" s="92">
        <f t="shared" si="480"/>
        <v>234.41980000000001</v>
      </c>
      <c r="O187" s="92">
        <f t="shared" si="480"/>
        <v>234.41980000000001</v>
      </c>
      <c r="P187" s="92">
        <f t="shared" si="480"/>
        <v>234.41980000000001</v>
      </c>
      <c r="Q187" s="92">
        <f t="shared" si="480"/>
        <v>234.41980000000001</v>
      </c>
      <c r="R187" s="92">
        <f t="shared" si="480"/>
        <v>234.41980000000001</v>
      </c>
      <c r="S187" s="92">
        <f t="shared" si="480"/>
        <v>234.41980000000001</v>
      </c>
      <c r="T187" s="92">
        <f t="shared" si="480"/>
        <v>234.41980000000001</v>
      </c>
      <c r="U187" s="92">
        <f t="shared" si="480"/>
        <v>234.41980000000001</v>
      </c>
      <c r="V187" s="92">
        <f t="shared" si="480"/>
        <v>234.41980000000001</v>
      </c>
      <c r="W187" s="92">
        <f t="shared" si="481"/>
        <v>234.41980000000001</v>
      </c>
      <c r="X187" s="92">
        <f t="shared" si="481"/>
        <v>234.41980000000001</v>
      </c>
      <c r="Y187" s="92">
        <f t="shared" si="481"/>
        <v>234.41980000000001</v>
      </c>
      <c r="Z187" s="92">
        <f t="shared" si="481"/>
        <v>234.41980000000001</v>
      </c>
    </row>
    <row r="188" spans="1:26" s="12" customFormat="1" ht="15" customHeight="1" x14ac:dyDescent="0.25">
      <c r="A188" s="1" t="s">
        <v>74</v>
      </c>
      <c r="B188" s="1"/>
      <c r="C188" s="27" t="s">
        <v>52</v>
      </c>
      <c r="D188" s="29" t="s">
        <v>103</v>
      </c>
      <c r="E188" s="9"/>
      <c r="F188" s="9"/>
      <c r="G188" s="9">
        <f t="shared" ref="G188:H188" si="506">(0.34+0.08*G115/G123)*(G138-0.2)</f>
        <v>-4.3952318275319195E-2</v>
      </c>
      <c r="H188" s="9">
        <f t="shared" si="506"/>
        <v>-4.2117204406100735E-2</v>
      </c>
      <c r="I188" s="9">
        <f t="shared" ref="I188:L188" si="507">(0.34+0.08*I115/I123)*(I138-0.2)</f>
        <v>-4.386365193668746E-2</v>
      </c>
      <c r="J188" s="9">
        <f t="shared" si="507"/>
        <v>-4.3900572017576689E-2</v>
      </c>
      <c r="K188" s="9">
        <f t="shared" si="507"/>
        <v>-4.3994397323721041E-2</v>
      </c>
      <c r="L188" s="9">
        <f t="shared" si="507"/>
        <v>-4.2117563549799002E-2</v>
      </c>
      <c r="M188" s="9">
        <f t="shared" ref="M188:P188" si="508">(0.34+0.08*M115/M123)*(M138-0.2)</f>
        <v>-4.3863338689233991E-2</v>
      </c>
      <c r="N188" s="9">
        <f t="shared" si="508"/>
        <v>-4.3898476291296742E-2</v>
      </c>
      <c r="O188" s="9">
        <f t="shared" si="508"/>
        <v>-4.416261958685367E-2</v>
      </c>
      <c r="P188" s="9">
        <f t="shared" si="508"/>
        <v>-4.2117932278355336E-2</v>
      </c>
      <c r="Q188" s="9">
        <f t="shared" ref="Q188:T188" si="509">(0.34+0.08*Q115/Q123)*(Q138-0.2)</f>
        <v>-4.3867330143842233E-2</v>
      </c>
      <c r="R188" s="9">
        <f t="shared" si="509"/>
        <v>-4.3896720448974975E-2</v>
      </c>
      <c r="S188" s="9">
        <f t="shared" si="509"/>
        <v>-4.4412158028127563E-2</v>
      </c>
      <c r="T188" s="9">
        <f t="shared" si="509"/>
        <v>-4.2118263376601517E-2</v>
      </c>
      <c r="U188" s="9">
        <f t="shared" ref="U188:X188" si="510">(0.34+0.08*U115/U123)*(U138-0.2)</f>
        <v>-4.3872154085622062E-2</v>
      </c>
      <c r="V188" s="9">
        <f t="shared" si="510"/>
        <v>-4.3894847366631164E-2</v>
      </c>
      <c r="W188" s="9">
        <f t="shared" si="510"/>
        <v>-4.4412158028127563E-2</v>
      </c>
      <c r="X188" s="9">
        <f t="shared" si="510"/>
        <v>-4.2118642448052343E-2</v>
      </c>
      <c r="Y188" s="9">
        <f t="shared" ref="Y188:Z188" si="511">(0.34+0.08*Y115/Y123)*(Y138-0.2)</f>
        <v>-4.3877866598232639E-2</v>
      </c>
      <c r="Z188" s="9">
        <f t="shared" si="511"/>
        <v>-4.3893113928193589E-2</v>
      </c>
    </row>
    <row r="189" spans="1:26" s="12" customFormat="1" ht="15" customHeight="1" x14ac:dyDescent="0.25">
      <c r="A189" s="1" t="s">
        <v>73</v>
      </c>
      <c r="B189" s="1"/>
      <c r="C189" s="27" t="s">
        <v>52</v>
      </c>
      <c r="D189" s="9" t="s">
        <v>53</v>
      </c>
      <c r="E189" s="29" t="s">
        <v>35</v>
      </c>
      <c r="F189" s="9" t="s">
        <v>25</v>
      </c>
      <c r="G189" s="92">
        <f t="shared" ref="G189:H189" si="512">G187</f>
        <v>234.41980000000001</v>
      </c>
      <c r="H189" s="92">
        <f t="shared" si="512"/>
        <v>234.41980000000001</v>
      </c>
      <c r="I189" s="92">
        <f t="shared" ref="I189:L189" si="513">I187</f>
        <v>234.41980000000001</v>
      </c>
      <c r="J189" s="92">
        <f t="shared" si="513"/>
        <v>234.41980000000001</v>
      </c>
      <c r="K189" s="92">
        <f t="shared" si="513"/>
        <v>234.41980000000001</v>
      </c>
      <c r="L189" s="92">
        <f t="shared" si="513"/>
        <v>234.41980000000001</v>
      </c>
      <c r="M189" s="92">
        <f t="shared" ref="M189:P189" si="514">M187</f>
        <v>234.41980000000001</v>
      </c>
      <c r="N189" s="92">
        <f t="shared" si="514"/>
        <v>234.41980000000001</v>
      </c>
      <c r="O189" s="92">
        <f t="shared" si="514"/>
        <v>234.41980000000001</v>
      </c>
      <c r="P189" s="92">
        <f t="shared" si="514"/>
        <v>234.41980000000001</v>
      </c>
      <c r="Q189" s="92">
        <f t="shared" ref="Q189:T189" si="515">Q187</f>
        <v>234.41980000000001</v>
      </c>
      <c r="R189" s="92">
        <f t="shared" si="515"/>
        <v>234.41980000000001</v>
      </c>
      <c r="S189" s="92">
        <f t="shared" si="515"/>
        <v>234.41980000000001</v>
      </c>
      <c r="T189" s="92">
        <f t="shared" si="515"/>
        <v>234.41980000000001</v>
      </c>
      <c r="U189" s="92">
        <f t="shared" ref="U189:X189" si="516">U187</f>
        <v>234.41980000000001</v>
      </c>
      <c r="V189" s="92">
        <f t="shared" si="516"/>
        <v>234.41980000000001</v>
      </c>
      <c r="W189" s="92">
        <f t="shared" si="516"/>
        <v>234.41980000000001</v>
      </c>
      <c r="X189" s="92">
        <f t="shared" si="516"/>
        <v>234.41980000000001</v>
      </c>
      <c r="Y189" s="92">
        <f t="shared" ref="Y189:Z189" si="517">Y187</f>
        <v>234.41980000000001</v>
      </c>
      <c r="Z189" s="92">
        <f t="shared" si="517"/>
        <v>234.41980000000001</v>
      </c>
    </row>
    <row r="190" spans="1:26" s="12" customFormat="1" ht="15" customHeight="1" x14ac:dyDescent="0.25">
      <c r="A190" s="1" t="s">
        <v>73</v>
      </c>
      <c r="B190" s="1"/>
      <c r="C190" s="27" t="s">
        <v>52</v>
      </c>
      <c r="D190" s="9" t="s">
        <v>53</v>
      </c>
      <c r="E190" s="29" t="s">
        <v>36</v>
      </c>
      <c r="F190" s="9" t="s">
        <v>25</v>
      </c>
      <c r="G190" s="92">
        <f t="shared" ref="G190:H190" si="518">(1+G188+G148^2-SQRT((1+G188+G148^2)^2-4*G148^2))/(2*G148^2)*G187</f>
        <v>245.29350898696916</v>
      </c>
      <c r="H190" s="92">
        <f t="shared" si="518"/>
        <v>244.8459661669587</v>
      </c>
      <c r="I190" s="92">
        <f t="shared" ref="I190:L190" si="519">(1+I188+I148^2-SQRT((1+I188+I148^2)^2-4*I148^2))/(2*I148^2)*I187</f>
        <v>245.27054864795593</v>
      </c>
      <c r="J190" s="92">
        <f t="shared" si="519"/>
        <v>245.28010865529694</v>
      </c>
      <c r="K190" s="92">
        <f t="shared" si="519"/>
        <v>245.30440696472724</v>
      </c>
      <c r="L190" s="92">
        <f t="shared" si="519"/>
        <v>244.8460590733641</v>
      </c>
      <c r="M190" s="92">
        <f t="shared" ref="M190:P190" si="520">(1+M188+M148^2-SQRT((1+M188+M148^2)^2-4*M148^2))/(2*M148^2)*M187</f>
        <v>245.27046753954244</v>
      </c>
      <c r="N190" s="92">
        <f t="shared" si="520"/>
        <v>245.27956597225517</v>
      </c>
      <c r="O190" s="92">
        <f t="shared" si="520"/>
        <v>245.34798431137162</v>
      </c>
      <c r="P190" s="92">
        <f t="shared" si="520"/>
        <v>244.84615445933744</v>
      </c>
      <c r="Q190" s="92">
        <f t="shared" ref="Q190:T190" si="521">(1+Q188+Q148^2-SQRT((1+Q188+Q148^2)^2-4*Q148^2))/(2*Q148^2)*Q187</f>
        <v>245.27150104138144</v>
      </c>
      <c r="R190" s="92">
        <f t="shared" si="521"/>
        <v>245.27911130317267</v>
      </c>
      <c r="S190" s="92">
        <f t="shared" si="521"/>
        <v>245.41265509075492</v>
      </c>
      <c r="T190" s="92">
        <f t="shared" si="521"/>
        <v>244.84624011083292</v>
      </c>
      <c r="U190" s="92">
        <f t="shared" ref="U190:X190" si="522">(1+U188+U148^2-SQRT((1+U188+U148^2)^2-4*U148^2))/(2*U148^2)*U187</f>
        <v>245.2727501097061</v>
      </c>
      <c r="V190" s="92">
        <f t="shared" si="522"/>
        <v>245.27862627708203</v>
      </c>
      <c r="W190" s="92">
        <f t="shared" si="522"/>
        <v>245.41265509075492</v>
      </c>
      <c r="X190" s="92">
        <f t="shared" si="522"/>
        <v>244.84633817254567</v>
      </c>
      <c r="Y190" s="92">
        <f t="shared" ref="Y190:Z190" si="523">(1+Y188+Y148^2-SQRT((1+Y188+Y148^2)^2-4*Y148^2))/(2*Y148^2)*Y187</f>
        <v>245.27422927321058</v>
      </c>
      <c r="Z190" s="92">
        <f t="shared" si="523"/>
        <v>245.27817741286447</v>
      </c>
    </row>
    <row r="191" spans="1:26" s="12" customFormat="1" ht="15" customHeight="1" x14ac:dyDescent="0.25">
      <c r="A191" s="1" t="s">
        <v>73</v>
      </c>
      <c r="B191" s="1"/>
      <c r="C191" s="27" t="s">
        <v>52</v>
      </c>
      <c r="D191" s="10" t="s">
        <v>53</v>
      </c>
      <c r="E191" s="9"/>
      <c r="F191" s="9" t="s">
        <v>25</v>
      </c>
      <c r="G191" s="94">
        <f t="shared" ref="G191:H191" si="524">IF(G148&gt;0.2,G190,G189)</f>
        <v>234.41980000000001</v>
      </c>
      <c r="H191" s="94">
        <f t="shared" si="524"/>
        <v>234.41980000000001</v>
      </c>
      <c r="I191" s="94">
        <f t="shared" ref="I191:L191" si="525">IF(I148&gt;0.2,I190,I189)</f>
        <v>234.41980000000001</v>
      </c>
      <c r="J191" s="94">
        <f t="shared" si="525"/>
        <v>234.41980000000001</v>
      </c>
      <c r="K191" s="94">
        <f t="shared" si="525"/>
        <v>234.41980000000001</v>
      </c>
      <c r="L191" s="94">
        <f t="shared" si="525"/>
        <v>234.41980000000001</v>
      </c>
      <c r="M191" s="94">
        <f t="shared" ref="M191:P191" si="526">IF(M148&gt;0.2,M190,M189)</f>
        <v>234.41980000000001</v>
      </c>
      <c r="N191" s="94">
        <f t="shared" si="526"/>
        <v>234.41980000000001</v>
      </c>
      <c r="O191" s="94">
        <f t="shared" si="526"/>
        <v>234.41980000000001</v>
      </c>
      <c r="P191" s="94">
        <f t="shared" si="526"/>
        <v>234.41980000000001</v>
      </c>
      <c r="Q191" s="94">
        <f t="shared" ref="Q191:T191" si="527">IF(Q148&gt;0.2,Q190,Q189)</f>
        <v>234.41980000000001</v>
      </c>
      <c r="R191" s="94">
        <f t="shared" si="527"/>
        <v>234.41980000000001</v>
      </c>
      <c r="S191" s="94">
        <f t="shared" si="527"/>
        <v>234.41980000000001</v>
      </c>
      <c r="T191" s="94">
        <f t="shared" si="527"/>
        <v>234.41980000000001</v>
      </c>
      <c r="U191" s="94">
        <f t="shared" ref="U191:X191" si="528">IF(U148&gt;0.2,U190,U189)</f>
        <v>234.41980000000001</v>
      </c>
      <c r="V191" s="94">
        <f t="shared" si="528"/>
        <v>234.41980000000001</v>
      </c>
      <c r="W191" s="94">
        <f t="shared" si="528"/>
        <v>234.41980000000001</v>
      </c>
      <c r="X191" s="94">
        <f t="shared" si="528"/>
        <v>234.41980000000001</v>
      </c>
      <c r="Y191" s="94">
        <f t="shared" ref="Y191:Z191" si="529">IF(Y148&gt;0.2,Y190,Y189)</f>
        <v>234.41980000000001</v>
      </c>
      <c r="Z191" s="94">
        <f t="shared" si="529"/>
        <v>234.41980000000001</v>
      </c>
    </row>
    <row r="192" spans="1:26" s="12" customFormat="1" x14ac:dyDescent="0.25"/>
    <row r="193" spans="1:26" s="12" customFormat="1" ht="21" customHeight="1" x14ac:dyDescent="0.35">
      <c r="A193" s="1"/>
      <c r="B193" s="1"/>
      <c r="C193" s="1"/>
      <c r="D193" s="28" t="s">
        <v>270</v>
      </c>
      <c r="E193" s="10" t="s">
        <v>94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s="12" customFormat="1" ht="15" customHeight="1" x14ac:dyDescent="0.25">
      <c r="A194" s="1" t="s">
        <v>73</v>
      </c>
      <c r="B194" s="1"/>
      <c r="C194" s="27" t="s">
        <v>52</v>
      </c>
      <c r="D194" s="29" t="s">
        <v>54</v>
      </c>
      <c r="E194" s="9"/>
      <c r="F194" s="9" t="s">
        <v>25</v>
      </c>
      <c r="G194" s="92">
        <f t="shared" ref="G194:H194" si="530">G169</f>
        <v>215.49395587046308</v>
      </c>
      <c r="H194" s="92">
        <f t="shared" si="530"/>
        <v>186.29243439840425</v>
      </c>
      <c r="I194" s="92">
        <f t="shared" ref="I194:L194" si="531">I169</f>
        <v>216.63760558880566</v>
      </c>
      <c r="J194" s="92">
        <f t="shared" si="531"/>
        <v>216.1610295992738</v>
      </c>
      <c r="K194" s="92">
        <f t="shared" si="531"/>
        <v>214.95226450593657</v>
      </c>
      <c r="L194" s="92">
        <f t="shared" si="531"/>
        <v>186.28864303288154</v>
      </c>
      <c r="M194" s="92">
        <f t="shared" ref="M194:P194" si="532">M169</f>
        <v>216.64165133036732</v>
      </c>
      <c r="N194" s="92">
        <f t="shared" si="532"/>
        <v>216.18806784287352</v>
      </c>
      <c r="O194" s="92">
        <f t="shared" si="532"/>
        <v>212.79351825763348</v>
      </c>
      <c r="P194" s="92">
        <f t="shared" si="532"/>
        <v>186.28475052320684</v>
      </c>
      <c r="Q194" s="92">
        <f t="shared" ref="Q194:T194" si="533">Q169</f>
        <v>216.59010259997413</v>
      </c>
      <c r="R194" s="92">
        <f t="shared" si="533"/>
        <v>216.21072233792995</v>
      </c>
      <c r="S194" s="92">
        <f t="shared" si="533"/>
        <v>209.61133296236787</v>
      </c>
      <c r="T194" s="92">
        <f t="shared" si="533"/>
        <v>186.28125529527691</v>
      </c>
      <c r="U194" s="92">
        <f t="shared" ref="U194:X194" si="534">U169</f>
        <v>216.52781067260952</v>
      </c>
      <c r="V194" s="92">
        <f t="shared" si="534"/>
        <v>216.23489081342984</v>
      </c>
      <c r="W194" s="92">
        <f t="shared" si="534"/>
        <v>209.61133296236787</v>
      </c>
      <c r="X194" s="92">
        <f t="shared" si="534"/>
        <v>186.27725368002447</v>
      </c>
      <c r="Y194" s="92">
        <f t="shared" ref="Y194:Z194" si="535">Y169</f>
        <v>216.45405614878075</v>
      </c>
      <c r="Z194" s="92">
        <f t="shared" si="535"/>
        <v>216.25725866002631</v>
      </c>
    </row>
    <row r="195" spans="1:26" s="12" customFormat="1" ht="15" customHeight="1" x14ac:dyDescent="0.25">
      <c r="A195" s="1" t="s">
        <v>56</v>
      </c>
      <c r="B195" s="1"/>
      <c r="C195" s="27" t="s">
        <v>52</v>
      </c>
      <c r="D195" s="29" t="s">
        <v>103</v>
      </c>
      <c r="E195" s="9"/>
      <c r="F195" s="9"/>
      <c r="G195" s="9">
        <f t="shared" ref="G195:H195" si="536">(0.34+0.08*G98/G104)*(G135-0.2)</f>
        <v>-5.0449070743342816E-2</v>
      </c>
      <c r="H195" s="9">
        <f t="shared" si="536"/>
        <v>-4.6539988913029059E-2</v>
      </c>
      <c r="I195" s="9">
        <f t="shared" ref="I195:L195" si="537">(0.34+0.08*I98/I104)*(I135-0.2)</f>
        <v>-5.0449070743342816E-2</v>
      </c>
      <c r="J195" s="9">
        <f t="shared" si="537"/>
        <v>-5.0449070743342816E-2</v>
      </c>
      <c r="K195" s="9">
        <f t="shared" si="537"/>
        <v>-5.0449070743342816E-2</v>
      </c>
      <c r="L195" s="9">
        <f t="shared" si="537"/>
        <v>-4.6539988913029059E-2</v>
      </c>
      <c r="M195" s="9">
        <f t="shared" ref="M195:P195" si="538">(0.34+0.08*M98/M104)*(M135-0.2)</f>
        <v>-5.0449070743342816E-2</v>
      </c>
      <c r="N195" s="9">
        <f t="shared" si="538"/>
        <v>-5.0449070743342816E-2</v>
      </c>
      <c r="O195" s="9">
        <f t="shared" si="538"/>
        <v>-5.0449070743342816E-2</v>
      </c>
      <c r="P195" s="9">
        <f t="shared" si="538"/>
        <v>-4.6539988913029059E-2</v>
      </c>
      <c r="Q195" s="9">
        <f t="shared" ref="Q195:T195" si="539">(0.34+0.08*Q98/Q104)*(Q135-0.2)</f>
        <v>-5.0449070743342816E-2</v>
      </c>
      <c r="R195" s="9">
        <f t="shared" si="539"/>
        <v>-5.0449070743342816E-2</v>
      </c>
      <c r="S195" s="9">
        <f t="shared" si="539"/>
        <v>-5.0449070743342816E-2</v>
      </c>
      <c r="T195" s="9">
        <f t="shared" si="539"/>
        <v>-4.6539988913029059E-2</v>
      </c>
      <c r="U195" s="9">
        <f t="shared" ref="U195:X195" si="540">(0.34+0.08*U98/U104)*(U135-0.2)</f>
        <v>-5.0449070743342816E-2</v>
      </c>
      <c r="V195" s="9">
        <f t="shared" si="540"/>
        <v>-5.0449070743342816E-2</v>
      </c>
      <c r="W195" s="9">
        <f t="shared" si="540"/>
        <v>-5.0449070743342816E-2</v>
      </c>
      <c r="X195" s="9">
        <f t="shared" si="540"/>
        <v>-4.6539988913029059E-2</v>
      </c>
      <c r="Y195" s="9">
        <f t="shared" ref="Y195:Z195" si="541">(0.34+0.08*Y98/Y104)*(Y135-0.2)</f>
        <v>-5.0449070743342816E-2</v>
      </c>
      <c r="Z195" s="9">
        <f t="shared" si="541"/>
        <v>-5.0449070743342816E-2</v>
      </c>
    </row>
    <row r="196" spans="1:26" s="12" customFormat="1" ht="15" customHeight="1" x14ac:dyDescent="0.25">
      <c r="A196" s="1" t="s">
        <v>73</v>
      </c>
      <c r="B196" s="1"/>
      <c r="C196" s="27" t="s">
        <v>52</v>
      </c>
      <c r="D196" s="9" t="s">
        <v>53</v>
      </c>
      <c r="E196" s="29" t="s">
        <v>35</v>
      </c>
      <c r="F196" s="9" t="s">
        <v>25</v>
      </c>
      <c r="G196" s="92">
        <f t="shared" ref="G196:Z196" si="542">$G$5*$G$8</f>
        <v>234.41980000000001</v>
      </c>
      <c r="H196" s="92">
        <f t="shared" si="542"/>
        <v>234.41980000000001</v>
      </c>
      <c r="I196" s="92">
        <f t="shared" si="542"/>
        <v>234.41980000000001</v>
      </c>
      <c r="J196" s="92">
        <f t="shared" si="542"/>
        <v>234.41980000000001</v>
      </c>
      <c r="K196" s="92">
        <f t="shared" si="542"/>
        <v>234.41980000000001</v>
      </c>
      <c r="L196" s="92">
        <f t="shared" si="542"/>
        <v>234.41980000000001</v>
      </c>
      <c r="M196" s="92">
        <f t="shared" si="542"/>
        <v>234.41980000000001</v>
      </c>
      <c r="N196" s="92">
        <f t="shared" si="542"/>
        <v>234.41980000000001</v>
      </c>
      <c r="O196" s="92">
        <f t="shared" si="542"/>
        <v>234.41980000000001</v>
      </c>
      <c r="P196" s="92">
        <f t="shared" si="542"/>
        <v>234.41980000000001</v>
      </c>
      <c r="Q196" s="92">
        <f t="shared" si="542"/>
        <v>234.41980000000001</v>
      </c>
      <c r="R196" s="92">
        <f t="shared" si="542"/>
        <v>234.41980000000001</v>
      </c>
      <c r="S196" s="92">
        <f t="shared" si="542"/>
        <v>234.41980000000001</v>
      </c>
      <c r="T196" s="92">
        <f t="shared" si="542"/>
        <v>234.41980000000001</v>
      </c>
      <c r="U196" s="92">
        <f t="shared" si="542"/>
        <v>234.41980000000001</v>
      </c>
      <c r="V196" s="92">
        <f t="shared" si="542"/>
        <v>234.41980000000001</v>
      </c>
      <c r="W196" s="92">
        <f t="shared" si="542"/>
        <v>234.41980000000001</v>
      </c>
      <c r="X196" s="92">
        <f t="shared" si="542"/>
        <v>234.41980000000001</v>
      </c>
      <c r="Y196" s="92">
        <f t="shared" si="542"/>
        <v>234.41980000000001</v>
      </c>
      <c r="Z196" s="92">
        <f t="shared" si="542"/>
        <v>234.41980000000001</v>
      </c>
    </row>
    <row r="197" spans="1:26" s="12" customFormat="1" ht="15" customHeight="1" x14ac:dyDescent="0.25">
      <c r="A197" s="1" t="s">
        <v>73</v>
      </c>
      <c r="B197" s="1"/>
      <c r="C197" s="27" t="s">
        <v>52</v>
      </c>
      <c r="D197" s="9" t="s">
        <v>53</v>
      </c>
      <c r="E197" s="33" t="s">
        <v>36</v>
      </c>
      <c r="F197" s="9" t="s">
        <v>25</v>
      </c>
      <c r="G197" s="92">
        <f t="shared" ref="G197:H197" si="543">(1+G195+G138^2-SQRT((1+G195+G138^2)^2-4*G138^2))/(2*G138^2)*G194</f>
        <v>227.03874007545483</v>
      </c>
      <c r="H197" s="92">
        <f t="shared" si="543"/>
        <v>195.46965515849533</v>
      </c>
      <c r="I197" s="92">
        <f t="shared" ref="I197:L197" si="544">(1+I195+I138^2-SQRT((1+I195+I138^2)^2-4*I138^2))/(2*I138^2)*I194</f>
        <v>228.24417441509081</v>
      </c>
      <c r="J197" s="92">
        <f t="shared" si="544"/>
        <v>227.74185118033472</v>
      </c>
      <c r="K197" s="92">
        <f t="shared" si="544"/>
        <v>226.46778624960797</v>
      </c>
      <c r="L197" s="92">
        <f t="shared" si="544"/>
        <v>195.46567529554611</v>
      </c>
      <c r="M197" s="92">
        <f t="shared" ref="M197:P197" si="545">(1+M195+M138^2-SQRT((1+M195+M138^2)^2-4*M138^2))/(2*M138^2)*M194</f>
        <v>228.24843873384927</v>
      </c>
      <c r="N197" s="92">
        <f t="shared" si="545"/>
        <v>227.77035015244627</v>
      </c>
      <c r="O197" s="92">
        <f t="shared" si="545"/>
        <v>224.19243558485908</v>
      </c>
      <c r="P197" s="92">
        <f t="shared" si="545"/>
        <v>195.46158925987675</v>
      </c>
      <c r="Q197" s="92">
        <f t="shared" ref="Q197:T197" si="546">(1+Q195+Q138^2-SQRT((1+Q195+Q138^2)^2-4*Q138^2))/(2*Q138^2)*Q194</f>
        <v>228.19410501186269</v>
      </c>
      <c r="R197" s="92">
        <f t="shared" si="546"/>
        <v>227.79422854840311</v>
      </c>
      <c r="S197" s="92">
        <f t="shared" si="546"/>
        <v>220.83840057540183</v>
      </c>
      <c r="T197" s="92">
        <f t="shared" si="546"/>
        <v>195.45792025788634</v>
      </c>
      <c r="U197" s="92">
        <f t="shared" ref="U197:X197" si="547">(1+U195+U138^2-SQRT((1+U195+U138^2)^2-4*U138^2))/(2*U138^2)*U194</f>
        <v>228.12844769167705</v>
      </c>
      <c r="V197" s="92">
        <f t="shared" si="547"/>
        <v>227.81970271942541</v>
      </c>
      <c r="W197" s="92">
        <f t="shared" si="547"/>
        <v>220.83840057540183</v>
      </c>
      <c r="X197" s="92">
        <f t="shared" si="547"/>
        <v>195.4537196923273</v>
      </c>
      <c r="Y197" s="92">
        <f t="shared" ref="Y197:Z197" si="548">(1+Y195+Y138^2-SQRT((1+Y195+Y138^2)^2-4*Y138^2))/(2*Y138^2)*Y194</f>
        <v>228.05070851615611</v>
      </c>
      <c r="Z197" s="92">
        <f t="shared" si="548"/>
        <v>227.84327898522437</v>
      </c>
    </row>
    <row r="198" spans="1:26" s="12" customFormat="1" ht="15" customHeight="1" x14ac:dyDescent="0.25">
      <c r="A198" s="12" t="s">
        <v>73</v>
      </c>
      <c r="C198" s="27" t="s">
        <v>52</v>
      </c>
      <c r="D198" s="10" t="s">
        <v>53</v>
      </c>
      <c r="E198" s="9"/>
      <c r="F198" s="9" t="s">
        <v>25</v>
      </c>
      <c r="G198" s="94">
        <f t="shared" ref="G198:H198" si="549">IF(G138&gt;0.2,G197,G196)</f>
        <v>234.41980000000001</v>
      </c>
      <c r="H198" s="94">
        <f t="shared" si="549"/>
        <v>234.41980000000001</v>
      </c>
      <c r="I198" s="94">
        <f t="shared" ref="I198:L198" si="550">IF(I138&gt;0.2,I197,I196)</f>
        <v>234.41980000000001</v>
      </c>
      <c r="J198" s="94">
        <f t="shared" si="550"/>
        <v>234.41980000000001</v>
      </c>
      <c r="K198" s="94">
        <f t="shared" si="550"/>
        <v>234.41980000000001</v>
      </c>
      <c r="L198" s="94">
        <f t="shared" si="550"/>
        <v>234.41980000000001</v>
      </c>
      <c r="M198" s="94">
        <f t="shared" ref="M198:P198" si="551">IF(M138&gt;0.2,M197,M196)</f>
        <v>234.41980000000001</v>
      </c>
      <c r="N198" s="94">
        <f t="shared" si="551"/>
        <v>234.41980000000001</v>
      </c>
      <c r="O198" s="94">
        <f t="shared" si="551"/>
        <v>234.41980000000001</v>
      </c>
      <c r="P198" s="94">
        <f t="shared" si="551"/>
        <v>234.41980000000001</v>
      </c>
      <c r="Q198" s="94">
        <f t="shared" ref="Q198:T198" si="552">IF(Q138&gt;0.2,Q197,Q196)</f>
        <v>234.41980000000001</v>
      </c>
      <c r="R198" s="94">
        <f t="shared" si="552"/>
        <v>234.41980000000001</v>
      </c>
      <c r="S198" s="94">
        <f t="shared" si="552"/>
        <v>234.41980000000001</v>
      </c>
      <c r="T198" s="94">
        <f t="shared" si="552"/>
        <v>234.41980000000001</v>
      </c>
      <c r="U198" s="94">
        <f t="shared" ref="U198:X198" si="553">IF(U138&gt;0.2,U197,U196)</f>
        <v>234.41980000000001</v>
      </c>
      <c r="V198" s="94">
        <f t="shared" si="553"/>
        <v>234.41980000000001</v>
      </c>
      <c r="W198" s="94">
        <f t="shared" si="553"/>
        <v>234.41980000000001</v>
      </c>
      <c r="X198" s="94">
        <f t="shared" si="553"/>
        <v>234.41980000000001</v>
      </c>
      <c r="Y198" s="94">
        <f t="shared" ref="Y198:Z198" si="554">IF(Y138&gt;0.2,Y197,Y196)</f>
        <v>234.41980000000001</v>
      </c>
      <c r="Z198" s="94">
        <f t="shared" si="554"/>
        <v>234.41980000000001</v>
      </c>
    </row>
    <row r="199" spans="1:26" s="12" customFormat="1" x14ac:dyDescent="0.25">
      <c r="A199" s="26"/>
      <c r="B199" s="69"/>
      <c r="C199" s="27"/>
    </row>
    <row r="200" spans="1:26" s="12" customFormat="1" ht="21" x14ac:dyDescent="0.35">
      <c r="C200" s="27"/>
      <c r="D200" s="28" t="s">
        <v>271</v>
      </c>
      <c r="E200" s="9"/>
      <c r="F200" s="9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s="12" customFormat="1" ht="15" customHeight="1" x14ac:dyDescent="0.25">
      <c r="A201" s="1" t="s">
        <v>73</v>
      </c>
      <c r="B201" s="1"/>
      <c r="C201" s="27" t="s">
        <v>52</v>
      </c>
      <c r="D201" s="29" t="s">
        <v>54</v>
      </c>
      <c r="E201" s="9"/>
      <c r="F201" s="9" t="s">
        <v>25</v>
      </c>
      <c r="G201" s="92">
        <f t="shared" ref="G201:H201" si="555">G175</f>
        <v>138.30963573598797</v>
      </c>
      <c r="H201" s="92">
        <f t="shared" si="555"/>
        <v>93.818014793738598</v>
      </c>
      <c r="I201" s="92">
        <f t="shared" ref="I201:L201" si="556">I175</f>
        <v>139.08355522081101</v>
      </c>
      <c r="J201" s="92">
        <f t="shared" si="556"/>
        <v>136.12974403736101</v>
      </c>
      <c r="K201" s="92">
        <f t="shared" si="556"/>
        <v>137.92483717842813</v>
      </c>
      <c r="L201" s="92">
        <f t="shared" si="556"/>
        <v>93.795478037985717</v>
      </c>
      <c r="M201" s="92">
        <f t="shared" ref="M201:P201" si="557">M175</f>
        <v>139.00681636992977</v>
      </c>
      <c r="N201" s="92">
        <f t="shared" si="557"/>
        <v>136.18695377021186</v>
      </c>
      <c r="O201" s="92">
        <f t="shared" si="557"/>
        <v>136.24048149593543</v>
      </c>
      <c r="P201" s="92">
        <f t="shared" si="557"/>
        <v>93.771722547883982</v>
      </c>
      <c r="Q201" s="92">
        <f t="shared" ref="Q201:T201" si="558">Q175</f>
        <v>138.86614866882979</v>
      </c>
      <c r="R201" s="92">
        <f t="shared" si="558"/>
        <v>136.22696199050105</v>
      </c>
      <c r="S201" s="92">
        <f t="shared" si="558"/>
        <v>131.11544657689791</v>
      </c>
      <c r="T201" s="92">
        <f t="shared" si="558"/>
        <v>93.749827609812385</v>
      </c>
      <c r="U201" s="92">
        <f t="shared" ref="U201:X201" si="559">U175</f>
        <v>138.72291826273198</v>
      </c>
      <c r="V201" s="92">
        <f t="shared" si="559"/>
        <v>136.27813886755331</v>
      </c>
      <c r="W201" s="92">
        <f t="shared" si="559"/>
        <v>131.11544657689791</v>
      </c>
      <c r="X201" s="92">
        <f t="shared" si="559"/>
        <v>93.727572534410399</v>
      </c>
      <c r="Y201" s="92">
        <f t="shared" ref="Y201:Z201" si="560">Y175</f>
        <v>138.57867688437068</v>
      </c>
      <c r="Z201" s="92">
        <f t="shared" si="560"/>
        <v>136.31366868480305</v>
      </c>
    </row>
    <row r="202" spans="1:26" s="12" customFormat="1" ht="15" customHeight="1" x14ac:dyDescent="0.25">
      <c r="A202" s="1" t="s">
        <v>56</v>
      </c>
      <c r="B202" s="1"/>
      <c r="C202" s="27" t="s">
        <v>52</v>
      </c>
      <c r="D202" s="29" t="s">
        <v>103</v>
      </c>
      <c r="E202" s="9"/>
      <c r="F202" s="9"/>
      <c r="G202" s="9">
        <f t="shared" ref="G202:H202" si="561">(0.34+0.08*G98/G104)*(G149-0.2)</f>
        <v>-6.0051258018516337E-2</v>
      </c>
      <c r="H202" s="9">
        <f t="shared" si="561"/>
        <v>-6.443826967863904E-2</v>
      </c>
      <c r="I202" s="9">
        <f t="shared" ref="I202:L202" si="562">(0.34+0.08*I98/I104)*(I149-0.2)</f>
        <v>-5.9962390502306312E-2</v>
      </c>
      <c r="J202" s="9">
        <f t="shared" si="562"/>
        <v>-6.0302915510956609E-2</v>
      </c>
      <c r="K202" s="9">
        <f t="shared" si="562"/>
        <v>-6.0095536155512691E-2</v>
      </c>
      <c r="L202" s="9">
        <f t="shared" si="562"/>
        <v>-6.4441971779871529E-2</v>
      </c>
      <c r="M202" s="9">
        <f t="shared" ref="M202:P202" si="563">(0.34+0.08*M98/M104)*(M149-0.2)</f>
        <v>-5.9971191199051886E-2</v>
      </c>
      <c r="N202" s="9">
        <f t="shared" si="563"/>
        <v>-6.0296285297310764E-2</v>
      </c>
      <c r="O202" s="9">
        <f t="shared" si="563"/>
        <v>-6.0290083063851814E-2</v>
      </c>
      <c r="P202" s="9">
        <f t="shared" si="563"/>
        <v>-6.444587456348834E-2</v>
      </c>
      <c r="Q202" s="9">
        <f t="shared" ref="Q202:T202" si="564">(0.34+0.08*Q98/Q104)*(Q149-0.2)</f>
        <v>-5.9987329804084347E-2</v>
      </c>
      <c r="R202" s="9">
        <f t="shared" si="564"/>
        <v>-6.0291649447833273E-2</v>
      </c>
      <c r="S202" s="9">
        <f t="shared" si="564"/>
        <v>-6.0889551895541641E-2</v>
      </c>
      <c r="T202" s="9">
        <f t="shared" si="564"/>
        <v>-6.4449472115285178E-2</v>
      </c>
      <c r="U202" s="9">
        <f t="shared" ref="U202:X202" si="565">(0.34+0.08*U98/U104)*(U149-0.2)</f>
        <v>-6.0003770825535367E-2</v>
      </c>
      <c r="V202" s="9">
        <f t="shared" si="565"/>
        <v>-6.0285720451233468E-2</v>
      </c>
      <c r="W202" s="9">
        <f t="shared" si="565"/>
        <v>-6.0889551895541641E-2</v>
      </c>
      <c r="X202" s="9">
        <f t="shared" si="565"/>
        <v>-6.4453129271702103E-2</v>
      </c>
      <c r="Y202" s="9">
        <f t="shared" ref="Y202:Z202" si="566">(0.34+0.08*Y98/Y104)*(Y149-0.2)</f>
        <v>-6.0020336473631086E-2</v>
      </c>
      <c r="Z202" s="9">
        <f t="shared" si="566"/>
        <v>-6.028160486873553E-2</v>
      </c>
    </row>
    <row r="203" spans="1:26" s="12" customFormat="1" ht="15" customHeight="1" x14ac:dyDescent="0.25">
      <c r="A203" s="1" t="s">
        <v>73</v>
      </c>
      <c r="C203" s="27" t="s">
        <v>52</v>
      </c>
      <c r="D203" s="9" t="s">
        <v>53</v>
      </c>
      <c r="E203" s="29" t="s">
        <v>35</v>
      </c>
      <c r="F203" s="9" t="s">
        <v>25</v>
      </c>
      <c r="G203" s="92">
        <f t="shared" ref="G203:Z203" si="567">$G$5*$G$8</f>
        <v>234.41980000000001</v>
      </c>
      <c r="H203" s="92">
        <f t="shared" si="567"/>
        <v>234.41980000000001</v>
      </c>
      <c r="I203" s="92">
        <f t="shared" si="567"/>
        <v>234.41980000000001</v>
      </c>
      <c r="J203" s="92">
        <f t="shared" si="567"/>
        <v>234.41980000000001</v>
      </c>
      <c r="K203" s="92">
        <f t="shared" si="567"/>
        <v>234.41980000000001</v>
      </c>
      <c r="L203" s="92">
        <f t="shared" si="567"/>
        <v>234.41980000000001</v>
      </c>
      <c r="M203" s="92">
        <f t="shared" si="567"/>
        <v>234.41980000000001</v>
      </c>
      <c r="N203" s="92">
        <f t="shared" si="567"/>
        <v>234.41980000000001</v>
      </c>
      <c r="O203" s="92">
        <f t="shared" si="567"/>
        <v>234.41980000000001</v>
      </c>
      <c r="P203" s="92">
        <f t="shared" si="567"/>
        <v>234.41980000000001</v>
      </c>
      <c r="Q203" s="92">
        <f t="shared" si="567"/>
        <v>234.41980000000001</v>
      </c>
      <c r="R203" s="92">
        <f t="shared" si="567"/>
        <v>234.41980000000001</v>
      </c>
      <c r="S203" s="92">
        <f t="shared" si="567"/>
        <v>234.41980000000001</v>
      </c>
      <c r="T203" s="92">
        <f t="shared" si="567"/>
        <v>234.41980000000001</v>
      </c>
      <c r="U203" s="92">
        <f t="shared" si="567"/>
        <v>234.41980000000001</v>
      </c>
      <c r="V203" s="92">
        <f t="shared" si="567"/>
        <v>234.41980000000001</v>
      </c>
      <c r="W203" s="92">
        <f t="shared" si="567"/>
        <v>234.41980000000001</v>
      </c>
      <c r="X203" s="92">
        <f t="shared" si="567"/>
        <v>234.41980000000001</v>
      </c>
      <c r="Y203" s="92">
        <f t="shared" si="567"/>
        <v>234.41980000000001</v>
      </c>
      <c r="Z203" s="92">
        <f t="shared" si="567"/>
        <v>234.41980000000001</v>
      </c>
    </row>
    <row r="204" spans="1:26" s="12" customFormat="1" ht="15" customHeight="1" x14ac:dyDescent="0.25">
      <c r="A204" s="1" t="s">
        <v>73</v>
      </c>
      <c r="C204" s="27" t="s">
        <v>52</v>
      </c>
      <c r="D204" s="9" t="s">
        <v>53</v>
      </c>
      <c r="E204" s="33" t="s">
        <v>36</v>
      </c>
      <c r="F204" s="9" t="s">
        <v>25</v>
      </c>
      <c r="G204" s="92">
        <f t="shared" ref="G204:H204" si="568">(1+G202+G149^2-SQRT((1+G202+G149^2)^2-4*G149^2))/(2*G149^2)*G201</f>
        <v>147.19417954859082</v>
      </c>
      <c r="H204" s="92">
        <f t="shared" si="568"/>
        <v>100.3109485769878</v>
      </c>
      <c r="I204" s="92">
        <f t="shared" ref="I204:L204" si="569">(1+I202+I149^2-SQRT((1+I202+I149^2)^2-4*I149^2))/(2*I149^2)*I201</f>
        <v>148.00401152113136</v>
      </c>
      <c r="J204" s="92">
        <f t="shared" si="569"/>
        <v>144.91252568801451</v>
      </c>
      <c r="K204" s="92">
        <f t="shared" si="569"/>
        <v>146.79148304433008</v>
      </c>
      <c r="L204" s="92">
        <f t="shared" si="569"/>
        <v>100.28724348006457</v>
      </c>
      <c r="M204" s="92">
        <f t="shared" ref="M204:P204" si="570">(1+M202+M149^2-SQRT((1+M202+M149^2)^2-4*M149^2))/(2*M149^2)*M201</f>
        <v>147.92371675869848</v>
      </c>
      <c r="N204" s="92">
        <f t="shared" si="570"/>
        <v>144.97241760395988</v>
      </c>
      <c r="O204" s="92">
        <f t="shared" si="570"/>
        <v>145.02845432484074</v>
      </c>
      <c r="P204" s="92">
        <f t="shared" si="570"/>
        <v>100.26225631827397</v>
      </c>
      <c r="Q204" s="92">
        <f t="shared" ref="Q204:T204" si="571">(1+Q202+Q149^2-SQRT((1+Q202+Q149^2)^2-4*Q149^2))/(2*Q149^2)*Q201</f>
        <v>147.77652794817803</v>
      </c>
      <c r="R204" s="92">
        <f t="shared" si="571"/>
        <v>145.01430117351711</v>
      </c>
      <c r="S204" s="92">
        <f t="shared" si="571"/>
        <v>139.66070864265504</v>
      </c>
      <c r="T204" s="92">
        <f t="shared" si="571"/>
        <v>100.23922603837937</v>
      </c>
      <c r="U204" s="92">
        <f t="shared" ref="U204:X204" si="572">(1+U202+U149^2-SQRT((1+U202+U149^2)^2-4*U149^2))/(2*U149^2)*U201</f>
        <v>147.62665380711428</v>
      </c>
      <c r="V204" s="92">
        <f t="shared" si="572"/>
        <v>145.06787647727722</v>
      </c>
      <c r="W204" s="92">
        <f t="shared" si="572"/>
        <v>139.66070864265504</v>
      </c>
      <c r="X204" s="92">
        <f t="shared" si="572"/>
        <v>100.21581681304647</v>
      </c>
      <c r="Y204" s="92">
        <f t="shared" ref="Y204:Z204" si="573">(1+Y202+Y149^2-SQRT((1+Y202+Y149^2)^2-4*Y149^2))/(2*Y149^2)*Y201</f>
        <v>147.47571789927923</v>
      </c>
      <c r="Z204" s="92">
        <f t="shared" si="573"/>
        <v>145.10507112235092</v>
      </c>
    </row>
    <row r="205" spans="1:26" s="12" customFormat="1" ht="15" customHeight="1" x14ac:dyDescent="0.25">
      <c r="A205" s="12" t="s">
        <v>73</v>
      </c>
      <c r="C205" s="27" t="s">
        <v>52</v>
      </c>
      <c r="D205" s="10" t="s">
        <v>53</v>
      </c>
      <c r="E205" s="9"/>
      <c r="F205" s="9" t="s">
        <v>25</v>
      </c>
      <c r="G205" s="94">
        <f t="shared" ref="G205:H205" si="574">IF(G137&gt;0.2,G204,G203)</f>
        <v>147.19417954859082</v>
      </c>
      <c r="H205" s="94">
        <f t="shared" si="574"/>
        <v>100.3109485769878</v>
      </c>
      <c r="I205" s="94">
        <f t="shared" ref="I205:L205" si="575">IF(I137&gt;0.2,I204,I203)</f>
        <v>148.00401152113136</v>
      </c>
      <c r="J205" s="94">
        <f t="shared" si="575"/>
        <v>144.91252568801451</v>
      </c>
      <c r="K205" s="94">
        <f t="shared" si="575"/>
        <v>146.79148304433008</v>
      </c>
      <c r="L205" s="94">
        <f t="shared" si="575"/>
        <v>100.28724348006457</v>
      </c>
      <c r="M205" s="94">
        <f t="shared" ref="M205:P205" si="576">IF(M137&gt;0.2,M204,M203)</f>
        <v>147.92371675869848</v>
      </c>
      <c r="N205" s="94">
        <f t="shared" si="576"/>
        <v>144.97241760395988</v>
      </c>
      <c r="O205" s="94">
        <f t="shared" si="576"/>
        <v>145.02845432484074</v>
      </c>
      <c r="P205" s="94">
        <f t="shared" si="576"/>
        <v>100.26225631827397</v>
      </c>
      <c r="Q205" s="94">
        <f t="shared" ref="Q205:T205" si="577">IF(Q137&gt;0.2,Q204,Q203)</f>
        <v>147.77652794817803</v>
      </c>
      <c r="R205" s="94">
        <f t="shared" si="577"/>
        <v>145.01430117351711</v>
      </c>
      <c r="S205" s="94">
        <f t="shared" si="577"/>
        <v>139.66070864265504</v>
      </c>
      <c r="T205" s="94">
        <f t="shared" si="577"/>
        <v>100.23922603837937</v>
      </c>
      <c r="U205" s="94">
        <f t="shared" ref="U205:X205" si="578">IF(U137&gt;0.2,U204,U203)</f>
        <v>147.62665380711428</v>
      </c>
      <c r="V205" s="94">
        <f t="shared" si="578"/>
        <v>145.06787647727722</v>
      </c>
      <c r="W205" s="94">
        <f t="shared" si="578"/>
        <v>139.66070864265504</v>
      </c>
      <c r="X205" s="94">
        <f t="shared" si="578"/>
        <v>100.21581681304647</v>
      </c>
      <c r="Y205" s="94">
        <f t="shared" ref="Y205:Z205" si="579">IF(Y137&gt;0.2,Y204,Y203)</f>
        <v>147.47571789927923</v>
      </c>
      <c r="Z205" s="94">
        <f t="shared" si="579"/>
        <v>145.10507112235092</v>
      </c>
    </row>
    <row r="206" spans="1:26" s="12" customFormat="1" ht="15" customHeight="1" x14ac:dyDescent="0.25">
      <c r="C206" s="27"/>
      <c r="D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21" x14ac:dyDescent="0.35">
      <c r="A207" s="59"/>
      <c r="C207" s="27"/>
      <c r="D207" s="55" t="s">
        <v>276</v>
      </c>
      <c r="E207" s="56" t="s">
        <v>94</v>
      </c>
      <c r="F207" s="56" t="s">
        <v>78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" customHeight="1" x14ac:dyDescent="0.25">
      <c r="A208" s="59" t="s">
        <v>86</v>
      </c>
      <c r="B208" s="1"/>
      <c r="C208" s="27" t="s">
        <v>52</v>
      </c>
      <c r="D208" s="20" t="s">
        <v>43</v>
      </c>
      <c r="E208" s="20"/>
      <c r="F208" s="20" t="s">
        <v>25</v>
      </c>
      <c r="G208" s="92">
        <f t="shared" ref="G208:H208" si="580">PI()^2*$G$4*$G$8*(G123/G33)^2</f>
        <v>12193.539231532055</v>
      </c>
      <c r="H208" s="92">
        <f t="shared" si="580"/>
        <v>12193.539231532055</v>
      </c>
      <c r="I208" s="92">
        <f t="shared" ref="I208:L208" si="581">PI()^2*$G$4*$G$8*(I123/I33)^2</f>
        <v>12193.539231532055</v>
      </c>
      <c r="J208" s="92">
        <f t="shared" si="581"/>
        <v>12193.539231532055</v>
      </c>
      <c r="K208" s="92">
        <f t="shared" si="581"/>
        <v>12193.539231532055</v>
      </c>
      <c r="L208" s="92">
        <f t="shared" si="581"/>
        <v>12193.539231532055</v>
      </c>
      <c r="M208" s="92">
        <f t="shared" ref="M208:P208" si="582">PI()^2*$G$4*$G$8*(M123/M33)^2</f>
        <v>12193.539231532055</v>
      </c>
      <c r="N208" s="92">
        <f t="shared" si="582"/>
        <v>12193.539231532055</v>
      </c>
      <c r="O208" s="92">
        <f t="shared" si="582"/>
        <v>12193.539231532055</v>
      </c>
      <c r="P208" s="92">
        <f t="shared" si="582"/>
        <v>12193.539231532055</v>
      </c>
      <c r="Q208" s="92">
        <f t="shared" ref="Q208:T208" si="583">PI()^2*$G$4*$G$8*(Q123/Q33)^2</f>
        <v>12193.539231532055</v>
      </c>
      <c r="R208" s="92">
        <f t="shared" si="583"/>
        <v>12193.539231532055</v>
      </c>
      <c r="S208" s="92">
        <f t="shared" si="583"/>
        <v>12193.539231532055</v>
      </c>
      <c r="T208" s="92">
        <f t="shared" si="583"/>
        <v>12193.539231532055</v>
      </c>
      <c r="U208" s="92">
        <f t="shared" ref="U208:X208" si="584">PI()^2*$G$4*$G$8*(U123/U33)^2</f>
        <v>12193.539231532055</v>
      </c>
      <c r="V208" s="92">
        <f t="shared" si="584"/>
        <v>12193.539231532055</v>
      </c>
      <c r="W208" s="92">
        <f t="shared" si="584"/>
        <v>12193.539231532055</v>
      </c>
      <c r="X208" s="92">
        <f t="shared" si="584"/>
        <v>12193.539231532055</v>
      </c>
      <c r="Y208" s="92">
        <f t="shared" ref="Y208:Z208" si="585">PI()^2*$G$4*$G$8*(Y123/Y33)^2</f>
        <v>12193.539231532055</v>
      </c>
      <c r="Z208" s="92">
        <f t="shared" si="585"/>
        <v>12193.539231532055</v>
      </c>
    </row>
    <row r="209" spans="1:26" ht="15" customHeight="1" x14ac:dyDescent="0.25">
      <c r="A209" s="59" t="s">
        <v>80</v>
      </c>
      <c r="B209" s="1"/>
      <c r="C209" s="27" t="s">
        <v>52</v>
      </c>
      <c r="D209" s="57" t="s">
        <v>209</v>
      </c>
      <c r="E209" s="20"/>
      <c r="F209" s="20" t="s">
        <v>25</v>
      </c>
      <c r="G209" s="92">
        <f t="shared" ref="G209:H209" si="586">18*$G$4*$G$8/(G17*G24^2)*(G17*G121/G16)^0.75</f>
        <v>17890.09480150837</v>
      </c>
      <c r="H209" s="92">
        <f t="shared" si="586"/>
        <v>10222.999418376441</v>
      </c>
      <c r="I209" s="92">
        <f t="shared" ref="I209:L209" si="587">18*$G$4*$G$8/(I17*I24^2)*(I17*I121/I16)^0.75</f>
        <v>17890.09480150837</v>
      </c>
      <c r="J209" s="92">
        <f t="shared" si="587"/>
        <v>17890.09480150837</v>
      </c>
      <c r="K209" s="92">
        <f t="shared" si="587"/>
        <v>17890.09480150837</v>
      </c>
      <c r="L209" s="92">
        <f t="shared" si="587"/>
        <v>10222.999418376441</v>
      </c>
      <c r="M209" s="92">
        <f t="shared" ref="M209:P209" si="588">18*$G$4*$G$8/(M17*M24^2)*(M17*M121/M16)^0.75</f>
        <v>17890.09480150837</v>
      </c>
      <c r="N209" s="92">
        <f t="shared" si="588"/>
        <v>17890.09480150837</v>
      </c>
      <c r="O209" s="92">
        <f t="shared" si="588"/>
        <v>17890.09480150837</v>
      </c>
      <c r="P209" s="92">
        <f t="shared" si="588"/>
        <v>10222.999418376441</v>
      </c>
      <c r="Q209" s="92">
        <f t="shared" ref="Q209:T209" si="589">18*$G$4*$G$8/(Q17*Q24^2)*(Q17*Q121/Q16)^0.75</f>
        <v>17890.09480150837</v>
      </c>
      <c r="R209" s="92">
        <f t="shared" si="589"/>
        <v>17890.09480150837</v>
      </c>
      <c r="S209" s="92">
        <f t="shared" si="589"/>
        <v>17890.09480150837</v>
      </c>
      <c r="T209" s="92">
        <f t="shared" si="589"/>
        <v>10222.999418376441</v>
      </c>
      <c r="U209" s="92">
        <f t="shared" ref="U209:X209" si="590">18*$G$4*$G$8/(U17*U24^2)*(U17*U121/U16)^0.75</f>
        <v>17890.09480150837</v>
      </c>
      <c r="V209" s="92">
        <f t="shared" si="590"/>
        <v>17890.09480150837</v>
      </c>
      <c r="W209" s="92">
        <f t="shared" si="590"/>
        <v>17890.09480150837</v>
      </c>
      <c r="X209" s="92">
        <f t="shared" si="590"/>
        <v>10222.999418376441</v>
      </c>
      <c r="Y209" s="92">
        <f t="shared" ref="Y209:Z209" si="591">18*$G$4*$G$8/(Y17*Y24^2)*(Y17*Y121/Y16)^0.75</f>
        <v>17890.09480150837</v>
      </c>
      <c r="Z209" s="92">
        <f t="shared" si="591"/>
        <v>17890.09480150837</v>
      </c>
    </row>
    <row r="210" spans="1:26" x14ac:dyDescent="0.25">
      <c r="A210" s="59" t="s">
        <v>80</v>
      </c>
      <c r="B210" s="1"/>
      <c r="C210" s="27" t="s">
        <v>52</v>
      </c>
      <c r="D210" s="57" t="s">
        <v>210</v>
      </c>
      <c r="E210" s="20"/>
      <c r="F210" s="20" t="s">
        <v>25</v>
      </c>
      <c r="G210" s="92">
        <f t="shared" ref="G210:H210" si="592">G209*G24^2/G14^2</f>
        <v>2220.3168152462626</v>
      </c>
      <c r="H210" s="92">
        <f t="shared" si="592"/>
        <v>2220.3168152462626</v>
      </c>
      <c r="I210" s="92">
        <f t="shared" ref="I210:L210" si="593">I209*I24^2/I14^2</f>
        <v>2220.3168152462626</v>
      </c>
      <c r="J210" s="92">
        <f t="shared" si="593"/>
        <v>2220.3168152462626</v>
      </c>
      <c r="K210" s="92">
        <f t="shared" si="593"/>
        <v>2220.3168152462626</v>
      </c>
      <c r="L210" s="92">
        <f t="shared" si="593"/>
        <v>2220.3168152462626</v>
      </c>
      <c r="M210" s="92">
        <f t="shared" ref="M210:P210" si="594">M209*M24^2/M14^2</f>
        <v>2220.3168152462626</v>
      </c>
      <c r="N210" s="92">
        <f t="shared" si="594"/>
        <v>2220.3168152462626</v>
      </c>
      <c r="O210" s="92">
        <f t="shared" si="594"/>
        <v>2220.3168152462626</v>
      </c>
      <c r="P210" s="92">
        <f t="shared" si="594"/>
        <v>2220.3168152462626</v>
      </c>
      <c r="Q210" s="92">
        <f t="shared" ref="Q210:T210" si="595">Q209*Q24^2/Q14^2</f>
        <v>2220.3168152462626</v>
      </c>
      <c r="R210" s="92">
        <f t="shared" si="595"/>
        <v>2220.3168152462626</v>
      </c>
      <c r="S210" s="92">
        <f t="shared" si="595"/>
        <v>2220.3168152462626</v>
      </c>
      <c r="T210" s="92">
        <f t="shared" si="595"/>
        <v>2220.3168152462626</v>
      </c>
      <c r="U210" s="92">
        <f t="shared" ref="U210:X210" si="596">U209*U24^2/U14^2</f>
        <v>2220.3168152462626</v>
      </c>
      <c r="V210" s="92">
        <f t="shared" si="596"/>
        <v>2220.3168152462626</v>
      </c>
      <c r="W210" s="92">
        <f t="shared" si="596"/>
        <v>2220.3168152462626</v>
      </c>
      <c r="X210" s="92">
        <f t="shared" si="596"/>
        <v>2220.3168152462626</v>
      </c>
      <c r="Y210" s="92">
        <f t="shared" ref="Y210:Z210" si="597">Y209*Y24^2/Y14^2</f>
        <v>2220.3168152462626</v>
      </c>
      <c r="Z210" s="92">
        <f t="shared" si="597"/>
        <v>2220.3168152462626</v>
      </c>
    </row>
    <row r="211" spans="1:26" ht="15" customHeight="1" x14ac:dyDescent="0.25">
      <c r="A211" s="59" t="s">
        <v>80</v>
      </c>
      <c r="B211" s="1"/>
      <c r="C211" s="27" t="s">
        <v>52</v>
      </c>
      <c r="D211" s="57" t="s">
        <v>215</v>
      </c>
      <c r="E211" s="20"/>
      <c r="F211" s="20" t="s">
        <v>275</v>
      </c>
      <c r="G211" s="15">
        <f t="shared" ref="G211:H211" si="598">SQRT(0.6*$G$5*$G$8/G209)</f>
        <v>8.8667905502644542E-2</v>
      </c>
      <c r="H211" s="15">
        <f t="shared" si="598"/>
        <v>0.11729610817614412</v>
      </c>
      <c r="I211" s="15">
        <f t="shared" ref="I211:L211" si="599">SQRT(0.6*$G$5*$G$8/I209)</f>
        <v>8.8667905502644542E-2</v>
      </c>
      <c r="J211" s="15">
        <f t="shared" si="599"/>
        <v>8.8667905502644542E-2</v>
      </c>
      <c r="K211" s="15">
        <f t="shared" si="599"/>
        <v>8.8667905502644542E-2</v>
      </c>
      <c r="L211" s="15">
        <f t="shared" si="599"/>
        <v>0.11729610817614412</v>
      </c>
      <c r="M211" s="15">
        <f t="shared" ref="M211:P211" si="600">SQRT(0.6*$G$5*$G$8/M209)</f>
        <v>8.8667905502644542E-2</v>
      </c>
      <c r="N211" s="15">
        <f t="shared" si="600"/>
        <v>8.8667905502644542E-2</v>
      </c>
      <c r="O211" s="15">
        <f t="shared" si="600"/>
        <v>8.8667905502644542E-2</v>
      </c>
      <c r="P211" s="15">
        <f t="shared" si="600"/>
        <v>0.11729610817614412</v>
      </c>
      <c r="Q211" s="15">
        <f t="shared" ref="Q211:T211" si="601">SQRT(0.6*$G$5*$G$8/Q209)</f>
        <v>8.8667905502644542E-2</v>
      </c>
      <c r="R211" s="15">
        <f t="shared" si="601"/>
        <v>8.8667905502644542E-2</v>
      </c>
      <c r="S211" s="15">
        <f t="shared" si="601"/>
        <v>8.8667905502644542E-2</v>
      </c>
      <c r="T211" s="15">
        <f t="shared" si="601"/>
        <v>0.11729610817614412</v>
      </c>
      <c r="U211" s="15">
        <f t="shared" ref="U211:X211" si="602">SQRT(0.6*$G$5*$G$8/U209)</f>
        <v>8.8667905502644542E-2</v>
      </c>
      <c r="V211" s="15">
        <f t="shared" si="602"/>
        <v>8.8667905502644542E-2</v>
      </c>
      <c r="W211" s="15">
        <f t="shared" si="602"/>
        <v>8.8667905502644542E-2</v>
      </c>
      <c r="X211" s="15">
        <f t="shared" si="602"/>
        <v>0.11729610817614412</v>
      </c>
      <c r="Y211" s="15">
        <f t="shared" ref="Y211:Z211" si="603">SQRT(0.6*$G$5*$G$8/Y209)</f>
        <v>8.8667905502644542E-2</v>
      </c>
      <c r="Z211" s="15">
        <f t="shared" si="603"/>
        <v>8.8667905502644542E-2</v>
      </c>
    </row>
    <row r="212" spans="1:26" ht="15" customHeight="1" x14ac:dyDescent="0.25">
      <c r="A212" s="59" t="s">
        <v>80</v>
      </c>
      <c r="B212" s="1"/>
      <c r="C212" s="27" t="s">
        <v>52</v>
      </c>
      <c r="D212" s="57" t="s">
        <v>113</v>
      </c>
      <c r="E212" s="57" t="s">
        <v>213</v>
      </c>
      <c r="F212" s="20" t="s">
        <v>25</v>
      </c>
      <c r="G212" s="92">
        <f t="shared" ref="G212:Z212" si="604">0.6*$G$5*$G$8</f>
        <v>140.65188000000001</v>
      </c>
      <c r="H212" s="92">
        <f t="shared" si="604"/>
        <v>140.65188000000001</v>
      </c>
      <c r="I212" s="92">
        <f t="shared" si="604"/>
        <v>140.65188000000001</v>
      </c>
      <c r="J212" s="92">
        <f t="shared" si="604"/>
        <v>140.65188000000001</v>
      </c>
      <c r="K212" s="92">
        <f t="shared" si="604"/>
        <v>140.65188000000001</v>
      </c>
      <c r="L212" s="92">
        <f t="shared" si="604"/>
        <v>140.65188000000001</v>
      </c>
      <c r="M212" s="92">
        <f t="shared" si="604"/>
        <v>140.65188000000001</v>
      </c>
      <c r="N212" s="92">
        <f t="shared" si="604"/>
        <v>140.65188000000001</v>
      </c>
      <c r="O212" s="92">
        <f t="shared" si="604"/>
        <v>140.65188000000001</v>
      </c>
      <c r="P212" s="92">
        <f t="shared" si="604"/>
        <v>140.65188000000001</v>
      </c>
      <c r="Q212" s="92">
        <f t="shared" si="604"/>
        <v>140.65188000000001</v>
      </c>
      <c r="R212" s="92">
        <f t="shared" si="604"/>
        <v>140.65188000000001</v>
      </c>
      <c r="S212" s="92">
        <f t="shared" si="604"/>
        <v>140.65188000000001</v>
      </c>
      <c r="T212" s="92">
        <f t="shared" si="604"/>
        <v>140.65188000000001</v>
      </c>
      <c r="U212" s="92">
        <f t="shared" si="604"/>
        <v>140.65188000000001</v>
      </c>
      <c r="V212" s="92">
        <f t="shared" si="604"/>
        <v>140.65188000000001</v>
      </c>
      <c r="W212" s="92">
        <f t="shared" si="604"/>
        <v>140.65188000000001</v>
      </c>
      <c r="X212" s="92">
        <f t="shared" si="604"/>
        <v>140.65188000000001</v>
      </c>
      <c r="Y212" s="92">
        <f t="shared" si="604"/>
        <v>140.65188000000001</v>
      </c>
      <c r="Z212" s="92">
        <f t="shared" si="604"/>
        <v>140.65188000000001</v>
      </c>
    </row>
    <row r="213" spans="1:26" x14ac:dyDescent="0.25">
      <c r="A213" s="59" t="s">
        <v>80</v>
      </c>
      <c r="C213" s="27" t="s">
        <v>52</v>
      </c>
      <c r="D213" s="57" t="s">
        <v>113</v>
      </c>
      <c r="E213" s="57" t="s">
        <v>214</v>
      </c>
      <c r="F213" s="20" t="s">
        <v>25</v>
      </c>
      <c r="G213" s="92">
        <f t="shared" ref="G213:H213" si="605">(0.6/G211^2)*$G$5*$G$8</f>
        <v>17890.09480150837</v>
      </c>
      <c r="H213" s="92">
        <f t="shared" si="605"/>
        <v>10222.999418376441</v>
      </c>
      <c r="I213" s="92">
        <f t="shared" ref="I213:L213" si="606">(0.6/I211^2)*$G$5*$G$8</f>
        <v>17890.09480150837</v>
      </c>
      <c r="J213" s="92">
        <f t="shared" si="606"/>
        <v>17890.09480150837</v>
      </c>
      <c r="K213" s="92">
        <f t="shared" si="606"/>
        <v>17890.09480150837</v>
      </c>
      <c r="L213" s="92">
        <f t="shared" si="606"/>
        <v>10222.999418376441</v>
      </c>
      <c r="M213" s="92">
        <f t="shared" ref="M213:P213" si="607">(0.6/M211^2)*$G$5*$G$8</f>
        <v>17890.09480150837</v>
      </c>
      <c r="N213" s="92">
        <f t="shared" si="607"/>
        <v>17890.09480150837</v>
      </c>
      <c r="O213" s="92">
        <f t="shared" si="607"/>
        <v>17890.09480150837</v>
      </c>
      <c r="P213" s="92">
        <f t="shared" si="607"/>
        <v>10222.999418376441</v>
      </c>
      <c r="Q213" s="92">
        <f t="shared" ref="Q213:T213" si="608">(0.6/Q211^2)*$G$5*$G$8</f>
        <v>17890.09480150837</v>
      </c>
      <c r="R213" s="92">
        <f t="shared" si="608"/>
        <v>17890.09480150837</v>
      </c>
      <c r="S213" s="92">
        <f t="shared" si="608"/>
        <v>17890.09480150837</v>
      </c>
      <c r="T213" s="92">
        <f t="shared" si="608"/>
        <v>10222.999418376441</v>
      </c>
      <c r="U213" s="92">
        <f t="shared" ref="U213:X213" si="609">(0.6/U211^2)*$G$5*$G$8</f>
        <v>17890.09480150837</v>
      </c>
      <c r="V213" s="92">
        <f t="shared" si="609"/>
        <v>17890.09480150837</v>
      </c>
      <c r="W213" s="92">
        <f t="shared" si="609"/>
        <v>17890.09480150837</v>
      </c>
      <c r="X213" s="92">
        <f t="shared" si="609"/>
        <v>10222.999418376441</v>
      </c>
      <c r="Y213" s="92">
        <f t="shared" ref="Y213:Z213" si="610">(0.6/Y211^2)*$G$5*$G$8</f>
        <v>17890.09480150837</v>
      </c>
      <c r="Z213" s="92">
        <f t="shared" si="610"/>
        <v>17890.09480150837</v>
      </c>
    </row>
    <row r="214" spans="1:26" x14ac:dyDescent="0.25">
      <c r="A214" s="59" t="s">
        <v>80</v>
      </c>
      <c r="C214" s="27" t="s">
        <v>52</v>
      </c>
      <c r="D214" s="63" t="s">
        <v>113</v>
      </c>
      <c r="E214" s="57"/>
      <c r="F214" s="20" t="s">
        <v>25</v>
      </c>
      <c r="G214" s="92">
        <f t="shared" ref="G214:H214" si="611">IF(G211&lt;1,G212,G213)</f>
        <v>140.65188000000001</v>
      </c>
      <c r="H214" s="92">
        <f t="shared" si="611"/>
        <v>140.65188000000001</v>
      </c>
      <c r="I214" s="92">
        <f t="shared" ref="I214:L214" si="612">IF(I211&lt;1,I212,I213)</f>
        <v>140.65188000000001</v>
      </c>
      <c r="J214" s="92">
        <f t="shared" si="612"/>
        <v>140.65188000000001</v>
      </c>
      <c r="K214" s="92">
        <f t="shared" si="612"/>
        <v>140.65188000000001</v>
      </c>
      <c r="L214" s="92">
        <f t="shared" si="612"/>
        <v>140.65188000000001</v>
      </c>
      <c r="M214" s="92">
        <f t="shared" ref="M214:P214" si="613">IF(M211&lt;1,M212,M213)</f>
        <v>140.65188000000001</v>
      </c>
      <c r="N214" s="92">
        <f t="shared" si="613"/>
        <v>140.65188000000001</v>
      </c>
      <c r="O214" s="92">
        <f t="shared" si="613"/>
        <v>140.65188000000001</v>
      </c>
      <c r="P214" s="92">
        <f t="shared" si="613"/>
        <v>140.65188000000001</v>
      </c>
      <c r="Q214" s="92">
        <f t="shared" ref="Q214:T214" si="614">IF(Q211&lt;1,Q212,Q213)</f>
        <v>140.65188000000001</v>
      </c>
      <c r="R214" s="92">
        <f t="shared" si="614"/>
        <v>140.65188000000001</v>
      </c>
      <c r="S214" s="92">
        <f t="shared" si="614"/>
        <v>140.65188000000001</v>
      </c>
      <c r="T214" s="92">
        <f t="shared" si="614"/>
        <v>140.65188000000001</v>
      </c>
      <c r="U214" s="92">
        <f t="shared" ref="U214:X214" si="615">IF(U211&lt;1,U212,U213)</f>
        <v>140.65188000000001</v>
      </c>
      <c r="V214" s="92">
        <f t="shared" si="615"/>
        <v>140.65188000000001</v>
      </c>
      <c r="W214" s="92">
        <f t="shared" si="615"/>
        <v>140.65188000000001</v>
      </c>
      <c r="X214" s="92">
        <f t="shared" si="615"/>
        <v>140.65188000000001</v>
      </c>
      <c r="Y214" s="92">
        <f t="shared" ref="Y214:Z214" si="616">IF(Y211&lt;1,Y212,Y213)</f>
        <v>140.65188000000001</v>
      </c>
      <c r="Z214" s="92">
        <f t="shared" si="616"/>
        <v>140.65188000000001</v>
      </c>
    </row>
    <row r="215" spans="1:26" x14ac:dyDescent="0.25">
      <c r="A215" s="59" t="s">
        <v>80</v>
      </c>
      <c r="C215" s="27" t="s">
        <v>52</v>
      </c>
      <c r="D215" s="57" t="s">
        <v>106</v>
      </c>
      <c r="E215" s="57"/>
      <c r="F215" s="20"/>
      <c r="G215" s="15">
        <f t="shared" ref="G215:H215" si="617">SQRT($G$5*$G$8/G208)</f>
        <v>0.13865395294724117</v>
      </c>
      <c r="H215" s="15">
        <f t="shared" si="617"/>
        <v>0.13865395294724117</v>
      </c>
      <c r="I215" s="15">
        <f t="shared" ref="I215:L215" si="618">SQRT($G$5*$G$8/I208)</f>
        <v>0.13865395294724117</v>
      </c>
      <c r="J215" s="15">
        <f t="shared" si="618"/>
        <v>0.13865395294724117</v>
      </c>
      <c r="K215" s="15">
        <f t="shared" si="618"/>
        <v>0.13865395294724117</v>
      </c>
      <c r="L215" s="15">
        <f t="shared" si="618"/>
        <v>0.13865395294724117</v>
      </c>
      <c r="M215" s="15">
        <f t="shared" ref="M215:P215" si="619">SQRT($G$5*$G$8/M208)</f>
        <v>0.13865395294724117</v>
      </c>
      <c r="N215" s="15">
        <f t="shared" si="619"/>
        <v>0.13865395294724117</v>
      </c>
      <c r="O215" s="15">
        <f t="shared" si="619"/>
        <v>0.13865395294724117</v>
      </c>
      <c r="P215" s="15">
        <f t="shared" si="619"/>
        <v>0.13865395294724117</v>
      </c>
      <c r="Q215" s="15">
        <f t="shared" ref="Q215:T215" si="620">SQRT($G$5*$G$8/Q208)</f>
        <v>0.13865395294724117</v>
      </c>
      <c r="R215" s="15">
        <f t="shared" si="620"/>
        <v>0.13865395294724117</v>
      </c>
      <c r="S215" s="15">
        <f t="shared" si="620"/>
        <v>0.13865395294724117</v>
      </c>
      <c r="T215" s="15">
        <f t="shared" si="620"/>
        <v>0.13865395294724117</v>
      </c>
      <c r="U215" s="15">
        <f t="shared" ref="U215:X215" si="621">SQRT($G$5*$G$8/U208)</f>
        <v>0.13865395294724117</v>
      </c>
      <c r="V215" s="15">
        <f t="shared" si="621"/>
        <v>0.13865395294724117</v>
      </c>
      <c r="W215" s="15">
        <f t="shared" si="621"/>
        <v>0.13865395294724117</v>
      </c>
      <c r="X215" s="15">
        <f t="shared" si="621"/>
        <v>0.13865395294724117</v>
      </c>
      <c r="Y215" s="15">
        <f t="shared" ref="Y215:Z215" si="622">SQRT($G$5*$G$8/Y208)</f>
        <v>0.13865395294724117</v>
      </c>
      <c r="Z215" s="15">
        <f t="shared" si="622"/>
        <v>0.13865395294724117</v>
      </c>
    </row>
    <row r="216" spans="1:26" x14ac:dyDescent="0.25">
      <c r="A216" s="59" t="s">
        <v>81</v>
      </c>
      <c r="C216" s="27" t="s">
        <v>52</v>
      </c>
      <c r="D216" s="65" t="s">
        <v>105</v>
      </c>
      <c r="E216" s="57"/>
      <c r="F216" s="66" t="s">
        <v>5</v>
      </c>
      <c r="G216" s="15">
        <f t="shared" ref="G216:H216" si="623">IF(G215-0.2&lt;0,0)</f>
        <v>0</v>
      </c>
      <c r="H216" s="15">
        <f t="shared" si="623"/>
        <v>0</v>
      </c>
      <c r="I216" s="15">
        <f t="shared" ref="I216:L216" si="624">IF(I215-0.2&lt;0,0)</f>
        <v>0</v>
      </c>
      <c r="J216" s="15">
        <f t="shared" si="624"/>
        <v>0</v>
      </c>
      <c r="K216" s="15">
        <f t="shared" si="624"/>
        <v>0</v>
      </c>
      <c r="L216" s="15">
        <f t="shared" si="624"/>
        <v>0</v>
      </c>
      <c r="M216" s="15">
        <f t="shared" ref="M216:P216" si="625">IF(M215-0.2&lt;0,0)</f>
        <v>0</v>
      </c>
      <c r="N216" s="15">
        <f t="shared" si="625"/>
        <v>0</v>
      </c>
      <c r="O216" s="15">
        <f t="shared" si="625"/>
        <v>0</v>
      </c>
      <c r="P216" s="15">
        <f t="shared" si="625"/>
        <v>0</v>
      </c>
      <c r="Q216" s="15">
        <f t="shared" ref="Q216:T216" si="626">IF(Q215-0.2&lt;0,0)</f>
        <v>0</v>
      </c>
      <c r="R216" s="15">
        <f t="shared" si="626"/>
        <v>0</v>
      </c>
      <c r="S216" s="15">
        <f t="shared" si="626"/>
        <v>0</v>
      </c>
      <c r="T216" s="15">
        <f t="shared" si="626"/>
        <v>0</v>
      </c>
      <c r="U216" s="15">
        <f t="shared" ref="U216:X216" si="627">IF(U215-0.2&lt;0,0)</f>
        <v>0</v>
      </c>
      <c r="V216" s="15">
        <f t="shared" si="627"/>
        <v>0</v>
      </c>
      <c r="W216" s="15">
        <f t="shared" si="627"/>
        <v>0</v>
      </c>
      <c r="X216" s="15">
        <f t="shared" si="627"/>
        <v>0</v>
      </c>
      <c r="Y216" s="15">
        <f t="shared" ref="Y216:Z216" si="628">IF(Y215-0.2&lt;0,0)</f>
        <v>0</v>
      </c>
      <c r="Z216" s="15">
        <f t="shared" si="628"/>
        <v>0</v>
      </c>
    </row>
    <row r="217" spans="1:26" x14ac:dyDescent="0.25">
      <c r="A217" s="59" t="s">
        <v>81</v>
      </c>
      <c r="B217" s="1"/>
      <c r="C217" s="27" t="s">
        <v>52</v>
      </c>
      <c r="D217" s="65" t="s">
        <v>32</v>
      </c>
      <c r="E217" s="57" t="s">
        <v>216</v>
      </c>
      <c r="F217" s="66" t="s">
        <v>5</v>
      </c>
      <c r="G217" s="61">
        <f t="shared" ref="G217:H217" si="629">G216*(7-5*(G16/G33)^2*((G43-G214)/G209)^2)</f>
        <v>0</v>
      </c>
      <c r="H217" s="61">
        <f t="shared" si="629"/>
        <v>0</v>
      </c>
      <c r="I217" s="61">
        <f t="shared" ref="I217:L217" si="630">I216*(7-5*(I16/I33)^2*((I43-I214)/I209)^2)</f>
        <v>0</v>
      </c>
      <c r="J217" s="61">
        <f t="shared" si="630"/>
        <v>0</v>
      </c>
      <c r="K217" s="61">
        <f t="shared" si="630"/>
        <v>0</v>
      </c>
      <c r="L217" s="61">
        <f t="shared" si="630"/>
        <v>0</v>
      </c>
      <c r="M217" s="61">
        <f t="shared" ref="M217:P217" si="631">M216*(7-5*(M16/M33)^2*((M43-M214)/M209)^2)</f>
        <v>0</v>
      </c>
      <c r="N217" s="61">
        <f t="shared" si="631"/>
        <v>0</v>
      </c>
      <c r="O217" s="61">
        <f t="shared" si="631"/>
        <v>0</v>
      </c>
      <c r="P217" s="61">
        <f t="shared" si="631"/>
        <v>0</v>
      </c>
      <c r="Q217" s="61">
        <f t="shared" ref="Q217:T217" si="632">Q216*(7-5*(Q16/Q33)^2*((Q43-Q214)/Q209)^2)</f>
        <v>0</v>
      </c>
      <c r="R217" s="61">
        <f t="shared" si="632"/>
        <v>0</v>
      </c>
      <c r="S217" s="61">
        <f t="shared" si="632"/>
        <v>0</v>
      </c>
      <c r="T217" s="61">
        <f t="shared" si="632"/>
        <v>0</v>
      </c>
      <c r="U217" s="61">
        <f t="shared" ref="U217:X217" si="633">U216*(7-5*(U16/U33)^2*((U43-U214)/U209)^2)</f>
        <v>0</v>
      </c>
      <c r="V217" s="61">
        <f t="shared" si="633"/>
        <v>0</v>
      </c>
      <c r="W217" s="61">
        <f t="shared" si="633"/>
        <v>0</v>
      </c>
      <c r="X217" s="61">
        <f t="shared" si="633"/>
        <v>0</v>
      </c>
      <c r="Y217" s="61">
        <f t="shared" ref="Y217:Z217" si="634">Y216*(7-5*(Y16/Y33)^2*((Y43-Y214)/Y209)^2)</f>
        <v>0</v>
      </c>
      <c r="Z217" s="61">
        <f t="shared" si="634"/>
        <v>0</v>
      </c>
    </row>
    <row r="218" spans="1:26" x14ac:dyDescent="0.25">
      <c r="A218" s="59" t="s">
        <v>82</v>
      </c>
      <c r="B218" s="1"/>
      <c r="C218" s="27" t="s">
        <v>52</v>
      </c>
      <c r="D218" s="65" t="s">
        <v>32</v>
      </c>
      <c r="E218" s="57" t="s">
        <v>217</v>
      </c>
      <c r="F218" s="66" t="s">
        <v>5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0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</row>
    <row r="219" spans="1:26" x14ac:dyDescent="0.25">
      <c r="A219" s="59"/>
      <c r="B219" s="1"/>
      <c r="C219" s="27" t="s">
        <v>52</v>
      </c>
      <c r="D219" s="67" t="s">
        <v>32</v>
      </c>
      <c r="E219" s="57"/>
      <c r="F219" s="68" t="s">
        <v>5</v>
      </c>
      <c r="G219" s="61">
        <f t="shared" ref="G219:H219" si="635">IF(G43&gt;G214,G217,G218)</f>
        <v>0</v>
      </c>
      <c r="H219" s="61">
        <f t="shared" si="635"/>
        <v>0</v>
      </c>
      <c r="I219" s="61">
        <f t="shared" ref="I219:L219" si="636">IF(I43&gt;I214,I217,I218)</f>
        <v>0</v>
      </c>
      <c r="J219" s="61">
        <f t="shared" si="636"/>
        <v>0</v>
      </c>
      <c r="K219" s="61">
        <f t="shared" si="636"/>
        <v>0</v>
      </c>
      <c r="L219" s="61">
        <f t="shared" si="636"/>
        <v>0</v>
      </c>
      <c r="M219" s="61">
        <f t="shared" ref="M219:P219" si="637">IF(M43&gt;M214,M217,M218)</f>
        <v>0</v>
      </c>
      <c r="N219" s="61">
        <f t="shared" si="637"/>
        <v>0</v>
      </c>
      <c r="O219" s="61">
        <f t="shared" si="637"/>
        <v>0</v>
      </c>
      <c r="P219" s="61">
        <f t="shared" si="637"/>
        <v>0</v>
      </c>
      <c r="Q219" s="61">
        <f t="shared" ref="Q219:T219" si="638">IF(Q43&gt;Q214,Q217,Q218)</f>
        <v>0</v>
      </c>
      <c r="R219" s="61">
        <f t="shared" si="638"/>
        <v>0</v>
      </c>
      <c r="S219" s="61">
        <f t="shared" si="638"/>
        <v>0</v>
      </c>
      <c r="T219" s="61">
        <f t="shared" si="638"/>
        <v>0</v>
      </c>
      <c r="U219" s="61">
        <f t="shared" ref="U219:X219" si="639">IF(U43&gt;U214,U217,U218)</f>
        <v>0</v>
      </c>
      <c r="V219" s="61">
        <f t="shared" si="639"/>
        <v>0</v>
      </c>
      <c r="W219" s="61">
        <f t="shared" si="639"/>
        <v>0</v>
      </c>
      <c r="X219" s="61">
        <f t="shared" si="639"/>
        <v>0</v>
      </c>
      <c r="Y219" s="61">
        <f t="shared" ref="Y219:Z219" si="640">IF(Y43&gt;Y214,Y217,Y218)</f>
        <v>0</v>
      </c>
      <c r="Z219" s="61">
        <f t="shared" si="640"/>
        <v>0</v>
      </c>
    </row>
    <row r="220" spans="1:26" x14ac:dyDescent="0.25">
      <c r="A220"/>
      <c r="B220"/>
      <c r="D220" s="64"/>
      <c r="E220" s="64"/>
      <c r="F220" s="64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21" x14ac:dyDescent="0.35">
      <c r="D221" s="28" t="s">
        <v>156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5">
      <c r="A222" s="12" t="s">
        <v>161</v>
      </c>
      <c r="C222" s="27" t="s">
        <v>52</v>
      </c>
      <c r="D222" s="9" t="s">
        <v>157</v>
      </c>
      <c r="E222" s="9"/>
      <c r="F222" s="9" t="s">
        <v>25</v>
      </c>
      <c r="G222" s="92">
        <f t="shared" ref="G222:Z222" si="641">$G$5*$G$8/$G$9/SQRT(3)</f>
        <v>117.68898663772023</v>
      </c>
      <c r="H222" s="92">
        <f t="shared" si="641"/>
        <v>117.68898663772023</v>
      </c>
      <c r="I222" s="92">
        <f t="shared" si="641"/>
        <v>117.68898663772023</v>
      </c>
      <c r="J222" s="92">
        <f t="shared" si="641"/>
        <v>117.68898663772023</v>
      </c>
      <c r="K222" s="92">
        <f t="shared" si="641"/>
        <v>117.68898663772023</v>
      </c>
      <c r="L222" s="92">
        <f t="shared" si="641"/>
        <v>117.68898663772023</v>
      </c>
      <c r="M222" s="92">
        <f t="shared" si="641"/>
        <v>117.68898663772023</v>
      </c>
      <c r="N222" s="92">
        <f t="shared" si="641"/>
        <v>117.68898663772023</v>
      </c>
      <c r="O222" s="92">
        <f t="shared" si="641"/>
        <v>117.68898663772023</v>
      </c>
      <c r="P222" s="92">
        <f t="shared" si="641"/>
        <v>117.68898663772023</v>
      </c>
      <c r="Q222" s="92">
        <f t="shared" si="641"/>
        <v>117.68898663772023</v>
      </c>
      <c r="R222" s="92">
        <f t="shared" si="641"/>
        <v>117.68898663772023</v>
      </c>
      <c r="S222" s="92">
        <f t="shared" si="641"/>
        <v>117.68898663772023</v>
      </c>
      <c r="T222" s="92">
        <f t="shared" si="641"/>
        <v>117.68898663772023</v>
      </c>
      <c r="U222" s="92">
        <f t="shared" si="641"/>
        <v>117.68898663772023</v>
      </c>
      <c r="V222" s="92">
        <f t="shared" si="641"/>
        <v>117.68898663772023</v>
      </c>
      <c r="W222" s="92">
        <f t="shared" si="641"/>
        <v>117.68898663772023</v>
      </c>
      <c r="X222" s="92">
        <f t="shared" si="641"/>
        <v>117.68898663772023</v>
      </c>
      <c r="Y222" s="92">
        <f t="shared" si="641"/>
        <v>117.68898663772023</v>
      </c>
      <c r="Z222" s="92">
        <f t="shared" si="641"/>
        <v>117.68898663772023</v>
      </c>
    </row>
    <row r="223" spans="1:26" x14ac:dyDescent="0.25">
      <c r="A223" s="12" t="s">
        <v>163</v>
      </c>
      <c r="C223" s="27" t="s">
        <v>52</v>
      </c>
      <c r="D223" s="9" t="s">
        <v>164</v>
      </c>
      <c r="E223" s="9"/>
      <c r="F223" s="9" t="s">
        <v>25</v>
      </c>
      <c r="G223" s="92">
        <f t="shared" ref="G223:H223" si="642">G137*904*$G$4*$G$8*(G17/G16)^2</f>
        <v>319819.92658148432</v>
      </c>
      <c r="H223" s="92">
        <f t="shared" si="642"/>
        <v>310398.8163987216</v>
      </c>
      <c r="I223" s="92">
        <f t="shared" ref="I223:L223" si="643">I137*904*$G$4*$G$8*(I17/I16)^2</f>
        <v>319819.92658148432</v>
      </c>
      <c r="J223" s="92">
        <f t="shared" si="643"/>
        <v>319819.92658148432</v>
      </c>
      <c r="K223" s="92">
        <f t="shared" si="643"/>
        <v>319819.92658148432</v>
      </c>
      <c r="L223" s="92">
        <f t="shared" si="643"/>
        <v>310398.8163987216</v>
      </c>
      <c r="M223" s="92">
        <f t="shared" ref="M223:P223" si="644">M137*904*$G$4*$G$8*(M17/M16)^2</f>
        <v>319819.92658148432</v>
      </c>
      <c r="N223" s="92">
        <f t="shared" si="644"/>
        <v>319819.92658148432</v>
      </c>
      <c r="O223" s="92">
        <f t="shared" si="644"/>
        <v>319819.92658148432</v>
      </c>
      <c r="P223" s="92">
        <f t="shared" si="644"/>
        <v>310398.8163987216</v>
      </c>
      <c r="Q223" s="92">
        <f t="shared" ref="Q223:T223" si="645">Q137*904*$G$4*$G$8*(Q17/Q16)^2</f>
        <v>319819.92658148432</v>
      </c>
      <c r="R223" s="92">
        <f t="shared" si="645"/>
        <v>319819.92658148432</v>
      </c>
      <c r="S223" s="92">
        <f t="shared" si="645"/>
        <v>319819.92658148432</v>
      </c>
      <c r="T223" s="92">
        <f t="shared" si="645"/>
        <v>310398.8163987216</v>
      </c>
      <c r="U223" s="92">
        <f t="shared" ref="U223:X223" si="646">U137*904*$G$4*$G$8*(U17/U16)^2</f>
        <v>319819.92658148432</v>
      </c>
      <c r="V223" s="92">
        <f t="shared" si="646"/>
        <v>319819.92658148432</v>
      </c>
      <c r="W223" s="92">
        <f t="shared" si="646"/>
        <v>319819.92658148432</v>
      </c>
      <c r="X223" s="92">
        <f t="shared" si="646"/>
        <v>310398.8163987216</v>
      </c>
      <c r="Y223" s="92">
        <f t="shared" ref="Y223:Z223" si="647">Y137*904*$G$4*$G$8*(Y17/Y16)^2</f>
        <v>319819.92658148432</v>
      </c>
      <c r="Z223" s="92">
        <f t="shared" si="647"/>
        <v>319819.92658148432</v>
      </c>
    </row>
    <row r="224" spans="1:26" x14ac:dyDescent="0.25">
      <c r="A224" s="12" t="s">
        <v>162</v>
      </c>
      <c r="C224" s="27" t="s">
        <v>52</v>
      </c>
      <c r="D224" s="9" t="s">
        <v>158</v>
      </c>
      <c r="E224" s="9"/>
      <c r="F224" s="9" t="s">
        <v>25</v>
      </c>
      <c r="G224" s="92">
        <f t="shared" ref="G224:H224" si="648">G223/$G$9</f>
        <v>278104.28398389946</v>
      </c>
      <c r="H224" s="92">
        <f t="shared" si="648"/>
        <v>269912.01425975794</v>
      </c>
      <c r="I224" s="92">
        <f t="shared" ref="I224:L224" si="649">I223/$G$9</f>
        <v>278104.28398389946</v>
      </c>
      <c r="J224" s="92">
        <f t="shared" si="649"/>
        <v>278104.28398389946</v>
      </c>
      <c r="K224" s="92">
        <f t="shared" si="649"/>
        <v>278104.28398389946</v>
      </c>
      <c r="L224" s="92">
        <f t="shared" si="649"/>
        <v>269912.01425975794</v>
      </c>
      <c r="M224" s="92">
        <f t="shared" ref="M224:P224" si="650">M223/$G$9</f>
        <v>278104.28398389946</v>
      </c>
      <c r="N224" s="92">
        <f t="shared" si="650"/>
        <v>278104.28398389946</v>
      </c>
      <c r="O224" s="92">
        <f t="shared" si="650"/>
        <v>278104.28398389946</v>
      </c>
      <c r="P224" s="92">
        <f t="shared" si="650"/>
        <v>269912.01425975794</v>
      </c>
      <c r="Q224" s="92">
        <f t="shared" ref="Q224:T224" si="651">Q223/$G$9</f>
        <v>278104.28398389946</v>
      </c>
      <c r="R224" s="92">
        <f t="shared" si="651"/>
        <v>278104.28398389946</v>
      </c>
      <c r="S224" s="92">
        <f t="shared" si="651"/>
        <v>278104.28398389946</v>
      </c>
      <c r="T224" s="92">
        <f t="shared" si="651"/>
        <v>269912.01425975794</v>
      </c>
      <c r="U224" s="92">
        <f t="shared" ref="U224:X224" si="652">U223/$G$9</f>
        <v>278104.28398389946</v>
      </c>
      <c r="V224" s="92">
        <f t="shared" si="652"/>
        <v>278104.28398389946</v>
      </c>
      <c r="W224" s="92">
        <f t="shared" si="652"/>
        <v>278104.28398389946</v>
      </c>
      <c r="X224" s="92">
        <f t="shared" si="652"/>
        <v>269912.01425975794</v>
      </c>
      <c r="Y224" s="92">
        <f t="shared" ref="Y224:Z224" si="653">Y223/$G$9</f>
        <v>278104.28398389946</v>
      </c>
      <c r="Z224" s="92">
        <f t="shared" si="653"/>
        <v>278104.28398389946</v>
      </c>
    </row>
    <row r="225" spans="1:26" x14ac:dyDescent="0.25">
      <c r="A225" s="12" t="s">
        <v>161</v>
      </c>
      <c r="C225" s="27" t="s">
        <v>52</v>
      </c>
      <c r="D225" s="9" t="s">
        <v>160</v>
      </c>
      <c r="E225" s="9"/>
      <c r="F225" s="9" t="s">
        <v>25</v>
      </c>
      <c r="G225" s="92">
        <f t="shared" ref="G225:H225" si="654">36*$G$4*$G$8/G16/G17/(G24^2)*(G106*G105^3)^0.25</f>
        <v>22261.961168176374</v>
      </c>
      <c r="H225" s="92">
        <f t="shared" si="654"/>
        <v>16069.542300095922</v>
      </c>
      <c r="I225" s="92">
        <f t="shared" ref="I225:L225" si="655">36*$G$4*$G$8/I16/I17/(I24^2)*(I106*I105^3)^0.25</f>
        <v>22261.961168176374</v>
      </c>
      <c r="J225" s="92">
        <f t="shared" si="655"/>
        <v>22261.961168176374</v>
      </c>
      <c r="K225" s="92">
        <f t="shared" si="655"/>
        <v>22261.961168176374</v>
      </c>
      <c r="L225" s="92">
        <f t="shared" si="655"/>
        <v>16069.542300095922</v>
      </c>
      <c r="M225" s="92">
        <f t="shared" ref="M225:P225" si="656">36*$G$4*$G$8/M16/M17/(M24^2)*(M106*M105^3)^0.25</f>
        <v>22261.961168176374</v>
      </c>
      <c r="N225" s="92">
        <f t="shared" si="656"/>
        <v>22261.961168176374</v>
      </c>
      <c r="O225" s="92">
        <f t="shared" si="656"/>
        <v>22261.961168176374</v>
      </c>
      <c r="P225" s="92">
        <f t="shared" si="656"/>
        <v>16069.542300095922</v>
      </c>
      <c r="Q225" s="92">
        <f t="shared" ref="Q225:T225" si="657">36*$G$4*$G$8/Q16/Q17/(Q24^2)*(Q106*Q105^3)^0.25</f>
        <v>22261.961168176374</v>
      </c>
      <c r="R225" s="92">
        <f t="shared" si="657"/>
        <v>22261.961168176374</v>
      </c>
      <c r="S225" s="92">
        <f t="shared" si="657"/>
        <v>22261.961168176374</v>
      </c>
      <c r="T225" s="92">
        <f t="shared" si="657"/>
        <v>16069.542300095922</v>
      </c>
      <c r="U225" s="92">
        <f t="shared" ref="U225:X225" si="658">36*$G$4*$G$8/U16/U17/(U24^2)*(U106*U105^3)^0.25</f>
        <v>22261.961168176374</v>
      </c>
      <c r="V225" s="92">
        <f t="shared" si="658"/>
        <v>22261.961168176374</v>
      </c>
      <c r="W225" s="92">
        <f t="shared" si="658"/>
        <v>22261.961168176374</v>
      </c>
      <c r="X225" s="92">
        <f t="shared" si="658"/>
        <v>16069.542300095922</v>
      </c>
      <c r="Y225" s="92">
        <f t="shared" ref="Y225:Z225" si="659">36*$G$4*$G$8/Y16/Y17/(Y24^2)*(Y106*Y105^3)^0.25</f>
        <v>22261.961168176374</v>
      </c>
      <c r="Z225" s="92">
        <f t="shared" si="659"/>
        <v>22261.961168176374</v>
      </c>
    </row>
    <row r="226" spans="1:26" x14ac:dyDescent="0.25">
      <c r="C226" s="27" t="s">
        <v>52</v>
      </c>
      <c r="D226" s="9" t="s">
        <v>159</v>
      </c>
      <c r="E226" s="9"/>
      <c r="F226" s="9" t="s">
        <v>25</v>
      </c>
      <c r="G226" s="92">
        <f t="shared" ref="G226:H226" si="660">G225/$G$9</f>
        <v>19358.227102762066</v>
      </c>
      <c r="H226" s="92">
        <f t="shared" si="660"/>
        <v>13973.515043561672</v>
      </c>
      <c r="I226" s="92">
        <f t="shared" ref="I226:L226" si="661">I225/$G$9</f>
        <v>19358.227102762066</v>
      </c>
      <c r="J226" s="92">
        <f t="shared" si="661"/>
        <v>19358.227102762066</v>
      </c>
      <c r="K226" s="92">
        <f t="shared" si="661"/>
        <v>19358.227102762066</v>
      </c>
      <c r="L226" s="92">
        <f t="shared" si="661"/>
        <v>13973.515043561672</v>
      </c>
      <c r="M226" s="92">
        <f t="shared" ref="M226:P226" si="662">M225/$G$9</f>
        <v>19358.227102762066</v>
      </c>
      <c r="N226" s="92">
        <f t="shared" si="662"/>
        <v>19358.227102762066</v>
      </c>
      <c r="O226" s="92">
        <f t="shared" si="662"/>
        <v>19358.227102762066</v>
      </c>
      <c r="P226" s="92">
        <f t="shared" si="662"/>
        <v>13973.515043561672</v>
      </c>
      <c r="Q226" s="92">
        <f t="shared" ref="Q226:T226" si="663">Q225/$G$9</f>
        <v>19358.227102762066</v>
      </c>
      <c r="R226" s="92">
        <f t="shared" si="663"/>
        <v>19358.227102762066</v>
      </c>
      <c r="S226" s="92">
        <f t="shared" si="663"/>
        <v>19358.227102762066</v>
      </c>
      <c r="T226" s="92">
        <f t="shared" si="663"/>
        <v>13973.515043561672</v>
      </c>
      <c r="U226" s="92">
        <f t="shared" ref="U226:X226" si="664">U225/$G$9</f>
        <v>19358.227102762066</v>
      </c>
      <c r="V226" s="92">
        <f t="shared" si="664"/>
        <v>19358.227102762066</v>
      </c>
      <c r="W226" s="92">
        <f t="shared" si="664"/>
        <v>19358.227102762066</v>
      </c>
      <c r="X226" s="92">
        <f t="shared" si="664"/>
        <v>13973.515043561672</v>
      </c>
      <c r="Y226" s="92">
        <f t="shared" ref="Y226:Z226" si="665">Y225/$G$9</f>
        <v>19358.227102762066</v>
      </c>
      <c r="Z226" s="92">
        <f t="shared" si="665"/>
        <v>19358.227102762066</v>
      </c>
    </row>
    <row r="227" spans="1:26" x14ac:dyDescent="0.25">
      <c r="C227" s="27" t="s">
        <v>52</v>
      </c>
      <c r="D227" s="9" t="s">
        <v>165</v>
      </c>
      <c r="E227" s="9"/>
      <c r="F227" s="9" t="s">
        <v>25</v>
      </c>
      <c r="G227" s="92">
        <f t="shared" ref="G227:H227" si="666">MIN(G226,G224,G222)</f>
        <v>117.68898663772023</v>
      </c>
      <c r="H227" s="92">
        <f t="shared" si="666"/>
        <v>117.68898663772023</v>
      </c>
      <c r="I227" s="92">
        <f t="shared" ref="I227:L227" si="667">MIN(I226,I224,I222)</f>
        <v>117.68898663772023</v>
      </c>
      <c r="J227" s="92">
        <f t="shared" si="667"/>
        <v>117.68898663772023</v>
      </c>
      <c r="K227" s="92">
        <f t="shared" si="667"/>
        <v>117.68898663772023</v>
      </c>
      <c r="L227" s="92">
        <f t="shared" si="667"/>
        <v>117.68898663772023</v>
      </c>
      <c r="M227" s="92">
        <f t="shared" ref="M227:P227" si="668">MIN(M226,M224,M222)</f>
        <v>117.68898663772023</v>
      </c>
      <c r="N227" s="92">
        <f t="shared" si="668"/>
        <v>117.68898663772023</v>
      </c>
      <c r="O227" s="92">
        <f t="shared" si="668"/>
        <v>117.68898663772023</v>
      </c>
      <c r="P227" s="92">
        <f t="shared" si="668"/>
        <v>117.68898663772023</v>
      </c>
      <c r="Q227" s="92">
        <f t="shared" ref="Q227:T227" si="669">MIN(Q226,Q224,Q222)</f>
        <v>117.68898663772023</v>
      </c>
      <c r="R227" s="92">
        <f t="shared" si="669"/>
        <v>117.68898663772023</v>
      </c>
      <c r="S227" s="92">
        <f t="shared" si="669"/>
        <v>117.68898663772023</v>
      </c>
      <c r="T227" s="92">
        <f t="shared" si="669"/>
        <v>117.68898663772023</v>
      </c>
      <c r="U227" s="92">
        <f t="shared" ref="U227:X227" si="670">MIN(U226,U224,U222)</f>
        <v>117.68898663772023</v>
      </c>
      <c r="V227" s="92">
        <f t="shared" si="670"/>
        <v>117.68898663772023</v>
      </c>
      <c r="W227" s="92">
        <f t="shared" si="670"/>
        <v>117.68898663772023</v>
      </c>
      <c r="X227" s="92">
        <f t="shared" si="670"/>
        <v>117.68898663772023</v>
      </c>
      <c r="Y227" s="92">
        <f t="shared" ref="Y227:Z227" si="671">MIN(Y226,Y224,Y222)</f>
        <v>117.68898663772023</v>
      </c>
      <c r="Z227" s="92">
        <f t="shared" si="671"/>
        <v>117.68898663772023</v>
      </c>
    </row>
    <row r="228" spans="1:26" x14ac:dyDescent="0.25"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21" x14ac:dyDescent="0.35">
      <c r="A229" s="1"/>
      <c r="B229" s="1"/>
      <c r="C229" s="1"/>
      <c r="D229" s="28" t="s">
        <v>228</v>
      </c>
      <c r="E229" s="10" t="s">
        <v>94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12" t="s">
        <v>126</v>
      </c>
      <c r="C230" s="27" t="s">
        <v>52</v>
      </c>
      <c r="D230" s="6" t="s">
        <v>141</v>
      </c>
      <c r="E230" s="6"/>
      <c r="F230" s="19" t="s">
        <v>118</v>
      </c>
      <c r="G230" s="95">
        <f t="shared" ref="G230:Z230" si="672">(G101+G25*G17)*$G$5*$G$8/$G$9</f>
        <v>12312135.582608696</v>
      </c>
      <c r="H230" s="95">
        <f t="shared" si="672"/>
        <v>12328443.046956522</v>
      </c>
      <c r="I230" s="95">
        <f t="shared" si="672"/>
        <v>12312135.582608696</v>
      </c>
      <c r="J230" s="95">
        <f t="shared" si="672"/>
        <v>12312135.582608696</v>
      </c>
      <c r="K230" s="95">
        <f t="shared" si="672"/>
        <v>12312135.582608696</v>
      </c>
      <c r="L230" s="95">
        <f t="shared" si="672"/>
        <v>12328443.046956522</v>
      </c>
      <c r="M230" s="95">
        <f t="shared" si="672"/>
        <v>12312135.582608696</v>
      </c>
      <c r="N230" s="95">
        <f t="shared" si="672"/>
        <v>12312135.582608696</v>
      </c>
      <c r="O230" s="95">
        <f t="shared" si="672"/>
        <v>12312135.582608696</v>
      </c>
      <c r="P230" s="95">
        <f t="shared" si="672"/>
        <v>12328443.046956522</v>
      </c>
      <c r="Q230" s="95">
        <f t="shared" si="672"/>
        <v>12312135.582608696</v>
      </c>
      <c r="R230" s="95">
        <f t="shared" si="672"/>
        <v>12312135.582608696</v>
      </c>
      <c r="S230" s="95">
        <f t="shared" si="672"/>
        <v>12312135.582608696</v>
      </c>
      <c r="T230" s="95">
        <f t="shared" si="672"/>
        <v>12328443.046956522</v>
      </c>
      <c r="U230" s="95">
        <f t="shared" si="672"/>
        <v>12312135.582608696</v>
      </c>
      <c r="V230" s="95">
        <f t="shared" si="672"/>
        <v>12312135.582608696</v>
      </c>
      <c r="W230" s="95">
        <f t="shared" si="672"/>
        <v>12312135.582608696</v>
      </c>
      <c r="X230" s="95">
        <f t="shared" si="672"/>
        <v>12328443.046956522</v>
      </c>
      <c r="Y230" s="95">
        <f t="shared" si="672"/>
        <v>12312135.582608696</v>
      </c>
      <c r="Z230" s="95">
        <f t="shared" si="672"/>
        <v>12312135.582608696</v>
      </c>
    </row>
    <row r="231" spans="1:26" x14ac:dyDescent="0.25">
      <c r="A231" s="12" t="s">
        <v>128</v>
      </c>
      <c r="C231" s="27" t="s">
        <v>52</v>
      </c>
      <c r="D231" s="6" t="s">
        <v>142</v>
      </c>
      <c r="E231" s="6"/>
      <c r="F231" s="19" t="s">
        <v>118</v>
      </c>
      <c r="G231" s="95">
        <f t="shared" ref="G231:Z231" si="673">(G101+G25*G17)*G184/$G$9</f>
        <v>12312135.582608696</v>
      </c>
      <c r="H231" s="95">
        <f t="shared" si="673"/>
        <v>12328443.046956522</v>
      </c>
      <c r="I231" s="95">
        <f t="shared" si="673"/>
        <v>12312135.582608696</v>
      </c>
      <c r="J231" s="95">
        <f t="shared" si="673"/>
        <v>12312135.582608696</v>
      </c>
      <c r="K231" s="95">
        <f t="shared" si="673"/>
        <v>12312135.582608696</v>
      </c>
      <c r="L231" s="95">
        <f t="shared" si="673"/>
        <v>12328443.046956522</v>
      </c>
      <c r="M231" s="95">
        <f t="shared" si="673"/>
        <v>12312135.582608696</v>
      </c>
      <c r="N231" s="95">
        <f t="shared" si="673"/>
        <v>12312135.582608696</v>
      </c>
      <c r="O231" s="95">
        <f t="shared" si="673"/>
        <v>12312135.582608696</v>
      </c>
      <c r="P231" s="95">
        <f t="shared" si="673"/>
        <v>12328443.046956522</v>
      </c>
      <c r="Q231" s="95">
        <f t="shared" si="673"/>
        <v>12312135.582608696</v>
      </c>
      <c r="R231" s="95">
        <f t="shared" si="673"/>
        <v>12312135.582608696</v>
      </c>
      <c r="S231" s="95">
        <f t="shared" si="673"/>
        <v>12312135.582608696</v>
      </c>
      <c r="T231" s="95">
        <f t="shared" si="673"/>
        <v>12328443.046956522</v>
      </c>
      <c r="U231" s="95">
        <f t="shared" si="673"/>
        <v>12312135.582608696</v>
      </c>
      <c r="V231" s="95">
        <f t="shared" si="673"/>
        <v>12312135.582608696</v>
      </c>
      <c r="W231" s="95">
        <f t="shared" si="673"/>
        <v>12312135.582608696</v>
      </c>
      <c r="X231" s="95">
        <f t="shared" si="673"/>
        <v>12328443.046956522</v>
      </c>
      <c r="Y231" s="95">
        <f t="shared" si="673"/>
        <v>12312135.582608696</v>
      </c>
      <c r="Z231" s="95">
        <f t="shared" si="673"/>
        <v>12312135.582608696</v>
      </c>
    </row>
    <row r="232" spans="1:26" x14ac:dyDescent="0.25">
      <c r="A232" s="12" t="s">
        <v>127</v>
      </c>
      <c r="C232" s="27" t="s">
        <v>52</v>
      </c>
      <c r="D232" s="6" t="s">
        <v>143</v>
      </c>
      <c r="E232" s="6"/>
      <c r="F232" s="19" t="s">
        <v>118</v>
      </c>
      <c r="G232" s="95">
        <f t="shared" ref="G232:Z232" si="674">(G101+G25*G17)*G198/$G$9</f>
        <v>12312135.582608696</v>
      </c>
      <c r="H232" s="95">
        <f t="shared" si="674"/>
        <v>12328443.046956522</v>
      </c>
      <c r="I232" s="95">
        <f t="shared" si="674"/>
        <v>12312135.582608696</v>
      </c>
      <c r="J232" s="95">
        <f t="shared" si="674"/>
        <v>12312135.582608696</v>
      </c>
      <c r="K232" s="95">
        <f t="shared" si="674"/>
        <v>12312135.582608696</v>
      </c>
      <c r="L232" s="95">
        <f t="shared" si="674"/>
        <v>12328443.046956522</v>
      </c>
      <c r="M232" s="95">
        <f t="shared" si="674"/>
        <v>12312135.582608696</v>
      </c>
      <c r="N232" s="95">
        <f t="shared" si="674"/>
        <v>12312135.582608696</v>
      </c>
      <c r="O232" s="95">
        <f t="shared" si="674"/>
        <v>12312135.582608696</v>
      </c>
      <c r="P232" s="95">
        <f t="shared" si="674"/>
        <v>12328443.046956522</v>
      </c>
      <c r="Q232" s="95">
        <f t="shared" si="674"/>
        <v>12312135.582608696</v>
      </c>
      <c r="R232" s="95">
        <f t="shared" si="674"/>
        <v>12312135.582608696</v>
      </c>
      <c r="S232" s="95">
        <f t="shared" si="674"/>
        <v>12312135.582608696</v>
      </c>
      <c r="T232" s="95">
        <f t="shared" si="674"/>
        <v>12328443.046956522</v>
      </c>
      <c r="U232" s="95">
        <f t="shared" si="674"/>
        <v>12312135.582608696</v>
      </c>
      <c r="V232" s="95">
        <f t="shared" si="674"/>
        <v>12312135.582608696</v>
      </c>
      <c r="W232" s="95">
        <f t="shared" si="674"/>
        <v>12312135.582608696</v>
      </c>
      <c r="X232" s="95">
        <f t="shared" si="674"/>
        <v>12328443.046956522</v>
      </c>
      <c r="Y232" s="95">
        <f t="shared" si="674"/>
        <v>12312135.582608696</v>
      </c>
      <c r="Z232" s="95">
        <f t="shared" si="674"/>
        <v>12312135.582608696</v>
      </c>
    </row>
    <row r="233" spans="1:26" x14ac:dyDescent="0.25">
      <c r="A233" s="12" t="s">
        <v>129</v>
      </c>
      <c r="C233" s="27" t="s">
        <v>52</v>
      </c>
      <c r="D233" s="6" t="s">
        <v>47</v>
      </c>
      <c r="E233" s="6"/>
      <c r="F233" s="17" t="s">
        <v>11</v>
      </c>
      <c r="G233" s="96">
        <f t="shared" ref="G233:H233" si="675">G102/G97</f>
        <v>5449298.8031007759</v>
      </c>
      <c r="H233" s="96">
        <f t="shared" si="675"/>
        <v>6602573.1124260351</v>
      </c>
      <c r="I233" s="96">
        <f t="shared" ref="I233:L233" si="676">I102/I97</f>
        <v>5449298.8031007759</v>
      </c>
      <c r="J233" s="96">
        <f t="shared" si="676"/>
        <v>5449298.8031007759</v>
      </c>
      <c r="K233" s="96">
        <f t="shared" si="676"/>
        <v>5449298.8031007759</v>
      </c>
      <c r="L233" s="96">
        <f t="shared" si="676"/>
        <v>6602573.1124260351</v>
      </c>
      <c r="M233" s="96">
        <f t="shared" ref="M233:P233" si="677">M102/M97</f>
        <v>5449298.8031007759</v>
      </c>
      <c r="N233" s="96">
        <f t="shared" si="677"/>
        <v>5449298.8031007759</v>
      </c>
      <c r="O233" s="96">
        <f t="shared" si="677"/>
        <v>5449298.8031007759</v>
      </c>
      <c r="P233" s="96">
        <f t="shared" si="677"/>
        <v>6602573.1124260351</v>
      </c>
      <c r="Q233" s="96">
        <f t="shared" ref="Q233:T233" si="678">Q102/Q97</f>
        <v>5449298.8031007759</v>
      </c>
      <c r="R233" s="96">
        <f t="shared" si="678"/>
        <v>5449298.8031007759</v>
      </c>
      <c r="S233" s="96">
        <f t="shared" si="678"/>
        <v>5449298.8031007759</v>
      </c>
      <c r="T233" s="96">
        <f t="shared" si="678"/>
        <v>6602573.1124260351</v>
      </c>
      <c r="U233" s="96">
        <f t="shared" ref="U233:X233" si="679">U102/U97</f>
        <v>5449298.8031007759</v>
      </c>
      <c r="V233" s="96">
        <f t="shared" si="679"/>
        <v>5449298.8031007759</v>
      </c>
      <c r="W233" s="96">
        <f t="shared" si="679"/>
        <v>5449298.8031007759</v>
      </c>
      <c r="X233" s="96">
        <f t="shared" si="679"/>
        <v>6602573.1124260351</v>
      </c>
      <c r="Y233" s="96">
        <f t="shared" ref="Y233:Z233" si="680">Y102/Y97</f>
        <v>5449298.8031007759</v>
      </c>
      <c r="Z233" s="96">
        <f t="shared" si="680"/>
        <v>5449298.8031007759</v>
      </c>
    </row>
    <row r="234" spans="1:26" x14ac:dyDescent="0.25">
      <c r="A234" s="12" t="s">
        <v>129</v>
      </c>
      <c r="C234" s="27" t="s">
        <v>52</v>
      </c>
      <c r="D234" s="6" t="s">
        <v>133</v>
      </c>
      <c r="E234" s="6"/>
      <c r="F234" s="17" t="s">
        <v>11</v>
      </c>
      <c r="G234" s="96">
        <f t="shared" ref="G234:H234" si="681">G102/G98</f>
        <v>3246146.6326794485</v>
      </c>
      <c r="H234" s="96">
        <f t="shared" si="681"/>
        <v>3327373.9555688091</v>
      </c>
      <c r="I234" s="96">
        <f t="shared" ref="I234:L234" si="682">I102/I98</f>
        <v>3246146.6326794485</v>
      </c>
      <c r="J234" s="96">
        <f t="shared" si="682"/>
        <v>3246146.6326794485</v>
      </c>
      <c r="K234" s="96">
        <f t="shared" si="682"/>
        <v>3246146.6326794485</v>
      </c>
      <c r="L234" s="96">
        <f t="shared" si="682"/>
        <v>3327373.9555688091</v>
      </c>
      <c r="M234" s="96">
        <f t="shared" ref="M234:P234" si="683">M102/M98</f>
        <v>3246146.6326794485</v>
      </c>
      <c r="N234" s="96">
        <f t="shared" si="683"/>
        <v>3246146.6326794485</v>
      </c>
      <c r="O234" s="96">
        <f t="shared" si="683"/>
        <v>3246146.6326794485</v>
      </c>
      <c r="P234" s="96">
        <f t="shared" si="683"/>
        <v>3327373.9555688091</v>
      </c>
      <c r="Q234" s="96">
        <f t="shared" ref="Q234:T234" si="684">Q102/Q98</f>
        <v>3246146.6326794485</v>
      </c>
      <c r="R234" s="96">
        <f t="shared" si="684"/>
        <v>3246146.6326794485</v>
      </c>
      <c r="S234" s="96">
        <f t="shared" si="684"/>
        <v>3246146.6326794485</v>
      </c>
      <c r="T234" s="96">
        <f t="shared" si="684"/>
        <v>3327373.9555688091</v>
      </c>
      <c r="U234" s="96">
        <f t="shared" ref="U234:X234" si="685">U102/U98</f>
        <v>3246146.6326794485</v>
      </c>
      <c r="V234" s="96">
        <f t="shared" si="685"/>
        <v>3246146.6326794485</v>
      </c>
      <c r="W234" s="96">
        <f t="shared" si="685"/>
        <v>3246146.6326794485</v>
      </c>
      <c r="X234" s="96">
        <f t="shared" si="685"/>
        <v>3327373.9555688091</v>
      </c>
      <c r="Y234" s="96">
        <f t="shared" ref="Y234:Z234" si="686">Y102/Y98</f>
        <v>3246146.6326794485</v>
      </c>
      <c r="Z234" s="96">
        <f t="shared" si="686"/>
        <v>3246146.6326794485</v>
      </c>
    </row>
    <row r="235" spans="1:26" ht="30" x14ac:dyDescent="0.25">
      <c r="A235" s="12" t="s">
        <v>129</v>
      </c>
      <c r="C235" s="27" t="s">
        <v>52</v>
      </c>
      <c r="D235" s="16" t="s">
        <v>147</v>
      </c>
      <c r="E235" s="6"/>
      <c r="F235" s="19" t="s">
        <v>122</v>
      </c>
      <c r="G235" s="122">
        <f t="shared" ref="G235:H235" si="687">G233*$G$5*$G$8/$G$9*0.000000001*1000000</f>
        <v>1110803.0744027162</v>
      </c>
      <c r="H235" s="122">
        <f t="shared" si="687"/>
        <v>1345890.3204350339</v>
      </c>
      <c r="I235" s="122">
        <f>I233*$G$5*$G$8/$G$9*0.000000001*1000000</f>
        <v>1110803.0744027162</v>
      </c>
      <c r="J235" s="122">
        <f>J233*$G$5*$G$8/$G$9*0.000000001*1000000</f>
        <v>1110803.0744027162</v>
      </c>
      <c r="K235" s="122">
        <f t="shared" ref="K235:L235" si="688">K233*$G$5*$G$8/$G$9*0.000000001*1000000</f>
        <v>1110803.0744027162</v>
      </c>
      <c r="L235" s="122">
        <f t="shared" si="688"/>
        <v>1345890.3204350339</v>
      </c>
      <c r="M235" s="122">
        <f>M233*$G$5*$G$8/$G$9*0.000000001*1000000</f>
        <v>1110803.0744027162</v>
      </c>
      <c r="N235" s="122">
        <f>N233*$G$5*$G$8/$G$9*0.000000001*1000000</f>
        <v>1110803.0744027162</v>
      </c>
      <c r="O235" s="122">
        <f t="shared" ref="O235:P235" si="689">O233*$G$5*$G$8/$G$9*0.000000001*1000000</f>
        <v>1110803.0744027162</v>
      </c>
      <c r="P235" s="122">
        <f t="shared" si="689"/>
        <v>1345890.3204350339</v>
      </c>
      <c r="Q235" s="122">
        <f>Q233*$G$5*$G$8/$G$9*0.000000001*1000000</f>
        <v>1110803.0744027162</v>
      </c>
      <c r="R235" s="122">
        <f>R233*$G$5*$G$8/$G$9*0.000000001*1000000</f>
        <v>1110803.0744027162</v>
      </c>
      <c r="S235" s="122">
        <f t="shared" ref="S235:T235" si="690">S233*$G$5*$G$8/$G$9*0.000000001*1000000</f>
        <v>1110803.0744027162</v>
      </c>
      <c r="T235" s="122">
        <f t="shared" si="690"/>
        <v>1345890.3204350339</v>
      </c>
      <c r="U235" s="122">
        <f>U233*$G$5*$G$8/$G$9*0.000000001*1000000</f>
        <v>1110803.0744027162</v>
      </c>
      <c r="V235" s="122">
        <f>V233*$G$5*$G$8/$G$9*0.000000001*1000000</f>
        <v>1110803.0744027162</v>
      </c>
      <c r="W235" s="122">
        <f t="shared" ref="W235:X235" si="691">W233*$G$5*$G$8/$G$9*0.000000001*1000000</f>
        <v>1110803.0744027162</v>
      </c>
      <c r="X235" s="122">
        <f t="shared" si="691"/>
        <v>1345890.3204350339</v>
      </c>
      <c r="Y235" s="122">
        <f>Y233*$G$5*$G$8/$G$9*0.000000001*1000000</f>
        <v>1110803.0744027162</v>
      </c>
      <c r="Z235" s="122">
        <f>Z233*$G$5*$G$8/$G$9*0.000000001*1000000</f>
        <v>1110803.0744027162</v>
      </c>
    </row>
    <row r="236" spans="1:26" ht="30" x14ac:dyDescent="0.25">
      <c r="A236" s="12" t="s">
        <v>130</v>
      </c>
      <c r="C236" s="75" t="s">
        <v>203</v>
      </c>
      <c r="D236" s="16" t="s">
        <v>144</v>
      </c>
      <c r="E236" s="13"/>
      <c r="F236" s="19" t="s">
        <v>122</v>
      </c>
      <c r="G236" s="122">
        <f t="shared" ref="G236:H236" si="692">G234*G194/$G$9*0.000000001*1000000</f>
        <v>608282.59061885008</v>
      </c>
      <c r="H236" s="122">
        <f t="shared" si="692"/>
        <v>539012.69072761852</v>
      </c>
      <c r="I236" s="122">
        <f t="shared" ref="I236:L236" si="693">I234*I194/$G$9*0.000000001*1000000</f>
        <v>611510.81208159996</v>
      </c>
      <c r="J236" s="122">
        <f t="shared" si="693"/>
        <v>610165.56378278742</v>
      </c>
      <c r="K236" s="122">
        <f t="shared" si="693"/>
        <v>606753.53879371169</v>
      </c>
      <c r="L236" s="122">
        <f t="shared" si="693"/>
        <v>539001.72090944787</v>
      </c>
      <c r="M236" s="122">
        <f t="shared" ref="M236:P236" si="694">M234*M194/$G$9*0.000000001*1000000</f>
        <v>611522.23214277136</v>
      </c>
      <c r="N236" s="122">
        <f t="shared" si="694"/>
        <v>610241.88561184367</v>
      </c>
      <c r="O236" s="122">
        <f t="shared" si="694"/>
        <v>600659.96760698233</v>
      </c>
      <c r="P236" s="122">
        <f t="shared" si="694"/>
        <v>538990.45844395796</v>
      </c>
      <c r="Q236" s="122">
        <f t="shared" ref="Q236:T236" si="695">Q234*Q194/$G$9*0.000000001*1000000</f>
        <v>611376.72367530654</v>
      </c>
      <c r="R236" s="122">
        <f t="shared" si="695"/>
        <v>610305.83327518497</v>
      </c>
      <c r="S236" s="122">
        <f t="shared" si="695"/>
        <v>591677.49797151401</v>
      </c>
      <c r="T236" s="122">
        <f t="shared" si="695"/>
        <v>538980.3454610164</v>
      </c>
      <c r="U236" s="122">
        <f t="shared" ref="U236:X236" si="696">U234*U194/$G$9*0.000000001*1000000</f>
        <v>611200.88999682141</v>
      </c>
      <c r="V236" s="122">
        <f t="shared" si="696"/>
        <v>610374.05450593354</v>
      </c>
      <c r="W236" s="122">
        <f t="shared" si="696"/>
        <v>591677.49797151401</v>
      </c>
      <c r="X236" s="122">
        <f t="shared" si="696"/>
        <v>538968.76731286757</v>
      </c>
      <c r="Y236" s="122">
        <f t="shared" ref="Y236:Z236" si="697">Y234*Y194/$G$9*0.000000001*1000000</f>
        <v>610992.70043232443</v>
      </c>
      <c r="Z236" s="122">
        <f t="shared" si="697"/>
        <v>610437.19303628965</v>
      </c>
    </row>
    <row r="237" spans="1:26" ht="30" x14ac:dyDescent="0.25">
      <c r="A237" s="12" t="s">
        <v>131</v>
      </c>
      <c r="C237" s="75" t="s">
        <v>203</v>
      </c>
      <c r="D237" s="16" t="s">
        <v>145</v>
      </c>
      <c r="E237" s="13"/>
      <c r="F237" s="19" t="s">
        <v>122</v>
      </c>
      <c r="G237" s="122">
        <f t="shared" ref="G237:H237" si="698">G234*G194/$G$9*0.000000001*1000000</f>
        <v>608282.59061885008</v>
      </c>
      <c r="H237" s="122">
        <f t="shared" si="698"/>
        <v>539012.69072761852</v>
      </c>
      <c r="I237" s="122">
        <f t="shared" ref="I237:L237" si="699">I234*I194/$G$9*0.000000001*1000000</f>
        <v>611510.81208159996</v>
      </c>
      <c r="J237" s="122">
        <f t="shared" si="699"/>
        <v>610165.56378278742</v>
      </c>
      <c r="K237" s="122">
        <f t="shared" si="699"/>
        <v>606753.53879371169</v>
      </c>
      <c r="L237" s="122">
        <f t="shared" si="699"/>
        <v>539001.72090944787</v>
      </c>
      <c r="M237" s="122">
        <f t="shared" ref="M237:P237" si="700">M234*M194/$G$9*0.000000001*1000000</f>
        <v>611522.23214277136</v>
      </c>
      <c r="N237" s="122">
        <f t="shared" si="700"/>
        <v>610241.88561184367</v>
      </c>
      <c r="O237" s="122">
        <f t="shared" si="700"/>
        <v>600659.96760698233</v>
      </c>
      <c r="P237" s="122">
        <f t="shared" si="700"/>
        <v>538990.45844395796</v>
      </c>
      <c r="Q237" s="122">
        <f t="shared" ref="Q237:T237" si="701">Q234*Q194/$G$9*0.000000001*1000000</f>
        <v>611376.72367530654</v>
      </c>
      <c r="R237" s="122">
        <f t="shared" si="701"/>
        <v>610305.83327518497</v>
      </c>
      <c r="S237" s="122">
        <f t="shared" si="701"/>
        <v>591677.49797151401</v>
      </c>
      <c r="T237" s="122">
        <f t="shared" si="701"/>
        <v>538980.3454610164</v>
      </c>
      <c r="U237" s="122">
        <f t="shared" ref="U237:X237" si="702">U234*U194/$G$9*0.000000001*1000000</f>
        <v>611200.88999682141</v>
      </c>
      <c r="V237" s="122">
        <f t="shared" si="702"/>
        <v>610374.05450593354</v>
      </c>
      <c r="W237" s="122">
        <f t="shared" si="702"/>
        <v>591677.49797151401</v>
      </c>
      <c r="X237" s="122">
        <f t="shared" si="702"/>
        <v>538968.76731286757</v>
      </c>
      <c r="Y237" s="122">
        <f t="shared" ref="Y237:Z237" si="703">Y234*Y194/$G$9*0.000000001*1000000</f>
        <v>610992.70043232443</v>
      </c>
      <c r="Z237" s="122">
        <f t="shared" si="703"/>
        <v>610437.19303628965</v>
      </c>
    </row>
    <row r="238" spans="1:26" ht="30" x14ac:dyDescent="0.25">
      <c r="A238" s="12" t="s">
        <v>132</v>
      </c>
      <c r="C238" s="27" t="s">
        <v>52</v>
      </c>
      <c r="D238" s="16" t="s">
        <v>146</v>
      </c>
      <c r="E238" s="13"/>
      <c r="F238" s="19" t="s">
        <v>122</v>
      </c>
      <c r="G238" s="122">
        <f t="shared" ref="G238:H238" si="704">G234*$G$5*$G$8/$G$9*0.000000001*1000000</f>
        <v>661705.25600294769</v>
      </c>
      <c r="H238" s="122">
        <f t="shared" si="704"/>
        <v>678262.90190404281</v>
      </c>
      <c r="I238" s="122">
        <f t="shared" ref="I238:L238" si="705">I234*$G$5*$G$8/$G$9*0.000000001*1000000</f>
        <v>661705.25600294769</v>
      </c>
      <c r="J238" s="122">
        <f t="shared" si="705"/>
        <v>661705.25600294769</v>
      </c>
      <c r="K238" s="122">
        <f t="shared" si="705"/>
        <v>661705.25600294769</v>
      </c>
      <c r="L238" s="122">
        <f t="shared" si="705"/>
        <v>678262.90190404281</v>
      </c>
      <c r="M238" s="122">
        <f t="shared" ref="M238:P238" si="706">M234*$G$5*$G$8/$G$9*0.000000001*1000000</f>
        <v>661705.25600294769</v>
      </c>
      <c r="N238" s="122">
        <f t="shared" si="706"/>
        <v>661705.25600294769</v>
      </c>
      <c r="O238" s="122">
        <f t="shared" si="706"/>
        <v>661705.25600294769</v>
      </c>
      <c r="P238" s="122">
        <f t="shared" si="706"/>
        <v>678262.90190404281</v>
      </c>
      <c r="Q238" s="122">
        <f t="shared" ref="Q238:T238" si="707">Q234*$G$5*$G$8/$G$9*0.000000001*1000000</f>
        <v>661705.25600294769</v>
      </c>
      <c r="R238" s="122">
        <f t="shared" si="707"/>
        <v>661705.25600294769</v>
      </c>
      <c r="S238" s="122">
        <f t="shared" si="707"/>
        <v>661705.25600294769</v>
      </c>
      <c r="T238" s="122">
        <f t="shared" si="707"/>
        <v>678262.90190404281</v>
      </c>
      <c r="U238" s="122">
        <f t="shared" ref="U238:X238" si="708">U234*$G$5*$G$8/$G$9*0.000000001*1000000</f>
        <v>661705.25600294769</v>
      </c>
      <c r="V238" s="122">
        <f t="shared" si="708"/>
        <v>661705.25600294769</v>
      </c>
      <c r="W238" s="122">
        <f t="shared" si="708"/>
        <v>661705.25600294769</v>
      </c>
      <c r="X238" s="122">
        <f t="shared" si="708"/>
        <v>678262.90190404281</v>
      </c>
      <c r="Y238" s="122">
        <f t="shared" ref="Y238:Z238" si="709">Y234*$G$5*$G$8/$G$9*0.000000001*1000000</f>
        <v>661705.25600294769</v>
      </c>
      <c r="Z238" s="122">
        <f t="shared" si="709"/>
        <v>661705.25600294769</v>
      </c>
    </row>
    <row r="239" spans="1:26" x14ac:dyDescent="0.25">
      <c r="A239" s="12" t="s">
        <v>135</v>
      </c>
      <c r="C239" s="27" t="s">
        <v>52</v>
      </c>
      <c r="D239" s="16" t="s">
        <v>134</v>
      </c>
      <c r="E239" s="13"/>
      <c r="F239" s="19" t="s">
        <v>118</v>
      </c>
      <c r="G239" s="95">
        <f t="shared" ref="G239:H239" si="710">PI()^2*$G$4*$G$8*G101/(G26/G104)^2</f>
        <v>530620403.13851047</v>
      </c>
      <c r="H239" s="95">
        <f t="shared" si="710"/>
        <v>414046224.55341679</v>
      </c>
      <c r="I239" s="95">
        <f t="shared" ref="I239:L239" si="711">PI()^2*$G$4*$G$8*I101/(I26/I104)^2</f>
        <v>530620403.13851047</v>
      </c>
      <c r="J239" s="95">
        <f t="shared" si="711"/>
        <v>530620403.13851047</v>
      </c>
      <c r="K239" s="95">
        <f t="shared" si="711"/>
        <v>530620403.13851047</v>
      </c>
      <c r="L239" s="95">
        <f t="shared" si="711"/>
        <v>414046224.55341679</v>
      </c>
      <c r="M239" s="95">
        <f t="shared" ref="M239:P239" si="712">PI()^2*$G$4*$G$8*M101/(M26/M104)^2</f>
        <v>530620403.13851047</v>
      </c>
      <c r="N239" s="95">
        <f t="shared" si="712"/>
        <v>530620403.13851047</v>
      </c>
      <c r="O239" s="95">
        <f t="shared" si="712"/>
        <v>530620403.13851047</v>
      </c>
      <c r="P239" s="95">
        <f t="shared" si="712"/>
        <v>414046224.55341679</v>
      </c>
      <c r="Q239" s="95">
        <f t="shared" ref="Q239:T239" si="713">PI()^2*$G$4*$G$8*Q101/(Q26/Q104)^2</f>
        <v>530620403.13851047</v>
      </c>
      <c r="R239" s="95">
        <f t="shared" si="713"/>
        <v>530620403.13851047</v>
      </c>
      <c r="S239" s="95">
        <f t="shared" si="713"/>
        <v>530620403.13851047</v>
      </c>
      <c r="T239" s="95">
        <f t="shared" si="713"/>
        <v>414046224.55341679</v>
      </c>
      <c r="U239" s="95">
        <f t="shared" ref="U239:X239" si="714">PI()^2*$G$4*$G$8*U101/(U26/U104)^2</f>
        <v>530620403.13851047</v>
      </c>
      <c r="V239" s="95">
        <f t="shared" si="714"/>
        <v>530620403.13851047</v>
      </c>
      <c r="W239" s="95">
        <f t="shared" si="714"/>
        <v>530620403.13851047</v>
      </c>
      <c r="X239" s="95">
        <f t="shared" si="714"/>
        <v>414046224.55341679</v>
      </c>
      <c r="Y239" s="95">
        <f t="shared" ref="Y239:Z239" si="715">PI()^2*$G$4*$G$8*Y101/(Y26/Y104)^2</f>
        <v>530620403.13851047</v>
      </c>
      <c r="Z239" s="95">
        <f t="shared" si="715"/>
        <v>530620403.13851047</v>
      </c>
    </row>
    <row r="240" spans="1:26" x14ac:dyDescent="0.25"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21" x14ac:dyDescent="0.35">
      <c r="D241" s="83" t="s">
        <v>229</v>
      </c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5">
      <c r="A242" s="12" t="s">
        <v>152</v>
      </c>
      <c r="C242" s="27" t="s">
        <v>52</v>
      </c>
      <c r="D242" s="6" t="s">
        <v>148</v>
      </c>
      <c r="E242" s="9"/>
      <c r="F242" s="39" t="s">
        <v>118</v>
      </c>
      <c r="G242" s="95">
        <f t="shared" ref="G242:H242" si="716">G39*(G101+G16*G23)+G43*G16*G23</f>
        <v>2615518.2344</v>
      </c>
      <c r="H242" s="95">
        <f t="shared" si="716"/>
        <v>1005258.2915200001</v>
      </c>
      <c r="I242" s="95">
        <f>I39*(I101+I16*I23)+I43*I16*I23</f>
        <v>2740119.2528000004</v>
      </c>
      <c r="J242" s="95">
        <f>J39*(J101+J16*J23)+J43*J16*J23</f>
        <v>10855787.886400001</v>
      </c>
      <c r="K242" s="95">
        <f t="shared" ref="K242:L242" si="717">K39*(K101+K16*K23)+K43*K16*K23</f>
        <v>2663781.1343999999</v>
      </c>
      <c r="L242" s="95">
        <f t="shared" si="717"/>
        <v>1070818.61488</v>
      </c>
      <c r="M242" s="95">
        <f>M39*(M101+M16*M23)+M43*M16*M23</f>
        <v>3074153.6784000001</v>
      </c>
      <c r="N242" s="95">
        <f>N39*(N101+N16*N23)+N43*N16*N23</f>
        <v>10821755.6472</v>
      </c>
      <c r="O242" s="95">
        <f t="shared" ref="O242:P242" si="718">O39*(O101+O16*O23)+O43*O16*O23</f>
        <v>2702391.4543999997</v>
      </c>
      <c r="P242" s="95">
        <f t="shared" si="718"/>
        <v>1147305.6588000001</v>
      </c>
      <c r="Q242" s="95">
        <f>Q39*(Q101+Q16*Q23)+Q43*Q16*Q23</f>
        <v>3408188.1040000003</v>
      </c>
      <c r="R242" s="95">
        <f>R39*(R101+R16*R23)+R43*R16*R23</f>
        <v>10798644.612799998</v>
      </c>
      <c r="S242" s="95">
        <f t="shared" ref="S242:T242" si="719">S39*(S101+S16*S23)+S43*S16*S23</f>
        <v>2750654.3544000001</v>
      </c>
      <c r="T242" s="95">
        <f t="shared" si="719"/>
        <v>1223792.7027200002</v>
      </c>
      <c r="U242" s="95">
        <f>U39*(U101+U16*U23)+U43*U16*U23</f>
        <v>3751875.1096000001</v>
      </c>
      <c r="V242" s="95">
        <f>V39*(V101+V16*V23)+V43*V16*V23</f>
        <v>10764612.373600002</v>
      </c>
      <c r="W242" s="95">
        <f t="shared" ref="W242:X242" si="720">W39*(W101+W16*W23)+W43*W16*W23</f>
        <v>2789264.6743999999</v>
      </c>
      <c r="X242" s="95">
        <f t="shared" si="720"/>
        <v>1289353.02608</v>
      </c>
      <c r="Y242" s="95">
        <f>Y39*(Y101+Y16*Y23)+Y43*Y16*Y23</f>
        <v>4085909.5352000003</v>
      </c>
      <c r="Z242" s="95">
        <f>Z39*(Z101+Z16*Z23)+Z43*Z16*Z23</f>
        <v>10741501.339199997</v>
      </c>
    </row>
    <row r="243" spans="1:26" s="121" customFormat="1" x14ac:dyDescent="0.25">
      <c r="A243" s="117" t="s">
        <v>155</v>
      </c>
      <c r="B243" s="117"/>
      <c r="C243" s="118" t="s">
        <v>52</v>
      </c>
      <c r="D243" s="119" t="s">
        <v>150</v>
      </c>
      <c r="E243" s="119"/>
      <c r="F243" s="120" t="s">
        <v>149</v>
      </c>
      <c r="G243" s="119">
        <f t="shared" ref="G243:H243" si="721">G46*((G24/1000)^2)/12</f>
        <v>0</v>
      </c>
      <c r="H243" s="119">
        <f t="shared" si="721"/>
        <v>0</v>
      </c>
      <c r="I243" s="119">
        <f t="shared" ref="I243:L243" si="722">I46*((I24/1000)^2)/12</f>
        <v>0</v>
      </c>
      <c r="J243" s="119">
        <f t="shared" si="722"/>
        <v>0</v>
      </c>
      <c r="K243" s="119">
        <f t="shared" si="722"/>
        <v>0</v>
      </c>
      <c r="L243" s="119">
        <f t="shared" si="722"/>
        <v>0</v>
      </c>
      <c r="M243" s="119">
        <f t="shared" ref="M243:P243" si="723">M46*((M24/1000)^2)/12</f>
        <v>0</v>
      </c>
      <c r="N243" s="119">
        <f t="shared" si="723"/>
        <v>0</v>
      </c>
      <c r="O243" s="119">
        <f t="shared" si="723"/>
        <v>0</v>
      </c>
      <c r="P243" s="119">
        <f t="shared" si="723"/>
        <v>0</v>
      </c>
      <c r="Q243" s="119">
        <f t="shared" ref="Q243:T243" si="724">Q46*((Q24/1000)^2)/12</f>
        <v>0</v>
      </c>
      <c r="R243" s="119">
        <f t="shared" si="724"/>
        <v>0</v>
      </c>
      <c r="S243" s="119">
        <f t="shared" si="724"/>
        <v>0</v>
      </c>
      <c r="T243" s="119">
        <f t="shared" si="724"/>
        <v>0</v>
      </c>
      <c r="U243" s="119">
        <f t="shared" ref="U243:X243" si="725">U46*((U24/1000)^2)/12</f>
        <v>0</v>
      </c>
      <c r="V243" s="119">
        <f t="shared" si="725"/>
        <v>0</v>
      </c>
      <c r="W243" s="119">
        <f t="shared" si="725"/>
        <v>0</v>
      </c>
      <c r="X243" s="119">
        <f t="shared" si="725"/>
        <v>0</v>
      </c>
      <c r="Y243" s="119">
        <f t="shared" ref="Y243:Z243" si="726">Y46*((Y24/1000)^2)/12</f>
        <v>0</v>
      </c>
      <c r="Z243" s="119">
        <f t="shared" si="726"/>
        <v>0</v>
      </c>
    </row>
    <row r="244" spans="1:26" s="121" customFormat="1" x14ac:dyDescent="0.25">
      <c r="A244" s="117" t="s">
        <v>155</v>
      </c>
      <c r="B244" s="117"/>
      <c r="C244" s="118" t="s">
        <v>52</v>
      </c>
      <c r="D244" s="119" t="s">
        <v>151</v>
      </c>
      <c r="E244" s="119"/>
      <c r="F244" s="120" t="s">
        <v>149</v>
      </c>
      <c r="G244" s="119">
        <f t="shared" ref="G244:H244" si="727">G46*((G24/1000)^2)/24</f>
        <v>0</v>
      </c>
      <c r="H244" s="119">
        <f t="shared" si="727"/>
        <v>0</v>
      </c>
      <c r="I244" s="119">
        <f t="shared" ref="I244:L244" si="728">I46*((I24/1000)^2)/24</f>
        <v>0</v>
      </c>
      <c r="J244" s="119">
        <f t="shared" si="728"/>
        <v>0</v>
      </c>
      <c r="K244" s="119">
        <f t="shared" si="728"/>
        <v>0</v>
      </c>
      <c r="L244" s="119">
        <f t="shared" si="728"/>
        <v>0</v>
      </c>
      <c r="M244" s="119">
        <f t="shared" ref="M244:P244" si="729">M46*((M24/1000)^2)/24</f>
        <v>0</v>
      </c>
      <c r="N244" s="119">
        <f t="shared" si="729"/>
        <v>0</v>
      </c>
      <c r="O244" s="119">
        <f t="shared" si="729"/>
        <v>0</v>
      </c>
      <c r="P244" s="119">
        <f t="shared" si="729"/>
        <v>0</v>
      </c>
      <c r="Q244" s="119">
        <f t="shared" ref="Q244:T244" si="730">Q46*((Q24/1000)^2)/24</f>
        <v>0</v>
      </c>
      <c r="R244" s="119">
        <f t="shared" si="730"/>
        <v>0</v>
      </c>
      <c r="S244" s="119">
        <f t="shared" si="730"/>
        <v>0</v>
      </c>
      <c r="T244" s="119">
        <f t="shared" si="730"/>
        <v>0</v>
      </c>
      <c r="U244" s="119">
        <f t="shared" ref="U244:X244" si="731">U46*((U24/1000)^2)/24</f>
        <v>0</v>
      </c>
      <c r="V244" s="119">
        <f t="shared" si="731"/>
        <v>0</v>
      </c>
      <c r="W244" s="119">
        <f t="shared" si="731"/>
        <v>0</v>
      </c>
      <c r="X244" s="119">
        <f t="shared" si="731"/>
        <v>0</v>
      </c>
      <c r="Y244" s="119">
        <f t="shared" ref="Y244:Z244" si="732">Y46*((Y24/1000)^2)/24</f>
        <v>0</v>
      </c>
      <c r="Z244" s="119">
        <f t="shared" si="732"/>
        <v>0</v>
      </c>
    </row>
    <row r="245" spans="1:26" x14ac:dyDescent="0.25">
      <c r="A245" s="12" t="s">
        <v>153</v>
      </c>
      <c r="C245" s="27" t="s">
        <v>52</v>
      </c>
      <c r="D245" s="9" t="s">
        <v>154</v>
      </c>
      <c r="E245" s="9"/>
      <c r="F245" s="9" t="s">
        <v>5</v>
      </c>
      <c r="G245" s="9">
        <f t="shared" ref="G245:H245" si="733">(G43/G227)^2</f>
        <v>5.8002378892733538E-5</v>
      </c>
      <c r="H245" s="9">
        <f t="shared" si="733"/>
        <v>0</v>
      </c>
      <c r="I245" s="9">
        <f t="shared" ref="I245:L245" si="734">(I43/I227)^2</f>
        <v>5.8002378892733526E-3</v>
      </c>
      <c r="J245" s="9">
        <f t="shared" si="734"/>
        <v>2.5383762975778532E-3</v>
      </c>
      <c r="K245" s="9">
        <f t="shared" si="734"/>
        <v>1.1119982698961935E-4</v>
      </c>
      <c r="L245" s="9">
        <f t="shared" si="734"/>
        <v>0</v>
      </c>
      <c r="M245" s="9">
        <f t="shared" ref="M245:P245" si="735">(M43/M227)^2</f>
        <v>9.6867404844290603E-3</v>
      </c>
      <c r="N245" s="9">
        <f t="shared" si="735"/>
        <v>2.5977515138408294E-3</v>
      </c>
      <c r="O245" s="9">
        <f t="shared" si="735"/>
        <v>1.6611332179930786E-4</v>
      </c>
      <c r="P245" s="9">
        <f t="shared" si="735"/>
        <v>0</v>
      </c>
      <c r="Q245" s="9">
        <f t="shared" ref="Q245:T245" si="736">(Q43/Q227)^2</f>
        <v>1.4564431660899647E-2</v>
      </c>
      <c r="R245" s="9">
        <f t="shared" si="736"/>
        <v>2.6578131487889258E-3</v>
      </c>
      <c r="S245" s="9">
        <f t="shared" si="736"/>
        <v>2.5019961072664346E-4</v>
      </c>
      <c r="T245" s="9">
        <f t="shared" si="736"/>
        <v>0</v>
      </c>
      <c r="U245" s="9">
        <f t="shared" ref="U245:X245" si="737">(U43/U227)^2</f>
        <v>2.0601140787197224E-2</v>
      </c>
      <c r="V245" s="9">
        <f t="shared" si="737"/>
        <v>2.7185612024221446E-3</v>
      </c>
      <c r="W245" s="9">
        <f t="shared" si="737"/>
        <v>3.2982417820069193E-4</v>
      </c>
      <c r="X245" s="9">
        <f t="shared" si="737"/>
        <v>0</v>
      </c>
      <c r="Y245" s="9">
        <f t="shared" ref="Y245:Z245" si="738">(Y43/Y227)^2</f>
        <v>2.7487293036332169E-2</v>
      </c>
      <c r="Z245" s="9">
        <f t="shared" si="738"/>
        <v>2.7799956747404835E-3</v>
      </c>
    </row>
    <row r="246" spans="1:26" x14ac:dyDescent="0.25"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21" x14ac:dyDescent="0.35">
      <c r="D247" s="28" t="s">
        <v>230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12" t="s">
        <v>166</v>
      </c>
      <c r="C248" s="23" t="s">
        <v>249</v>
      </c>
      <c r="D248" s="9" t="s">
        <v>167</v>
      </c>
      <c r="E248" s="9"/>
      <c r="F248" s="9"/>
      <c r="G248" s="9">
        <f t="shared" ref="G248:H248" si="739">G242/G232+(G243-G242*G47)/(G236*(1-G242/G239))+G245</f>
        <v>0.21249216677312724</v>
      </c>
      <c r="H248" s="9">
        <f t="shared" si="739"/>
        <v>8.1539760348583887E-2</v>
      </c>
      <c r="I248" s="9">
        <f>I242/I232+(I243-I242*I47)/(I236*(1-I242/I239))+I245</f>
        <v>0.22835458148101473</v>
      </c>
      <c r="J248" s="9">
        <f>J242/J232+(J243-J242*J47)/(J236*(1-J242/J239))+J245</f>
        <v>0.8842528289660625</v>
      </c>
      <c r="K248" s="9">
        <f t="shared" ref="K248:L248" si="740">K242/K232+(K243-K242*K47)/(K236*(1-K242/K239))+K245</f>
        <v>0.21646530968285249</v>
      </c>
      <c r="L248" s="9">
        <f t="shared" si="740"/>
        <v>8.6857570806100209E-2</v>
      </c>
      <c r="M248" s="9">
        <f>M242/M232+(M243-M242*M47)/(M236*(1-M242/M239))+M245</f>
        <v>0.25937158660830906</v>
      </c>
      <c r="N248" s="9">
        <f>N242/N232+(N243-N242*N47)/(N236*(1-N242/N239))+N245</f>
        <v>0.88154808263966855</v>
      </c>
      <c r="O248" s="9">
        <f t="shared" ref="O248:P248" si="741">O242/O232+(O243-O242*O47)/(O236*(1-O242/O239))+O245</f>
        <v>0.21965617954696484</v>
      </c>
      <c r="P248" s="9">
        <f t="shared" si="741"/>
        <v>9.3061683006535945E-2</v>
      </c>
      <c r="Q248" s="9">
        <f>Q242/Q232+(Q243-Q242*Q47)/(Q236*(1-Q242/Q239))+Q245</f>
        <v>0.29137978031691836</v>
      </c>
      <c r="R248" s="9">
        <f>R242/R232+(R243-R242*R47)/(R236*(1-R242/R239))+R245</f>
        <v>0.87973105039070532</v>
      </c>
      <c r="S248" s="9">
        <f t="shared" ref="S248:T248" si="742">S242/S232+(S243-S242*S47)/(S236*(1-S242/S239))+S245</f>
        <v>0.22366021129752056</v>
      </c>
      <c r="T248" s="9">
        <f t="shared" si="742"/>
        <v>9.926579520697168E-2</v>
      </c>
      <c r="U248" s="9">
        <f>U242/U232+(U243-U242*U47)/(U236*(1-U242/U239))+U245</f>
        <v>0.32533098106768027</v>
      </c>
      <c r="V248" s="9">
        <f>V242/V232+(V243-V242*V47)/(V236*(1-V242/V239))+V245</f>
        <v>0.87702767690168215</v>
      </c>
      <c r="W248" s="9">
        <f t="shared" ref="W248:X248" si="743">W242/W232+(W243-W242*W47)/(W236*(1-W242/W239))+W245</f>
        <v>0.22687579223429727</v>
      </c>
      <c r="X248" s="9">
        <f t="shared" si="743"/>
        <v>0.10458360566448802</v>
      </c>
      <c r="Y248" s="9">
        <f>Y242/Y232+(Y243-Y242*Y47)/(Y236*(1-Y242/Y239))+Y245</f>
        <v>0.35934763584895391</v>
      </c>
      <c r="Z248" s="9">
        <f>Z242/Z232+(Z243-Z242*Z47)/(Z236*(1-Z242/Z239))+Z245</f>
        <v>0.87521201749008892</v>
      </c>
    </row>
    <row r="249" spans="1:26" x14ac:dyDescent="0.25">
      <c r="A249" s="12" t="s">
        <v>171</v>
      </c>
      <c r="C249" s="23" t="s">
        <v>249</v>
      </c>
      <c r="D249" s="9" t="s">
        <v>168</v>
      </c>
      <c r="E249" s="9"/>
      <c r="F249" s="9"/>
      <c r="G249" s="9">
        <f t="shared" ref="G249:H249" si="744">G242/G231-2*G242/G230+(G243-G242*G47)/(G235*(1-G242/G239))+G245</f>
        <v>-0.21237616201534179</v>
      </c>
      <c r="H249" s="9">
        <f t="shared" si="744"/>
        <v>-8.1539760348583887E-2</v>
      </c>
      <c r="I249" s="9">
        <f t="shared" ref="I249:L249" si="745">I242/I231-2*I242/I230+(I243-I242*I47)/(I235*(1-I242/I239))+I245</f>
        <v>-0.216754105702468</v>
      </c>
      <c r="J249" s="9">
        <f t="shared" si="745"/>
        <v>-0.87917607637090689</v>
      </c>
      <c r="K249" s="9">
        <f t="shared" si="745"/>
        <v>-0.21624291002887325</v>
      </c>
      <c r="L249" s="9">
        <f t="shared" si="745"/>
        <v>-8.6857570806100209E-2</v>
      </c>
      <c r="M249" s="9">
        <f t="shared" ref="M249:P249" si="746">M242/M231-2*M242/M230+(M243-M242*M47)/(M235*(1-M242/M239))+M245</f>
        <v>-0.23999810563945095</v>
      </c>
      <c r="N249" s="9">
        <f t="shared" si="746"/>
        <v>-0.87635257961198698</v>
      </c>
      <c r="O249" s="9">
        <f t="shared" si="746"/>
        <v>-0.21932395290336623</v>
      </c>
      <c r="P249" s="9">
        <f t="shared" si="746"/>
        <v>-9.3061683006535945E-2</v>
      </c>
      <c r="Q249" s="9">
        <f t="shared" ref="Q249:T249" si="747">Q242/Q231-2*Q242/Q230+(Q243-Q242*Q47)/(Q235*(1-Q242/Q239))+Q245</f>
        <v>-0.26225091699511904</v>
      </c>
      <c r="R249" s="9">
        <f t="shared" si="747"/>
        <v>-0.87441542409312756</v>
      </c>
      <c r="S249" s="9">
        <f t="shared" si="747"/>
        <v>-0.22315981207606728</v>
      </c>
      <c r="T249" s="9">
        <f t="shared" si="747"/>
        <v>-9.926579520697168E-2</v>
      </c>
      <c r="U249" s="9">
        <f t="shared" ref="U249:X249" si="748">U242/U231-2*U242/U230+(U243-U242*U47)/(U235*(1-U242/U239))+U245</f>
        <v>-0.28412869949328584</v>
      </c>
      <c r="V249" s="9">
        <f t="shared" si="748"/>
        <v>-0.87159055449683775</v>
      </c>
      <c r="W249" s="9">
        <f t="shared" si="748"/>
        <v>-0.2262161438778959</v>
      </c>
      <c r="X249" s="9">
        <f t="shared" si="748"/>
        <v>-0.10458360566448802</v>
      </c>
      <c r="Y249" s="9">
        <f t="shared" ref="Y249:Z249" si="749">Y242/Y231-2*Y242/Y230+(Y243-Y242*Y47)/(Y235*(1-Y242/Y239))+Y245</f>
        <v>-0.30437304977628954</v>
      </c>
      <c r="Z249" s="9">
        <f t="shared" si="749"/>
        <v>-0.86965202614060788</v>
      </c>
    </row>
    <row r="250" spans="1:26" x14ac:dyDescent="0.25">
      <c r="A250" s="12" t="s">
        <v>172</v>
      </c>
      <c r="C250" s="23" t="s">
        <v>249</v>
      </c>
      <c r="D250" s="9" t="s">
        <v>169</v>
      </c>
      <c r="E250" s="9"/>
      <c r="F250" s="9"/>
      <c r="G250" s="9">
        <f t="shared" ref="G250:H250" si="750">G242/G232-2*G242/G230+(G244+G242*G47)/(G238*(1-G242/G239))+G245</f>
        <v>-0.21237616201534179</v>
      </c>
      <c r="H250" s="9">
        <f t="shared" si="750"/>
        <v>-8.1539760348583887E-2</v>
      </c>
      <c r="I250" s="9">
        <f t="shared" ref="I250:L250" si="751">I242/I232-2*I242/I230+(I244+I242*I47)/(I238*(1-I242/I239))+I245</f>
        <v>-0.216754105702468</v>
      </c>
      <c r="J250" s="9">
        <f t="shared" si="751"/>
        <v>-0.87917607637090689</v>
      </c>
      <c r="K250" s="9">
        <f t="shared" si="751"/>
        <v>-0.21624291002887325</v>
      </c>
      <c r="L250" s="9">
        <f t="shared" si="751"/>
        <v>-8.6857570806100209E-2</v>
      </c>
      <c r="M250" s="9">
        <f t="shared" ref="M250:P250" si="752">M242/M232-2*M242/M230+(M244+M242*M47)/(M238*(1-M242/M239))+M245</f>
        <v>-0.23999810563945095</v>
      </c>
      <c r="N250" s="9">
        <f t="shared" si="752"/>
        <v>-0.87635257961198698</v>
      </c>
      <c r="O250" s="9">
        <f t="shared" si="752"/>
        <v>-0.21932395290336623</v>
      </c>
      <c r="P250" s="9">
        <f t="shared" si="752"/>
        <v>-9.3061683006535945E-2</v>
      </c>
      <c r="Q250" s="9">
        <f t="shared" ref="Q250:T250" si="753">Q242/Q232-2*Q242/Q230+(Q244+Q242*Q47)/(Q238*(1-Q242/Q239))+Q245</f>
        <v>-0.26225091699511904</v>
      </c>
      <c r="R250" s="9">
        <f t="shared" si="753"/>
        <v>-0.87441542409312756</v>
      </c>
      <c r="S250" s="9">
        <f t="shared" si="753"/>
        <v>-0.22315981207606728</v>
      </c>
      <c r="T250" s="9">
        <f t="shared" si="753"/>
        <v>-9.926579520697168E-2</v>
      </c>
      <c r="U250" s="9">
        <f t="shared" ref="U250:X250" si="754">U242/U232-2*U242/U230+(U244+U242*U47)/(U238*(1-U242/U239))+U245</f>
        <v>-0.28412869949328584</v>
      </c>
      <c r="V250" s="9">
        <f t="shared" si="754"/>
        <v>-0.87159055449683775</v>
      </c>
      <c r="W250" s="9">
        <f t="shared" si="754"/>
        <v>-0.2262161438778959</v>
      </c>
      <c r="X250" s="9">
        <f t="shared" si="754"/>
        <v>-0.10458360566448802</v>
      </c>
      <c r="Y250" s="9">
        <f t="shared" ref="Y250:Z250" si="755">Y242/Y232-2*Y242/Y230+(Y244+Y242*Y47)/(Y238*(1-Y242/Y239))+Y245</f>
        <v>-0.30437304977628954</v>
      </c>
      <c r="Z250" s="9">
        <f t="shared" si="755"/>
        <v>-0.86965202614060788</v>
      </c>
    </row>
    <row r="251" spans="1:26" x14ac:dyDescent="0.25">
      <c r="A251" s="12" t="s">
        <v>173</v>
      </c>
      <c r="C251" s="23" t="s">
        <v>249</v>
      </c>
      <c r="D251" s="9" t="s">
        <v>170</v>
      </c>
      <c r="E251" s="9"/>
      <c r="F251" s="9"/>
      <c r="G251" s="9">
        <f t="shared" ref="G251:H251" si="756">G242/G232+(G244+G242*G47)/(G235*(1-G242/G239))+G245</f>
        <v>0.21249216677312724</v>
      </c>
      <c r="H251" s="9">
        <f t="shared" si="756"/>
        <v>8.1539760348583887E-2</v>
      </c>
      <c r="I251" s="9">
        <f t="shared" ref="I251:L251" si="757">I242/I232+(I244+I242*I47)/(I235*(1-I242/I239))+I245</f>
        <v>0.22835458148101473</v>
      </c>
      <c r="J251" s="9">
        <f t="shared" si="757"/>
        <v>0.8842528289660625</v>
      </c>
      <c r="K251" s="9">
        <f t="shared" si="757"/>
        <v>0.21646530968285249</v>
      </c>
      <c r="L251" s="9">
        <f t="shared" si="757"/>
        <v>8.6857570806100209E-2</v>
      </c>
      <c r="M251" s="9">
        <f t="shared" ref="M251:P251" si="758">M242/M232+(M244+M242*M47)/(M235*(1-M242/M239))+M245</f>
        <v>0.25937158660830906</v>
      </c>
      <c r="N251" s="9">
        <f t="shared" si="758"/>
        <v>0.88154808263966855</v>
      </c>
      <c r="O251" s="9">
        <f t="shared" si="758"/>
        <v>0.21965617954696484</v>
      </c>
      <c r="P251" s="9">
        <f t="shared" si="758"/>
        <v>9.3061683006535945E-2</v>
      </c>
      <c r="Q251" s="9">
        <f t="shared" ref="Q251:T251" si="759">Q242/Q232+(Q244+Q242*Q47)/(Q235*(1-Q242/Q239))+Q245</f>
        <v>0.29137978031691836</v>
      </c>
      <c r="R251" s="9">
        <f t="shared" si="759"/>
        <v>0.87973105039070532</v>
      </c>
      <c r="S251" s="9">
        <f t="shared" si="759"/>
        <v>0.22366021129752056</v>
      </c>
      <c r="T251" s="9">
        <f t="shared" si="759"/>
        <v>9.926579520697168E-2</v>
      </c>
      <c r="U251" s="9">
        <f t="shared" ref="U251:X251" si="760">U242/U232+(U244+U242*U47)/(U235*(1-U242/U239))+U245</f>
        <v>0.32533098106768027</v>
      </c>
      <c r="V251" s="9">
        <f t="shared" si="760"/>
        <v>0.87702767690168215</v>
      </c>
      <c r="W251" s="9">
        <f t="shared" si="760"/>
        <v>0.22687579223429727</v>
      </c>
      <c r="X251" s="9">
        <f t="shared" si="760"/>
        <v>0.10458360566448802</v>
      </c>
      <c r="Y251" s="9">
        <f t="shared" ref="Y251:Z251" si="761">Y242/Y232+(Y244+Y242*Y47)/(Y235*(1-Y242/Y239))+Y245</f>
        <v>0.35934763584895391</v>
      </c>
      <c r="Z251" s="9">
        <f t="shared" si="761"/>
        <v>0.87521201749008892</v>
      </c>
    </row>
    <row r="252" spans="1:26" x14ac:dyDescent="0.25">
      <c r="C252" s="23" t="s">
        <v>249</v>
      </c>
      <c r="D252" s="9" t="s">
        <v>174</v>
      </c>
      <c r="E252" s="9"/>
      <c r="F252" s="9"/>
      <c r="G252" s="9">
        <f t="shared" ref="G252:H252" si="762">MAX(G248:G251)</f>
        <v>0.21249216677312724</v>
      </c>
      <c r="H252" s="9">
        <f t="shared" si="762"/>
        <v>8.1539760348583887E-2</v>
      </c>
      <c r="I252" s="9">
        <f t="shared" ref="I252:L252" si="763">MAX(I248:I251)</f>
        <v>0.22835458148101473</v>
      </c>
      <c r="J252" s="9">
        <f t="shared" si="763"/>
        <v>0.8842528289660625</v>
      </c>
      <c r="K252" s="9">
        <f t="shared" si="763"/>
        <v>0.21646530968285249</v>
      </c>
      <c r="L252" s="9">
        <f t="shared" si="763"/>
        <v>8.6857570806100209E-2</v>
      </c>
      <c r="M252" s="9">
        <f t="shared" ref="M252:P252" si="764">MAX(M248:M251)</f>
        <v>0.25937158660830906</v>
      </c>
      <c r="N252" s="9">
        <f t="shared" si="764"/>
        <v>0.88154808263966855</v>
      </c>
      <c r="O252" s="9">
        <f t="shared" si="764"/>
        <v>0.21965617954696484</v>
      </c>
      <c r="P252" s="9">
        <f t="shared" si="764"/>
        <v>9.3061683006535945E-2</v>
      </c>
      <c r="Q252" s="9">
        <f t="shared" ref="Q252:T252" si="765">MAX(Q248:Q251)</f>
        <v>0.29137978031691836</v>
      </c>
      <c r="R252" s="9">
        <f t="shared" si="765"/>
        <v>0.87973105039070532</v>
      </c>
      <c r="S252" s="9">
        <f t="shared" si="765"/>
        <v>0.22366021129752056</v>
      </c>
      <c r="T252" s="9">
        <f t="shared" si="765"/>
        <v>9.926579520697168E-2</v>
      </c>
      <c r="U252" s="9">
        <f t="shared" ref="U252:X252" si="766">MAX(U248:U251)</f>
        <v>0.32533098106768027</v>
      </c>
      <c r="V252" s="9">
        <f t="shared" si="766"/>
        <v>0.87702767690168215</v>
      </c>
      <c r="W252" s="9">
        <f t="shared" si="766"/>
        <v>0.22687579223429727</v>
      </c>
      <c r="X252" s="9">
        <f t="shared" si="766"/>
        <v>0.10458360566448802</v>
      </c>
      <c r="Y252" s="9">
        <f t="shared" ref="Y252:Z252" si="767">MAX(Y248:Y251)</f>
        <v>0.35934763584895391</v>
      </c>
      <c r="Z252" s="9">
        <f t="shared" si="767"/>
        <v>0.87521201749008892</v>
      </c>
    </row>
    <row r="253" spans="1:26" ht="21" x14ac:dyDescent="0.35">
      <c r="D253" s="28" t="s">
        <v>231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C254" s="23" t="s">
        <v>249</v>
      </c>
      <c r="D254" s="9" t="s">
        <v>167</v>
      </c>
      <c r="E254" s="9"/>
      <c r="F254" s="9"/>
      <c r="G254" s="9">
        <f t="shared" ref="G254:H254" si="768">G242/G232-2*G242/G230+(G243+G242*G47/1000)/(G238*(1-G242/G239))+G245</f>
        <v>-0.21237616201534179</v>
      </c>
      <c r="H254" s="9">
        <f t="shared" si="768"/>
        <v>-8.1539760348583887E-2</v>
      </c>
      <c r="I254" s="9">
        <f t="shared" ref="I254:L254" si="769">I242/I232-2*I242/I230+(I243+I242*I47/1000)/(I238*(1-I242/I239))+I245</f>
        <v>-0.216754105702468</v>
      </c>
      <c r="J254" s="9">
        <f t="shared" si="769"/>
        <v>-0.87917607637090689</v>
      </c>
      <c r="K254" s="9">
        <f t="shared" si="769"/>
        <v>-0.21624291002887325</v>
      </c>
      <c r="L254" s="9">
        <f t="shared" si="769"/>
        <v>-8.6857570806100209E-2</v>
      </c>
      <c r="M254" s="9">
        <f t="shared" ref="M254:P254" si="770">M242/M232-2*M242/M230+(M243+M242*M47/1000)/(M238*(1-M242/M239))+M245</f>
        <v>-0.23999810563945095</v>
      </c>
      <c r="N254" s="9">
        <f t="shared" si="770"/>
        <v>-0.87635257961198698</v>
      </c>
      <c r="O254" s="9">
        <f t="shared" si="770"/>
        <v>-0.21932395290336623</v>
      </c>
      <c r="P254" s="9">
        <f t="shared" si="770"/>
        <v>-9.3061683006535945E-2</v>
      </c>
      <c r="Q254" s="9">
        <f t="shared" ref="Q254:T254" si="771">Q242/Q232-2*Q242/Q230+(Q243+Q242*Q47/1000)/(Q238*(1-Q242/Q239))+Q245</f>
        <v>-0.26225091699511904</v>
      </c>
      <c r="R254" s="9">
        <f t="shared" si="771"/>
        <v>-0.87441542409312756</v>
      </c>
      <c r="S254" s="9">
        <f t="shared" si="771"/>
        <v>-0.22315981207606728</v>
      </c>
      <c r="T254" s="9">
        <f t="shared" si="771"/>
        <v>-9.926579520697168E-2</v>
      </c>
      <c r="U254" s="9">
        <f t="shared" ref="U254:X254" si="772">U242/U232-2*U242/U230+(U243+U242*U47/1000)/(U238*(1-U242/U239))+U245</f>
        <v>-0.28412869949328584</v>
      </c>
      <c r="V254" s="9">
        <f t="shared" si="772"/>
        <v>-0.87159055449683775</v>
      </c>
      <c r="W254" s="9">
        <f t="shared" si="772"/>
        <v>-0.2262161438778959</v>
      </c>
      <c r="X254" s="9">
        <f t="shared" si="772"/>
        <v>-0.10458360566448802</v>
      </c>
      <c r="Y254" s="9">
        <f t="shared" ref="Y254:Z254" si="773">Y242/Y232-2*Y242/Y230+(Y243+Y242*Y47/1000)/(Y238*(1-Y242/Y239))+Y245</f>
        <v>-0.30437304977628954</v>
      </c>
      <c r="Z254" s="9">
        <f t="shared" si="773"/>
        <v>-0.86965202614060788</v>
      </c>
    </row>
    <row r="255" spans="1:26" x14ac:dyDescent="0.25">
      <c r="C255" s="23" t="s">
        <v>249</v>
      </c>
      <c r="D255" s="9" t="s">
        <v>168</v>
      </c>
      <c r="E255" s="9"/>
      <c r="F255" s="9"/>
      <c r="G255" s="9">
        <f t="shared" ref="G255:H255" si="774">G242/G232+(G243+G242*G47/1000)/(G235*(1-G242/G239))+G245</f>
        <v>0.21249216677312724</v>
      </c>
      <c r="H255" s="9">
        <f t="shared" si="774"/>
        <v>8.1539760348583887E-2</v>
      </c>
      <c r="I255" s="9">
        <f t="shared" ref="I255:L255" si="775">I242/I232+(I243+I242*I47/1000)/(I235*(1-I242/I239))+I245</f>
        <v>0.22835458148101473</v>
      </c>
      <c r="J255" s="9">
        <f t="shared" si="775"/>
        <v>0.8842528289660625</v>
      </c>
      <c r="K255" s="9">
        <f t="shared" si="775"/>
        <v>0.21646530968285249</v>
      </c>
      <c r="L255" s="9">
        <f t="shared" si="775"/>
        <v>8.6857570806100209E-2</v>
      </c>
      <c r="M255" s="9">
        <f t="shared" ref="M255:P255" si="776">M242/M232+(M243+M242*M47/1000)/(M235*(1-M242/M239))+M245</f>
        <v>0.25937158660830906</v>
      </c>
      <c r="N255" s="9">
        <f t="shared" si="776"/>
        <v>0.88154808263966855</v>
      </c>
      <c r="O255" s="9">
        <f t="shared" si="776"/>
        <v>0.21965617954696484</v>
      </c>
      <c r="P255" s="9">
        <f t="shared" si="776"/>
        <v>9.3061683006535945E-2</v>
      </c>
      <c r="Q255" s="9">
        <f t="shared" ref="Q255:T255" si="777">Q242/Q232+(Q243+Q242*Q47/1000)/(Q235*(1-Q242/Q239))+Q245</f>
        <v>0.29137978031691836</v>
      </c>
      <c r="R255" s="9">
        <f t="shared" si="777"/>
        <v>0.87973105039070532</v>
      </c>
      <c r="S255" s="9">
        <f t="shared" si="777"/>
        <v>0.22366021129752056</v>
      </c>
      <c r="T255" s="9">
        <f t="shared" si="777"/>
        <v>9.926579520697168E-2</v>
      </c>
      <c r="U255" s="9">
        <f t="shared" ref="U255:X255" si="778">U242/U232+(U243+U242*U47/1000)/(U235*(1-U242/U239))+U245</f>
        <v>0.32533098106768027</v>
      </c>
      <c r="V255" s="9">
        <f t="shared" si="778"/>
        <v>0.87702767690168215</v>
      </c>
      <c r="W255" s="9">
        <f t="shared" si="778"/>
        <v>0.22687579223429727</v>
      </c>
      <c r="X255" s="9">
        <f t="shared" si="778"/>
        <v>0.10458360566448802</v>
      </c>
      <c r="Y255" s="9">
        <f t="shared" ref="Y255:Z255" si="779">Y242/Y232+(Y243+Y242*Y47/1000)/(Y235*(1-Y242/Y239))+Y245</f>
        <v>0.35934763584895391</v>
      </c>
      <c r="Z255" s="9">
        <f t="shared" si="779"/>
        <v>0.87521201749008892</v>
      </c>
    </row>
    <row r="256" spans="1:26" x14ac:dyDescent="0.25">
      <c r="C256" s="23" t="s">
        <v>249</v>
      </c>
      <c r="D256" s="9" t="s">
        <v>169</v>
      </c>
      <c r="E256" s="9"/>
      <c r="F256" s="9"/>
      <c r="G256" s="9">
        <f t="shared" ref="G256:H256" si="780">G242/G232+(G244-G242*G47/1000)/(G237*(1-G242/G239))+G245</f>
        <v>0.21249216677312724</v>
      </c>
      <c r="H256" s="9">
        <f t="shared" si="780"/>
        <v>8.1539760348583887E-2</v>
      </c>
      <c r="I256" s="9">
        <f t="shared" ref="I256:L256" si="781">I242/I232+(I244-I242*I47/1000)/(I237*(1-I242/I239))+I245</f>
        <v>0.22835458148101473</v>
      </c>
      <c r="J256" s="9">
        <f t="shared" si="781"/>
        <v>0.8842528289660625</v>
      </c>
      <c r="K256" s="9">
        <f t="shared" si="781"/>
        <v>0.21646530968285249</v>
      </c>
      <c r="L256" s="9">
        <f t="shared" si="781"/>
        <v>8.6857570806100209E-2</v>
      </c>
      <c r="M256" s="9">
        <f t="shared" ref="M256:P256" si="782">M242/M232+(M244-M242*M47/1000)/(M237*(1-M242/M239))+M245</f>
        <v>0.25937158660830906</v>
      </c>
      <c r="N256" s="9">
        <f t="shared" si="782"/>
        <v>0.88154808263966855</v>
      </c>
      <c r="O256" s="9">
        <f t="shared" si="782"/>
        <v>0.21965617954696484</v>
      </c>
      <c r="P256" s="9">
        <f t="shared" si="782"/>
        <v>9.3061683006535945E-2</v>
      </c>
      <c r="Q256" s="9">
        <f t="shared" ref="Q256:T256" si="783">Q242/Q232+(Q244-Q242*Q47/1000)/(Q237*(1-Q242/Q239))+Q245</f>
        <v>0.29137978031691836</v>
      </c>
      <c r="R256" s="9">
        <f t="shared" si="783"/>
        <v>0.87973105039070532</v>
      </c>
      <c r="S256" s="9">
        <f t="shared" si="783"/>
        <v>0.22366021129752056</v>
      </c>
      <c r="T256" s="9">
        <f t="shared" si="783"/>
        <v>9.926579520697168E-2</v>
      </c>
      <c r="U256" s="9">
        <f t="shared" ref="U256:X256" si="784">U242/U232+(U244-U242*U47/1000)/(U237*(1-U242/U239))+U245</f>
        <v>0.32533098106768027</v>
      </c>
      <c r="V256" s="9">
        <f t="shared" si="784"/>
        <v>0.87702767690168215</v>
      </c>
      <c r="W256" s="9">
        <f t="shared" si="784"/>
        <v>0.22687579223429727</v>
      </c>
      <c r="X256" s="9">
        <f t="shared" si="784"/>
        <v>0.10458360566448802</v>
      </c>
      <c r="Y256" s="9">
        <f t="shared" ref="Y256:Z256" si="785">Y242/Y232+(Y244-Y242*Y47/1000)/(Y237*(1-Y242/Y239))+Y245</f>
        <v>0.35934763584895391</v>
      </c>
      <c r="Z256" s="9">
        <f t="shared" si="785"/>
        <v>0.87521201749008892</v>
      </c>
    </row>
    <row r="257" spans="1:26" x14ac:dyDescent="0.25">
      <c r="C257" s="23" t="s">
        <v>249</v>
      </c>
      <c r="D257" s="9" t="s">
        <v>170</v>
      </c>
      <c r="E257" s="9"/>
      <c r="F257" s="9"/>
      <c r="G257" s="9">
        <f t="shared" ref="G257:H257" si="786">G242/G231-2*G242/G230+(G244-G242*G47/1000)/(G235*(1-G242/G239))+G245</f>
        <v>-0.21237616201534179</v>
      </c>
      <c r="H257" s="9">
        <f t="shared" si="786"/>
        <v>-8.1539760348583887E-2</v>
      </c>
      <c r="I257" s="9">
        <f t="shared" ref="I257:L257" si="787">I242/I231-2*I242/I230+(I244-I242*I47/1000)/(I235*(1-I242/I239))+I245</f>
        <v>-0.216754105702468</v>
      </c>
      <c r="J257" s="9">
        <f t="shared" si="787"/>
        <v>-0.87917607637090689</v>
      </c>
      <c r="K257" s="9">
        <f t="shared" si="787"/>
        <v>-0.21624291002887325</v>
      </c>
      <c r="L257" s="9">
        <f t="shared" si="787"/>
        <v>-8.6857570806100209E-2</v>
      </c>
      <c r="M257" s="9">
        <f t="shared" ref="M257:P257" si="788">M242/M231-2*M242/M230+(M244-M242*M47/1000)/(M235*(1-M242/M239))+M245</f>
        <v>-0.23999810563945095</v>
      </c>
      <c r="N257" s="9">
        <f t="shared" si="788"/>
        <v>-0.87635257961198698</v>
      </c>
      <c r="O257" s="9">
        <f t="shared" si="788"/>
        <v>-0.21932395290336623</v>
      </c>
      <c r="P257" s="9">
        <f t="shared" si="788"/>
        <v>-9.3061683006535945E-2</v>
      </c>
      <c r="Q257" s="9">
        <f t="shared" ref="Q257:T257" si="789">Q242/Q231-2*Q242/Q230+(Q244-Q242*Q47/1000)/(Q235*(1-Q242/Q239))+Q245</f>
        <v>-0.26225091699511904</v>
      </c>
      <c r="R257" s="9">
        <f t="shared" si="789"/>
        <v>-0.87441542409312756</v>
      </c>
      <c r="S257" s="9">
        <f t="shared" si="789"/>
        <v>-0.22315981207606728</v>
      </c>
      <c r="T257" s="9">
        <f t="shared" si="789"/>
        <v>-9.926579520697168E-2</v>
      </c>
      <c r="U257" s="9">
        <f t="shared" ref="U257:X257" si="790">U242/U231-2*U242/U230+(U244-U242*U47/1000)/(U235*(1-U242/U239))+U245</f>
        <v>-0.28412869949328584</v>
      </c>
      <c r="V257" s="9">
        <f t="shared" si="790"/>
        <v>-0.87159055449683775</v>
      </c>
      <c r="W257" s="9">
        <f t="shared" si="790"/>
        <v>-0.2262161438778959</v>
      </c>
      <c r="X257" s="9">
        <f t="shared" si="790"/>
        <v>-0.10458360566448802</v>
      </c>
      <c r="Y257" s="9">
        <f t="shared" ref="Y257:Z257" si="791">Y242/Y231-2*Y242/Y230+(Y244-Y242*Y47/1000)/(Y235*(1-Y242/Y239))+Y245</f>
        <v>-0.30437304977628954</v>
      </c>
      <c r="Z257" s="9">
        <f t="shared" si="791"/>
        <v>-0.86965202614060788</v>
      </c>
    </row>
    <row r="258" spans="1:26" x14ac:dyDescent="0.25">
      <c r="C258" s="23" t="s">
        <v>249</v>
      </c>
      <c r="D258" s="9" t="s">
        <v>174</v>
      </c>
      <c r="E258" s="9"/>
      <c r="F258" s="9"/>
      <c r="G258" s="9">
        <f t="shared" ref="G258:H258" si="792">MAX(G254:G257)</f>
        <v>0.21249216677312724</v>
      </c>
      <c r="H258" s="9">
        <f t="shared" si="792"/>
        <v>8.1539760348583887E-2</v>
      </c>
      <c r="I258" s="9">
        <f t="shared" ref="I258:L258" si="793">MAX(I254:I257)</f>
        <v>0.22835458148101473</v>
      </c>
      <c r="J258" s="9">
        <f t="shared" si="793"/>
        <v>0.8842528289660625</v>
      </c>
      <c r="K258" s="9">
        <f t="shared" si="793"/>
        <v>0.21646530968285249</v>
      </c>
      <c r="L258" s="9">
        <f t="shared" si="793"/>
        <v>8.6857570806100209E-2</v>
      </c>
      <c r="M258" s="9">
        <f t="shared" ref="M258:P258" si="794">MAX(M254:M257)</f>
        <v>0.25937158660830906</v>
      </c>
      <c r="N258" s="9">
        <f t="shared" si="794"/>
        <v>0.88154808263966855</v>
      </c>
      <c r="O258" s="9">
        <f t="shared" si="794"/>
        <v>0.21965617954696484</v>
      </c>
      <c r="P258" s="9">
        <f t="shared" si="794"/>
        <v>9.3061683006535945E-2</v>
      </c>
      <c r="Q258" s="9">
        <f t="shared" ref="Q258:T258" si="795">MAX(Q254:Q257)</f>
        <v>0.29137978031691836</v>
      </c>
      <c r="R258" s="9">
        <f t="shared" si="795"/>
        <v>0.87973105039070532</v>
      </c>
      <c r="S258" s="9">
        <f t="shared" si="795"/>
        <v>0.22366021129752056</v>
      </c>
      <c r="T258" s="9">
        <f t="shared" si="795"/>
        <v>9.926579520697168E-2</v>
      </c>
      <c r="U258" s="9">
        <f t="shared" ref="U258:X258" si="796">MAX(U254:U257)</f>
        <v>0.32533098106768027</v>
      </c>
      <c r="V258" s="9">
        <f t="shared" si="796"/>
        <v>0.87702767690168215</v>
      </c>
      <c r="W258" s="9">
        <f t="shared" si="796"/>
        <v>0.22687579223429727</v>
      </c>
      <c r="X258" s="9">
        <f t="shared" si="796"/>
        <v>0.10458360566448802</v>
      </c>
      <c r="Y258" s="9">
        <f t="shared" ref="Y258:Z258" si="797">MAX(Y254:Y257)</f>
        <v>0.35934763584895391</v>
      </c>
      <c r="Z258" s="9">
        <f t="shared" si="797"/>
        <v>0.87521201749008892</v>
      </c>
    </row>
    <row r="259" spans="1:26" x14ac:dyDescent="0.25"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21" customHeight="1" x14ac:dyDescent="0.35">
      <c r="A260" s="4"/>
      <c r="B260" s="1"/>
      <c r="C260" s="27"/>
      <c r="D260" s="28" t="s">
        <v>246</v>
      </c>
      <c r="E260" s="5" t="s">
        <v>94</v>
      </c>
      <c r="F260" s="5" t="s">
        <v>78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4" t="s">
        <v>87</v>
      </c>
      <c r="C261" s="27" t="s">
        <v>52</v>
      </c>
      <c r="D261" s="6" t="s">
        <v>112</v>
      </c>
      <c r="E261" s="6"/>
      <c r="F261" s="19" t="s">
        <v>118</v>
      </c>
      <c r="G261" s="95">
        <f t="shared" ref="G261:H261" si="798">(G117+G24*G17)*$G$5*$G$8/$G$9</f>
        <v>6800212.6330434792</v>
      </c>
      <c r="H261" s="95">
        <f t="shared" si="798"/>
        <v>8561418.7826086953</v>
      </c>
      <c r="I261" s="95">
        <f t="shared" ref="I261:L261" si="799">(I117+I24*I17)*$G$5*$G$8/$G$9</f>
        <v>6800212.6330434792</v>
      </c>
      <c r="J261" s="95">
        <f t="shared" si="799"/>
        <v>6800212.6330434792</v>
      </c>
      <c r="K261" s="95">
        <f t="shared" si="799"/>
        <v>6800212.6330434792</v>
      </c>
      <c r="L261" s="95">
        <f t="shared" si="799"/>
        <v>8561418.7826086953</v>
      </c>
      <c r="M261" s="95">
        <f t="shared" ref="M261:P261" si="800">(M117+M24*M17)*$G$5*$G$8/$G$9</f>
        <v>6800212.6330434792</v>
      </c>
      <c r="N261" s="95">
        <f t="shared" si="800"/>
        <v>6800212.6330434792</v>
      </c>
      <c r="O261" s="95">
        <f t="shared" si="800"/>
        <v>6800212.6330434792</v>
      </c>
      <c r="P261" s="95">
        <f t="shared" si="800"/>
        <v>8561418.7826086953</v>
      </c>
      <c r="Q261" s="95">
        <f t="shared" ref="Q261:T261" si="801">(Q117+Q24*Q17)*$G$5*$G$8/$G$9</f>
        <v>6800212.6330434792</v>
      </c>
      <c r="R261" s="95">
        <f t="shared" si="801"/>
        <v>6800212.6330434792</v>
      </c>
      <c r="S261" s="95">
        <f t="shared" si="801"/>
        <v>6800212.6330434792</v>
      </c>
      <c r="T261" s="95">
        <f t="shared" si="801"/>
        <v>8561418.7826086953</v>
      </c>
      <c r="U261" s="95">
        <f t="shared" ref="U261:X261" si="802">(U117+U24*U17)*$G$5*$G$8/$G$9</f>
        <v>6800212.6330434792</v>
      </c>
      <c r="V261" s="95">
        <f t="shared" si="802"/>
        <v>6800212.6330434792</v>
      </c>
      <c r="W261" s="95">
        <f t="shared" si="802"/>
        <v>6800212.6330434792</v>
      </c>
      <c r="X261" s="95">
        <f t="shared" si="802"/>
        <v>8561418.7826086953</v>
      </c>
      <c r="Y261" s="95">
        <f t="shared" ref="Y261:Z261" si="803">(Y117+Y24*Y17)*$G$5*$G$8/$G$9</f>
        <v>6800212.6330434792</v>
      </c>
      <c r="Z261" s="95">
        <f t="shared" si="803"/>
        <v>6800212.6330434792</v>
      </c>
    </row>
    <row r="262" spans="1:26" x14ac:dyDescent="0.25">
      <c r="A262" s="4" t="s">
        <v>88</v>
      </c>
      <c r="C262" s="27" t="s">
        <v>52</v>
      </c>
      <c r="D262" s="6" t="s">
        <v>111</v>
      </c>
      <c r="E262" s="6"/>
      <c r="F262" s="19" t="s">
        <v>118</v>
      </c>
      <c r="G262" s="95">
        <f t="shared" ref="G262:H262" si="804">(G117+G24*G17)*G191/$G$9</f>
        <v>6800212.6330434792</v>
      </c>
      <c r="H262" s="95">
        <f t="shared" si="804"/>
        <v>8561418.7826086953</v>
      </c>
      <c r="I262" s="95">
        <f t="shared" ref="I262:L262" si="805">(I117+I24*I17)*I191/$G$9</f>
        <v>6800212.6330434792</v>
      </c>
      <c r="J262" s="95">
        <f t="shared" si="805"/>
        <v>6800212.6330434792</v>
      </c>
      <c r="K262" s="95">
        <f t="shared" si="805"/>
        <v>6800212.6330434792</v>
      </c>
      <c r="L262" s="95">
        <f t="shared" si="805"/>
        <v>8561418.7826086953</v>
      </c>
      <c r="M262" s="95">
        <f t="shared" ref="M262:P262" si="806">(M117+M24*M17)*M191/$G$9</f>
        <v>6800212.6330434792</v>
      </c>
      <c r="N262" s="95">
        <f t="shared" si="806"/>
        <v>6800212.6330434792</v>
      </c>
      <c r="O262" s="95">
        <f t="shared" si="806"/>
        <v>6800212.6330434792</v>
      </c>
      <c r="P262" s="95">
        <f t="shared" si="806"/>
        <v>8561418.7826086953</v>
      </c>
      <c r="Q262" s="95">
        <f t="shared" ref="Q262:T262" si="807">(Q117+Q24*Q17)*Q191/$G$9</f>
        <v>6800212.6330434792</v>
      </c>
      <c r="R262" s="95">
        <f t="shared" si="807"/>
        <v>6800212.6330434792</v>
      </c>
      <c r="S262" s="95">
        <f t="shared" si="807"/>
        <v>6800212.6330434792</v>
      </c>
      <c r="T262" s="95">
        <f t="shared" si="807"/>
        <v>8561418.7826086953</v>
      </c>
      <c r="U262" s="95">
        <f t="shared" ref="U262:X262" si="808">(U117+U24*U17)*U191/$G$9</f>
        <v>6800212.6330434792</v>
      </c>
      <c r="V262" s="95">
        <f t="shared" si="808"/>
        <v>6800212.6330434792</v>
      </c>
      <c r="W262" s="95">
        <f t="shared" si="808"/>
        <v>6800212.6330434792</v>
      </c>
      <c r="X262" s="95">
        <f t="shared" si="808"/>
        <v>8561418.7826086953</v>
      </c>
      <c r="Y262" s="95">
        <f t="shared" ref="Y262:Z262" si="809">(Y117+Y24*Y17)*Y191/$G$9</f>
        <v>6800212.6330434792</v>
      </c>
      <c r="Z262" s="95">
        <f t="shared" si="809"/>
        <v>6800212.6330434792</v>
      </c>
    </row>
    <row r="263" spans="1:26" x14ac:dyDescent="0.25">
      <c r="A263" s="12" t="s">
        <v>248</v>
      </c>
      <c r="C263" s="27" t="s">
        <v>52</v>
      </c>
      <c r="D263" s="6" t="s">
        <v>247</v>
      </c>
      <c r="E263" s="6"/>
      <c r="F263" s="19" t="s">
        <v>118</v>
      </c>
      <c r="G263" s="95">
        <f t="shared" ref="G263:H263" si="810">(G117+G24*G17)*G205/$G$9</f>
        <v>4269911.156296513</v>
      </c>
      <c r="H263" s="95">
        <f t="shared" si="810"/>
        <v>3663530.2958552064</v>
      </c>
      <c r="I263" s="95">
        <f t="shared" ref="I263:L263" si="811">(I117+I24*I17)*I205/$G$9</f>
        <v>4293403.3255173415</v>
      </c>
      <c r="J263" s="95">
        <f t="shared" si="811"/>
        <v>4203723.353871448</v>
      </c>
      <c r="K263" s="95">
        <f t="shared" si="811"/>
        <v>4258229.4559642188</v>
      </c>
      <c r="L263" s="95">
        <f t="shared" si="811"/>
        <v>3662664.5444893152</v>
      </c>
      <c r="M263" s="95">
        <f t="shared" ref="M263:P263" si="812">(M117+M24*M17)*M205/$G$9</f>
        <v>4291074.0791914621</v>
      </c>
      <c r="N263" s="95">
        <f t="shared" si="812"/>
        <v>4205460.7402331317</v>
      </c>
      <c r="O263" s="95">
        <f t="shared" si="812"/>
        <v>4207086.2924145106</v>
      </c>
      <c r="P263" s="95">
        <f t="shared" si="812"/>
        <v>3661751.9698847891</v>
      </c>
      <c r="Q263" s="95">
        <f t="shared" ref="Q263:T263" si="813">(Q117+Q24*Q17)*Q205/$G$9</f>
        <v>4286804.3237836687</v>
      </c>
      <c r="R263" s="95">
        <f t="shared" si="813"/>
        <v>4206675.7279552445</v>
      </c>
      <c r="S263" s="95">
        <f t="shared" si="813"/>
        <v>4051374.9915817147</v>
      </c>
      <c r="T263" s="95">
        <f t="shared" si="813"/>
        <v>3660910.8640103773</v>
      </c>
      <c r="U263" s="95">
        <f t="shared" ref="U263:X263" si="814">(U117+U24*U17)*U205/$G$9</f>
        <v>4282456.6704394203</v>
      </c>
      <c r="V263" s="95">
        <f t="shared" si="814"/>
        <v>4208229.8776364941</v>
      </c>
      <c r="W263" s="95">
        <f t="shared" si="814"/>
        <v>4051374.9915817147</v>
      </c>
      <c r="X263" s="95">
        <f t="shared" si="814"/>
        <v>3660055.9183895234</v>
      </c>
      <c r="Y263" s="95">
        <f t="shared" ref="Y263:Z263" si="815">(Y117+Y24*Y17)*Y205/$G$9</f>
        <v>4278078.2166260481</v>
      </c>
      <c r="Z263" s="95">
        <f t="shared" si="815"/>
        <v>4209308.8457753276</v>
      </c>
    </row>
    <row r="264" spans="1:26" ht="15" customHeight="1" x14ac:dyDescent="0.25">
      <c r="A264" s="4" t="s">
        <v>92</v>
      </c>
      <c r="B264" s="1"/>
      <c r="C264" s="27" t="s">
        <v>52</v>
      </c>
      <c r="D264" s="6" t="s">
        <v>47</v>
      </c>
      <c r="E264" s="6"/>
      <c r="F264" s="17" t="s">
        <v>11</v>
      </c>
      <c r="G264" s="96">
        <f t="shared" ref="G264:H264" si="816">G121/G115</f>
        <v>6847271.935157042</v>
      </c>
      <c r="H264" s="96">
        <f t="shared" si="816"/>
        <v>6847271.935157042</v>
      </c>
      <c r="I264" s="96">
        <f t="shared" ref="I264:L264" si="817">I121/I115</f>
        <v>6847271.935157042</v>
      </c>
      <c r="J264" s="96">
        <f t="shared" si="817"/>
        <v>6847271.935157042</v>
      </c>
      <c r="K264" s="96">
        <f t="shared" si="817"/>
        <v>6847271.935157042</v>
      </c>
      <c r="L264" s="96">
        <f t="shared" si="817"/>
        <v>6847271.935157042</v>
      </c>
      <c r="M264" s="96">
        <f t="shared" ref="M264:P264" si="818">M121/M115</f>
        <v>6847271.935157042</v>
      </c>
      <c r="N264" s="96">
        <f t="shared" si="818"/>
        <v>6847271.935157042</v>
      </c>
      <c r="O264" s="96">
        <f t="shared" si="818"/>
        <v>6847271.935157042</v>
      </c>
      <c r="P264" s="96">
        <f t="shared" si="818"/>
        <v>6847271.935157042</v>
      </c>
      <c r="Q264" s="96">
        <f t="shared" ref="Q264:T264" si="819">Q121/Q115</f>
        <v>6847271.935157042</v>
      </c>
      <c r="R264" s="96">
        <f t="shared" si="819"/>
        <v>6847271.935157042</v>
      </c>
      <c r="S264" s="96">
        <f t="shared" si="819"/>
        <v>6847271.935157042</v>
      </c>
      <c r="T264" s="96">
        <f t="shared" si="819"/>
        <v>6847271.935157042</v>
      </c>
      <c r="U264" s="96">
        <f t="shared" ref="U264:X264" si="820">U121/U115</f>
        <v>6847271.935157042</v>
      </c>
      <c r="V264" s="96">
        <f t="shared" si="820"/>
        <v>6847271.935157042</v>
      </c>
      <c r="W264" s="96">
        <f t="shared" si="820"/>
        <v>6847271.935157042</v>
      </c>
      <c r="X264" s="96">
        <f t="shared" si="820"/>
        <v>6847271.935157042</v>
      </c>
      <c r="Y264" s="96">
        <f t="shared" ref="Y264:Z264" si="821">Y121/Y115</f>
        <v>6847271.935157042</v>
      </c>
      <c r="Z264" s="96">
        <f t="shared" si="821"/>
        <v>6847271.935157042</v>
      </c>
    </row>
    <row r="265" spans="1:26" ht="15" customHeight="1" x14ac:dyDescent="0.25">
      <c r="A265" s="4" t="s">
        <v>91</v>
      </c>
      <c r="B265" s="1"/>
      <c r="C265" s="27" t="s">
        <v>52</v>
      </c>
      <c r="D265" s="6" t="s">
        <v>48</v>
      </c>
      <c r="E265" s="6"/>
      <c r="F265" s="17" t="s">
        <v>11</v>
      </c>
      <c r="G265" s="96">
        <f t="shared" ref="G265:H265" si="822">G121/G116</f>
        <v>2350289.4800904188</v>
      </c>
      <c r="H265" s="96">
        <f t="shared" si="822"/>
        <v>2350289.4800904188</v>
      </c>
      <c r="I265" s="96">
        <f t="shared" ref="I265:L265" si="823">I121/I116</f>
        <v>2350289.4800904188</v>
      </c>
      <c r="J265" s="96">
        <f t="shared" si="823"/>
        <v>2350289.4800904188</v>
      </c>
      <c r="K265" s="96">
        <f t="shared" si="823"/>
        <v>2350289.4800904188</v>
      </c>
      <c r="L265" s="96">
        <f t="shared" si="823"/>
        <v>2350289.4800904188</v>
      </c>
      <c r="M265" s="96">
        <f t="shared" ref="M265:P265" si="824">M121/M116</f>
        <v>2350289.4800904188</v>
      </c>
      <c r="N265" s="96">
        <f t="shared" si="824"/>
        <v>2350289.4800904188</v>
      </c>
      <c r="O265" s="96">
        <f t="shared" si="824"/>
        <v>2350289.4800904188</v>
      </c>
      <c r="P265" s="96">
        <f t="shared" si="824"/>
        <v>2350289.4800904188</v>
      </c>
      <c r="Q265" s="96">
        <f t="shared" ref="Q265:T265" si="825">Q121/Q116</f>
        <v>2350289.4800904188</v>
      </c>
      <c r="R265" s="96">
        <f t="shared" si="825"/>
        <v>2350289.4800904188</v>
      </c>
      <c r="S265" s="96">
        <f t="shared" si="825"/>
        <v>2350289.4800904188</v>
      </c>
      <c r="T265" s="96">
        <f t="shared" si="825"/>
        <v>2350289.4800904188</v>
      </c>
      <c r="U265" s="96">
        <f t="shared" ref="U265:X265" si="826">U121/U116</f>
        <v>2350289.4800904188</v>
      </c>
      <c r="V265" s="96">
        <f t="shared" si="826"/>
        <v>2350289.4800904188</v>
      </c>
      <c r="W265" s="96">
        <f t="shared" si="826"/>
        <v>2350289.4800904188</v>
      </c>
      <c r="X265" s="96">
        <f t="shared" si="826"/>
        <v>2350289.4800904188</v>
      </c>
      <c r="Y265" s="96">
        <f t="shared" ref="Y265:Z265" si="827">Y121/Y116</f>
        <v>2350289.4800904188</v>
      </c>
      <c r="Z265" s="96">
        <f t="shared" si="827"/>
        <v>2350289.4800904188</v>
      </c>
    </row>
    <row r="266" spans="1:26" ht="30" x14ac:dyDescent="0.25">
      <c r="A266" s="4" t="s">
        <v>91</v>
      </c>
      <c r="B266" s="1"/>
      <c r="C266" s="27" t="s">
        <v>52</v>
      </c>
      <c r="D266" s="16" t="s">
        <v>108</v>
      </c>
      <c r="E266" s="13"/>
      <c r="F266" s="19" t="s">
        <v>122</v>
      </c>
      <c r="G266" s="97">
        <f t="shared" ref="G266:H266" si="828">G264*$G$5*$G$8/$G$9</f>
        <v>1395770537.0305452</v>
      </c>
      <c r="H266" s="97">
        <f t="shared" si="828"/>
        <v>1395770537.0305452</v>
      </c>
      <c r="I266" s="97">
        <f t="shared" ref="I266:L266" si="829">I264*$G$5*$G$8/$G$9</f>
        <v>1395770537.0305452</v>
      </c>
      <c r="J266" s="97">
        <f t="shared" si="829"/>
        <v>1395770537.0305452</v>
      </c>
      <c r="K266" s="97">
        <f t="shared" si="829"/>
        <v>1395770537.0305452</v>
      </c>
      <c r="L266" s="97">
        <f t="shared" si="829"/>
        <v>1395770537.0305452</v>
      </c>
      <c r="M266" s="97">
        <f t="shared" ref="M266:P266" si="830">M264*$G$5*$G$8/$G$9</f>
        <v>1395770537.0305452</v>
      </c>
      <c r="N266" s="97">
        <f t="shared" si="830"/>
        <v>1395770537.0305452</v>
      </c>
      <c r="O266" s="97">
        <f t="shared" si="830"/>
        <v>1395770537.0305452</v>
      </c>
      <c r="P266" s="97">
        <f t="shared" si="830"/>
        <v>1395770537.0305452</v>
      </c>
      <c r="Q266" s="97">
        <f t="shared" ref="Q266:T266" si="831">Q264*$G$5*$G$8/$G$9</f>
        <v>1395770537.0305452</v>
      </c>
      <c r="R266" s="97">
        <f t="shared" si="831"/>
        <v>1395770537.0305452</v>
      </c>
      <c r="S266" s="97">
        <f t="shared" si="831"/>
        <v>1395770537.0305452</v>
      </c>
      <c r="T266" s="97">
        <f t="shared" si="831"/>
        <v>1395770537.0305452</v>
      </c>
      <c r="U266" s="97">
        <f t="shared" ref="U266:X266" si="832">U264*$G$5*$G$8/$G$9</f>
        <v>1395770537.0305452</v>
      </c>
      <c r="V266" s="97">
        <f t="shared" si="832"/>
        <v>1395770537.0305452</v>
      </c>
      <c r="W266" s="97">
        <f t="shared" si="832"/>
        <v>1395770537.0305452</v>
      </c>
      <c r="X266" s="97">
        <f t="shared" si="832"/>
        <v>1395770537.0305452</v>
      </c>
      <c r="Y266" s="97">
        <f t="shared" ref="Y266:Z266" si="833">Y264*$G$5*$G$8/$G$9</f>
        <v>1395770537.0305452</v>
      </c>
      <c r="Z266" s="97">
        <f t="shared" si="833"/>
        <v>1395770537.0305452</v>
      </c>
    </row>
    <row r="267" spans="1:26" ht="30" x14ac:dyDescent="0.25">
      <c r="A267" s="4" t="s">
        <v>90</v>
      </c>
      <c r="B267" s="1"/>
      <c r="C267" s="27" t="s">
        <v>52</v>
      </c>
      <c r="D267" s="16" t="s">
        <v>109</v>
      </c>
      <c r="E267" s="13"/>
      <c r="F267" s="19" t="s">
        <v>122</v>
      </c>
      <c r="G267" s="97">
        <f t="shared" ref="G267:H267" si="834">G265*G201/$G$9</f>
        <v>282667549.44820035</v>
      </c>
      <c r="H267" s="97">
        <f t="shared" si="834"/>
        <v>191738689.75016618</v>
      </c>
      <c r="I267" s="97">
        <f t="shared" ref="I267:L267" si="835">I265*I201/$G$9</f>
        <v>284249231.90351915</v>
      </c>
      <c r="J267" s="97">
        <f t="shared" si="835"/>
        <v>278212439.42470521</v>
      </c>
      <c r="K267" s="97">
        <f t="shared" si="835"/>
        <v>281881125.09882051</v>
      </c>
      <c r="L267" s="97">
        <f t="shared" si="835"/>
        <v>191692630.70672154</v>
      </c>
      <c r="M267" s="97">
        <f t="shared" ref="M267:P267" si="836">M265*M201/$G$9</f>
        <v>284092398.41313612</v>
      </c>
      <c r="N267" s="97">
        <f t="shared" si="836"/>
        <v>278329360.67103404</v>
      </c>
      <c r="O267" s="97">
        <f t="shared" si="836"/>
        <v>278438756.88900036</v>
      </c>
      <c r="P267" s="97">
        <f t="shared" si="836"/>
        <v>191644080.89934719</v>
      </c>
      <c r="Q267" s="97">
        <f t="shared" ref="Q267:T267" si="837">Q265*Q201/$G$9</f>
        <v>283804911.61480242</v>
      </c>
      <c r="R267" s="97">
        <f t="shared" si="837"/>
        <v>278411126.67039305</v>
      </c>
      <c r="S267" s="97">
        <f t="shared" si="837"/>
        <v>267964569.36264393</v>
      </c>
      <c r="T267" s="97">
        <f t="shared" si="837"/>
        <v>191599333.55794117</v>
      </c>
      <c r="U267" s="97">
        <f t="shared" ref="U267:X267" si="838">U265*U201/$G$9</f>
        <v>283512187.33942783</v>
      </c>
      <c r="V267" s="97">
        <f t="shared" si="838"/>
        <v>278515718.38844502</v>
      </c>
      <c r="W267" s="97">
        <f t="shared" si="838"/>
        <v>267964569.36264393</v>
      </c>
      <c r="X267" s="97">
        <f t="shared" si="838"/>
        <v>191553850.19307515</v>
      </c>
      <c r="Y267" s="97">
        <f t="shared" ref="Y267:Z267" si="839">Y265*Y201/$G$9</f>
        <v>283217396.90972674</v>
      </c>
      <c r="Z267" s="97">
        <f t="shared" si="839"/>
        <v>278588331.7412377</v>
      </c>
    </row>
    <row r="268" spans="1:26" ht="30" x14ac:dyDescent="0.25">
      <c r="A268" s="4" t="s">
        <v>89</v>
      </c>
      <c r="C268" s="27" t="s">
        <v>52</v>
      </c>
      <c r="D268" s="16" t="s">
        <v>110</v>
      </c>
      <c r="E268" s="13"/>
      <c r="F268" s="19" t="s">
        <v>122</v>
      </c>
      <c r="G268" s="97">
        <f t="shared" ref="G268:H268" si="840">G265*G201/$G$9</f>
        <v>282667549.44820035</v>
      </c>
      <c r="H268" s="97">
        <f t="shared" si="840"/>
        <v>191738689.75016618</v>
      </c>
      <c r="I268" s="97">
        <f t="shared" ref="I268:L268" si="841">I265*I201/$G$9</f>
        <v>284249231.90351915</v>
      </c>
      <c r="J268" s="97">
        <f t="shared" si="841"/>
        <v>278212439.42470521</v>
      </c>
      <c r="K268" s="97">
        <f t="shared" si="841"/>
        <v>281881125.09882051</v>
      </c>
      <c r="L268" s="97">
        <f t="shared" si="841"/>
        <v>191692630.70672154</v>
      </c>
      <c r="M268" s="97">
        <f t="shared" ref="M268:P268" si="842">M265*M201/$G$9</f>
        <v>284092398.41313612</v>
      </c>
      <c r="N268" s="97">
        <f t="shared" si="842"/>
        <v>278329360.67103404</v>
      </c>
      <c r="O268" s="97">
        <f t="shared" si="842"/>
        <v>278438756.88900036</v>
      </c>
      <c r="P268" s="97">
        <f t="shared" si="842"/>
        <v>191644080.89934719</v>
      </c>
      <c r="Q268" s="97">
        <f t="shared" ref="Q268:T268" si="843">Q265*Q201/$G$9</f>
        <v>283804911.61480242</v>
      </c>
      <c r="R268" s="97">
        <f t="shared" si="843"/>
        <v>278411126.67039305</v>
      </c>
      <c r="S268" s="97">
        <f t="shared" si="843"/>
        <v>267964569.36264393</v>
      </c>
      <c r="T268" s="97">
        <f t="shared" si="843"/>
        <v>191599333.55794117</v>
      </c>
      <c r="U268" s="97">
        <f t="shared" ref="U268:X268" si="844">U265*U201/$G$9</f>
        <v>283512187.33942783</v>
      </c>
      <c r="V268" s="97">
        <f t="shared" si="844"/>
        <v>278515718.38844502</v>
      </c>
      <c r="W268" s="97">
        <f t="shared" si="844"/>
        <v>267964569.36264393</v>
      </c>
      <c r="X268" s="97">
        <f t="shared" si="844"/>
        <v>191553850.19307515</v>
      </c>
      <c r="Y268" s="97">
        <f t="shared" ref="Y268:Z268" si="845">Y265*Y201/$G$9</f>
        <v>283217396.90972674</v>
      </c>
      <c r="Z268" s="97">
        <f t="shared" si="845"/>
        <v>278588331.7412377</v>
      </c>
    </row>
    <row r="269" spans="1:26" ht="30" x14ac:dyDescent="0.25">
      <c r="A269" s="4" t="s">
        <v>92</v>
      </c>
      <c r="B269" s="1"/>
      <c r="C269" s="27" t="s">
        <v>52</v>
      </c>
      <c r="D269" s="16" t="s">
        <v>107</v>
      </c>
      <c r="E269" s="13"/>
      <c r="F269" s="19" t="s">
        <v>122</v>
      </c>
      <c r="G269" s="97">
        <f t="shared" ref="G269:H269" si="846">G265*$G$5*$G$8/$G$9</f>
        <v>479090773.79556525</v>
      </c>
      <c r="H269" s="97">
        <f t="shared" si="846"/>
        <v>479090773.79556525</v>
      </c>
      <c r="I269" s="97">
        <f t="shared" ref="I269:L269" si="847">I265*$G$5*$G$8/$G$9</f>
        <v>479090773.79556525</v>
      </c>
      <c r="J269" s="97">
        <f t="shared" si="847"/>
        <v>479090773.79556525</v>
      </c>
      <c r="K269" s="97">
        <f t="shared" si="847"/>
        <v>479090773.79556525</v>
      </c>
      <c r="L269" s="97">
        <f t="shared" si="847"/>
        <v>479090773.79556525</v>
      </c>
      <c r="M269" s="97">
        <f t="shared" ref="M269:P269" si="848">M265*$G$5*$G$8/$G$9</f>
        <v>479090773.79556525</v>
      </c>
      <c r="N269" s="97">
        <f t="shared" si="848"/>
        <v>479090773.79556525</v>
      </c>
      <c r="O269" s="97">
        <f t="shared" si="848"/>
        <v>479090773.79556525</v>
      </c>
      <c r="P269" s="97">
        <f t="shared" si="848"/>
        <v>479090773.79556525</v>
      </c>
      <c r="Q269" s="97">
        <f t="shared" ref="Q269:T269" si="849">Q265*$G$5*$G$8/$G$9</f>
        <v>479090773.79556525</v>
      </c>
      <c r="R269" s="97">
        <f t="shared" si="849"/>
        <v>479090773.79556525</v>
      </c>
      <c r="S269" s="97">
        <f t="shared" si="849"/>
        <v>479090773.79556525</v>
      </c>
      <c r="T269" s="97">
        <f t="shared" si="849"/>
        <v>479090773.79556525</v>
      </c>
      <c r="U269" s="97">
        <f t="shared" ref="U269:X269" si="850">U265*$G$5*$G$8/$G$9</f>
        <v>479090773.79556525</v>
      </c>
      <c r="V269" s="97">
        <f t="shared" si="850"/>
        <v>479090773.79556525</v>
      </c>
      <c r="W269" s="97">
        <f t="shared" si="850"/>
        <v>479090773.79556525</v>
      </c>
      <c r="X269" s="97">
        <f t="shared" si="850"/>
        <v>479090773.79556525</v>
      </c>
      <c r="Y269" s="97">
        <f t="shared" ref="Y269:Z269" si="851">Y265*$G$5*$G$8/$G$9</f>
        <v>479090773.79556525</v>
      </c>
      <c r="Z269" s="97">
        <f t="shared" si="851"/>
        <v>479090773.79556525</v>
      </c>
    </row>
    <row r="270" spans="1:26" x14ac:dyDescent="0.25">
      <c r="D270" s="16" t="s">
        <v>134</v>
      </c>
      <c r="E270" s="9"/>
      <c r="F270" s="39" t="s">
        <v>118</v>
      </c>
      <c r="G270" s="95">
        <f t="shared" ref="G270:H270" si="852">PI()^2*$G$4*$G$8*G120/(G35/G123)^2</f>
        <v>182903088.47298083</v>
      </c>
      <c r="H270" s="95">
        <f t="shared" si="852"/>
        <v>182903088.47298083</v>
      </c>
      <c r="I270" s="95">
        <f t="shared" ref="I270:L270" si="853">PI()^2*$G$4*$G$8*I120/(I35/I123)^2</f>
        <v>182903088.47298083</v>
      </c>
      <c r="J270" s="95">
        <f t="shared" si="853"/>
        <v>182903088.47298083</v>
      </c>
      <c r="K270" s="95">
        <f t="shared" si="853"/>
        <v>182903088.47298083</v>
      </c>
      <c r="L270" s="95">
        <f t="shared" si="853"/>
        <v>182903088.47298083</v>
      </c>
      <c r="M270" s="95">
        <f t="shared" ref="M270:P270" si="854">PI()^2*$G$4*$G$8*M120/(M35/M123)^2</f>
        <v>182903088.47298083</v>
      </c>
      <c r="N270" s="95">
        <f t="shared" si="854"/>
        <v>182903088.47298083</v>
      </c>
      <c r="O270" s="95">
        <f t="shared" si="854"/>
        <v>182903088.47298083</v>
      </c>
      <c r="P270" s="95">
        <f t="shared" si="854"/>
        <v>182903088.47298083</v>
      </c>
      <c r="Q270" s="95">
        <f t="shared" ref="Q270:T270" si="855">PI()^2*$G$4*$G$8*Q120/(Q35/Q123)^2</f>
        <v>182903088.47298083</v>
      </c>
      <c r="R270" s="95">
        <f t="shared" si="855"/>
        <v>182903088.47298083</v>
      </c>
      <c r="S270" s="95">
        <f t="shared" si="855"/>
        <v>182903088.47298083</v>
      </c>
      <c r="T270" s="95">
        <f t="shared" si="855"/>
        <v>182903088.47298083</v>
      </c>
      <c r="U270" s="95">
        <f t="shared" ref="U270:X270" si="856">PI()^2*$G$4*$G$8*U120/(U35/U123)^2</f>
        <v>182903088.47298083</v>
      </c>
      <c r="V270" s="95">
        <f t="shared" si="856"/>
        <v>182903088.47298083</v>
      </c>
      <c r="W270" s="95">
        <f t="shared" si="856"/>
        <v>182903088.47298083</v>
      </c>
      <c r="X270" s="95">
        <f t="shared" si="856"/>
        <v>182903088.47298083</v>
      </c>
      <c r="Y270" s="95">
        <f t="shared" ref="Y270:Z270" si="857">PI()^2*$G$4*$G$8*Y120/(Y35/Y123)^2</f>
        <v>182903088.47298083</v>
      </c>
      <c r="Z270" s="95">
        <f t="shared" si="857"/>
        <v>182903088.47298083</v>
      </c>
    </row>
    <row r="271" spans="1:26" x14ac:dyDescent="0.25">
      <c r="A271" s="59"/>
      <c r="B271" s="1"/>
      <c r="C271" s="27"/>
      <c r="D271" s="60"/>
      <c r="E271" s="60"/>
      <c r="F271" s="59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21" customHeight="1" x14ac:dyDescent="0.35">
      <c r="A272" s="4"/>
      <c r="B272" s="1"/>
      <c r="C272" s="25"/>
      <c r="D272" s="28" t="s">
        <v>243</v>
      </c>
      <c r="E272" s="5"/>
      <c r="F272" s="5" t="s">
        <v>78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5">
      <c r="A273" s="4" t="s">
        <v>93</v>
      </c>
      <c r="B273" s="1"/>
      <c r="C273" s="27" t="s">
        <v>52</v>
      </c>
      <c r="D273" s="6" t="s">
        <v>120</v>
      </c>
      <c r="E273" s="6"/>
      <c r="F273" s="6" t="s">
        <v>118</v>
      </c>
      <c r="G273" s="95">
        <f t="shared" ref="G273:H273" si="858">0.02*G41*(G119+G118/3)</f>
        <v>3300.6307839999999</v>
      </c>
      <c r="H273" s="95">
        <f t="shared" si="858"/>
        <v>689.19421199999999</v>
      </c>
      <c r="I273" s="95">
        <f t="shared" ref="I273:L273" si="859">0.02*I41*(I119+I118/3)</f>
        <v>1331.5044640000001</v>
      </c>
      <c r="J273" s="95">
        <f t="shared" si="859"/>
        <v>2302.0024360000002</v>
      </c>
      <c r="K273" s="95">
        <f t="shared" si="859"/>
        <v>3474.1014360000004</v>
      </c>
      <c r="L273" s="95">
        <f t="shared" si="859"/>
        <v>726.70137999999997</v>
      </c>
      <c r="M273" s="95">
        <f t="shared" ref="M273:P273" si="860">0.02*M41*(M119+M118/3)</f>
        <v>1289.3089</v>
      </c>
      <c r="N273" s="95">
        <f t="shared" si="860"/>
        <v>2255.1184759999996</v>
      </c>
      <c r="O273" s="95">
        <f t="shared" si="860"/>
        <v>3647.5720880000003</v>
      </c>
      <c r="P273" s="95">
        <f t="shared" si="860"/>
        <v>764.20854799999995</v>
      </c>
      <c r="Q273" s="95">
        <f t="shared" ref="Q273:T273" si="861">0.02*Q41*(Q119+Q118/3)</f>
        <v>1523.7287000000001</v>
      </c>
      <c r="R273" s="95">
        <f t="shared" si="861"/>
        <v>2212.922912</v>
      </c>
      <c r="S273" s="95">
        <f t="shared" si="861"/>
        <v>3821.0427400000003</v>
      </c>
      <c r="T273" s="95">
        <f t="shared" si="861"/>
        <v>797.02732000000003</v>
      </c>
      <c r="U273" s="95">
        <f t="shared" ref="U273:X273" si="862">0.02*U41*(U119+U118/3)</f>
        <v>1762.8368959999998</v>
      </c>
      <c r="V273" s="95">
        <f t="shared" si="862"/>
        <v>2166.0389519999999</v>
      </c>
      <c r="W273" s="95">
        <f t="shared" si="862"/>
        <v>3994.5133919999994</v>
      </c>
      <c r="X273" s="95">
        <f t="shared" si="862"/>
        <v>834.53448800000012</v>
      </c>
      <c r="Y273" s="95">
        <f t="shared" ref="Y273:Z273" si="863">0.02*Y41*(Y119+Y118/3)</f>
        <v>1997.2566959999997</v>
      </c>
      <c r="Z273" s="95">
        <f t="shared" si="863"/>
        <v>2119.1549919999998</v>
      </c>
    </row>
    <row r="274" spans="1:26" x14ac:dyDescent="0.25">
      <c r="A274" s="4"/>
      <c r="C274" s="27" t="s">
        <v>52</v>
      </c>
      <c r="D274" s="6" t="s">
        <v>121</v>
      </c>
      <c r="E274" s="6"/>
      <c r="F274" s="6" t="s">
        <v>25</v>
      </c>
      <c r="G274" s="98">
        <f t="shared" ref="G274:H274" si="864">G273/G22/G25</f>
        <v>4.7151868342857145E-2</v>
      </c>
      <c r="H274" s="98">
        <f t="shared" si="864"/>
        <v>1.6409386000000001E-2</v>
      </c>
      <c r="I274" s="98">
        <f t="shared" ref="I274:L274" si="865">I273/I22/I25</f>
        <v>1.9021492342857146E-2</v>
      </c>
      <c r="J274" s="98">
        <f t="shared" si="865"/>
        <v>3.2885749085714289E-2</v>
      </c>
      <c r="K274" s="98">
        <f t="shared" si="865"/>
        <v>4.9630020514285715E-2</v>
      </c>
      <c r="L274" s="98">
        <f t="shared" si="865"/>
        <v>1.7302413809523808E-2</v>
      </c>
      <c r="M274" s="98">
        <f t="shared" ref="M274:P274" si="866">M273/M22/M25</f>
        <v>1.8418698571428572E-2</v>
      </c>
      <c r="N274" s="98">
        <f t="shared" si="866"/>
        <v>3.2215978228571425E-2</v>
      </c>
      <c r="O274" s="98">
        <f t="shared" si="866"/>
        <v>5.2108172685714292E-2</v>
      </c>
      <c r="P274" s="98">
        <f t="shared" si="866"/>
        <v>1.8195441619047618E-2</v>
      </c>
      <c r="Q274" s="98">
        <f t="shared" ref="Q274:T274" si="867">Q273/Q22/Q25</f>
        <v>2.1767552857142859E-2</v>
      </c>
      <c r="R274" s="98">
        <f t="shared" si="867"/>
        <v>3.1613184457142854E-2</v>
      </c>
      <c r="S274" s="98">
        <f t="shared" si="867"/>
        <v>5.4586324857142862E-2</v>
      </c>
      <c r="T274" s="98">
        <f t="shared" si="867"/>
        <v>1.897684095238095E-2</v>
      </c>
      <c r="U274" s="98">
        <f t="shared" ref="U274:X274" si="868">U273/U22/U25</f>
        <v>2.5183384228571425E-2</v>
      </c>
      <c r="V274" s="98">
        <f t="shared" si="868"/>
        <v>3.0943413599999997E-2</v>
      </c>
      <c r="W274" s="98">
        <f t="shared" si="868"/>
        <v>5.7064477028571418E-2</v>
      </c>
      <c r="X274" s="98">
        <f t="shared" si="868"/>
        <v>1.9869868761904764E-2</v>
      </c>
      <c r="Y274" s="98">
        <f t="shared" ref="Y274:Z274" si="869">Y273/Y22/Y25</f>
        <v>2.8532238514285709E-2</v>
      </c>
      <c r="Z274" s="98">
        <f t="shared" si="869"/>
        <v>3.027364274285714E-2</v>
      </c>
    </row>
    <row r="275" spans="1:26" x14ac:dyDescent="0.25">
      <c r="A275" s="4" t="s">
        <v>83</v>
      </c>
      <c r="C275" s="27" t="s">
        <v>52</v>
      </c>
      <c r="D275" s="6" t="s">
        <v>44</v>
      </c>
      <c r="E275" s="6"/>
      <c r="F275" s="6" t="s">
        <v>25</v>
      </c>
      <c r="G275" s="98">
        <f t="shared" ref="G275:H275" si="870">0.4*(G17+G118/G16)/(1-G16/G33)*($G$5/$G$4)*(G33/G24)^2*(G39+G219*G43)</f>
        <v>0.46326706611905499</v>
      </c>
      <c r="H275" s="98">
        <f t="shared" si="870"/>
        <v>0.10681939197020279</v>
      </c>
      <c r="I275" s="98">
        <f t="shared" ref="I275:L275" si="871">0.4*(I17+I118/I16)/(1-I16/I33)*($G$5/$G$4)*(I33/I24)^2*(I39+I219*I43)</f>
        <v>0.27633474119382234</v>
      </c>
      <c r="J275" s="98">
        <f t="shared" si="871"/>
        <v>1.8652595030583006</v>
      </c>
      <c r="K275" s="98">
        <f t="shared" si="871"/>
        <v>0.46326706611905499</v>
      </c>
      <c r="L275" s="98">
        <f t="shared" si="871"/>
        <v>0.11378587405521601</v>
      </c>
      <c r="M275" s="98">
        <f t="shared" ref="M275:P275" si="872">0.4*(M17+M118/M16)/(1-M16/M33)*($G$5/$G$4)*(M33/M24)^2*(M39+M219*M43)</f>
        <v>0.27023912190278215</v>
      </c>
      <c r="N275" s="98">
        <f t="shared" si="872"/>
        <v>1.8571320106702471</v>
      </c>
      <c r="O275" s="98">
        <f t="shared" si="872"/>
        <v>0.46326706611905499</v>
      </c>
      <c r="P275" s="98">
        <f t="shared" si="872"/>
        <v>0.12191343648773144</v>
      </c>
      <c r="Q275" s="98">
        <f t="shared" ref="Q275:T275" si="873">0.4*(Q17+Q118/Q16)/(1-Q16/Q33)*($G$5/$G$4)*(Q33/Q24)^2*(Q39+Q219*Q43)</f>
        <v>0.26414350261174191</v>
      </c>
      <c r="R275" s="98">
        <f t="shared" si="873"/>
        <v>1.8510363913792067</v>
      </c>
      <c r="S275" s="98">
        <f t="shared" si="873"/>
        <v>0.46326706611905499</v>
      </c>
      <c r="T275" s="98">
        <f t="shared" si="873"/>
        <v>0.1300409989202469</v>
      </c>
      <c r="U275" s="98">
        <f t="shared" ref="U275:X275" si="874">0.4*(U17+U118/U16)/(1-U16/U33)*($G$5/$G$4)*(U33/U24)^2*(U39+U219*U43)</f>
        <v>0.25804788332070172</v>
      </c>
      <c r="V275" s="98">
        <f t="shared" si="874"/>
        <v>1.8429088989911533</v>
      </c>
      <c r="W275" s="98">
        <f t="shared" si="874"/>
        <v>0.46326706611905499</v>
      </c>
      <c r="X275" s="98">
        <f t="shared" si="874"/>
        <v>0.13700748100526008</v>
      </c>
      <c r="Y275" s="98">
        <f t="shared" ref="Y275:Z275" si="875">0.4*(Y17+Y118/Y16)/(1-Y16/Y33)*($G$5/$G$4)*(Y33/Y24)^2*(Y39+Y219*Y43)</f>
        <v>0.25195226402966153</v>
      </c>
      <c r="Z275" s="98">
        <f t="shared" si="875"/>
        <v>1.8368132797001127</v>
      </c>
    </row>
    <row r="276" spans="1:26" x14ac:dyDescent="0.25">
      <c r="A276" s="4" t="s">
        <v>84</v>
      </c>
      <c r="C276" s="27" t="s">
        <v>52</v>
      </c>
      <c r="D276" s="6" t="s">
        <v>45</v>
      </c>
      <c r="E276" s="6"/>
      <c r="F276" s="6" t="s">
        <v>25</v>
      </c>
      <c r="G276" s="98">
        <f t="shared" ref="G276:H276" si="876">0.4*(G17+G118/G16)/(G29*(1-G16/G33))*($G$5/$G$4)*(G33/G24)^2*(G219*G43)</f>
        <v>0</v>
      </c>
      <c r="H276" s="98">
        <f t="shared" si="876"/>
        <v>0</v>
      </c>
      <c r="I276" s="98">
        <f t="shared" ref="I276:L276" si="877">0.4*(I17+I118/I16)/(I29*(1-I16/I33))*($G$5/$G$4)*(I33/I24)^2*(I219*I43)</f>
        <v>0</v>
      </c>
      <c r="J276" s="98">
        <f t="shared" si="877"/>
        <v>0</v>
      </c>
      <c r="K276" s="98">
        <f t="shared" si="877"/>
        <v>0</v>
      </c>
      <c r="L276" s="98">
        <f t="shared" si="877"/>
        <v>0</v>
      </c>
      <c r="M276" s="98">
        <f t="shared" ref="M276:P276" si="878">0.4*(M17+M118/M16)/(M29*(1-M16/M33))*($G$5/$G$4)*(M33/M24)^2*(M219*M43)</f>
        <v>0</v>
      </c>
      <c r="N276" s="98">
        <f t="shared" si="878"/>
        <v>0</v>
      </c>
      <c r="O276" s="98">
        <f t="shared" si="878"/>
        <v>0</v>
      </c>
      <c r="P276" s="98">
        <f t="shared" si="878"/>
        <v>0</v>
      </c>
      <c r="Q276" s="98">
        <f t="shared" ref="Q276:T276" si="879">0.4*(Q17+Q118/Q16)/(Q29*(1-Q16/Q33))*($G$5/$G$4)*(Q33/Q24)^2*(Q219*Q43)</f>
        <v>0</v>
      </c>
      <c r="R276" s="98">
        <f t="shared" si="879"/>
        <v>0</v>
      </c>
      <c r="S276" s="98">
        <f t="shared" si="879"/>
        <v>0</v>
      </c>
      <c r="T276" s="98">
        <f t="shared" si="879"/>
        <v>0</v>
      </c>
      <c r="U276" s="98">
        <f t="shared" ref="U276:X276" si="880">0.4*(U17+U118/U16)/(U29*(1-U16/U33))*($G$5/$G$4)*(U33/U24)^2*(U219*U43)</f>
        <v>0</v>
      </c>
      <c r="V276" s="98">
        <f t="shared" si="880"/>
        <v>0</v>
      </c>
      <c r="W276" s="98">
        <f t="shared" si="880"/>
        <v>0</v>
      </c>
      <c r="X276" s="98">
        <f t="shared" si="880"/>
        <v>0</v>
      </c>
      <c r="Y276" s="98">
        <f t="shared" ref="Y276:Z276" si="881">0.4*(Y17+Y118/Y16)/(Y29*(1-Y16/Y33))*($G$5/$G$4)*(Y33/Y24)^2*(Y219*Y43)</f>
        <v>0</v>
      </c>
      <c r="Z276" s="98">
        <f t="shared" si="881"/>
        <v>0</v>
      </c>
    </row>
    <row r="277" spans="1:26" x14ac:dyDescent="0.25">
      <c r="A277" s="4"/>
      <c r="C277" s="27" t="s">
        <v>52</v>
      </c>
      <c r="D277" s="5" t="s">
        <v>218</v>
      </c>
      <c r="E277" s="9"/>
      <c r="F277" s="6" t="s">
        <v>25</v>
      </c>
      <c r="G277" s="98">
        <f t="shared" ref="G277:H277" si="882">IF(G36="yes",G276,G275)</f>
        <v>0</v>
      </c>
      <c r="H277" s="98">
        <f t="shared" si="882"/>
        <v>0</v>
      </c>
      <c r="I277" s="98">
        <f t="shared" ref="I277:L277" si="883">IF(I36="yes",I276,I275)</f>
        <v>0</v>
      </c>
      <c r="J277" s="98">
        <f t="shared" si="883"/>
        <v>0</v>
      </c>
      <c r="K277" s="98">
        <f t="shared" si="883"/>
        <v>0</v>
      </c>
      <c r="L277" s="98">
        <f t="shared" si="883"/>
        <v>0</v>
      </c>
      <c r="M277" s="98">
        <f t="shared" ref="M277:P277" si="884">IF(M36="yes",M276,M275)</f>
        <v>0</v>
      </c>
      <c r="N277" s="98">
        <f t="shared" si="884"/>
        <v>0</v>
      </c>
      <c r="O277" s="98">
        <f t="shared" si="884"/>
        <v>0</v>
      </c>
      <c r="P277" s="98">
        <f t="shared" si="884"/>
        <v>0</v>
      </c>
      <c r="Q277" s="98">
        <f t="shared" ref="Q277:T277" si="885">IF(Q36="yes",Q276,Q275)</f>
        <v>0</v>
      </c>
      <c r="R277" s="98">
        <f t="shared" si="885"/>
        <v>0</v>
      </c>
      <c r="S277" s="98">
        <f t="shared" si="885"/>
        <v>0</v>
      </c>
      <c r="T277" s="98">
        <f t="shared" si="885"/>
        <v>0</v>
      </c>
      <c r="U277" s="98">
        <f t="shared" ref="U277:X277" si="886">IF(U36="yes",U276,U275)</f>
        <v>0</v>
      </c>
      <c r="V277" s="98">
        <f t="shared" si="886"/>
        <v>0</v>
      </c>
      <c r="W277" s="98">
        <f t="shared" si="886"/>
        <v>0</v>
      </c>
      <c r="X277" s="98">
        <f t="shared" si="886"/>
        <v>0</v>
      </c>
      <c r="Y277" s="98">
        <f t="shared" ref="Y277:Z277" si="887">IF(Y36="yes",Y276,Y275)</f>
        <v>0</v>
      </c>
      <c r="Z277" s="98">
        <f t="shared" si="887"/>
        <v>0</v>
      </c>
    </row>
    <row r="278" spans="1:26" x14ac:dyDescent="0.25">
      <c r="A278" s="4" t="s">
        <v>85</v>
      </c>
      <c r="B278"/>
      <c r="C278" s="27" t="s">
        <v>52</v>
      </c>
      <c r="D278" s="13" t="s">
        <v>40</v>
      </c>
      <c r="E278" s="13"/>
      <c r="F278" s="13" t="s">
        <v>119</v>
      </c>
      <c r="G278" s="99">
        <f t="shared" ref="G278:H278" si="888">(G274+G275)*G24</f>
        <v>1138.2342238500639</v>
      </c>
      <c r="H278" s="99">
        <f t="shared" si="888"/>
        <v>363.52489501209823</v>
      </c>
      <c r="I278" s="99">
        <f t="shared" ref="I278:L278" si="889">(I274+I275)*I24</f>
        <v>658.64440078679525</v>
      </c>
      <c r="J278" s="99">
        <f t="shared" si="889"/>
        <v>4232.8639122811537</v>
      </c>
      <c r="K278" s="99">
        <f t="shared" si="889"/>
        <v>1143.7605031923497</v>
      </c>
      <c r="L278" s="99">
        <f t="shared" si="889"/>
        <v>386.71044920098245</v>
      </c>
      <c r="M278" s="99">
        <f t="shared" ref="M278:P278" si="890">(M274+M275)*M24</f>
        <v>643.7069396574899</v>
      </c>
      <c r="N278" s="99">
        <f t="shared" si="890"/>
        <v>4213.2460152443655</v>
      </c>
      <c r="O278" s="99">
        <f t="shared" si="890"/>
        <v>1149.2867825346357</v>
      </c>
      <c r="P278" s="99">
        <f t="shared" si="890"/>
        <v>413.32119041499817</v>
      </c>
      <c r="Q278" s="99">
        <f t="shared" ref="Q278:T278" si="891">(Q274+Q275)*Q24</f>
        <v>637.58165369561311</v>
      </c>
      <c r="R278" s="99">
        <f t="shared" si="891"/>
        <v>4198.3085541150595</v>
      </c>
      <c r="S278" s="99">
        <f t="shared" si="891"/>
        <v>1154.8130618769212</v>
      </c>
      <c r="T278" s="99">
        <f t="shared" si="891"/>
        <v>439.60262762425214</v>
      </c>
      <c r="U278" s="99">
        <f t="shared" ref="U278:X278" si="892">(U274+U275)*U24</f>
        <v>631.60572663487915</v>
      </c>
      <c r="V278" s="99">
        <f t="shared" si="892"/>
        <v>4178.6906570782721</v>
      </c>
      <c r="W278" s="99">
        <f t="shared" si="892"/>
        <v>1160.339341219207</v>
      </c>
      <c r="X278" s="99">
        <f t="shared" si="892"/>
        <v>462.7881818131363</v>
      </c>
      <c r="Y278" s="99">
        <f t="shared" ref="Y278:Z278" si="893">(Y274+Y275)*Y24</f>
        <v>625.48044067300236</v>
      </c>
      <c r="Z278" s="99">
        <f t="shared" si="893"/>
        <v>4163.6038370478227</v>
      </c>
    </row>
    <row r="279" spans="1:26" x14ac:dyDescent="0.25">
      <c r="D279" s="9" t="s">
        <v>278</v>
      </c>
      <c r="E279" s="9"/>
      <c r="F279" s="9" t="s">
        <v>10</v>
      </c>
      <c r="G279" s="9">
        <f t="shared" ref="G279:H279" si="894">G33/2</f>
        <v>1750</v>
      </c>
      <c r="H279" s="9">
        <f t="shared" si="894"/>
        <v>1750</v>
      </c>
      <c r="I279" s="9">
        <f t="shared" ref="I279:L279" si="895">I33/2</f>
        <v>1750</v>
      </c>
      <c r="J279" s="9">
        <f t="shared" si="895"/>
        <v>1750</v>
      </c>
      <c r="K279" s="9">
        <f t="shared" si="895"/>
        <v>1750</v>
      </c>
      <c r="L279" s="9">
        <f t="shared" si="895"/>
        <v>1750</v>
      </c>
      <c r="M279" s="9">
        <f t="shared" ref="M279:P279" si="896">M33/2</f>
        <v>1750</v>
      </c>
      <c r="N279" s="9">
        <f t="shared" si="896"/>
        <v>1750</v>
      </c>
      <c r="O279" s="9">
        <f t="shared" si="896"/>
        <v>1750</v>
      </c>
      <c r="P279" s="9">
        <f t="shared" si="896"/>
        <v>1750</v>
      </c>
      <c r="Q279" s="9">
        <f t="shared" ref="Q279:T279" si="897">Q33/2</f>
        <v>1750</v>
      </c>
      <c r="R279" s="9">
        <f t="shared" si="897"/>
        <v>1750</v>
      </c>
      <c r="S279" s="9">
        <f t="shared" si="897"/>
        <v>1750</v>
      </c>
      <c r="T279" s="9">
        <f t="shared" si="897"/>
        <v>1750</v>
      </c>
      <c r="U279" s="9">
        <f t="shared" ref="U279:X279" si="898">U33/2</f>
        <v>1750</v>
      </c>
      <c r="V279" s="9">
        <f t="shared" si="898"/>
        <v>1750</v>
      </c>
      <c r="W279" s="9">
        <f t="shared" si="898"/>
        <v>1750</v>
      </c>
      <c r="X279" s="9">
        <f t="shared" si="898"/>
        <v>1750</v>
      </c>
      <c r="Y279" s="9">
        <f t="shared" ref="Y279:Z279" si="899">Y33/2</f>
        <v>1750</v>
      </c>
      <c r="Z279" s="9">
        <f t="shared" si="899"/>
        <v>1750</v>
      </c>
    </row>
    <row r="280" spans="1:26" ht="15" customHeight="1" x14ac:dyDescent="0.25">
      <c r="A280" s="4" t="s">
        <v>79</v>
      </c>
      <c r="B280" s="18"/>
      <c r="C280" s="27" t="s">
        <v>52</v>
      </c>
      <c r="D280" s="6" t="s">
        <v>39</v>
      </c>
      <c r="E280" s="6"/>
      <c r="F280" s="6" t="s">
        <v>118</v>
      </c>
      <c r="G280" s="95">
        <f t="shared" ref="G280:H280" si="900">G41*(G24*G17+G117)</f>
        <v>1619250.6316800001</v>
      </c>
      <c r="H280" s="95">
        <f t="shared" si="900"/>
        <v>425678.77799999999</v>
      </c>
      <c r="I280" s="95">
        <f t="shared" ref="I280:L280" si="901">I41*(I24*I17+I117)</f>
        <v>653220.42527999997</v>
      </c>
      <c r="J280" s="95">
        <f t="shared" si="901"/>
        <v>1129335.31272</v>
      </c>
      <c r="K280" s="95">
        <f t="shared" si="901"/>
        <v>1704353.29272</v>
      </c>
      <c r="L280" s="95">
        <f t="shared" si="901"/>
        <v>448844.97000000003</v>
      </c>
      <c r="M280" s="95">
        <f t="shared" ref="M280:P280" si="902">M41*(M24*M17+M117)</f>
        <v>632519.77800000005</v>
      </c>
      <c r="N280" s="95">
        <f t="shared" si="902"/>
        <v>1106334.5935199999</v>
      </c>
      <c r="O280" s="95">
        <f t="shared" si="902"/>
        <v>1789455.9537600002</v>
      </c>
      <c r="P280" s="95">
        <f t="shared" si="902"/>
        <v>472011.16199999995</v>
      </c>
      <c r="Q280" s="95">
        <f t="shared" ref="Q280:T280" si="903">Q41*(Q24*Q17+Q117)</f>
        <v>747523.37400000007</v>
      </c>
      <c r="R280" s="95">
        <f t="shared" si="903"/>
        <v>1085633.94624</v>
      </c>
      <c r="S280" s="95">
        <f t="shared" si="903"/>
        <v>1874558.6148000001</v>
      </c>
      <c r="T280" s="95">
        <f t="shared" si="903"/>
        <v>492281.58</v>
      </c>
      <c r="U280" s="95">
        <f t="shared" ref="U280:X280" si="904">U41*(U24*U17+U117)</f>
        <v>864827.04191999999</v>
      </c>
      <c r="V280" s="95">
        <f t="shared" si="904"/>
        <v>1062633.22704</v>
      </c>
      <c r="W280" s="95">
        <f t="shared" si="904"/>
        <v>1959661.27584</v>
      </c>
      <c r="X280" s="95">
        <f t="shared" si="904"/>
        <v>515447.77200000006</v>
      </c>
      <c r="Y280" s="95">
        <f t="shared" ref="Y280:Z280" si="905">Y41*(Y24*Y17+Y117)</f>
        <v>979830.63792000001</v>
      </c>
      <c r="Z280" s="95">
        <f t="shared" si="905"/>
        <v>1039632.5078399999</v>
      </c>
    </row>
    <row r="281" spans="1:26" ht="15" customHeight="1" x14ac:dyDescent="0.25">
      <c r="A281" s="4"/>
      <c r="B281"/>
      <c r="C281" s="27"/>
      <c r="D281" s="11" t="s">
        <v>150</v>
      </c>
      <c r="E281" s="6"/>
      <c r="F281" s="73" t="s">
        <v>149</v>
      </c>
      <c r="G281" s="99">
        <f t="shared" ref="G281:H281" si="906">G278*((G33/1000)^2)/12</f>
        <v>1161.9474368469403</v>
      </c>
      <c r="H281" s="99">
        <f t="shared" si="906"/>
        <v>371.09833032485022</v>
      </c>
      <c r="I281" s="99">
        <f t="shared" ref="I281:L281" si="907">I278*((I33/1000)^2)/12</f>
        <v>672.3661591365202</v>
      </c>
      <c r="J281" s="99">
        <f t="shared" si="907"/>
        <v>4321.0485771203448</v>
      </c>
      <c r="K281" s="99">
        <f t="shared" si="907"/>
        <v>1167.5888470088569</v>
      </c>
      <c r="L281" s="99">
        <f t="shared" si="907"/>
        <v>394.7669168926696</v>
      </c>
      <c r="M281" s="99">
        <f t="shared" ref="M281:P281" si="908">M278*((M33/1000)^2)/12</f>
        <v>657.11750090035423</v>
      </c>
      <c r="N281" s="99">
        <f t="shared" si="908"/>
        <v>4301.0219738952901</v>
      </c>
      <c r="O281" s="99">
        <f t="shared" si="908"/>
        <v>1173.2302571707739</v>
      </c>
      <c r="P281" s="99">
        <f t="shared" si="908"/>
        <v>421.93204854864393</v>
      </c>
      <c r="Q281" s="99">
        <f t="shared" ref="Q281:T281" si="909">Q278*((Q33/1000)^2)/12</f>
        <v>650.86460481427173</v>
      </c>
      <c r="R281" s="99">
        <f t="shared" si="909"/>
        <v>4285.773315659123</v>
      </c>
      <c r="S281" s="99">
        <f t="shared" si="909"/>
        <v>1178.8716673326905</v>
      </c>
      <c r="T281" s="99">
        <f t="shared" si="909"/>
        <v>448.76101569975737</v>
      </c>
      <c r="U281" s="99">
        <f t="shared" ref="U281:X281" si="910">U278*((U33/1000)^2)/12</f>
        <v>644.76417927310581</v>
      </c>
      <c r="V281" s="99">
        <f t="shared" si="910"/>
        <v>4265.7467124340692</v>
      </c>
      <c r="W281" s="99">
        <f t="shared" si="910"/>
        <v>1184.5130774946072</v>
      </c>
      <c r="X281" s="99">
        <f t="shared" si="910"/>
        <v>472.42960226757663</v>
      </c>
      <c r="Y281" s="99">
        <f t="shared" ref="Y281:Z281" si="911">Y278*((Y33/1000)^2)/12</f>
        <v>638.5112831870232</v>
      </c>
      <c r="Z281" s="99">
        <f t="shared" si="911"/>
        <v>4250.3455836529856</v>
      </c>
    </row>
    <row r="282" spans="1:26" ht="15" customHeight="1" x14ac:dyDescent="0.25">
      <c r="A282" s="4"/>
      <c r="B282"/>
      <c r="C282" s="27"/>
      <c r="D282" s="9" t="s">
        <v>151</v>
      </c>
      <c r="E282" s="6"/>
      <c r="F282" s="39" t="s">
        <v>149</v>
      </c>
      <c r="G282" s="99">
        <f t="shared" ref="G282:H282" si="912">G278*((G33/1000)^2)/24</f>
        <v>580.97371842347013</v>
      </c>
      <c r="H282" s="99">
        <f t="shared" si="912"/>
        <v>185.54916516242511</v>
      </c>
      <c r="I282" s="99">
        <f t="shared" ref="I282:L282" si="913">I278*((I33/1000)^2)/24</f>
        <v>336.1830795682601</v>
      </c>
      <c r="J282" s="99">
        <f t="shared" si="913"/>
        <v>2160.5242885601724</v>
      </c>
      <c r="K282" s="99">
        <f t="shared" si="913"/>
        <v>583.79442350442844</v>
      </c>
      <c r="L282" s="99">
        <f t="shared" si="913"/>
        <v>197.3834584463348</v>
      </c>
      <c r="M282" s="99">
        <f t="shared" ref="M282:P282" si="914">M278*((M33/1000)^2)/24</f>
        <v>328.55875045017711</v>
      </c>
      <c r="N282" s="99">
        <f t="shared" si="914"/>
        <v>2150.5109869476451</v>
      </c>
      <c r="O282" s="99">
        <f t="shared" si="914"/>
        <v>586.61512858538697</v>
      </c>
      <c r="P282" s="99">
        <f t="shared" si="914"/>
        <v>210.96602427432197</v>
      </c>
      <c r="Q282" s="99">
        <f t="shared" ref="Q282:T282" si="915">Q278*((Q33/1000)^2)/24</f>
        <v>325.43230240713586</v>
      </c>
      <c r="R282" s="99">
        <f t="shared" si="915"/>
        <v>2142.8866578295615</v>
      </c>
      <c r="S282" s="99">
        <f t="shared" si="915"/>
        <v>589.43583366634527</v>
      </c>
      <c r="T282" s="99">
        <f t="shared" si="915"/>
        <v>224.38050784987868</v>
      </c>
      <c r="U282" s="99">
        <f t="shared" ref="U282:X282" si="916">U278*((U33/1000)^2)/24</f>
        <v>322.38208963655291</v>
      </c>
      <c r="V282" s="99">
        <f t="shared" si="916"/>
        <v>2132.8733562170346</v>
      </c>
      <c r="W282" s="99">
        <f t="shared" si="916"/>
        <v>592.25653874730358</v>
      </c>
      <c r="X282" s="99">
        <f t="shared" si="916"/>
        <v>236.21480113378831</v>
      </c>
      <c r="Y282" s="99">
        <f t="shared" ref="Y282:Z282" si="917">Y278*((Y33/1000)^2)/24</f>
        <v>319.2556415935116</v>
      </c>
      <c r="Z282" s="99">
        <f t="shared" si="917"/>
        <v>2125.1727918264928</v>
      </c>
    </row>
    <row r="283" spans="1:26" x14ac:dyDescent="0.25">
      <c r="D283" s="9" t="s">
        <v>154</v>
      </c>
      <c r="E283" s="6"/>
      <c r="F283" s="9" t="s">
        <v>5</v>
      </c>
      <c r="G283" s="9">
        <f t="shared" ref="G283:H283" si="918">(G43/G273)^2</f>
        <v>7.3743468545354491E-8</v>
      </c>
      <c r="H283" s="9">
        <f t="shared" si="918"/>
        <v>0</v>
      </c>
      <c r="I283" s="9">
        <f t="shared" ref="I283:L283" si="919">(I43/I273)^2</f>
        <v>4.5313979005373919E-5</v>
      </c>
      <c r="J283" s="9">
        <f t="shared" si="919"/>
        <v>6.6346205999565762E-6</v>
      </c>
      <c r="K283" s="9">
        <f t="shared" si="919"/>
        <v>1.2761178068854894E-7</v>
      </c>
      <c r="L283" s="9">
        <f t="shared" si="919"/>
        <v>0</v>
      </c>
      <c r="M283" s="9">
        <f t="shared" ref="M283:P283" si="920">(M43/M273)^2</f>
        <v>8.0711487317338209E-5</v>
      </c>
      <c r="N283" s="9">
        <f t="shared" si="920"/>
        <v>7.0750665136640181E-6</v>
      </c>
      <c r="O283" s="9">
        <f t="shared" si="920"/>
        <v>1.7292920393867439E-7</v>
      </c>
      <c r="P283" s="9">
        <f t="shared" si="920"/>
        <v>0</v>
      </c>
      <c r="Q283" s="9">
        <f t="shared" ref="Q283:T283" si="921">(Q43/Q273)^2</f>
        <v>8.688601789480148E-5</v>
      </c>
      <c r="R283" s="9">
        <f t="shared" si="921"/>
        <v>7.5173283738018246E-6</v>
      </c>
      <c r="S283" s="9">
        <f t="shared" si="921"/>
        <v>2.3735286889617311E-7</v>
      </c>
      <c r="T283" s="9">
        <f t="shared" si="921"/>
        <v>0</v>
      </c>
      <c r="U283" s="9">
        <f t="shared" ref="U283:X283" si="922">(U43/U273)^2</f>
        <v>9.1820288599955225E-5</v>
      </c>
      <c r="V283" s="9">
        <f t="shared" si="922"/>
        <v>8.0256134215151012E-6</v>
      </c>
      <c r="W283" s="9">
        <f t="shared" si="922"/>
        <v>2.8630331245341468E-7</v>
      </c>
      <c r="X283" s="9">
        <f t="shared" si="922"/>
        <v>0</v>
      </c>
      <c r="Y283" s="9">
        <f t="shared" ref="Y283:Z283" si="923">(Y43/Y273)^2</f>
        <v>9.5441190389517258E-5</v>
      </c>
      <c r="Z283" s="9">
        <f t="shared" si="923"/>
        <v>8.5741351310117706E-6</v>
      </c>
    </row>
    <row r="284" spans="1:26" s="12" customFormat="1" x14ac:dyDescent="0.25">
      <c r="A284" s="26"/>
      <c r="B284" s="69"/>
      <c r="C284" s="27"/>
    </row>
    <row r="285" spans="1:26" ht="21" x14ac:dyDescent="0.35">
      <c r="D285" s="28" t="s">
        <v>244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D286" s="9" t="s">
        <v>167</v>
      </c>
      <c r="E286" s="9"/>
      <c r="F286" s="9"/>
      <c r="G286" s="9">
        <f t="shared" ref="G286:H286" si="924">G280/G263+(G281-G280*G279/1000)/(G267*(1-G280/G270))+G283</f>
        <v>0.3691133626714414</v>
      </c>
      <c r="H286" s="9">
        <f t="shared" si="924"/>
        <v>0.11230130549020451</v>
      </c>
      <c r="I286" s="9">
        <f t="shared" ref="I286:L286" si="925">I280/I263+(I281-I280*I279/1000)/(I267*(1-I280/I270))+I283</f>
        <v>0.14815681128616459</v>
      </c>
      <c r="J286" s="9">
        <f t="shared" si="925"/>
        <v>0.26152562900198506</v>
      </c>
      <c r="K286" s="9">
        <f t="shared" si="925"/>
        <v>0.38957294634290479</v>
      </c>
      <c r="L286" s="9">
        <f t="shared" si="925"/>
        <v>0.11844041158305181</v>
      </c>
      <c r="M286" s="9">
        <f t="shared" ref="M286:P286" si="926">M280/M263+(M281-M280*M279/1000)/(M267*(1-M280/M270))+M283</f>
        <v>0.1435768126397865</v>
      </c>
      <c r="N286" s="9">
        <f t="shared" si="926"/>
        <v>0.2560951549956707</v>
      </c>
      <c r="O286" s="9">
        <f t="shared" si="926"/>
        <v>0.41398979277711351</v>
      </c>
      <c r="P286" s="9">
        <f t="shared" si="926"/>
        <v>0.12458397540545785</v>
      </c>
      <c r="Q286" s="9">
        <f t="shared" ref="Q286:T286" si="927">Q280/Q263+(Q281-Q280*Q279/1000)/(Q267*(1-Q280/Q270))+Q283</f>
        <v>0.16983865762752581</v>
      </c>
      <c r="R286" s="9">
        <f t="shared" si="927"/>
        <v>0.25123239697859989</v>
      </c>
      <c r="S286" s="9">
        <f t="shared" si="927"/>
        <v>0.45033259870056963</v>
      </c>
      <c r="T286" s="9">
        <f t="shared" si="927"/>
        <v>0.12996358807343311</v>
      </c>
      <c r="U286" s="9">
        <f t="shared" ref="U286:X286" si="928">U280/U263+(U281-U280*U279/1000)/(U267*(1-U280/U270))+U283</f>
        <v>0.19667701352685271</v>
      </c>
      <c r="V286" s="9">
        <f t="shared" si="928"/>
        <v>0.24582067455287226</v>
      </c>
      <c r="W286" s="9">
        <f t="shared" si="928"/>
        <v>0.47077092430455064</v>
      </c>
      <c r="X286" s="9">
        <f t="shared" si="928"/>
        <v>0.13611070392347036</v>
      </c>
      <c r="Y286" s="9">
        <f t="shared" ref="Y286:Z286" si="929">Y280/Y263+(Y281-Y280*Y279/1000)/(Y267*(1-Y280/Y270))+Y283</f>
        <v>0.2230459590003166</v>
      </c>
      <c r="Z286" s="9">
        <f t="shared" si="929"/>
        <v>0.24044009277382011</v>
      </c>
    </row>
    <row r="287" spans="1:26" x14ac:dyDescent="0.25">
      <c r="D287" s="9" t="s">
        <v>168</v>
      </c>
      <c r="E287" s="9"/>
      <c r="F287" s="9"/>
      <c r="G287" s="9">
        <f t="shared" ref="G287:H287" si="930">G280/G262-2*G280/G261+(G281-G280*G279/1000)/(G266*(1-G280/G270))+G283</f>
        <v>-0.24016506398505297</v>
      </c>
      <c r="H287" s="9">
        <f t="shared" si="930"/>
        <v>-5.0255277605973814E-2</v>
      </c>
      <c r="I287" s="9">
        <f t="shared" ref="I287:L287" si="931">I280/I262-2*I280/I261+(I281-I280*I279/1000)/(I266*(1-I280/I270))+I283</f>
        <v>-9.6834961334715863E-2</v>
      </c>
      <c r="J287" s="9">
        <f t="shared" si="931"/>
        <v>-0.16748852360370761</v>
      </c>
      <c r="K287" s="9">
        <f t="shared" si="931"/>
        <v>-0.25278837785269714</v>
      </c>
      <c r="L287" s="9">
        <f t="shared" si="931"/>
        <v>-5.2990327790101599E-2</v>
      </c>
      <c r="M287" s="9">
        <f t="shared" ref="M287:P287" si="932">M280/M262-2*M280/M261+(M281-M280*M279/1000)/(M266*(1-M280/M270))+M283</f>
        <v>-9.3729319564154659E-2</v>
      </c>
      <c r="N287" s="9">
        <f t="shared" si="932"/>
        <v>-0.16407655127374732</v>
      </c>
      <c r="O287" s="9">
        <f t="shared" si="932"/>
        <v>-0.26541180238847856</v>
      </c>
      <c r="P287" s="9">
        <f t="shared" si="932"/>
        <v>-5.5725382870459778E-2</v>
      </c>
      <c r="Q287" s="9">
        <f t="shared" ref="Q287:T287" si="933">Q280/Q262-2*Q280/Q261+(Q281-Q280*Q279/1000)/(Q266*(1-Q280/Q270))+Q283</f>
        <v>-0.11078019818673741</v>
      </c>
      <c r="R287" s="9">
        <f t="shared" si="933"/>
        <v>-0.16100573462808535</v>
      </c>
      <c r="S287" s="9">
        <f t="shared" si="933"/>
        <v>-0.2780353100792845</v>
      </c>
      <c r="T287" s="9">
        <f t="shared" si="933"/>
        <v>-5.8118559946311307E-2</v>
      </c>
      <c r="U287" s="9">
        <f t="shared" ref="U287:X287" si="934">U280/U262-2*U280/U261+(U281-U280*U279/1000)/(U266*(1-U280/U270))+U283</f>
        <v>-0.1281736470498219</v>
      </c>
      <c r="V287" s="9">
        <f t="shared" si="934"/>
        <v>-0.15759370848348397</v>
      </c>
      <c r="W287" s="9">
        <f t="shared" si="934"/>
        <v>-0.29065893564886697</v>
      </c>
      <c r="X287" s="9">
        <f t="shared" si="934"/>
        <v>-6.0853631434630157E-2</v>
      </c>
      <c r="Y287" s="9">
        <f t="shared" ref="Y287:Z287" si="935">Y280/Y262-2*Y280/Y261+(Y281-Y280*Y279/1000)/(Y266*(1-Y280/Y270))+Y283</f>
        <v>-0.14522745047335786</v>
      </c>
      <c r="Z287" s="9">
        <f t="shared" si="935"/>
        <v>-0.15418164614647289</v>
      </c>
    </row>
    <row r="288" spans="1:26" x14ac:dyDescent="0.25">
      <c r="D288" s="9" t="s">
        <v>169</v>
      </c>
      <c r="E288" s="9"/>
      <c r="F288" s="9"/>
      <c r="G288" s="9">
        <f t="shared" ref="G288:H288" si="936">G280/G263-2*G280/G261+(G282+G280*G279/1000)/(G269*(1-G280/G270))+G283</f>
        <v>-9.1042949188389483E-2</v>
      </c>
      <c r="H288" s="9">
        <f t="shared" si="936"/>
        <v>1.8311339309496678E-2</v>
      </c>
      <c r="I288" s="9">
        <f t="shared" ref="I288:L288" si="937">I280/I263-2*I280/I261+(I282+I280*I279/1000)/(I269*(1-I280/I270))+I283</f>
        <v>-3.753189001331747E-2</v>
      </c>
      <c r="J288" s="9">
        <f t="shared" si="937"/>
        <v>-5.9333877585794066E-2</v>
      </c>
      <c r="K288" s="9">
        <f t="shared" si="937"/>
        <v>-9.4729925408560733E-2</v>
      </c>
      <c r="L288" s="9">
        <f t="shared" si="937"/>
        <v>1.9337046726360135E-2</v>
      </c>
      <c r="M288" s="9">
        <f t="shared" ref="M288:P288" si="938">M280/M263-2*M280/M261+(M282+M280*M279/1000)/(M269*(1-M280/M270))+M283</f>
        <v>-3.6225953659438356E-2</v>
      </c>
      <c r="N288" s="9">
        <f t="shared" si="938"/>
        <v>-5.8234042827620645E-2</v>
      </c>
      <c r="O288" s="9">
        <f t="shared" si="938"/>
        <v>-9.4348389759536674E-2</v>
      </c>
      <c r="P288" s="9">
        <f t="shared" si="938"/>
        <v>2.0367431458840554E-2</v>
      </c>
      <c r="Q288" s="9">
        <f t="shared" ref="Q288:T288" si="939">Q280/Q263-2*Q280/Q261+(Q282+Q280*Q279/1000)/(Q269*(1-Q280/Q270))+Q283</f>
        <v>-4.2645880889592508E-2</v>
      </c>
      <c r="R288" s="9">
        <f t="shared" si="939"/>
        <v>-5.7218795632365115E-2</v>
      </c>
      <c r="S288" s="9">
        <f t="shared" si="939"/>
        <v>-8.1706954854934455E-2</v>
      </c>
      <c r="T288" s="9">
        <f t="shared" si="939"/>
        <v>2.1273203677558486E-2</v>
      </c>
      <c r="U288" s="9">
        <f t="shared" ref="U288:X288" si="940">U280/U263-2*U280/U261+(U282+U280*U279/1000)/(U269*(1-U280/U270))+U283</f>
        <v>-4.9139959887586585E-2</v>
      </c>
      <c r="V288" s="9">
        <f t="shared" si="940"/>
        <v>-5.6099576196089122E-2</v>
      </c>
      <c r="W288" s="9">
        <f t="shared" si="940"/>
        <v>-8.5412960533856427E-2</v>
      </c>
      <c r="X288" s="9">
        <f t="shared" si="940"/>
        <v>2.2307426806901232E-2</v>
      </c>
      <c r="Y288" s="9">
        <f t="shared" ref="Y288:Z288" si="941">Y280/Y263-2*Y280/Y261+(Y282+Y280*Y279/1000)/(Y269*(1-Y280/Y270))+Y283</f>
        <v>-5.544677165445832E-2</v>
      </c>
      <c r="Z288" s="9">
        <f t="shared" si="941"/>
        <v>-5.4948305754789095E-2</v>
      </c>
    </row>
    <row r="289" spans="4:26" x14ac:dyDescent="0.25">
      <c r="D289" s="9" t="s">
        <v>170</v>
      </c>
      <c r="E289" s="9"/>
      <c r="F289" s="9"/>
      <c r="G289" s="9">
        <f t="shared" ref="G289:H289" si="942">G280/G263+(G282+G280*G279/1000)/(G266*(1-G280/G270))+G283</f>
        <v>0.38127231920094129</v>
      </c>
      <c r="H289" s="9">
        <f t="shared" si="942"/>
        <v>0.11672869026186271</v>
      </c>
      <c r="I289" s="9">
        <f t="shared" ref="I289:L289" si="943">I280/I263+(I282+I280*I279/1000)/(I266*(1-I280/I270))+I283</f>
        <v>0.1530126251620583</v>
      </c>
      <c r="J289" s="9">
        <f t="shared" si="943"/>
        <v>0.2700841334467971</v>
      </c>
      <c r="K289" s="9">
        <f t="shared" si="943"/>
        <v>0.40240683115372566</v>
      </c>
      <c r="L289" s="9">
        <f t="shared" si="943"/>
        <v>0.12311030453335724</v>
      </c>
      <c r="M289" s="9">
        <f t="shared" ref="M289:P289" si="944">M280/M263+(M282+M280*M279/1000)/(M266*(1-M280/M270))+M283</f>
        <v>0.14828034782590738</v>
      </c>
      <c r="N289" s="9">
        <f t="shared" si="944"/>
        <v>0.2644751351107143</v>
      </c>
      <c r="O289" s="9">
        <f t="shared" si="944"/>
        <v>0.42760965957516389</v>
      </c>
      <c r="P289" s="9">
        <f t="shared" si="944"/>
        <v>0.12949657953134153</v>
      </c>
      <c r="Q289" s="9">
        <f t="shared" ref="Q289:T289" si="945">Q280/Q263+(Q282+Q280*Q279/1000)/(Q266*(1-Q280/Q270))+Q283</f>
        <v>0.17540597094458707</v>
      </c>
      <c r="R289" s="9">
        <f t="shared" si="945"/>
        <v>0.25945241852100126</v>
      </c>
      <c r="S289" s="9">
        <f t="shared" si="945"/>
        <v>0.46507219157606139</v>
      </c>
      <c r="T289" s="9">
        <f t="shared" si="945"/>
        <v>0.1350887419877207</v>
      </c>
      <c r="U289" s="9">
        <f t="shared" ref="U289:X289" si="946">U280/U263+(U282+U280*U279/1000)/(U266*(1-U280/U270))+U283</f>
        <v>0.20312799127478059</v>
      </c>
      <c r="V289" s="9">
        <f t="shared" si="946"/>
        <v>0.25386277800919277</v>
      </c>
      <c r="W289" s="9">
        <f t="shared" si="946"/>
        <v>0.48618708704122032</v>
      </c>
      <c r="X289" s="9">
        <f t="shared" si="946"/>
        <v>0.14147883117058668</v>
      </c>
      <c r="Y289" s="9">
        <f t="shared" ref="Y289:Z289" si="947">Y280/Y263+(Y282+Y280*Y279/1000)/(Y266*(1-Y280/Y270))+Y283</f>
        <v>0.23036601969605683</v>
      </c>
      <c r="Z289" s="9">
        <f t="shared" si="947"/>
        <v>0.24830517118795323</v>
      </c>
    </row>
    <row r="290" spans="4:26" x14ac:dyDescent="0.25">
      <c r="D290" s="9" t="s">
        <v>174</v>
      </c>
      <c r="E290" s="9"/>
      <c r="F290" s="9"/>
      <c r="G290" s="9">
        <f t="shared" ref="G290:H290" si="948">MAX(G286:G289)</f>
        <v>0.38127231920094129</v>
      </c>
      <c r="H290" s="9">
        <f t="shared" si="948"/>
        <v>0.11672869026186271</v>
      </c>
      <c r="I290" s="9">
        <f t="shared" ref="I290:L290" si="949">MAX(I286:I289)</f>
        <v>0.1530126251620583</v>
      </c>
      <c r="J290" s="9">
        <f t="shared" si="949"/>
        <v>0.2700841334467971</v>
      </c>
      <c r="K290" s="9">
        <f t="shared" si="949"/>
        <v>0.40240683115372566</v>
      </c>
      <c r="L290" s="9">
        <f t="shared" si="949"/>
        <v>0.12311030453335724</v>
      </c>
      <c r="M290" s="9">
        <f t="shared" ref="M290:P290" si="950">MAX(M286:M289)</f>
        <v>0.14828034782590738</v>
      </c>
      <c r="N290" s="9">
        <f t="shared" si="950"/>
        <v>0.2644751351107143</v>
      </c>
      <c r="O290" s="9">
        <f t="shared" si="950"/>
        <v>0.42760965957516389</v>
      </c>
      <c r="P290" s="9">
        <f t="shared" si="950"/>
        <v>0.12949657953134153</v>
      </c>
      <c r="Q290" s="9">
        <f t="shared" ref="Q290:T290" si="951">MAX(Q286:Q289)</f>
        <v>0.17540597094458707</v>
      </c>
      <c r="R290" s="9">
        <f t="shared" si="951"/>
        <v>0.25945241852100126</v>
      </c>
      <c r="S290" s="9">
        <f t="shared" si="951"/>
        <v>0.46507219157606139</v>
      </c>
      <c r="T290" s="9">
        <f t="shared" si="951"/>
        <v>0.1350887419877207</v>
      </c>
      <c r="U290" s="9">
        <f t="shared" ref="U290:X290" si="952">MAX(U286:U289)</f>
        <v>0.20312799127478059</v>
      </c>
      <c r="V290" s="9">
        <f t="shared" si="952"/>
        <v>0.25386277800919277</v>
      </c>
      <c r="W290" s="9">
        <f t="shared" si="952"/>
        <v>0.48618708704122032</v>
      </c>
      <c r="X290" s="9">
        <f t="shared" si="952"/>
        <v>0.14147883117058668</v>
      </c>
      <c r="Y290" s="9">
        <f t="shared" ref="Y290:Z290" si="953">MAX(Y286:Y289)</f>
        <v>0.23036601969605683</v>
      </c>
      <c r="Z290" s="9">
        <f t="shared" si="953"/>
        <v>0.24830517118795323</v>
      </c>
    </row>
    <row r="291" spans="4:26" ht="21" x14ac:dyDescent="0.35">
      <c r="D291" s="28" t="s">
        <v>245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4:26" x14ac:dyDescent="0.25">
      <c r="D292" s="9" t="s">
        <v>167</v>
      </c>
      <c r="E292" s="9"/>
      <c r="F292" s="9"/>
      <c r="G292" s="9">
        <f t="shared" ref="G292:H292" si="954">G280/G263-2*G280/G261+(G281+G280*G279/1000)/(G269*(1-G280/G270))+G283</f>
        <v>-9.1041725697805428E-2</v>
      </c>
      <c r="H292" s="9">
        <f t="shared" si="954"/>
        <v>1.8311727507349419E-2</v>
      </c>
      <c r="I292" s="9">
        <f t="shared" ref="I292:L292" si="955">I280/I263-2*I280/I261+(I281+I280*I279/1000)/(I269*(1-I280/I270))+I283</f>
        <v>-3.7531185787633647E-2</v>
      </c>
      <c r="J292" s="9">
        <f t="shared" si="955"/>
        <v>-5.9329339933542044E-2</v>
      </c>
      <c r="K292" s="9">
        <f t="shared" si="955"/>
        <v>-9.4728695400345994E-2</v>
      </c>
      <c r="L292" s="9">
        <f t="shared" si="955"/>
        <v>1.9337459735837094E-2</v>
      </c>
      <c r="M292" s="9">
        <f t="shared" ref="M292:P292" si="956">M280/M263-2*M280/M261+(M281+M280*M279/1000)/(M269*(1-M280/M270))+M283</f>
        <v>-3.6225265483123797E-2</v>
      </c>
      <c r="N292" s="9">
        <f t="shared" si="956"/>
        <v>-5.8229526777294718E-2</v>
      </c>
      <c r="O292" s="9">
        <f t="shared" si="956"/>
        <v>-9.4347153227566163E-2</v>
      </c>
      <c r="P292" s="9">
        <f t="shared" si="956"/>
        <v>2.0367872944831531E-2</v>
      </c>
      <c r="Q292" s="9">
        <f t="shared" ref="Q292:T292" si="957">Q280/Q263-2*Q280/Q261+(Q281+Q280*Q279/1000)/(Q269*(1-Q280/Q270))+Q283</f>
        <v>-4.264519883137409E-2</v>
      </c>
      <c r="R292" s="9">
        <f t="shared" si="957"/>
        <v>-5.7214296105397237E-2</v>
      </c>
      <c r="S292" s="9">
        <f t="shared" si="957"/>
        <v>-8.1705711793074454E-2</v>
      </c>
      <c r="T292" s="9">
        <f t="shared" si="957"/>
        <v>2.1273673288053119E-2</v>
      </c>
      <c r="U292" s="9">
        <f t="shared" ref="U292:X292" si="958">U280/U263-2*U280/U261+(U281+U280*U279/1000)/(U269*(1-U280/U270))+U283</f>
        <v>-4.9139283786773125E-2</v>
      </c>
      <c r="V292" s="9">
        <f t="shared" si="958"/>
        <v>-5.6095098261033378E-2</v>
      </c>
      <c r="W292" s="9">
        <f t="shared" si="958"/>
        <v>-8.5411710935964558E-2</v>
      </c>
      <c r="X292" s="9">
        <f t="shared" si="958"/>
        <v>2.2307921248421313E-2</v>
      </c>
      <c r="Y292" s="9">
        <f t="shared" ref="Y292:Z292" si="959">Y280/Y263-2*Y280/Y261+(Y281+Y280*Y279/1000)/(Y269*(1-Y280/Y270))+Y283</f>
        <v>-5.544610168718709E-2</v>
      </c>
      <c r="Z292" s="9">
        <f t="shared" si="959"/>
        <v>-5.4943844551241516E-2</v>
      </c>
    </row>
    <row r="293" spans="4:26" x14ac:dyDescent="0.25">
      <c r="D293" s="9" t="s">
        <v>168</v>
      </c>
      <c r="E293" s="9"/>
      <c r="F293" s="9"/>
      <c r="G293" s="9">
        <f t="shared" ref="G293:H293" si="960">G280/G263+(G281+G280*G279/1000)/(G266*(1-G280/G270))+G283</f>
        <v>0.38127273915754234</v>
      </c>
      <c r="H293" s="9">
        <f t="shared" si="960"/>
        <v>0.11672882350870001</v>
      </c>
      <c r="I293" s="9">
        <f t="shared" ref="I293:L293" si="961">I280/I263+(I281+I280*I279/1000)/(I266*(1-I280/I270))+I283</f>
        <v>0.15301286688375884</v>
      </c>
      <c r="J293" s="9">
        <f t="shared" si="961"/>
        <v>0.27008569097167023</v>
      </c>
      <c r="K293" s="9">
        <f t="shared" si="961"/>
        <v>0.40240725334746869</v>
      </c>
      <c r="L293" s="9">
        <f t="shared" si="961"/>
        <v>0.12311044629665188</v>
      </c>
      <c r="M293" s="9">
        <f t="shared" ref="M293:P293" si="962">M280/M263+(M281+M280*M279/1000)/(M266*(1-M280/M270))+M283</f>
        <v>0.14828058403874775</v>
      </c>
      <c r="N293" s="9">
        <f t="shared" si="962"/>
        <v>0.26447668522084183</v>
      </c>
      <c r="O293" s="9">
        <f t="shared" si="962"/>
        <v>0.42761008400815115</v>
      </c>
      <c r="P293" s="9">
        <f t="shared" si="962"/>
        <v>0.12949673106904735</v>
      </c>
      <c r="Q293" s="9">
        <f t="shared" ref="Q293:T293" si="963">Q280/Q263+(Q281+Q280*Q279/1000)/(Q266*(1-Q280/Q270))+Q283</f>
        <v>0.17540620505742363</v>
      </c>
      <c r="R293" s="9">
        <f t="shared" si="963"/>
        <v>0.25945396295957446</v>
      </c>
      <c r="S293" s="9">
        <f t="shared" si="963"/>
        <v>0.46507261825039831</v>
      </c>
      <c r="T293" s="9">
        <f t="shared" si="963"/>
        <v>0.13508890317901204</v>
      </c>
      <c r="U293" s="9">
        <f t="shared" ref="U293:X293" si="964">U280/U263+(U281+U280*U279/1000)/(U266*(1-U280/U270))+U283</f>
        <v>0.20312822334276978</v>
      </c>
      <c r="V293" s="9">
        <f t="shared" si="964"/>
        <v>0.25386431503645762</v>
      </c>
      <c r="W293" s="9">
        <f t="shared" si="964"/>
        <v>0.48618751595901522</v>
      </c>
      <c r="X293" s="9">
        <f t="shared" si="964"/>
        <v>0.14147900088499471</v>
      </c>
      <c r="Y293" s="9">
        <f t="shared" ref="Y293:Z293" si="965">Y280/Y263+(Y281+Y280*Y279/1000)/(Y266*(1-Y280/Y270))+Y283</f>
        <v>0.23036624965874045</v>
      </c>
      <c r="Z293" s="9">
        <f t="shared" si="965"/>
        <v>0.24830670247221737</v>
      </c>
    </row>
    <row r="294" spans="4:26" x14ac:dyDescent="0.25">
      <c r="D294" s="9" t="s">
        <v>169</v>
      </c>
      <c r="E294" s="9"/>
      <c r="F294" s="9"/>
      <c r="G294" s="9">
        <f t="shared" ref="G294:H294" si="966">G280/G263+(G282-G280*G279/1000)/(G268*(1-G280/G270))+G283</f>
        <v>0.36911128898787998</v>
      </c>
      <c r="H294" s="9">
        <f t="shared" si="966"/>
        <v>0.11230033551377513</v>
      </c>
      <c r="I294" s="9">
        <f t="shared" ref="I294:L294" si="967">I280/I263+(I282-I280*I279/1000)/(I268*(1-I280/I270))+I283</f>
        <v>0.14815562434178647</v>
      </c>
      <c r="J294" s="9">
        <f t="shared" si="967"/>
        <v>0.26151781501878169</v>
      </c>
      <c r="K294" s="9">
        <f t="shared" si="967"/>
        <v>0.38957085579644779</v>
      </c>
      <c r="L294" s="9">
        <f t="shared" si="967"/>
        <v>0.11843937936272507</v>
      </c>
      <c r="M294" s="9">
        <f t="shared" ref="M294:P294" si="968">M280/M263+(M282-M280*M279/1000)/(M268*(1-M280/M270))+M283</f>
        <v>0.14357565210566137</v>
      </c>
      <c r="N294" s="9">
        <f t="shared" si="968"/>
        <v>0.2560873814785688</v>
      </c>
      <c r="O294" s="9">
        <f t="shared" si="968"/>
        <v>0.41398766516002028</v>
      </c>
      <c r="P294" s="9">
        <f t="shared" si="968"/>
        <v>0.12458287173523727</v>
      </c>
      <c r="Q294" s="9">
        <f t="shared" ref="Q294:T294" si="969">Q280/Q263+(Q282-Q280*Q279/1000)/(Q268*(1-Q280/Q270))+Q283</f>
        <v>0.16983750624576227</v>
      </c>
      <c r="R294" s="9">
        <f t="shared" si="969"/>
        <v>0.25122465417793477</v>
      </c>
      <c r="S294" s="9">
        <f t="shared" si="969"/>
        <v>0.45033037624455685</v>
      </c>
      <c r="T294" s="9">
        <f t="shared" si="969"/>
        <v>0.12996241382062607</v>
      </c>
      <c r="U294" s="9">
        <f t="shared" ref="U294:X294" si="970">U280/U263+(U282-U280*U279/1000)/(U268*(1-U280/U270))+U283</f>
        <v>0.19667587102336839</v>
      </c>
      <c r="V294" s="9">
        <f t="shared" si="970"/>
        <v>0.24581297180136052</v>
      </c>
      <c r="W294" s="9">
        <f t="shared" si="970"/>
        <v>0.47076869016284162</v>
      </c>
      <c r="X294" s="9">
        <f t="shared" si="970"/>
        <v>0.13610946728755718</v>
      </c>
      <c r="Y294" s="9">
        <f t="shared" ref="Y294:Z294" si="971">Y280/Y263+(Y282-Y280*Y279/1000)/(Y268*(1-Y280/Y270))+Y283</f>
        <v>0.22304482568314793</v>
      </c>
      <c r="Z294" s="9">
        <f t="shared" si="971"/>
        <v>0.24043242080333121</v>
      </c>
    </row>
    <row r="295" spans="4:26" x14ac:dyDescent="0.25">
      <c r="D295" s="9" t="s">
        <v>170</v>
      </c>
      <c r="E295" s="9"/>
      <c r="F295" s="9"/>
      <c r="G295" s="9">
        <f t="shared" ref="G295:H295" si="972">G280/G262-2*G280/G261+(G282-G280*G279/1000)/(G266*(1-G280/G270))+G283</f>
        <v>-0.24016548394165407</v>
      </c>
      <c r="H295" s="9">
        <f t="shared" si="972"/>
        <v>-5.0255410852811114E-2</v>
      </c>
      <c r="I295" s="9">
        <f t="shared" ref="I295:L295" si="973">I280/I262-2*I280/I261+(I282-I280*I279/1000)/(I266*(1-I280/I270))+I283</f>
        <v>-9.6835203056416408E-2</v>
      </c>
      <c r="J295" s="9">
        <f t="shared" si="973"/>
        <v>-0.16749008112858077</v>
      </c>
      <c r="K295" s="9">
        <f t="shared" si="973"/>
        <v>-0.25278880004644011</v>
      </c>
      <c r="L295" s="9">
        <f t="shared" si="973"/>
        <v>-5.2990469553396251E-2</v>
      </c>
      <c r="M295" s="9">
        <f t="shared" ref="M295:P295" si="974">M280/M262-2*M280/M261+(M282-M280*M279/1000)/(M266*(1-M280/M270))+M283</f>
        <v>-9.372955577699503E-2</v>
      </c>
      <c r="N295" s="9">
        <f t="shared" si="974"/>
        <v>-0.16407810138387485</v>
      </c>
      <c r="O295" s="9">
        <f t="shared" si="974"/>
        <v>-0.26541222682146587</v>
      </c>
      <c r="P295" s="9">
        <f t="shared" si="974"/>
        <v>-5.5725534408165599E-2</v>
      </c>
      <c r="Q295" s="9">
        <f t="shared" ref="Q295:T295" si="975">Q280/Q262-2*Q280/Q261+(Q282-Q280*Q279/1000)/(Q266*(1-Q280/Q270))+Q283</f>
        <v>-0.110780432299574</v>
      </c>
      <c r="R295" s="9">
        <f t="shared" si="975"/>
        <v>-0.16100727906665854</v>
      </c>
      <c r="S295" s="9">
        <f t="shared" si="975"/>
        <v>-0.27803573675362148</v>
      </c>
      <c r="T295" s="9">
        <f t="shared" si="975"/>
        <v>-5.8118721137602636E-2</v>
      </c>
      <c r="U295" s="9">
        <f t="shared" ref="U295:X295" si="976">U280/U262-2*U280/U261+(U282-U280*U279/1000)/(U266*(1-U280/U270))+U283</f>
        <v>-0.12817387911781108</v>
      </c>
      <c r="V295" s="9">
        <f t="shared" si="976"/>
        <v>-0.1575952455107488</v>
      </c>
      <c r="W295" s="9">
        <f t="shared" si="976"/>
        <v>-0.29065936456666192</v>
      </c>
      <c r="X295" s="9">
        <f t="shared" si="976"/>
        <v>-6.0853801149038197E-2</v>
      </c>
      <c r="Y295" s="9">
        <f t="shared" ref="Y295:Z295" si="977">Y280/Y262-2*Y280/Y261+(Y282-Y280*Y279/1000)/(Y266*(1-Y280/Y270))+Y283</f>
        <v>-0.14522768043604148</v>
      </c>
      <c r="Z295" s="9">
        <f t="shared" si="977"/>
        <v>-0.15418317743073701</v>
      </c>
    </row>
    <row r="296" spans="4:26" x14ac:dyDescent="0.25">
      <c r="D296" s="9" t="s">
        <v>174</v>
      </c>
      <c r="E296" s="9"/>
      <c r="F296" s="9"/>
      <c r="G296" s="9">
        <f t="shared" ref="G296:H296" si="978">MAX(G292:G295)</f>
        <v>0.38127273915754234</v>
      </c>
      <c r="H296" s="9">
        <f t="shared" si="978"/>
        <v>0.11672882350870001</v>
      </c>
      <c r="I296" s="9">
        <f t="shared" ref="I296:L296" si="979">MAX(I292:I295)</f>
        <v>0.15301286688375884</v>
      </c>
      <c r="J296" s="9">
        <f t="shared" si="979"/>
        <v>0.27008569097167023</v>
      </c>
      <c r="K296" s="9">
        <f t="shared" si="979"/>
        <v>0.40240725334746869</v>
      </c>
      <c r="L296" s="9">
        <f t="shared" si="979"/>
        <v>0.12311044629665188</v>
      </c>
      <c r="M296" s="9">
        <f t="shared" ref="M296:P296" si="980">MAX(M292:M295)</f>
        <v>0.14828058403874775</v>
      </c>
      <c r="N296" s="9">
        <f t="shared" si="980"/>
        <v>0.26447668522084183</v>
      </c>
      <c r="O296" s="9">
        <f t="shared" si="980"/>
        <v>0.42761008400815115</v>
      </c>
      <c r="P296" s="9">
        <f t="shared" si="980"/>
        <v>0.12949673106904735</v>
      </c>
      <c r="Q296" s="9">
        <f t="shared" ref="Q296:T296" si="981">MAX(Q292:Q295)</f>
        <v>0.17540620505742363</v>
      </c>
      <c r="R296" s="9">
        <f t="shared" si="981"/>
        <v>0.25945396295957446</v>
      </c>
      <c r="S296" s="9">
        <f t="shared" si="981"/>
        <v>0.46507261825039831</v>
      </c>
      <c r="T296" s="9">
        <f t="shared" si="981"/>
        <v>0.13508890317901204</v>
      </c>
      <c r="U296" s="9">
        <f t="shared" ref="U296:X296" si="982">MAX(U292:U295)</f>
        <v>0.20312822334276978</v>
      </c>
      <c r="V296" s="9">
        <f t="shared" si="982"/>
        <v>0.25386431503645762</v>
      </c>
      <c r="W296" s="9">
        <f t="shared" si="982"/>
        <v>0.48618751595901522</v>
      </c>
      <c r="X296" s="9">
        <f t="shared" si="982"/>
        <v>0.14147900088499471</v>
      </c>
      <c r="Y296" s="9">
        <f t="shared" ref="Y296:Z296" si="983">MAX(Y292:Y295)</f>
        <v>0.23036624965874045</v>
      </c>
      <c r="Z296" s="9">
        <f t="shared" si="983"/>
        <v>0.24830670247221737</v>
      </c>
    </row>
    <row r="298" spans="4:26" ht="15.75" x14ac:dyDescent="0.25">
      <c r="D298" s="8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topLeftCell="A23" zoomScale="85" zoomScaleNormal="85" workbookViewId="0">
      <selection activeCell="H13" sqref="H13:H47"/>
    </sheetView>
  </sheetViews>
  <sheetFormatPr defaultRowHeight="15" x14ac:dyDescent="0.25"/>
  <cols>
    <col min="1" max="1" width="33.85546875" style="12" customWidth="1"/>
    <col min="2" max="2" width="35.42578125" style="12" customWidth="1"/>
    <col min="3" max="3" width="12.85546875" style="12" customWidth="1"/>
    <col min="4" max="4" width="64" style="12" customWidth="1"/>
    <col min="5" max="5" width="10.5703125" style="12" bestFit="1" customWidth="1"/>
    <col min="6" max="6" width="9.140625" style="12"/>
    <col min="7" max="8" width="13.85546875" style="12" customWidth="1"/>
  </cols>
  <sheetData>
    <row r="1" spans="1:8" s="12" customFormat="1" ht="21" x14ac:dyDescent="0.35">
      <c r="A1" s="21" t="s">
        <v>139</v>
      </c>
      <c r="B1" s="21"/>
      <c r="C1" s="1"/>
    </row>
    <row r="2" spans="1:8" s="12" customFormat="1" x14ac:dyDescent="0.25">
      <c r="A2" s="1"/>
      <c r="B2" s="1"/>
      <c r="C2" s="1"/>
    </row>
    <row r="3" spans="1:8" s="12" customFormat="1" ht="21" x14ac:dyDescent="0.35">
      <c r="C3" s="24" t="s">
        <v>50</v>
      </c>
      <c r="D3" s="22" t="s">
        <v>0</v>
      </c>
      <c r="E3" s="9"/>
      <c r="F3" s="10" t="s">
        <v>78</v>
      </c>
      <c r="G3" s="9"/>
    </row>
    <row r="4" spans="1:8" s="12" customFormat="1" x14ac:dyDescent="0.25">
      <c r="A4" s="1"/>
      <c r="B4" s="1"/>
      <c r="C4" s="27" t="s">
        <v>52</v>
      </c>
      <c r="D4" s="9" t="s">
        <v>1</v>
      </c>
      <c r="E4" s="9"/>
      <c r="F4" s="9" t="s">
        <v>2</v>
      </c>
      <c r="G4" s="102">
        <v>30450</v>
      </c>
      <c r="H4" s="35"/>
    </row>
    <row r="5" spans="1:8" s="12" customFormat="1" x14ac:dyDescent="0.25">
      <c r="A5" s="1"/>
      <c r="B5" s="1"/>
      <c r="C5" s="27" t="s">
        <v>52</v>
      </c>
      <c r="D5" s="9" t="s">
        <v>3</v>
      </c>
      <c r="E5" s="9"/>
      <c r="F5" s="9" t="s">
        <v>2</v>
      </c>
      <c r="G5" s="102">
        <v>34</v>
      </c>
      <c r="H5" s="35"/>
    </row>
    <row r="6" spans="1:8" s="12" customFormat="1" x14ac:dyDescent="0.25">
      <c r="A6" s="1"/>
      <c r="B6" s="1"/>
      <c r="C6" s="27" t="s">
        <v>52</v>
      </c>
      <c r="D6" s="9" t="s">
        <v>4</v>
      </c>
      <c r="E6" s="9"/>
      <c r="F6" s="9" t="s">
        <v>5</v>
      </c>
      <c r="G6" s="103">
        <v>0.3</v>
      </c>
      <c r="H6" s="35"/>
    </row>
    <row r="7" spans="1:8" s="12" customFormat="1" x14ac:dyDescent="0.25">
      <c r="A7" s="1"/>
      <c r="B7" s="1"/>
      <c r="C7" s="27" t="s">
        <v>52</v>
      </c>
      <c r="D7" s="9" t="s">
        <v>37</v>
      </c>
      <c r="E7" s="9"/>
      <c r="F7" s="9" t="s">
        <v>2</v>
      </c>
      <c r="G7" s="93">
        <f>G4/(2*(1+G6))</f>
        <v>11711.538461538461</v>
      </c>
    </row>
    <row r="8" spans="1:8" s="12" customFormat="1" x14ac:dyDescent="0.25">
      <c r="A8" s="1"/>
      <c r="B8" s="1"/>
      <c r="C8" s="27" t="s">
        <v>52</v>
      </c>
      <c r="D8" s="9" t="s">
        <v>38</v>
      </c>
      <c r="E8" s="9"/>
      <c r="F8" s="9" t="s">
        <v>25</v>
      </c>
      <c r="G8" s="88">
        <v>6.8947000000000003</v>
      </c>
      <c r="H8" s="35"/>
    </row>
    <row r="9" spans="1:8" s="12" customFormat="1" x14ac:dyDescent="0.25">
      <c r="D9" s="9" t="s">
        <v>123</v>
      </c>
      <c r="E9" s="9"/>
      <c r="F9" s="9" t="s">
        <v>5</v>
      </c>
      <c r="G9" s="8">
        <v>1.1499999999999999</v>
      </c>
      <c r="H9" s="35"/>
    </row>
    <row r="10" spans="1:8" s="12" customFormat="1" x14ac:dyDescent="0.25"/>
    <row r="11" spans="1:8" s="12" customFormat="1" x14ac:dyDescent="0.25"/>
    <row r="12" spans="1:8" s="12" customFormat="1" ht="21" x14ac:dyDescent="0.35">
      <c r="A12" s="3" t="s">
        <v>115</v>
      </c>
      <c r="B12" s="3" t="s">
        <v>77</v>
      </c>
      <c r="D12" s="22" t="s">
        <v>187</v>
      </c>
      <c r="E12" s="9"/>
      <c r="F12" s="10" t="s">
        <v>78</v>
      </c>
      <c r="G12" s="9"/>
      <c r="H12" s="9"/>
    </row>
    <row r="13" spans="1:8" s="12" customFormat="1" x14ac:dyDescent="0.25">
      <c r="A13" s="3"/>
      <c r="B13" s="3"/>
      <c r="C13" s="24"/>
      <c r="D13" s="9" t="s">
        <v>204</v>
      </c>
      <c r="E13" s="9"/>
      <c r="F13" s="9"/>
      <c r="G13" s="51" t="s">
        <v>205</v>
      </c>
      <c r="H13" s="51" t="s">
        <v>289</v>
      </c>
    </row>
    <row r="14" spans="1:8" s="12" customFormat="1" x14ac:dyDescent="0.25">
      <c r="A14" s="3"/>
      <c r="B14" s="3"/>
      <c r="C14" s="24"/>
      <c r="D14" s="9" t="s">
        <v>212</v>
      </c>
      <c r="E14" s="9"/>
      <c r="F14" s="9" t="s">
        <v>10</v>
      </c>
      <c r="G14" s="104">
        <v>6330</v>
      </c>
      <c r="H14" s="104">
        <v>6330</v>
      </c>
    </row>
    <row r="15" spans="1:8" s="12" customFormat="1" ht="18.75" x14ac:dyDescent="0.3">
      <c r="A15" s="3"/>
      <c r="B15" s="3"/>
      <c r="C15" s="24"/>
      <c r="D15" s="81" t="s">
        <v>269</v>
      </c>
      <c r="E15" s="9"/>
      <c r="F15" s="9"/>
      <c r="G15" s="105"/>
      <c r="H15" s="105"/>
    </row>
    <row r="16" spans="1:8" s="12" customFormat="1" x14ac:dyDescent="0.25">
      <c r="A16" s="3"/>
      <c r="B16" s="3"/>
      <c r="C16" s="24"/>
      <c r="D16" s="9" t="s">
        <v>116</v>
      </c>
      <c r="E16" s="9"/>
      <c r="F16" s="9" t="s">
        <v>10</v>
      </c>
      <c r="G16" s="104">
        <v>700</v>
      </c>
      <c r="H16" s="104">
        <v>700</v>
      </c>
    </row>
    <row r="17" spans="1:8" s="12" customFormat="1" x14ac:dyDescent="0.25">
      <c r="A17" s="3"/>
      <c r="B17" s="3"/>
      <c r="C17" s="24"/>
      <c r="D17" s="9" t="s">
        <v>114</v>
      </c>
      <c r="E17" s="9"/>
      <c r="F17" s="9" t="s">
        <v>10</v>
      </c>
      <c r="G17" s="104">
        <v>12</v>
      </c>
      <c r="H17" s="104">
        <v>12</v>
      </c>
    </row>
    <row r="18" spans="1:8" s="12" customFormat="1" ht="18.75" x14ac:dyDescent="0.3">
      <c r="A18" s="3"/>
      <c r="B18" s="3"/>
      <c r="C18" s="24"/>
      <c r="D18" s="81" t="s">
        <v>49</v>
      </c>
      <c r="E18" s="9"/>
      <c r="F18" s="9"/>
      <c r="G18" s="48"/>
      <c r="H18" s="48"/>
    </row>
    <row r="19" spans="1:8" s="12" customFormat="1" x14ac:dyDescent="0.25">
      <c r="A19" s="3"/>
      <c r="B19" s="3"/>
      <c r="C19" s="24"/>
      <c r="D19" s="9" t="s">
        <v>188</v>
      </c>
      <c r="E19" s="9"/>
      <c r="F19" s="9"/>
      <c r="G19" s="48" t="s">
        <v>183</v>
      </c>
      <c r="H19" s="48" t="s">
        <v>183</v>
      </c>
    </row>
    <row r="20" spans="1:8" s="12" customFormat="1" ht="15" customHeight="1" x14ac:dyDescent="0.25">
      <c r="B20" s="71"/>
      <c r="C20" s="27" t="s">
        <v>52</v>
      </c>
      <c r="D20" s="9" t="s">
        <v>8</v>
      </c>
      <c r="E20" s="9"/>
      <c r="F20" s="9" t="s">
        <v>10</v>
      </c>
      <c r="G20" s="104">
        <v>600</v>
      </c>
      <c r="H20" s="104">
        <v>768</v>
      </c>
    </row>
    <row r="21" spans="1:8" s="12" customFormat="1" ht="15" customHeight="1" x14ac:dyDescent="0.25">
      <c r="B21" s="71"/>
      <c r="C21" s="27" t="s">
        <v>52</v>
      </c>
      <c r="D21" s="9" t="s">
        <v>9</v>
      </c>
      <c r="E21" s="9"/>
      <c r="F21" s="9" t="s">
        <v>10</v>
      </c>
      <c r="G21" s="104">
        <v>10</v>
      </c>
      <c r="H21" s="104">
        <v>10</v>
      </c>
    </row>
    <row r="22" spans="1:8" s="12" customFormat="1" ht="15" customHeight="1" x14ac:dyDescent="0.25">
      <c r="B22" s="71"/>
      <c r="C22" s="27" t="s">
        <v>52</v>
      </c>
      <c r="D22" s="9" t="s">
        <v>19</v>
      </c>
      <c r="E22" s="9"/>
      <c r="F22" s="9" t="s">
        <v>10</v>
      </c>
      <c r="G22" s="104">
        <v>20</v>
      </c>
      <c r="H22" s="104">
        <v>12</v>
      </c>
    </row>
    <row r="23" spans="1:8" s="12" customFormat="1" ht="15" customHeight="1" x14ac:dyDescent="0.25">
      <c r="B23" s="71"/>
      <c r="C23" s="27" t="s">
        <v>52</v>
      </c>
      <c r="D23" s="9" t="s">
        <v>28</v>
      </c>
      <c r="E23" s="9"/>
      <c r="F23" s="9" t="s">
        <v>10</v>
      </c>
      <c r="G23" s="104">
        <v>200</v>
      </c>
      <c r="H23" s="104">
        <v>200</v>
      </c>
    </row>
    <row r="24" spans="1:8" s="12" customFormat="1" ht="15" customHeight="1" x14ac:dyDescent="0.25">
      <c r="B24" s="71"/>
      <c r="C24" s="27" t="s">
        <v>52</v>
      </c>
      <c r="D24" s="9" t="s">
        <v>193</v>
      </c>
      <c r="E24" s="9"/>
      <c r="F24" s="9" t="s">
        <v>10</v>
      </c>
      <c r="G24" s="104">
        <v>2230</v>
      </c>
      <c r="H24" s="104">
        <v>2950</v>
      </c>
    </row>
    <row r="25" spans="1:8" s="12" customFormat="1" ht="15" customHeight="1" x14ac:dyDescent="0.25">
      <c r="A25" s="1" t="s">
        <v>190</v>
      </c>
      <c r="B25" s="71"/>
      <c r="C25" s="27" t="s">
        <v>52</v>
      </c>
      <c r="D25" s="9" t="s">
        <v>191</v>
      </c>
      <c r="E25" s="9"/>
      <c r="F25" s="9" t="s">
        <v>10</v>
      </c>
      <c r="G25" s="104">
        <v>3500</v>
      </c>
      <c r="H25" s="104">
        <v>3500</v>
      </c>
    </row>
    <row r="26" spans="1:8" s="12" customFormat="1" x14ac:dyDescent="0.25">
      <c r="A26" s="26"/>
      <c r="B26" s="71"/>
      <c r="C26" s="27" t="s">
        <v>52</v>
      </c>
      <c r="D26" s="11" t="s">
        <v>189</v>
      </c>
      <c r="E26" s="11"/>
      <c r="F26" s="11" t="s">
        <v>10</v>
      </c>
      <c r="G26" s="87">
        <f t="shared" ref="G26:H26" si="0">G24*1</f>
        <v>2230</v>
      </c>
      <c r="H26" s="87">
        <f t="shared" si="0"/>
        <v>2950</v>
      </c>
    </row>
    <row r="27" spans="1:8" ht="18.75" x14ac:dyDescent="0.3">
      <c r="A27" s="26"/>
      <c r="B27" s="71"/>
      <c r="C27" s="27"/>
      <c r="D27" s="81" t="s">
        <v>207</v>
      </c>
      <c r="E27" s="9"/>
      <c r="F27" s="9"/>
      <c r="G27" s="9"/>
      <c r="H27" s="9"/>
    </row>
    <row r="28" spans="1:8" s="12" customFormat="1" x14ac:dyDescent="0.25">
      <c r="A28" s="26"/>
      <c r="C28" s="27"/>
      <c r="D28" s="9" t="s">
        <v>188</v>
      </c>
      <c r="E28" s="78"/>
      <c r="F28" s="78"/>
      <c r="G28" s="48" t="s">
        <v>183</v>
      </c>
      <c r="H28" s="48" t="s">
        <v>183</v>
      </c>
    </row>
    <row r="29" spans="1:8" s="12" customFormat="1" ht="15" customHeight="1" x14ac:dyDescent="0.25">
      <c r="C29" s="27"/>
      <c r="D29" s="6" t="s">
        <v>226</v>
      </c>
      <c r="E29" s="6"/>
      <c r="F29" s="6" t="s">
        <v>10</v>
      </c>
      <c r="G29" s="104">
        <v>600</v>
      </c>
      <c r="H29" s="104">
        <v>600</v>
      </c>
    </row>
    <row r="30" spans="1:8" s="12" customFormat="1" ht="15" customHeight="1" x14ac:dyDescent="0.25">
      <c r="C30" s="27"/>
      <c r="D30" s="6" t="s">
        <v>225</v>
      </c>
      <c r="E30" s="6"/>
      <c r="F30" s="6" t="s">
        <v>10</v>
      </c>
      <c r="G30" s="104">
        <v>9</v>
      </c>
      <c r="H30" s="104">
        <v>9</v>
      </c>
    </row>
    <row r="31" spans="1:8" s="12" customFormat="1" ht="15" customHeight="1" x14ac:dyDescent="0.25">
      <c r="C31" s="27"/>
      <c r="D31" s="9" t="s">
        <v>19</v>
      </c>
      <c r="E31" s="9"/>
      <c r="F31" s="9" t="s">
        <v>10</v>
      </c>
      <c r="G31" s="104">
        <v>12</v>
      </c>
      <c r="H31" s="104">
        <v>12</v>
      </c>
    </row>
    <row r="32" spans="1:8" s="12" customFormat="1" ht="15" customHeight="1" x14ac:dyDescent="0.25">
      <c r="C32" s="27"/>
      <c r="D32" s="9" t="s">
        <v>28</v>
      </c>
      <c r="E32" s="9"/>
      <c r="F32" s="9" t="s">
        <v>10</v>
      </c>
      <c r="G32" s="104">
        <v>100</v>
      </c>
      <c r="H32" s="104">
        <v>100</v>
      </c>
    </row>
    <row r="33" spans="1:8" s="12" customFormat="1" ht="15" customHeight="1" x14ac:dyDescent="0.35">
      <c r="C33" s="27"/>
      <c r="D33" s="78" t="s">
        <v>192</v>
      </c>
      <c r="E33" s="78"/>
      <c r="F33" s="78" t="s">
        <v>10</v>
      </c>
      <c r="G33" s="104">
        <v>3500</v>
      </c>
      <c r="H33" s="104">
        <v>3500</v>
      </c>
    </row>
    <row r="34" spans="1:8" s="12" customFormat="1" ht="18" customHeight="1" x14ac:dyDescent="0.35">
      <c r="B34" s="71"/>
      <c r="C34" s="27"/>
      <c r="D34" s="9" t="s">
        <v>206</v>
      </c>
      <c r="E34" s="9"/>
      <c r="F34" s="9" t="s">
        <v>10</v>
      </c>
      <c r="G34" s="87">
        <f t="shared" ref="G34:H34" si="1">G33</f>
        <v>3500</v>
      </c>
      <c r="H34" s="87">
        <f t="shared" si="1"/>
        <v>3500</v>
      </c>
    </row>
    <row r="35" spans="1:8" s="12" customFormat="1" x14ac:dyDescent="0.25">
      <c r="A35" s="26"/>
      <c r="B35" s="71"/>
      <c r="C35" s="27"/>
      <c r="D35" s="9" t="s">
        <v>189</v>
      </c>
      <c r="E35" s="9"/>
      <c r="F35" s="9" t="s">
        <v>10</v>
      </c>
      <c r="G35" s="87">
        <f t="shared" ref="G35:H35" si="2">G33</f>
        <v>3500</v>
      </c>
      <c r="H35" s="87">
        <f t="shared" si="2"/>
        <v>3500</v>
      </c>
    </row>
    <row r="36" spans="1:8" s="12" customFormat="1" x14ac:dyDescent="0.25">
      <c r="A36" s="26"/>
      <c r="B36" s="71"/>
      <c r="C36" s="27"/>
      <c r="D36" s="9" t="s">
        <v>286</v>
      </c>
      <c r="E36" s="9"/>
      <c r="F36" s="9" t="s">
        <v>287</v>
      </c>
      <c r="G36" s="105" t="s">
        <v>288</v>
      </c>
      <c r="H36" s="105" t="s">
        <v>288</v>
      </c>
    </row>
    <row r="37" spans="1:8" s="12" customFormat="1" x14ac:dyDescent="0.25">
      <c r="A37" s="26"/>
      <c r="B37" s="69"/>
      <c r="C37" s="27"/>
    </row>
    <row r="38" spans="1:8" s="12" customFormat="1" ht="21" customHeight="1" x14ac:dyDescent="0.35">
      <c r="A38" s="1"/>
      <c r="B38" s="1"/>
      <c r="C38" s="1"/>
      <c r="D38" s="28" t="s">
        <v>232</v>
      </c>
      <c r="E38" s="10" t="s">
        <v>94</v>
      </c>
      <c r="F38" s="10" t="s">
        <v>78</v>
      </c>
      <c r="G38" s="9"/>
      <c r="H38" s="9"/>
    </row>
    <row r="39" spans="1:8" s="12" customFormat="1" ht="30" x14ac:dyDescent="0.25">
      <c r="A39" s="1" t="s">
        <v>76</v>
      </c>
      <c r="B39" s="1"/>
      <c r="C39" s="43" t="s">
        <v>258</v>
      </c>
      <c r="D39" s="29" t="s">
        <v>24</v>
      </c>
      <c r="E39" s="9"/>
      <c r="F39" s="9" t="s">
        <v>25</v>
      </c>
      <c r="G39" s="106">
        <v>5</v>
      </c>
      <c r="H39" s="106">
        <v>10</v>
      </c>
    </row>
    <row r="40" spans="1:8" s="12" customFormat="1" ht="15" customHeight="1" x14ac:dyDescent="0.25">
      <c r="A40" s="1"/>
      <c r="B40" s="1"/>
      <c r="C40" s="43"/>
      <c r="D40" s="29" t="s">
        <v>24</v>
      </c>
      <c r="E40" s="9"/>
      <c r="F40" s="9" t="s">
        <v>136</v>
      </c>
      <c r="G40" s="89">
        <f t="shared" ref="G40:H40" si="3">G39/$G$8</f>
        <v>0.72519471478091868</v>
      </c>
      <c r="H40" s="89">
        <f t="shared" si="3"/>
        <v>1.4503894295618374</v>
      </c>
    </row>
    <row r="41" spans="1:8" s="12" customFormat="1" ht="15" customHeight="1" x14ac:dyDescent="0.25">
      <c r="A41" s="1" t="s">
        <v>76</v>
      </c>
      <c r="B41" s="1"/>
      <c r="C41" s="43"/>
      <c r="D41" s="29" t="s">
        <v>26</v>
      </c>
      <c r="E41" s="9"/>
      <c r="F41" s="9" t="s">
        <v>25</v>
      </c>
      <c r="G41" s="106">
        <v>10</v>
      </c>
      <c r="H41" s="106">
        <v>10</v>
      </c>
    </row>
    <row r="42" spans="1:8" s="12" customFormat="1" ht="15" customHeight="1" x14ac:dyDescent="0.25">
      <c r="A42" s="1"/>
      <c r="B42" s="1"/>
      <c r="C42" s="42"/>
      <c r="D42" s="29" t="s">
        <v>26</v>
      </c>
      <c r="E42" s="9"/>
      <c r="F42" s="9" t="s">
        <v>136</v>
      </c>
      <c r="G42" s="89">
        <f t="shared" ref="G42:H42" si="4">G41/$G$8</f>
        <v>1.4503894295618374</v>
      </c>
      <c r="H42" s="89">
        <f t="shared" si="4"/>
        <v>1.4503894295618374</v>
      </c>
    </row>
    <row r="43" spans="1:8" s="12" customFormat="1" ht="15" customHeight="1" x14ac:dyDescent="0.25">
      <c r="A43" s="1" t="s">
        <v>76</v>
      </c>
      <c r="B43" s="1"/>
      <c r="C43" s="42"/>
      <c r="D43" s="29" t="s">
        <v>29</v>
      </c>
      <c r="E43" s="9"/>
      <c r="F43" s="9" t="s">
        <v>25</v>
      </c>
      <c r="G43" s="106">
        <v>3</v>
      </c>
      <c r="H43" s="106">
        <v>3</v>
      </c>
    </row>
    <row r="44" spans="1:8" s="12" customFormat="1" ht="17.25" customHeight="1" x14ac:dyDescent="0.25">
      <c r="A44" s="1"/>
      <c r="B44" s="1"/>
      <c r="C44" s="42"/>
      <c r="D44" s="33" t="s">
        <v>29</v>
      </c>
      <c r="F44" s="11" t="s">
        <v>136</v>
      </c>
      <c r="G44" s="89">
        <f t="shared" ref="G44:H44" si="5">G43/$G$8</f>
        <v>0.43511682886855119</v>
      </c>
      <c r="H44" s="89">
        <f t="shared" si="5"/>
        <v>0.43511682886855119</v>
      </c>
    </row>
    <row r="45" spans="1:8" s="12" customFormat="1" ht="17.25" customHeight="1" x14ac:dyDescent="0.25">
      <c r="A45" s="1"/>
      <c r="B45" s="1"/>
      <c r="C45" s="42"/>
      <c r="D45" s="72" t="s">
        <v>233</v>
      </c>
      <c r="F45" s="11"/>
      <c r="G45" s="40"/>
      <c r="H45" s="40"/>
    </row>
    <row r="46" spans="1:8" s="12" customFormat="1" ht="17.25" customHeight="1" x14ac:dyDescent="0.35">
      <c r="A46" s="1"/>
      <c r="B46" s="1"/>
      <c r="C46" s="38"/>
      <c r="D46" s="29" t="s">
        <v>234</v>
      </c>
      <c r="E46" s="9"/>
      <c r="F46" s="9" t="s">
        <v>119</v>
      </c>
      <c r="G46" s="103">
        <v>0</v>
      </c>
      <c r="H46" s="103">
        <v>0</v>
      </c>
    </row>
    <row r="47" spans="1:8" s="12" customFormat="1" x14ac:dyDescent="0.25">
      <c r="A47" s="26"/>
      <c r="B47" s="69"/>
      <c r="C47" s="27"/>
      <c r="D47" s="9" t="s">
        <v>235</v>
      </c>
      <c r="E47" s="9"/>
      <c r="F47" s="9" t="s">
        <v>10</v>
      </c>
      <c r="G47" s="104">
        <v>0</v>
      </c>
      <c r="H47" s="104">
        <v>0</v>
      </c>
    </row>
    <row r="48" spans="1:8" s="12" customFormat="1" x14ac:dyDescent="0.25">
      <c r="A48" s="26"/>
      <c r="B48" s="69"/>
      <c r="C48" s="27"/>
      <c r="G48" s="35"/>
      <c r="H48" s="35"/>
    </row>
    <row r="49" spans="1:8" s="12" customFormat="1" ht="21" x14ac:dyDescent="0.35">
      <c r="A49" s="26"/>
      <c r="B49" s="69"/>
      <c r="C49" s="27"/>
      <c r="D49" s="28" t="s">
        <v>259</v>
      </c>
      <c r="E49" s="9"/>
      <c r="F49" s="9"/>
      <c r="G49" s="8"/>
      <c r="H49" s="8"/>
    </row>
    <row r="50" spans="1:8" s="12" customFormat="1" x14ac:dyDescent="0.25">
      <c r="A50" s="26"/>
      <c r="B50" s="69"/>
      <c r="C50" s="27" t="s">
        <v>52</v>
      </c>
      <c r="D50" s="9" t="s">
        <v>51</v>
      </c>
      <c r="E50" s="9"/>
      <c r="F50" s="9" t="s">
        <v>10</v>
      </c>
      <c r="G50" s="87">
        <f>G23-G22/2</f>
        <v>190</v>
      </c>
      <c r="H50" s="87">
        <f>H23-H22/2</f>
        <v>194</v>
      </c>
    </row>
    <row r="51" spans="1:8" s="12" customFormat="1" x14ac:dyDescent="0.25">
      <c r="A51" s="26"/>
      <c r="B51" s="69"/>
      <c r="C51" s="27" t="s">
        <v>52</v>
      </c>
      <c r="D51" s="9" t="s">
        <v>194</v>
      </c>
      <c r="E51" s="9"/>
      <c r="F51" s="9" t="s">
        <v>10</v>
      </c>
      <c r="G51" s="87">
        <f>G17/2</f>
        <v>6</v>
      </c>
      <c r="H51" s="87">
        <f>H17/2</f>
        <v>6</v>
      </c>
    </row>
    <row r="52" spans="1:8" s="12" customFormat="1" x14ac:dyDescent="0.25">
      <c r="A52" s="26"/>
      <c r="B52" s="69"/>
      <c r="C52" s="27" t="s">
        <v>52</v>
      </c>
      <c r="D52" s="9" t="s">
        <v>195</v>
      </c>
      <c r="E52" s="9"/>
      <c r="F52" s="9" t="s">
        <v>10</v>
      </c>
      <c r="G52" s="87">
        <f>(G20^2+G22*(G23+2*G20))/(2*(G21+G20))</f>
        <v>318.03278688524591</v>
      </c>
      <c r="H52" s="87">
        <f>(H20^2+H22*(H23+2*H20))/(2*(H21+H20))</f>
        <v>392.45244215938305</v>
      </c>
    </row>
    <row r="53" spans="1:8" s="12" customFormat="1" x14ac:dyDescent="0.25">
      <c r="A53" s="26"/>
      <c r="B53" s="69"/>
      <c r="C53" s="27" t="s">
        <v>52</v>
      </c>
      <c r="D53" s="9" t="s">
        <v>196</v>
      </c>
      <c r="E53" s="9"/>
      <c r="F53" s="9" t="s">
        <v>10</v>
      </c>
      <c r="G53" s="87">
        <f>G17+G29+G31/2</f>
        <v>618</v>
      </c>
      <c r="H53" s="87">
        <f>H17+H29+H31/2</f>
        <v>618</v>
      </c>
    </row>
    <row r="54" spans="1:8" s="12" customFormat="1" x14ac:dyDescent="0.25">
      <c r="A54" s="26"/>
      <c r="B54" s="69"/>
      <c r="C54" s="27" t="s">
        <v>52</v>
      </c>
      <c r="D54" s="9" t="s">
        <v>182</v>
      </c>
      <c r="E54" s="9"/>
      <c r="F54" s="9" t="s">
        <v>12</v>
      </c>
      <c r="G54" s="90">
        <f t="shared" ref="G54:H54" si="6">G17*G16</f>
        <v>8400</v>
      </c>
      <c r="H54" s="90">
        <f t="shared" si="6"/>
        <v>8400</v>
      </c>
    </row>
    <row r="55" spans="1:8" s="12" customFormat="1" x14ac:dyDescent="0.25">
      <c r="A55" s="26"/>
      <c r="B55" s="69"/>
      <c r="C55" s="27" t="s">
        <v>52</v>
      </c>
      <c r="D55" s="9" t="s">
        <v>21</v>
      </c>
      <c r="E55" s="9"/>
      <c r="F55" s="9" t="s">
        <v>12</v>
      </c>
      <c r="G55" s="90">
        <f t="shared" ref="G55:H55" si="7">G21*G20</f>
        <v>6000</v>
      </c>
      <c r="H55" s="90">
        <f t="shared" si="7"/>
        <v>7680</v>
      </c>
    </row>
    <row r="56" spans="1:8" s="12" customFormat="1" x14ac:dyDescent="0.25">
      <c r="A56" s="26"/>
      <c r="B56" s="69"/>
      <c r="C56" s="27" t="s">
        <v>52</v>
      </c>
      <c r="D56" s="9" t="s">
        <v>22</v>
      </c>
      <c r="E56" s="9"/>
      <c r="F56" s="9" t="s">
        <v>12</v>
      </c>
      <c r="G56" s="90">
        <f t="shared" ref="G56:H56" si="8">G22*G23</f>
        <v>4000</v>
      </c>
      <c r="H56" s="90">
        <f t="shared" si="8"/>
        <v>2400</v>
      </c>
    </row>
    <row r="57" spans="1:8" s="12" customFormat="1" x14ac:dyDescent="0.25">
      <c r="A57" s="26"/>
      <c r="B57" s="69"/>
      <c r="C57" s="27" t="s">
        <v>52</v>
      </c>
      <c r="D57" s="9" t="s">
        <v>7</v>
      </c>
      <c r="E57" s="9"/>
      <c r="F57" s="9" t="s">
        <v>12</v>
      </c>
      <c r="G57" s="90">
        <f t="shared" ref="G57:H57" si="9">G55+G56+G54</f>
        <v>18400</v>
      </c>
      <c r="H57" s="90">
        <f t="shared" si="9"/>
        <v>18480</v>
      </c>
    </row>
    <row r="58" spans="1:8" s="12" customFormat="1" x14ac:dyDescent="0.25">
      <c r="A58" s="26"/>
      <c r="B58" s="69"/>
      <c r="C58" s="27" t="s">
        <v>52</v>
      </c>
      <c r="D58" s="9" t="s">
        <v>17</v>
      </c>
      <c r="E58" s="9"/>
      <c r="F58" s="9" t="s">
        <v>10</v>
      </c>
      <c r="G58" s="87">
        <f>(G23^2+G20*G21)/(2*(G20+G21))</f>
        <v>37.704918032786885</v>
      </c>
      <c r="H58" s="87">
        <f>(H23^2+H20*H21)/(2*(H20+H21))</f>
        <v>30.642673521850899</v>
      </c>
    </row>
    <row r="59" spans="1:8" s="12" customFormat="1" x14ac:dyDescent="0.25">
      <c r="A59" s="26"/>
      <c r="B59" s="69"/>
      <c r="C59" s="27" t="s">
        <v>52</v>
      </c>
      <c r="D59" s="9" t="s">
        <v>197</v>
      </c>
      <c r="E59" s="9"/>
      <c r="F59" s="9" t="s">
        <v>10</v>
      </c>
      <c r="G59" s="87">
        <f t="shared" ref="G59:H59" si="10">(G54*G51+G55*G52+G56*G53)/G57</f>
        <v>240.79330007127584</v>
      </c>
      <c r="H59" s="87">
        <f t="shared" si="10"/>
        <v>246.08413180649686</v>
      </c>
    </row>
    <row r="60" spans="1:8" s="12" customFormat="1" x14ac:dyDescent="0.25">
      <c r="A60" s="26"/>
      <c r="B60" s="69"/>
      <c r="C60" s="27" t="s">
        <v>52</v>
      </c>
      <c r="D60" s="9" t="s">
        <v>198</v>
      </c>
      <c r="E60" s="9"/>
      <c r="F60" s="9" t="s">
        <v>10</v>
      </c>
      <c r="G60" s="87">
        <f t="shared" ref="G60:H60" si="11">(G55*G52+G56*G53)/(G55+G56)</f>
        <v>438.0196721311475</v>
      </c>
      <c r="H60" s="87">
        <f t="shared" si="11"/>
        <v>446.15424164524421</v>
      </c>
    </row>
    <row r="61" spans="1:8" s="12" customFormat="1" x14ac:dyDescent="0.25">
      <c r="A61" s="26"/>
      <c r="B61" s="69"/>
      <c r="C61" s="27" t="s">
        <v>52</v>
      </c>
      <c r="D61" s="9" t="s">
        <v>27</v>
      </c>
      <c r="E61" s="9"/>
      <c r="F61" s="9" t="s">
        <v>10</v>
      </c>
      <c r="G61" s="87">
        <v>0</v>
      </c>
      <c r="H61" s="87">
        <v>0</v>
      </c>
    </row>
    <row r="62" spans="1:8" s="12" customFormat="1" x14ac:dyDescent="0.25">
      <c r="A62" s="26"/>
      <c r="B62" s="69"/>
      <c r="C62" s="27" t="s">
        <v>52</v>
      </c>
      <c r="D62" s="9" t="s">
        <v>124</v>
      </c>
      <c r="E62" s="9"/>
      <c r="F62" s="9" t="s">
        <v>10</v>
      </c>
      <c r="G62" s="87">
        <f t="shared" ref="G62:H62" si="12">G59-G17/2</f>
        <v>234.79330007127584</v>
      </c>
      <c r="H62" s="87">
        <f t="shared" si="12"/>
        <v>240.08413180649686</v>
      </c>
    </row>
    <row r="63" spans="1:8" s="12" customFormat="1" x14ac:dyDescent="0.25">
      <c r="A63" s="26"/>
      <c r="B63" s="69"/>
      <c r="C63" s="27" t="s">
        <v>52</v>
      </c>
      <c r="D63" s="9" t="s">
        <v>125</v>
      </c>
      <c r="E63" s="9"/>
      <c r="F63" s="9" t="s">
        <v>10</v>
      </c>
      <c r="G63" s="87">
        <f t="shared" ref="G63:H63" si="13">G20+G22-(G62-G17/2)</f>
        <v>391.20669992872416</v>
      </c>
      <c r="H63" s="87">
        <f t="shared" si="13"/>
        <v>545.91586819350312</v>
      </c>
    </row>
    <row r="64" spans="1:8" s="12" customFormat="1" x14ac:dyDescent="0.25">
      <c r="A64" s="1" t="s">
        <v>175</v>
      </c>
      <c r="B64" s="69"/>
      <c r="C64" s="27" t="s">
        <v>52</v>
      </c>
      <c r="D64" s="9" t="s">
        <v>200</v>
      </c>
      <c r="E64" s="9"/>
      <c r="F64" s="9" t="s">
        <v>23</v>
      </c>
      <c r="G64" s="91">
        <f t="shared" ref="G64:H64" si="14">(G21*G20^3/12)+(G23*G22^3/12)+(G16*G17^3/12)+G54*(G51-G59)^2+G55*(G52-G59)^2+G56*(G53-G62)^2</f>
        <v>1266493570.3243246</v>
      </c>
      <c r="H64" s="91">
        <f t="shared" si="14"/>
        <v>1369099087.0145164</v>
      </c>
    </row>
    <row r="65" spans="1:8" s="12" customFormat="1" x14ac:dyDescent="0.25">
      <c r="A65" s="1" t="s">
        <v>55</v>
      </c>
      <c r="B65" s="69"/>
      <c r="C65" s="27" t="s">
        <v>52</v>
      </c>
      <c r="D65" s="9" t="s">
        <v>202</v>
      </c>
      <c r="E65" s="9"/>
      <c r="F65" s="9" t="s">
        <v>23</v>
      </c>
      <c r="G65" s="91">
        <f t="shared" ref="G65:H65" si="15">1/12*G56*G23^2+G61*(G56/(1+G56/G55))</f>
        <v>13333333.333333332</v>
      </c>
      <c r="H65" s="91">
        <f t="shared" si="15"/>
        <v>8000000</v>
      </c>
    </row>
    <row r="66" spans="1:8" s="12" customFormat="1" x14ac:dyDescent="0.25">
      <c r="A66" s="1" t="s">
        <v>199</v>
      </c>
      <c r="B66" s="69"/>
      <c r="C66" s="27" t="s">
        <v>52</v>
      </c>
      <c r="D66" s="9" t="s">
        <v>13</v>
      </c>
      <c r="E66" s="9"/>
      <c r="F66" s="9" t="s">
        <v>10</v>
      </c>
      <c r="G66" s="87">
        <f t="shared" ref="G66:H66" si="16">SQRT(G64/G57)</f>
        <v>262.35695588307743</v>
      </c>
      <c r="H66" s="87">
        <f t="shared" si="16"/>
        <v>272.18642220272756</v>
      </c>
    </row>
    <row r="67" spans="1:8" s="12" customFormat="1" x14ac:dyDescent="0.25">
      <c r="A67" s="1" t="s">
        <v>56</v>
      </c>
      <c r="B67" s="69"/>
      <c r="C67" s="27" t="s">
        <v>52</v>
      </c>
      <c r="D67" s="9" t="s">
        <v>201</v>
      </c>
      <c r="E67" s="9"/>
      <c r="F67" s="9" t="s">
        <v>23</v>
      </c>
      <c r="G67" s="91">
        <f t="shared" ref="G67:H67" si="17">G64</f>
        <v>1266493570.3243246</v>
      </c>
      <c r="H67" s="91">
        <f t="shared" si="17"/>
        <v>1369099087.0145164</v>
      </c>
    </row>
    <row r="68" spans="1:8" s="12" customFormat="1" x14ac:dyDescent="0.25">
      <c r="A68" s="26"/>
      <c r="B68" s="69"/>
      <c r="C68" s="27"/>
    </row>
    <row r="69" spans="1:8" s="12" customFormat="1" ht="21" x14ac:dyDescent="0.35">
      <c r="A69" s="26"/>
      <c r="B69" s="69"/>
      <c r="C69" s="27"/>
      <c r="D69" s="28" t="s">
        <v>260</v>
      </c>
      <c r="E69" s="9"/>
      <c r="F69" s="9"/>
      <c r="G69" s="9"/>
      <c r="H69" s="9"/>
    </row>
    <row r="70" spans="1:8" s="12" customFormat="1" x14ac:dyDescent="0.25">
      <c r="A70" s="26"/>
      <c r="B70" s="69"/>
      <c r="C70" s="27"/>
      <c r="D70" s="9" t="s">
        <v>51</v>
      </c>
      <c r="E70" s="9"/>
      <c r="F70" s="9" t="s">
        <v>10</v>
      </c>
      <c r="G70" s="87">
        <f>G32-G31/2</f>
        <v>94</v>
      </c>
      <c r="H70" s="87">
        <f>H32-H31/2</f>
        <v>94</v>
      </c>
    </row>
    <row r="71" spans="1:8" s="12" customFormat="1" x14ac:dyDescent="0.25">
      <c r="A71" s="26"/>
      <c r="B71" s="69"/>
      <c r="C71" s="27"/>
      <c r="D71" s="9" t="s">
        <v>194</v>
      </c>
      <c r="E71" s="9"/>
      <c r="F71" s="9" t="s">
        <v>10</v>
      </c>
      <c r="G71" s="87">
        <f t="shared" ref="G71" si="18">G17/2</f>
        <v>6</v>
      </c>
      <c r="H71" s="87">
        <f t="shared" ref="H71" si="19">H17/2</f>
        <v>6</v>
      </c>
    </row>
    <row r="72" spans="1:8" s="12" customFormat="1" x14ac:dyDescent="0.25">
      <c r="A72" s="26"/>
      <c r="B72" s="69"/>
      <c r="C72" s="27"/>
      <c r="D72" s="9" t="s">
        <v>195</v>
      </c>
      <c r="E72" s="9"/>
      <c r="F72" s="9" t="s">
        <v>10</v>
      </c>
      <c r="G72" s="87">
        <f>(G29^2+G31*(G32+2*G29))/(2*(G30+G29))</f>
        <v>308.37438423645318</v>
      </c>
      <c r="H72" s="87">
        <f>(H20^2+H22*(H23+2*H20))/(2*(H21+H20))</f>
        <v>392.45244215938305</v>
      </c>
    </row>
    <row r="73" spans="1:8" s="12" customFormat="1" x14ac:dyDescent="0.25">
      <c r="A73" s="26"/>
      <c r="B73" s="69"/>
      <c r="C73" s="27"/>
      <c r="D73" s="9" t="s">
        <v>196</v>
      </c>
      <c r="E73" s="9"/>
      <c r="F73" s="9" t="s">
        <v>10</v>
      </c>
      <c r="G73" s="87">
        <f>G17+G29+G31/2</f>
        <v>618</v>
      </c>
      <c r="H73" s="87">
        <f>H17+H29+H31/2</f>
        <v>618</v>
      </c>
    </row>
    <row r="74" spans="1:8" s="12" customFormat="1" x14ac:dyDescent="0.25">
      <c r="A74" s="26"/>
      <c r="B74" s="69"/>
      <c r="C74" s="27"/>
      <c r="D74" s="9" t="s">
        <v>182</v>
      </c>
      <c r="E74" s="9"/>
      <c r="F74" s="9" t="s">
        <v>12</v>
      </c>
      <c r="G74" s="90">
        <f>G17*G16</f>
        <v>8400</v>
      </c>
      <c r="H74" s="90">
        <f>H17*H16</f>
        <v>8400</v>
      </c>
    </row>
    <row r="75" spans="1:8" s="12" customFormat="1" x14ac:dyDescent="0.25">
      <c r="A75" s="26"/>
      <c r="B75" s="69"/>
      <c r="C75" s="27"/>
      <c r="D75" s="9" t="s">
        <v>273</v>
      </c>
      <c r="E75" s="9"/>
      <c r="F75" s="9" t="s">
        <v>12</v>
      </c>
      <c r="G75" s="90">
        <f>G29*G30</f>
        <v>5400</v>
      </c>
      <c r="H75" s="90">
        <f>H29*H30</f>
        <v>5400</v>
      </c>
    </row>
    <row r="76" spans="1:8" s="12" customFormat="1" x14ac:dyDescent="0.25">
      <c r="A76" s="26"/>
      <c r="B76" s="69"/>
      <c r="C76" s="27"/>
      <c r="D76" s="9" t="s">
        <v>22</v>
      </c>
      <c r="E76" s="9"/>
      <c r="F76" s="9" t="s">
        <v>12</v>
      </c>
      <c r="G76" s="90">
        <f>G31*G32</f>
        <v>1200</v>
      </c>
      <c r="H76" s="90">
        <f t="shared" ref="H76" si="20">H31*H32</f>
        <v>1200</v>
      </c>
    </row>
    <row r="77" spans="1:8" s="12" customFormat="1" x14ac:dyDescent="0.25">
      <c r="A77" s="26"/>
      <c r="B77" s="69"/>
      <c r="C77" s="25" t="s">
        <v>176</v>
      </c>
      <c r="D77" s="9" t="s">
        <v>41</v>
      </c>
      <c r="E77" s="9"/>
      <c r="F77" s="9" t="s">
        <v>12</v>
      </c>
      <c r="G77" s="90">
        <f>G75+G76</f>
        <v>6600</v>
      </c>
      <c r="H77" s="90">
        <f>H75+H76</f>
        <v>6600</v>
      </c>
    </row>
    <row r="78" spans="1:8" s="12" customFormat="1" x14ac:dyDescent="0.25">
      <c r="A78" s="26"/>
      <c r="B78" s="69"/>
      <c r="C78" s="27"/>
      <c r="D78" s="9" t="s">
        <v>7</v>
      </c>
      <c r="E78" s="9"/>
      <c r="F78" s="9" t="s">
        <v>12</v>
      </c>
      <c r="G78" s="90">
        <f>G74+G75+G76</f>
        <v>15000</v>
      </c>
      <c r="H78" s="90">
        <f>H74+H75+H76</f>
        <v>15000</v>
      </c>
    </row>
    <row r="79" spans="1:8" s="12" customFormat="1" x14ac:dyDescent="0.25">
      <c r="A79" s="26"/>
      <c r="B79" s="69"/>
      <c r="C79" s="27"/>
      <c r="D79" s="9" t="s">
        <v>17</v>
      </c>
      <c r="E79" s="9"/>
      <c r="F79" s="9" t="s">
        <v>10</v>
      </c>
      <c r="G79" s="87">
        <f>(G23^2+G20*G21)/(2*(G20+G21))</f>
        <v>37.704918032786885</v>
      </c>
      <c r="H79" s="87">
        <f>(H23^2+H20*H21)/(2*(H20+H21))</f>
        <v>30.642673521850899</v>
      </c>
    </row>
    <row r="80" spans="1:8" s="12" customFormat="1" x14ac:dyDescent="0.25">
      <c r="A80" s="26"/>
      <c r="B80" s="69"/>
      <c r="C80" s="27"/>
      <c r="D80" s="9" t="s">
        <v>197</v>
      </c>
      <c r="E80" s="9"/>
      <c r="F80" s="9" t="s">
        <v>10</v>
      </c>
      <c r="G80" s="87">
        <f t="shared" ref="G80:H80" si="21">(G75*G71+G75*G72+G76*G73)/G78</f>
        <v>162.61477832512315</v>
      </c>
      <c r="H80" s="87">
        <f t="shared" si="21"/>
        <v>192.8828791773779</v>
      </c>
    </row>
    <row r="81" spans="1:8" s="12" customFormat="1" x14ac:dyDescent="0.25">
      <c r="A81" s="26"/>
      <c r="B81" s="69"/>
      <c r="C81" s="27"/>
      <c r="D81" s="9" t="s">
        <v>198</v>
      </c>
      <c r="E81" s="9"/>
      <c r="F81" s="9" t="s">
        <v>10</v>
      </c>
      <c r="G81" s="87">
        <f t="shared" ref="G81:H81" si="22">(G75*G72+G76*G73)/(G75+G76)</f>
        <v>364.66995073891627</v>
      </c>
      <c r="H81" s="87">
        <f t="shared" si="22"/>
        <v>433.46108903949522</v>
      </c>
    </row>
    <row r="82" spans="1:8" s="12" customFormat="1" x14ac:dyDescent="0.25">
      <c r="A82" s="26"/>
      <c r="B82" s="69"/>
      <c r="C82" s="27"/>
      <c r="D82" s="9" t="s">
        <v>27</v>
      </c>
      <c r="E82" s="9"/>
      <c r="F82" s="9" t="s">
        <v>10</v>
      </c>
      <c r="G82" s="87">
        <v>0</v>
      </c>
      <c r="H82" s="87">
        <v>0</v>
      </c>
    </row>
    <row r="83" spans="1:8" s="12" customFormat="1" x14ac:dyDescent="0.25">
      <c r="A83" s="26"/>
      <c r="B83" s="69"/>
      <c r="C83" s="27"/>
      <c r="D83" s="9" t="s">
        <v>124</v>
      </c>
      <c r="E83" s="9"/>
      <c r="F83" s="9" t="s">
        <v>10</v>
      </c>
      <c r="G83" s="87">
        <f t="shared" ref="G83:H83" si="23">G80-G17/2</f>
        <v>156.61477832512315</v>
      </c>
      <c r="H83" s="87">
        <f t="shared" si="23"/>
        <v>186.8828791773779</v>
      </c>
    </row>
    <row r="84" spans="1:8" s="12" customFormat="1" x14ac:dyDescent="0.25">
      <c r="A84" s="26"/>
      <c r="B84" s="69"/>
      <c r="C84" s="27"/>
      <c r="D84" s="9" t="s">
        <v>125</v>
      </c>
      <c r="E84" s="9"/>
      <c r="F84" s="9" t="s">
        <v>10</v>
      </c>
      <c r="G84" s="87">
        <f t="shared" ref="G84:H84" si="24">G29+G31-(G83-G17/2)</f>
        <v>461.38522167487685</v>
      </c>
      <c r="H84" s="87">
        <f t="shared" si="24"/>
        <v>431.1171208226221</v>
      </c>
    </row>
    <row r="85" spans="1:8" s="12" customFormat="1" x14ac:dyDescent="0.25">
      <c r="A85" s="1" t="s">
        <v>175</v>
      </c>
      <c r="B85" s="69"/>
      <c r="C85" s="27"/>
      <c r="D85" s="9" t="s">
        <v>211</v>
      </c>
      <c r="E85" s="9"/>
      <c r="F85" s="9" t="s">
        <v>23</v>
      </c>
      <c r="G85" s="91">
        <f t="shared" ref="G85:H85" si="25">(G30*G29^3/12)+(G31*G32^3/12)+(G17*G16^3/12)+G74*(G71-G80)^2+G75*(G72-G80)^2+G76*(G73-G80)^2</f>
        <v>1075615284.6417046</v>
      </c>
      <c r="H85" s="91">
        <f t="shared" si="25"/>
        <v>1231312504.6803551</v>
      </c>
    </row>
    <row r="86" spans="1:8" s="12" customFormat="1" x14ac:dyDescent="0.25">
      <c r="A86" s="1" t="s">
        <v>55</v>
      </c>
      <c r="B86" s="69"/>
      <c r="C86" s="27"/>
      <c r="D86" s="9" t="s">
        <v>202</v>
      </c>
      <c r="E86" s="9"/>
      <c r="F86" s="9" t="s">
        <v>23</v>
      </c>
      <c r="G86" s="91">
        <f t="shared" ref="G86:H86" si="26">1/12*G56*G32^2+G82*(G56/(1+G56/G75))</f>
        <v>3333333.333333333</v>
      </c>
      <c r="H86" s="91">
        <f t="shared" si="26"/>
        <v>2000000</v>
      </c>
    </row>
    <row r="87" spans="1:8" s="12" customFormat="1" x14ac:dyDescent="0.25">
      <c r="A87" s="1" t="s">
        <v>199</v>
      </c>
      <c r="B87" s="69"/>
      <c r="C87" s="27"/>
      <c r="D87" s="9" t="s">
        <v>46</v>
      </c>
      <c r="E87" s="9"/>
      <c r="F87" s="9" t="s">
        <v>10</v>
      </c>
      <c r="G87" s="87">
        <f t="shared" ref="G87:H87" si="27">SQRT(G85/G78)</f>
        <v>267.78290767481838</v>
      </c>
      <c r="H87" s="87">
        <f t="shared" si="27"/>
        <v>286.50916270169034</v>
      </c>
    </row>
    <row r="88" spans="1:8" s="12" customFormat="1" x14ac:dyDescent="0.25">
      <c r="A88" s="1" t="s">
        <v>56</v>
      </c>
      <c r="B88" s="69"/>
      <c r="C88" s="27"/>
      <c r="D88" s="9" t="s">
        <v>201</v>
      </c>
      <c r="E88" s="9"/>
      <c r="F88" s="9" t="s">
        <v>23</v>
      </c>
      <c r="G88" s="91">
        <f t="shared" ref="G88:H88" si="28">G85</f>
        <v>1075615284.6417046</v>
      </c>
      <c r="H88" s="91">
        <f t="shared" si="28"/>
        <v>1231312504.6803551</v>
      </c>
    </row>
    <row r="89" spans="1:8" s="12" customFormat="1" x14ac:dyDescent="0.25">
      <c r="A89" s="26"/>
      <c r="B89" s="69"/>
      <c r="C89" s="27"/>
    </row>
    <row r="90" spans="1:8" s="12" customFormat="1" ht="21" x14ac:dyDescent="0.35">
      <c r="A90" s="26"/>
      <c r="B90" s="69"/>
      <c r="C90" s="42"/>
      <c r="D90" s="28" t="s">
        <v>261</v>
      </c>
      <c r="E90" s="9"/>
      <c r="F90" s="9"/>
      <c r="G90" s="8"/>
      <c r="H90" s="8"/>
    </row>
    <row r="91" spans="1:8" s="12" customFormat="1" x14ac:dyDescent="0.25">
      <c r="A91" s="1"/>
      <c r="B91" s="1"/>
      <c r="D91" s="9" t="s">
        <v>51</v>
      </c>
      <c r="E91" s="9"/>
      <c r="F91" s="9" t="s">
        <v>10</v>
      </c>
      <c r="G91" s="87">
        <f>IF($G$19="L",#REF!,G50)</f>
        <v>190</v>
      </c>
      <c r="H91" s="87">
        <f>IF($G$19="L",#REF!,H50)</f>
        <v>194</v>
      </c>
    </row>
    <row r="92" spans="1:8" s="12" customFormat="1" x14ac:dyDescent="0.25">
      <c r="B92" s="25"/>
      <c r="D92" s="9" t="s">
        <v>14</v>
      </c>
      <c r="E92" s="9"/>
      <c r="F92" s="9" t="s">
        <v>10</v>
      </c>
      <c r="G92" s="87" t="str">
        <f>IF($G$19="L",#REF!,"Not Required")</f>
        <v>Not Required</v>
      </c>
      <c r="H92" s="87" t="str">
        <f>IF($G$19="L",#REF!,"Not Required")</f>
        <v>Not Required</v>
      </c>
    </row>
    <row r="93" spans="1:8" s="12" customFormat="1" x14ac:dyDescent="0.25">
      <c r="B93" s="25"/>
      <c r="D93" s="9" t="s">
        <v>17</v>
      </c>
      <c r="E93" s="9"/>
      <c r="F93" s="9" t="s">
        <v>10</v>
      </c>
      <c r="G93" s="87">
        <f>IF($G$19="L",#REF!,G58)</f>
        <v>37.704918032786885</v>
      </c>
      <c r="H93" s="87">
        <f>IF($G$19="L",#REF!,H58)</f>
        <v>30.642673521850899</v>
      </c>
    </row>
    <row r="94" spans="1:8" s="12" customFormat="1" x14ac:dyDescent="0.25">
      <c r="B94" s="25"/>
      <c r="D94" s="9" t="s">
        <v>18</v>
      </c>
      <c r="E94" s="9"/>
      <c r="F94" s="9" t="s">
        <v>10</v>
      </c>
      <c r="G94" s="87">
        <f>IF($G$19="L",#REF!,G59)</f>
        <v>240.79330007127584</v>
      </c>
      <c r="H94" s="87">
        <f>IF($G$19="L",#REF!,H59)</f>
        <v>246.08413180649686</v>
      </c>
    </row>
    <row r="95" spans="1:8" s="12" customFormat="1" x14ac:dyDescent="0.25">
      <c r="B95" s="25"/>
      <c r="D95" s="9" t="s">
        <v>20</v>
      </c>
      <c r="E95" s="9"/>
      <c r="F95" s="9" t="s">
        <v>10</v>
      </c>
      <c r="G95" s="87">
        <f>IF($G$19="L",#REF!,G60)</f>
        <v>438.0196721311475</v>
      </c>
      <c r="H95" s="87">
        <f>IF($G$19="L",#REF!,H60)</f>
        <v>446.15424164524421</v>
      </c>
    </row>
    <row r="96" spans="1:8" s="12" customFormat="1" x14ac:dyDescent="0.25">
      <c r="B96" s="1"/>
      <c r="D96" s="9" t="s">
        <v>27</v>
      </c>
      <c r="E96" s="9"/>
      <c r="F96" s="9" t="s">
        <v>10</v>
      </c>
      <c r="G96" s="87">
        <f>IF($G$19="L",#REF!,G61)</f>
        <v>0</v>
      </c>
      <c r="H96" s="87">
        <f>IF($G$19="L",#REF!,H61)</f>
        <v>0</v>
      </c>
    </row>
    <row r="97" spans="1:8" s="12" customFormat="1" x14ac:dyDescent="0.25">
      <c r="B97" s="1"/>
      <c r="D97" s="9" t="s">
        <v>124</v>
      </c>
      <c r="E97" s="9"/>
      <c r="F97" s="9" t="s">
        <v>10</v>
      </c>
      <c r="G97" s="87">
        <f>IF($G$19="L",#REF!,G62)</f>
        <v>234.79330007127584</v>
      </c>
      <c r="H97" s="87">
        <f>IF($G$19="L",#REF!,H62)</f>
        <v>240.08413180649686</v>
      </c>
    </row>
    <row r="98" spans="1:8" s="12" customFormat="1" x14ac:dyDescent="0.25">
      <c r="B98" s="1"/>
      <c r="D98" s="9" t="s">
        <v>125</v>
      </c>
      <c r="E98" s="9"/>
      <c r="F98" s="9" t="s">
        <v>10</v>
      </c>
      <c r="G98" s="87">
        <f>IF($G$19="L",#REF!,G63)</f>
        <v>391.20669992872416</v>
      </c>
      <c r="H98" s="87">
        <f>IF($G$19="L",#REF!,H63)</f>
        <v>545.91586819350312</v>
      </c>
    </row>
    <row r="99" spans="1:8" s="12" customFormat="1" ht="15" customHeight="1" x14ac:dyDescent="0.25">
      <c r="B99" s="1"/>
      <c r="D99" s="9" t="s">
        <v>21</v>
      </c>
      <c r="E99" s="9"/>
      <c r="F99" s="9" t="s">
        <v>16</v>
      </c>
      <c r="G99" s="90">
        <f>IF($G$19="L",#REF!,G55)</f>
        <v>6000</v>
      </c>
      <c r="H99" s="90">
        <f>IF($G$19="L",#REF!,H55)</f>
        <v>7680</v>
      </c>
    </row>
    <row r="100" spans="1:8" s="12" customFormat="1" ht="15" customHeight="1" x14ac:dyDescent="0.25">
      <c r="B100" s="1"/>
      <c r="D100" s="9" t="s">
        <v>22</v>
      </c>
      <c r="E100" s="9"/>
      <c r="F100" s="9" t="s">
        <v>16</v>
      </c>
      <c r="G100" s="90">
        <f>IF($G$19="L",#REF!,G56)</f>
        <v>4000</v>
      </c>
      <c r="H100" s="90">
        <f>IF($G$19="L",#REF!,H56)</f>
        <v>2400</v>
      </c>
    </row>
    <row r="101" spans="1:8" s="12" customFormat="1" ht="15" customHeight="1" x14ac:dyDescent="0.25">
      <c r="B101" s="1"/>
      <c r="D101" s="9" t="s">
        <v>7</v>
      </c>
      <c r="E101" s="9"/>
      <c r="F101" s="9" t="s">
        <v>12</v>
      </c>
      <c r="G101" s="7">
        <f>IF($G$19="L",#REF!,G57)</f>
        <v>18400</v>
      </c>
      <c r="H101" s="7">
        <f>IF($G$19="L",#REF!,H57)</f>
        <v>18480</v>
      </c>
    </row>
    <row r="102" spans="1:8" s="12" customFormat="1" ht="15" customHeight="1" x14ac:dyDescent="0.25">
      <c r="B102" s="1"/>
      <c r="D102" s="9" t="s">
        <v>6</v>
      </c>
      <c r="E102" s="9"/>
      <c r="F102" s="9" t="s">
        <v>23</v>
      </c>
      <c r="G102" s="91">
        <f>IF($G$19="L",#REF!,G64)</f>
        <v>1266493570.3243246</v>
      </c>
      <c r="H102" s="91">
        <f>IF($G$19="L",#REF!,H64)</f>
        <v>1369099087.0145164</v>
      </c>
    </row>
    <row r="103" spans="1:8" s="12" customFormat="1" ht="15" customHeight="1" x14ac:dyDescent="0.25">
      <c r="B103" s="1"/>
      <c r="D103" s="9" t="s">
        <v>177</v>
      </c>
      <c r="E103" s="9"/>
      <c r="F103" s="9" t="s">
        <v>23</v>
      </c>
      <c r="G103" s="91">
        <f>IF($G$19="L",#REF!,G65)</f>
        <v>13333333.333333332</v>
      </c>
      <c r="H103" s="91">
        <f>IF($G$19="L",#REF!,H65)</f>
        <v>8000000</v>
      </c>
    </row>
    <row r="104" spans="1:8" s="12" customFormat="1" ht="15" customHeight="1" x14ac:dyDescent="0.25">
      <c r="B104" s="1"/>
      <c r="D104" s="9" t="s">
        <v>13</v>
      </c>
      <c r="E104" s="9"/>
      <c r="F104" s="9" t="s">
        <v>10</v>
      </c>
      <c r="G104" s="9">
        <f>IF($G$19="L",#REF!,G66)</f>
        <v>262.35695588307743</v>
      </c>
      <c r="H104" s="9">
        <f>IF($G$19="L",#REF!,H66)</f>
        <v>272.18642220272756</v>
      </c>
    </row>
    <row r="105" spans="1:8" s="12" customFormat="1" x14ac:dyDescent="0.25">
      <c r="A105" s="1"/>
      <c r="B105" s="1"/>
      <c r="D105" s="9" t="s">
        <v>179</v>
      </c>
      <c r="E105" s="9"/>
      <c r="F105" s="9" t="s">
        <v>23</v>
      </c>
      <c r="G105" s="91">
        <f>IF($G$19="L",#REF!,G67)</f>
        <v>1266493570.3243246</v>
      </c>
      <c r="H105" s="91">
        <f>IF($G$19="L",#REF!,H67)</f>
        <v>1369099087.0145164</v>
      </c>
    </row>
    <row r="106" spans="1:8" s="12" customFormat="1" x14ac:dyDescent="0.25">
      <c r="A106" s="1"/>
      <c r="B106" s="3"/>
      <c r="C106" s="25"/>
      <c r="D106" s="9" t="s">
        <v>178</v>
      </c>
      <c r="E106" s="9"/>
      <c r="F106" s="9" t="s">
        <v>23</v>
      </c>
      <c r="G106" s="91">
        <f t="shared" ref="G106:H106" si="29">G17^3*G16/10.9</f>
        <v>110972.47706422018</v>
      </c>
      <c r="H106" s="91">
        <f t="shared" si="29"/>
        <v>110972.47706422018</v>
      </c>
    </row>
    <row r="107" spans="1:8" s="12" customFormat="1" x14ac:dyDescent="0.25">
      <c r="A107" s="1"/>
      <c r="B107" s="3"/>
      <c r="C107" s="25"/>
      <c r="G107" s="49"/>
      <c r="H107" s="49"/>
    </row>
    <row r="108" spans="1:8" s="12" customFormat="1" ht="21" x14ac:dyDescent="0.35">
      <c r="A108" s="26"/>
      <c r="B108" s="69"/>
      <c r="C108" s="42"/>
      <c r="D108" s="28" t="s">
        <v>262</v>
      </c>
      <c r="E108" s="9"/>
      <c r="F108" s="9"/>
      <c r="G108" s="8"/>
      <c r="H108" s="8"/>
    </row>
    <row r="109" spans="1:8" s="12" customFormat="1" x14ac:dyDescent="0.25">
      <c r="A109" s="1"/>
      <c r="B109" s="1"/>
      <c r="D109" s="9" t="s">
        <v>51</v>
      </c>
      <c r="E109" s="9"/>
      <c r="F109" s="9" t="s">
        <v>10</v>
      </c>
      <c r="G109" s="87">
        <f>IF($G$19="L",#REF!,G70)</f>
        <v>94</v>
      </c>
      <c r="H109" s="87">
        <f>IF($G$19="L",#REF!,H70)</f>
        <v>94</v>
      </c>
    </row>
    <row r="110" spans="1:8" s="12" customFormat="1" x14ac:dyDescent="0.25">
      <c r="B110" s="25"/>
      <c r="D110" s="9" t="s">
        <v>14</v>
      </c>
      <c r="E110" s="9"/>
      <c r="F110" s="9" t="s">
        <v>10</v>
      </c>
      <c r="G110" s="87" t="str">
        <f>IF($G$19="L",#REF!,"Not Required")</f>
        <v>Not Required</v>
      </c>
      <c r="H110" s="87" t="str">
        <f>IF($G$19="L",#REF!,"Not Required")</f>
        <v>Not Required</v>
      </c>
    </row>
    <row r="111" spans="1:8" s="12" customFormat="1" x14ac:dyDescent="0.25">
      <c r="B111" s="25"/>
      <c r="D111" s="9" t="s">
        <v>17</v>
      </c>
      <c r="E111" s="9"/>
      <c r="F111" s="9" t="s">
        <v>10</v>
      </c>
      <c r="G111" s="87">
        <f>IF($G$19="L",#REF!,G79)</f>
        <v>37.704918032786885</v>
      </c>
      <c r="H111" s="87">
        <f>IF($G$19="L",#REF!,H79)</f>
        <v>30.642673521850899</v>
      </c>
    </row>
    <row r="112" spans="1:8" s="12" customFormat="1" x14ac:dyDescent="0.25">
      <c r="B112" s="25"/>
      <c r="D112" s="9" t="s">
        <v>18</v>
      </c>
      <c r="E112" s="9"/>
      <c r="F112" s="9" t="s">
        <v>10</v>
      </c>
      <c r="G112" s="87">
        <f>IF($G$19="L",#REF!,G80)</f>
        <v>162.61477832512315</v>
      </c>
      <c r="H112" s="87">
        <f>IF($G$19="L",#REF!,H80)</f>
        <v>192.8828791773779</v>
      </c>
    </row>
    <row r="113" spans="1:8" s="12" customFormat="1" x14ac:dyDescent="0.25">
      <c r="B113" s="25"/>
      <c r="D113" s="9" t="s">
        <v>20</v>
      </c>
      <c r="E113" s="9"/>
      <c r="F113" s="9" t="s">
        <v>10</v>
      </c>
      <c r="G113" s="87">
        <f>IF($G$19="L",#REF!,G81)</f>
        <v>364.66995073891627</v>
      </c>
      <c r="H113" s="87">
        <f>IF($G$19="L",#REF!,H81)</f>
        <v>433.46108903949522</v>
      </c>
    </row>
    <row r="114" spans="1:8" s="12" customFormat="1" x14ac:dyDescent="0.25">
      <c r="B114" s="1"/>
      <c r="D114" s="9" t="s">
        <v>27</v>
      </c>
      <c r="E114" s="9"/>
      <c r="F114" s="9" t="s">
        <v>10</v>
      </c>
      <c r="G114" s="87">
        <f>IF($G$19="L",#REF!,G82)</f>
        <v>0</v>
      </c>
      <c r="H114" s="87">
        <f>IF($G$19="L",#REF!,H82)</f>
        <v>0</v>
      </c>
    </row>
    <row r="115" spans="1:8" s="12" customFormat="1" x14ac:dyDescent="0.25">
      <c r="B115" s="1"/>
      <c r="D115" s="9" t="s">
        <v>124</v>
      </c>
      <c r="E115" s="9"/>
      <c r="F115" s="9" t="s">
        <v>10</v>
      </c>
      <c r="G115" s="87">
        <f>IF($G$19="L",#REF!,G83)</f>
        <v>156.61477832512315</v>
      </c>
      <c r="H115" s="87">
        <f>IF($G$19="L",#REF!,H83)</f>
        <v>186.8828791773779</v>
      </c>
    </row>
    <row r="116" spans="1:8" s="12" customFormat="1" x14ac:dyDescent="0.25">
      <c r="B116" s="1"/>
      <c r="D116" s="9" t="s">
        <v>125</v>
      </c>
      <c r="E116" s="9"/>
      <c r="F116" s="9" t="s">
        <v>10</v>
      </c>
      <c r="G116" s="87">
        <f>IF($G$19="L",#REF!,G84)</f>
        <v>461.38522167487685</v>
      </c>
      <c r="H116" s="87">
        <f>IF($G$19="L",#REF!,H84)</f>
        <v>431.1171208226221</v>
      </c>
    </row>
    <row r="117" spans="1:8" s="12" customFormat="1" ht="15" customHeight="1" x14ac:dyDescent="0.25">
      <c r="B117" s="1"/>
      <c r="D117" s="9" t="s">
        <v>208</v>
      </c>
      <c r="E117" s="9"/>
      <c r="F117" s="9" t="s">
        <v>16</v>
      </c>
      <c r="G117" s="90">
        <f>IF($G$19="L",#REF!,G77)</f>
        <v>6600</v>
      </c>
      <c r="H117" s="90">
        <f>IF($G$19="L",#REF!,H77)</f>
        <v>6600</v>
      </c>
    </row>
    <row r="118" spans="1:8" s="12" customFormat="1" ht="15" customHeight="1" x14ac:dyDescent="0.25">
      <c r="B118" s="1"/>
      <c r="D118" s="9" t="s">
        <v>41</v>
      </c>
      <c r="E118" s="9"/>
      <c r="F118" s="9" t="s">
        <v>16</v>
      </c>
      <c r="G118" s="90">
        <f>IF($G$19="L",#REF!,G77)</f>
        <v>6600</v>
      </c>
      <c r="H118" s="90">
        <f>IF($G$19="L",#REF!,H77)</f>
        <v>6600</v>
      </c>
    </row>
    <row r="119" spans="1:8" s="12" customFormat="1" ht="15" customHeight="1" x14ac:dyDescent="0.25">
      <c r="B119" s="1"/>
      <c r="D119" s="9" t="s">
        <v>22</v>
      </c>
      <c r="E119" s="9"/>
      <c r="F119" s="9" t="s">
        <v>16</v>
      </c>
      <c r="G119" s="90">
        <f>IF($G$19="L",#REF!,G76)</f>
        <v>1200</v>
      </c>
      <c r="H119" s="90">
        <f>IF($G$19="L",#REF!,H76)</f>
        <v>1200</v>
      </c>
    </row>
    <row r="120" spans="1:8" s="12" customFormat="1" ht="15" customHeight="1" x14ac:dyDescent="0.25">
      <c r="B120" s="1"/>
      <c r="D120" s="9" t="s">
        <v>7</v>
      </c>
      <c r="E120" s="9"/>
      <c r="F120" s="9" t="s">
        <v>12</v>
      </c>
      <c r="G120" s="90">
        <f t="shared" ref="G120:H120" si="30">IF($G$19="L",G78,G78)</f>
        <v>15000</v>
      </c>
      <c r="H120" s="90">
        <f t="shared" si="30"/>
        <v>15000</v>
      </c>
    </row>
    <row r="121" spans="1:8" s="12" customFormat="1" ht="15" customHeight="1" x14ac:dyDescent="0.25">
      <c r="B121" s="1"/>
      <c r="D121" s="9" t="s">
        <v>42</v>
      </c>
      <c r="E121" s="9"/>
      <c r="F121" s="9" t="s">
        <v>23</v>
      </c>
      <c r="G121" s="91">
        <f>IF($G$19="L",#REF!,G85)</f>
        <v>1075615284.6417046</v>
      </c>
      <c r="H121" s="91">
        <f>IF($G$19="L",#REF!,H85)</f>
        <v>1231312504.6803551</v>
      </c>
    </row>
    <row r="122" spans="1:8" s="12" customFormat="1" ht="15" customHeight="1" x14ac:dyDescent="0.25">
      <c r="B122" s="1"/>
      <c r="D122" s="9" t="s">
        <v>177</v>
      </c>
      <c r="E122" s="9"/>
      <c r="F122" s="9" t="s">
        <v>23</v>
      </c>
      <c r="G122" s="91">
        <f>IF($G$19="L",#REF!,G86)</f>
        <v>3333333.333333333</v>
      </c>
      <c r="H122" s="91">
        <f>IF($G$19="L",#REF!,H86)</f>
        <v>2000000</v>
      </c>
    </row>
    <row r="123" spans="1:8" s="12" customFormat="1" ht="15" customHeight="1" x14ac:dyDescent="0.25">
      <c r="B123" s="1"/>
      <c r="D123" s="9" t="s">
        <v>46</v>
      </c>
      <c r="E123" s="9"/>
      <c r="F123" s="9" t="s">
        <v>10</v>
      </c>
      <c r="G123" s="87">
        <f>IF($G$19="L",#REF!,G87)</f>
        <v>267.78290767481838</v>
      </c>
      <c r="H123" s="87">
        <f>IF($G$19="L",#REF!,H87)</f>
        <v>286.50916270169034</v>
      </c>
    </row>
    <row r="124" spans="1:8" s="12" customFormat="1" x14ac:dyDescent="0.25">
      <c r="A124" s="1"/>
      <c r="B124" s="1"/>
      <c r="D124" s="9" t="s">
        <v>219</v>
      </c>
      <c r="E124" s="9"/>
      <c r="F124" s="9" t="s">
        <v>23</v>
      </c>
      <c r="G124" s="91">
        <f>IF($G$19="L",#REF!,G88)</f>
        <v>1075615284.6417046</v>
      </c>
      <c r="H124" s="91">
        <f>IF($G$19="L",#REF!,H88)</f>
        <v>1231312504.6803551</v>
      </c>
    </row>
    <row r="125" spans="1:8" s="12" customFormat="1" x14ac:dyDescent="0.25">
      <c r="A125" s="1"/>
      <c r="B125" s="3"/>
      <c r="C125" s="25"/>
      <c r="D125" s="9" t="s">
        <v>178</v>
      </c>
      <c r="E125" s="9"/>
      <c r="F125" s="9" t="s">
        <v>23</v>
      </c>
      <c r="G125" s="91">
        <f t="shared" ref="G125:H125" si="31">G17^3*G16/10.9</f>
        <v>110972.47706422018</v>
      </c>
      <c r="H125" s="91">
        <f t="shared" si="31"/>
        <v>110972.47706422018</v>
      </c>
    </row>
    <row r="126" spans="1:8" s="12" customFormat="1" x14ac:dyDescent="0.25">
      <c r="A126" s="1"/>
      <c r="B126" s="1"/>
      <c r="C126" s="1"/>
      <c r="G126" s="49"/>
      <c r="H126" s="49"/>
    </row>
    <row r="127" spans="1:8" s="12" customFormat="1" ht="21" x14ac:dyDescent="0.35">
      <c r="A127" s="1"/>
      <c r="B127" s="1"/>
      <c r="C127" s="1"/>
      <c r="D127" s="28" t="s">
        <v>263</v>
      </c>
      <c r="E127" s="9"/>
      <c r="F127" s="10"/>
    </row>
    <row r="128" spans="1:8" s="12" customFormat="1" x14ac:dyDescent="0.25">
      <c r="A128" s="1" t="s">
        <v>58</v>
      </c>
      <c r="B128" s="1"/>
      <c r="C128" s="27" t="s">
        <v>52</v>
      </c>
      <c r="D128" s="29" t="s">
        <v>100</v>
      </c>
      <c r="E128" s="9"/>
      <c r="F128" s="9" t="s">
        <v>25</v>
      </c>
      <c r="G128" s="92">
        <f t="shared" ref="G128:H128" si="32">SQRT(G39^2+G41^2-G39*G41+3*G43^2)</f>
        <v>10.099504938362077</v>
      </c>
      <c r="H128" s="92">
        <f t="shared" si="32"/>
        <v>11.269427669584644</v>
      </c>
    </row>
    <row r="129" spans="1:8" s="12" customFormat="1" x14ac:dyDescent="0.25">
      <c r="A129" s="1" t="s">
        <v>62</v>
      </c>
      <c r="B129" s="1"/>
      <c r="C129" s="27" t="s">
        <v>52</v>
      </c>
      <c r="D129" s="29" t="s">
        <v>15</v>
      </c>
      <c r="E129" s="9"/>
      <c r="F129" s="9" t="s">
        <v>5</v>
      </c>
      <c r="G129" s="9">
        <f t="shared" ref="G129:H129" si="33">2-(G16/G24)</f>
        <v>1.6860986547085202</v>
      </c>
      <c r="H129" s="9">
        <f t="shared" si="33"/>
        <v>1.7627118644067796</v>
      </c>
    </row>
    <row r="130" spans="1:8" s="12" customFormat="1" x14ac:dyDescent="0.25">
      <c r="A130" s="1" t="s">
        <v>137</v>
      </c>
      <c r="B130" s="1"/>
      <c r="C130" s="27" t="s">
        <v>52</v>
      </c>
      <c r="D130" s="29" t="s">
        <v>101</v>
      </c>
      <c r="E130" s="9"/>
      <c r="F130" s="9" t="s">
        <v>5</v>
      </c>
      <c r="G130" s="9">
        <f t="shared" ref="G130:H130" si="34">$G$5*$G$8/G128*((G39/G153)^G129+(G41/G154)^G129+(G43/G155)^G129)^(1/G129)</f>
        <v>4.2711656271926923</v>
      </c>
      <c r="H130" s="9">
        <f t="shared" si="34"/>
        <v>3.9375518517628865</v>
      </c>
    </row>
    <row r="131" spans="1:8" s="12" customFormat="1" x14ac:dyDescent="0.25">
      <c r="A131" s="1" t="s">
        <v>63</v>
      </c>
      <c r="B131" s="1"/>
      <c r="C131" s="27" t="s">
        <v>52</v>
      </c>
      <c r="D131" s="29" t="s">
        <v>30</v>
      </c>
      <c r="E131" s="9"/>
      <c r="F131" s="9" t="s">
        <v>25</v>
      </c>
      <c r="G131" s="92">
        <f t="shared" ref="G131:H131" si="35">$G$5*$G$8/SQRT(1+G130^2)</f>
        <v>53.43914834532351</v>
      </c>
      <c r="H131" s="92">
        <f t="shared" si="35"/>
        <v>57.702621557463829</v>
      </c>
    </row>
    <row r="132" spans="1:8" s="12" customFormat="1" x14ac:dyDescent="0.25">
      <c r="A132" s="1" t="s">
        <v>64</v>
      </c>
      <c r="B132" s="1"/>
      <c r="C132" s="27" t="s">
        <v>52</v>
      </c>
      <c r="D132" s="29" t="s">
        <v>31</v>
      </c>
      <c r="E132" s="39" t="s">
        <v>138</v>
      </c>
      <c r="F132" s="9" t="s">
        <v>5</v>
      </c>
      <c r="G132" s="9">
        <f t="shared" ref="G132:H132" si="36">IF(G128/G131&lt;1,G128/G131,1)</f>
        <v>0.18899075398992377</v>
      </c>
      <c r="H132" s="9">
        <f t="shared" si="36"/>
        <v>0.19530183144905908</v>
      </c>
    </row>
    <row r="133" spans="1:8" s="12" customFormat="1" x14ac:dyDescent="0.25">
      <c r="A133" s="1" t="s">
        <v>65</v>
      </c>
      <c r="B133" s="1"/>
      <c r="C133" s="27" t="s">
        <v>52</v>
      </c>
      <c r="D133" s="29" t="s">
        <v>32</v>
      </c>
      <c r="E133" s="9"/>
      <c r="F133" s="9" t="s">
        <v>5</v>
      </c>
      <c r="G133" s="9">
        <f t="shared" ref="G133:H133" si="37">G20/G16*(G17/G21)^3*SQRT(1-G132)</f>
        <v>1.3338587781915452</v>
      </c>
      <c r="H133" s="9">
        <f t="shared" si="37"/>
        <v>1.7006832117648087</v>
      </c>
    </row>
    <row r="134" spans="1:8" s="12" customFormat="1" x14ac:dyDescent="0.25">
      <c r="A134" s="1" t="s">
        <v>66</v>
      </c>
      <c r="B134" s="1"/>
      <c r="C134" s="27" t="s">
        <v>52</v>
      </c>
      <c r="D134" s="29" t="s">
        <v>102</v>
      </c>
      <c r="E134" s="9"/>
      <c r="F134" s="9" t="s">
        <v>5</v>
      </c>
      <c r="G134" s="9">
        <f t="shared" ref="G134:H134" si="38">(3*G133+0.2)/(G133+0.2)</f>
        <v>2.7392197993145047</v>
      </c>
      <c r="H134" s="9">
        <f t="shared" si="38"/>
        <v>2.7895493591335536</v>
      </c>
    </row>
    <row r="135" spans="1:8" s="12" customFormat="1" ht="30" x14ac:dyDescent="0.25">
      <c r="A135" s="1" t="s">
        <v>72</v>
      </c>
      <c r="B135" s="1"/>
      <c r="C135" s="42"/>
      <c r="D135" s="30" t="s">
        <v>180</v>
      </c>
      <c r="E135" s="9"/>
      <c r="F135" s="9" t="s">
        <v>5</v>
      </c>
      <c r="G135" s="9">
        <f t="shared" ref="G135:H135" si="39">SQRT(G180/G152)</f>
        <v>9.0408282139755894E-2</v>
      </c>
      <c r="H135" s="9">
        <f t="shared" si="39"/>
        <v>0.11527934397056631</v>
      </c>
    </row>
    <row r="136" spans="1:8" s="12" customFormat="1" ht="18" x14ac:dyDescent="0.35">
      <c r="A136" s="26" t="s">
        <v>163</v>
      </c>
      <c r="B136" s="1"/>
      <c r="C136" s="27" t="s">
        <v>52</v>
      </c>
      <c r="D136" s="30" t="s">
        <v>185</v>
      </c>
      <c r="E136" s="9"/>
      <c r="F136" s="9"/>
      <c r="G136" s="9">
        <f t="shared" ref="G136:H136" si="40">IF(G24&gt;G33,5.34*(G24/G33)^2+4,5.34+4*(G24/G33)^2)</f>
        <v>6.9638040816326523</v>
      </c>
      <c r="H136" s="9">
        <f t="shared" si="40"/>
        <v>8.1816326530612251</v>
      </c>
    </row>
    <row r="137" spans="1:8" s="12" customFormat="1" ht="18" x14ac:dyDescent="0.35">
      <c r="A137" s="26" t="s">
        <v>186</v>
      </c>
      <c r="B137" s="1"/>
      <c r="C137" s="27" t="s">
        <v>52</v>
      </c>
      <c r="D137" s="30" t="s">
        <v>184</v>
      </c>
      <c r="E137" s="9"/>
      <c r="F137" s="9"/>
      <c r="G137" s="9">
        <f t="shared" ref="G137:H137" si="41">IF(G24&lt;G16,5.34*(G16/G24)^2+4,5.34+4*(G16/G24)^2)</f>
        <v>5.7341362183032034</v>
      </c>
      <c r="H137" s="9">
        <f t="shared" si="41"/>
        <v>5.5652226371732256</v>
      </c>
    </row>
    <row r="138" spans="1:8" s="12" customFormat="1" ht="30" x14ac:dyDescent="0.25">
      <c r="A138" s="1" t="s">
        <v>72</v>
      </c>
      <c r="B138" s="1"/>
      <c r="C138" s="42"/>
      <c r="D138" s="30" t="s">
        <v>181</v>
      </c>
      <c r="E138" s="9"/>
      <c r="F138" s="9" t="s">
        <v>5</v>
      </c>
      <c r="G138" s="9">
        <f t="shared" ref="G138:H138" si="42">SQRT(G194/G152)</f>
        <v>8.6934162508934099E-2</v>
      </c>
      <c r="H138" s="9">
        <f t="shared" si="42"/>
        <v>0.10276608345834444</v>
      </c>
    </row>
    <row r="139" spans="1:8" s="12" customFormat="1" x14ac:dyDescent="0.25">
      <c r="A139" s="26"/>
      <c r="B139" s="69"/>
      <c r="C139" s="27"/>
    </row>
    <row r="140" spans="1:8" s="12" customFormat="1" ht="21" x14ac:dyDescent="0.35">
      <c r="A140" s="1"/>
      <c r="B140" s="1"/>
      <c r="C140" s="42"/>
      <c r="D140" s="28" t="s">
        <v>264</v>
      </c>
      <c r="E140" s="9"/>
      <c r="F140" s="9"/>
      <c r="G140" s="9"/>
      <c r="H140" s="9"/>
    </row>
    <row r="141" spans="1:8" s="12" customFormat="1" x14ac:dyDescent="0.25">
      <c r="A141" s="1"/>
      <c r="B141" s="1"/>
      <c r="C141" s="42" t="s">
        <v>274</v>
      </c>
      <c r="D141" s="29" t="s">
        <v>100</v>
      </c>
      <c r="E141" s="9"/>
      <c r="F141" s="9" t="s">
        <v>25</v>
      </c>
      <c r="G141" s="92">
        <f t="shared" ref="G141:H141" si="43">SQRT(G39^2+G41^2-G39*G41+3*G43^2)</f>
        <v>10.099504938362077</v>
      </c>
      <c r="H141" s="92">
        <f t="shared" si="43"/>
        <v>11.269427669584644</v>
      </c>
    </row>
    <row r="142" spans="1:8" s="12" customFormat="1" x14ac:dyDescent="0.25">
      <c r="A142" s="1"/>
      <c r="B142" s="1"/>
      <c r="C142" s="42"/>
      <c r="D142" s="29" t="s">
        <v>15</v>
      </c>
      <c r="E142" s="9"/>
      <c r="F142" s="9" t="s">
        <v>5</v>
      </c>
      <c r="G142" s="9">
        <f t="shared" ref="G142:H142" si="44">2-(G16/G33)</f>
        <v>1.8</v>
      </c>
      <c r="H142" s="9">
        <f t="shared" si="44"/>
        <v>1.8</v>
      </c>
    </row>
    <row r="143" spans="1:8" s="12" customFormat="1" x14ac:dyDescent="0.25">
      <c r="A143" s="1"/>
      <c r="B143" s="1"/>
      <c r="C143" s="42"/>
      <c r="D143" s="29" t="s">
        <v>101</v>
      </c>
      <c r="E143" s="9"/>
      <c r="F143" s="9" t="s">
        <v>5</v>
      </c>
      <c r="G143" s="9">
        <f t="shared" ref="G143:H143" si="45">$G$5*$G$8/G128*((G39/G153)^G142+(G41/G154)^G141+(G43/G155)^G141)^(1/G141)</f>
        <v>11.792889680446438</v>
      </c>
      <c r="H143" s="9">
        <f t="shared" si="45"/>
        <v>12.665669004559751</v>
      </c>
    </row>
    <row r="144" spans="1:8" s="12" customFormat="1" x14ac:dyDescent="0.25">
      <c r="A144" s="1"/>
      <c r="B144" s="1"/>
      <c r="C144" s="42"/>
      <c r="D144" s="29" t="s">
        <v>30</v>
      </c>
      <c r="E144" s="9"/>
      <c r="F144" s="9" t="s">
        <v>25</v>
      </c>
      <c r="G144" s="92">
        <f t="shared" ref="G144:H144" si="46">$G$5*$G$8/SQRT(1+G143^2)</f>
        <v>19.8069790985789</v>
      </c>
      <c r="H144" s="92">
        <f t="shared" si="46"/>
        <v>18.450865131573707</v>
      </c>
    </row>
    <row r="145" spans="1:8" s="12" customFormat="1" x14ac:dyDescent="0.25">
      <c r="A145" s="1"/>
      <c r="B145" s="1"/>
      <c r="C145" s="42"/>
      <c r="D145" s="29" t="s">
        <v>31</v>
      </c>
      <c r="E145" s="39" t="s">
        <v>138</v>
      </c>
      <c r="F145" s="9" t="s">
        <v>5</v>
      </c>
      <c r="G145" s="9">
        <f t="shared" ref="G145:H145" si="47">IF(G141/G144&lt;1,G141/G144,1)</f>
        <v>0.50989627888720757</v>
      </c>
      <c r="H145" s="9">
        <f t="shared" si="47"/>
        <v>0.61078044792057151</v>
      </c>
    </row>
    <row r="146" spans="1:8" s="12" customFormat="1" x14ac:dyDescent="0.25">
      <c r="A146" s="1"/>
      <c r="B146" s="1"/>
      <c r="C146" s="27"/>
      <c r="D146" s="29" t="s">
        <v>32</v>
      </c>
      <c r="E146" s="9"/>
      <c r="F146" s="9" t="s">
        <v>5</v>
      </c>
      <c r="G146" s="9">
        <f t="shared" ref="G146:H146" si="48">G29/G16*(G17/G30)^3*SQRT(1-G145)</f>
        <v>1.4223727392283898</v>
      </c>
      <c r="H146" s="9">
        <f t="shared" si="48"/>
        <v>1.267554800751183</v>
      </c>
    </row>
    <row r="147" spans="1:8" s="12" customFormat="1" x14ac:dyDescent="0.25">
      <c r="A147" s="1"/>
      <c r="B147" s="1"/>
      <c r="C147" s="27"/>
      <c r="D147" s="29" t="s">
        <v>102</v>
      </c>
      <c r="E147" s="9"/>
      <c r="F147" s="9" t="s">
        <v>5</v>
      </c>
      <c r="G147" s="9">
        <f t="shared" ref="G147:H147" si="49">(3*G146+0.2)/(G146+0.2)</f>
        <v>2.7534475337706659</v>
      </c>
      <c r="H147" s="9">
        <f t="shared" si="49"/>
        <v>2.7274377762280113</v>
      </c>
    </row>
    <row r="148" spans="1:8" s="12" customFormat="1" ht="30" x14ac:dyDescent="0.25">
      <c r="A148" s="1"/>
      <c r="B148" s="1"/>
      <c r="C148" s="42"/>
      <c r="D148" s="30" t="s">
        <v>180</v>
      </c>
      <c r="E148" s="9"/>
      <c r="F148" s="9" t="s">
        <v>5</v>
      </c>
      <c r="G148" s="9">
        <f t="shared" ref="G148:H148" si="50">SQRT(G187/G152)</f>
        <v>9.0408282139755894E-2</v>
      </c>
      <c r="H148" s="9">
        <f t="shared" si="50"/>
        <v>0.11527934397056631</v>
      </c>
    </row>
    <row r="149" spans="1:8" s="12" customFormat="1" ht="30" x14ac:dyDescent="0.25">
      <c r="A149" s="1"/>
      <c r="B149" s="1"/>
      <c r="C149" s="42"/>
      <c r="D149" s="30" t="s">
        <v>181</v>
      </c>
      <c r="E149" s="9"/>
      <c r="F149" s="9" t="s">
        <v>5</v>
      </c>
      <c r="G149" s="9">
        <f t="shared" ref="G149:H149" si="51">SQRT(G201/G152)</f>
        <v>6.9761000776692159E-2</v>
      </c>
      <c r="H149" s="9">
        <f t="shared" si="51"/>
        <v>7.2878076965389893E-2</v>
      </c>
    </row>
    <row r="150" spans="1:8" s="12" customFormat="1" x14ac:dyDescent="0.25">
      <c r="A150" s="1"/>
      <c r="B150" s="1"/>
      <c r="C150" s="1"/>
    </row>
    <row r="151" spans="1:8" s="12" customFormat="1" ht="21" x14ac:dyDescent="0.35">
      <c r="A151" s="1"/>
      <c r="B151" s="1"/>
      <c r="C151" s="1"/>
      <c r="D151" s="28" t="s">
        <v>265</v>
      </c>
      <c r="E151" s="9"/>
      <c r="F151" s="9"/>
      <c r="G151" s="9"/>
      <c r="H151" s="9"/>
    </row>
    <row r="152" spans="1:8" s="12" customFormat="1" x14ac:dyDescent="0.25">
      <c r="A152" s="1" t="s">
        <v>57</v>
      </c>
      <c r="B152" s="1"/>
      <c r="C152" s="27" t="s">
        <v>52</v>
      </c>
      <c r="D152" s="9" t="s">
        <v>117</v>
      </c>
      <c r="E152" s="9"/>
      <c r="F152" s="9" t="s">
        <v>25</v>
      </c>
      <c r="G152" s="92">
        <f t="shared" ref="G152:H152" si="52">PI()^2*$G$4*$G$8*(G104/G26)^2</f>
        <v>28679.914785888275</v>
      </c>
      <c r="H152" s="92">
        <f t="shared" si="52"/>
        <v>17639.704209219246</v>
      </c>
    </row>
    <row r="153" spans="1:8" s="12" customFormat="1" ht="30" x14ac:dyDescent="0.25">
      <c r="A153" s="1" t="s">
        <v>59</v>
      </c>
      <c r="B153" s="1"/>
      <c r="C153" s="27" t="s">
        <v>52</v>
      </c>
      <c r="D153" s="30" t="s">
        <v>97</v>
      </c>
      <c r="E153" s="9"/>
      <c r="F153" s="9" t="s">
        <v>25</v>
      </c>
      <c r="G153" s="92">
        <f t="shared" ref="G153:H153" si="53">3.62*$G$4*$G$8*(G17/G16)^2</f>
        <v>223.34572985142859</v>
      </c>
      <c r="H153" s="92">
        <f t="shared" si="53"/>
        <v>223.34572985142859</v>
      </c>
    </row>
    <row r="154" spans="1:8" s="12" customFormat="1" ht="30" x14ac:dyDescent="0.25">
      <c r="A154" s="1" t="s">
        <v>60</v>
      </c>
      <c r="B154" s="1"/>
      <c r="C154" s="27" t="s">
        <v>52</v>
      </c>
      <c r="D154" s="30" t="s">
        <v>96</v>
      </c>
      <c r="E154" s="9"/>
      <c r="F154" s="9" t="s">
        <v>25</v>
      </c>
      <c r="G154" s="92">
        <f t="shared" ref="G154:H154" si="54">0.9*$G$4*$G$8*(G17/G16)^2</f>
        <v>55.527943885714294</v>
      </c>
      <c r="H154" s="92">
        <f t="shared" si="54"/>
        <v>55.527943885714294</v>
      </c>
    </row>
    <row r="155" spans="1:8" s="12" customFormat="1" x14ac:dyDescent="0.25">
      <c r="A155" s="1" t="s">
        <v>61</v>
      </c>
      <c r="B155" s="1"/>
      <c r="C155" s="27" t="s">
        <v>52</v>
      </c>
      <c r="D155" s="29" t="s">
        <v>95</v>
      </c>
      <c r="E155" s="9"/>
      <c r="F155" s="9" t="s">
        <v>25</v>
      </c>
      <c r="G155" s="92">
        <f t="shared" ref="G155:H155" si="55">5*$G$4*$G$8*(G17/G16)^2</f>
        <v>308.48857714285714</v>
      </c>
      <c r="H155" s="92">
        <f t="shared" si="55"/>
        <v>308.48857714285714</v>
      </c>
    </row>
    <row r="156" spans="1:8" s="12" customFormat="1" x14ac:dyDescent="0.25">
      <c r="A156" s="26"/>
      <c r="B156" s="69"/>
      <c r="C156" s="27"/>
    </row>
    <row r="157" spans="1:8" s="12" customFormat="1" ht="21" x14ac:dyDescent="0.35">
      <c r="A157" s="1"/>
      <c r="B157" s="1"/>
      <c r="C157" s="27"/>
      <c r="D157" s="83" t="s">
        <v>266</v>
      </c>
      <c r="E157" s="11"/>
      <c r="F157" s="11"/>
    </row>
    <row r="158" spans="1:8" s="12" customFormat="1" x14ac:dyDescent="0.25">
      <c r="A158" s="1" t="s">
        <v>57</v>
      </c>
      <c r="B158" s="1"/>
      <c r="C158" s="27"/>
      <c r="D158" s="9" t="s">
        <v>117</v>
      </c>
      <c r="E158" s="9"/>
      <c r="F158" s="9" t="s">
        <v>25</v>
      </c>
      <c r="G158" s="7">
        <f t="shared" ref="G158:H158" si="56">PI()^2*$G$4*$G$8*(G123/G35)^2</f>
        <v>12129.196547132609</v>
      </c>
      <c r="H158" s="7">
        <f t="shared" si="56"/>
        <v>13884.919258269067</v>
      </c>
    </row>
    <row r="159" spans="1:8" s="12" customFormat="1" ht="30" x14ac:dyDescent="0.25">
      <c r="A159" s="1" t="s">
        <v>59</v>
      </c>
      <c r="B159" s="1"/>
      <c r="C159" s="27"/>
      <c r="D159" s="30" t="s">
        <v>97</v>
      </c>
      <c r="E159" s="9"/>
      <c r="F159" s="9" t="s">
        <v>25</v>
      </c>
      <c r="G159" s="9">
        <f t="shared" ref="G159:H159" si="57">3.62*$G$4*$G$8*(G17/G16)^2</f>
        <v>223.34572985142859</v>
      </c>
      <c r="H159" s="9">
        <f t="shared" si="57"/>
        <v>223.34572985142859</v>
      </c>
    </row>
    <row r="160" spans="1:8" s="12" customFormat="1" ht="30" x14ac:dyDescent="0.25">
      <c r="A160" s="1" t="s">
        <v>60</v>
      </c>
      <c r="B160" s="1"/>
      <c r="C160" s="27"/>
      <c r="D160" s="30" t="s">
        <v>96</v>
      </c>
      <c r="E160" s="9"/>
      <c r="F160" s="9" t="s">
        <v>25</v>
      </c>
      <c r="G160" s="9">
        <f t="shared" ref="G160:H160" si="58">0.9*$G$4*$G$8*(G17/G16)^2</f>
        <v>55.527943885714294</v>
      </c>
      <c r="H160" s="9">
        <f t="shared" si="58"/>
        <v>55.527943885714294</v>
      </c>
    </row>
    <row r="161" spans="1:8" s="12" customFormat="1" x14ac:dyDescent="0.25">
      <c r="A161" s="1" t="s">
        <v>61</v>
      </c>
      <c r="B161" s="1"/>
      <c r="C161" s="27"/>
      <c r="D161" s="29" t="s">
        <v>95</v>
      </c>
      <c r="E161" s="9"/>
      <c r="F161" s="9" t="s">
        <v>25</v>
      </c>
      <c r="G161" s="9">
        <f t="shared" ref="G161:H161" si="59">5*$G$4*$G$8*(G17/G16)^2</f>
        <v>308.48857714285714</v>
      </c>
      <c r="H161" s="9">
        <f t="shared" si="59"/>
        <v>308.48857714285714</v>
      </c>
    </row>
    <row r="162" spans="1:8" s="12" customFormat="1" x14ac:dyDescent="0.25">
      <c r="A162" s="1"/>
      <c r="B162" s="1"/>
      <c r="C162" s="1"/>
    </row>
    <row r="163" spans="1:8" s="12" customFormat="1" ht="21" x14ac:dyDescent="0.35">
      <c r="A163" s="1"/>
      <c r="B163" s="1"/>
      <c r="C163" s="1"/>
      <c r="D163" s="28" t="s">
        <v>267</v>
      </c>
      <c r="E163" s="10" t="s">
        <v>94</v>
      </c>
      <c r="F163" s="10" t="s">
        <v>78</v>
      </c>
      <c r="G163" s="9"/>
      <c r="H163" s="9"/>
    </row>
    <row r="164" spans="1:8" s="12" customFormat="1" x14ac:dyDescent="0.25">
      <c r="A164" s="1" t="s">
        <v>67</v>
      </c>
      <c r="B164" s="1"/>
      <c r="C164" s="27" t="s">
        <v>52</v>
      </c>
      <c r="D164" s="29" t="s">
        <v>98</v>
      </c>
      <c r="E164" s="9"/>
      <c r="F164" s="9" t="s">
        <v>25</v>
      </c>
      <c r="G164" s="92">
        <f t="shared" ref="G164:H164" si="60">(G99+(G22/G21)^2*G100)/(G99+3*G100)*G134*($G$7*$G$8*(G21/G20)^2)+PI()^2*$G$4*$G$8*G103/((G99/3+G100)*G25^2)</f>
        <v>450.97774276395569</v>
      </c>
      <c r="H164" s="92">
        <f t="shared" si="60"/>
        <v>301.39934504512263</v>
      </c>
    </row>
    <row r="165" spans="1:8" s="12" customFormat="1" x14ac:dyDescent="0.25">
      <c r="A165" s="1" t="s">
        <v>68</v>
      </c>
      <c r="B165" s="1"/>
      <c r="C165" s="27" t="s">
        <v>52</v>
      </c>
      <c r="D165" s="29" t="s">
        <v>104</v>
      </c>
      <c r="E165" s="9"/>
      <c r="F165" s="9" t="s">
        <v>5</v>
      </c>
      <c r="G165" s="9">
        <f t="shared" ref="G165:H165" si="61">SQRT($G$5*$G$8/G164)</f>
        <v>0.7209739799726923</v>
      </c>
      <c r="H165" s="9">
        <f t="shared" si="61"/>
        <v>0.88191350558755599</v>
      </c>
    </row>
    <row r="166" spans="1:8" s="12" customFormat="1" x14ac:dyDescent="0.25">
      <c r="A166" s="1" t="s">
        <v>69</v>
      </c>
      <c r="B166" s="1"/>
      <c r="C166" s="27" t="s">
        <v>52</v>
      </c>
      <c r="D166" s="29" t="s">
        <v>103</v>
      </c>
      <c r="E166" s="9"/>
      <c r="F166" s="9" t="s">
        <v>5</v>
      </c>
      <c r="G166" s="9">
        <f t="shared" ref="G166:H166" si="62">0.35*(G165-0.6)</f>
        <v>4.234089299044231E-2</v>
      </c>
      <c r="H166" s="9">
        <f t="shared" si="62"/>
        <v>9.8669726955644604E-2</v>
      </c>
    </row>
    <row r="167" spans="1:8" s="12" customFormat="1" x14ac:dyDescent="0.25">
      <c r="A167" s="1" t="s">
        <v>70</v>
      </c>
      <c r="B167" s="1"/>
      <c r="C167" s="27" t="s">
        <v>52</v>
      </c>
      <c r="D167" s="29" t="s">
        <v>99</v>
      </c>
      <c r="E167" s="9" t="s">
        <v>33</v>
      </c>
      <c r="F167" s="9" t="s">
        <v>25</v>
      </c>
      <c r="G167" s="92">
        <f t="shared" ref="G167:H167" si="63">(1+G166+G165^2-SQRT(((1+G166+G165^2)^2-4*G165^2)))/((2*G165^2))*$G$5*$G$8</f>
        <v>216.74985015740987</v>
      </c>
      <c r="H167" s="92">
        <f t="shared" si="63"/>
        <v>186.29058611387683</v>
      </c>
    </row>
    <row r="168" spans="1:8" s="12" customFormat="1" x14ac:dyDescent="0.25">
      <c r="A168" s="1" t="s">
        <v>71</v>
      </c>
      <c r="B168" s="1"/>
      <c r="C168" s="27" t="s">
        <v>52</v>
      </c>
      <c r="D168" s="29" t="s">
        <v>99</v>
      </c>
      <c r="E168" s="9" t="s">
        <v>34</v>
      </c>
      <c r="F168" s="9" t="s">
        <v>25</v>
      </c>
      <c r="G168" s="92">
        <f t="shared" ref="G168:H168" si="64">$G$5*$G$8</f>
        <v>234.41980000000001</v>
      </c>
      <c r="H168" s="92">
        <f t="shared" si="64"/>
        <v>234.41980000000001</v>
      </c>
    </row>
    <row r="169" spans="1:8" s="12" customFormat="1" x14ac:dyDescent="0.25">
      <c r="A169" s="1" t="s">
        <v>75</v>
      </c>
      <c r="B169" s="1"/>
      <c r="C169" s="27" t="s">
        <v>52</v>
      </c>
      <c r="D169" s="31" t="s">
        <v>99</v>
      </c>
      <c r="E169" s="9"/>
      <c r="F169" s="9" t="s">
        <v>25</v>
      </c>
      <c r="G169" s="94">
        <f t="shared" ref="G169:H169" si="65">IF(G165&gt;0.6,G167,G168)</f>
        <v>216.74985015740987</v>
      </c>
      <c r="H169" s="94">
        <f t="shared" si="65"/>
        <v>186.29058611387683</v>
      </c>
    </row>
    <row r="170" spans="1:8" s="12" customFormat="1" x14ac:dyDescent="0.25">
      <c r="A170" s="1"/>
      <c r="B170" s="1"/>
      <c r="C170" s="27"/>
      <c r="D170" s="31"/>
      <c r="G170" s="53"/>
      <c r="H170" s="53"/>
    </row>
    <row r="171" spans="1:8" s="12" customFormat="1" ht="21" x14ac:dyDescent="0.35">
      <c r="A171" s="1"/>
      <c r="B171" s="1"/>
      <c r="C171" s="1"/>
      <c r="D171" s="28" t="s">
        <v>268</v>
      </c>
    </row>
    <row r="172" spans="1:8" s="12" customFormat="1" x14ac:dyDescent="0.25">
      <c r="A172" s="1" t="s">
        <v>67</v>
      </c>
      <c r="B172" s="1"/>
      <c r="C172" s="27" t="s">
        <v>52</v>
      </c>
      <c r="D172" s="29" t="s">
        <v>98</v>
      </c>
      <c r="E172" s="9"/>
      <c r="F172" s="9" t="s">
        <v>25</v>
      </c>
      <c r="G172" s="92">
        <f t="shared" ref="G172:H172" si="66">(G117+(G22/G30)^2*G119)/(G117+3*G117)*G147*($G$7*$G$8*(G30/G29)^2)+PI()^2*$G$4*$G$8*G122/((G117/3+G119)*G25^2)</f>
        <v>189.56645749907165</v>
      </c>
      <c r="H172" s="92">
        <f t="shared" si="66"/>
        <v>115.89110974235969</v>
      </c>
    </row>
    <row r="173" spans="1:8" s="12" customFormat="1" x14ac:dyDescent="0.25">
      <c r="A173" s="1" t="s">
        <v>68</v>
      </c>
      <c r="B173" s="1"/>
      <c r="C173" s="27" t="s">
        <v>52</v>
      </c>
      <c r="D173" s="29" t="s">
        <v>104</v>
      </c>
      <c r="E173" s="9"/>
      <c r="F173" s="9" t="s">
        <v>5</v>
      </c>
      <c r="G173" s="9">
        <f t="shared" ref="G173:H173" si="67">SQRT($G$5*$G$8/G172)</f>
        <v>1.1120297303973781</v>
      </c>
      <c r="H173" s="9">
        <f t="shared" si="67"/>
        <v>1.4222373667088888</v>
      </c>
    </row>
    <row r="174" spans="1:8" s="12" customFormat="1" x14ac:dyDescent="0.25">
      <c r="A174" s="1" t="s">
        <v>69</v>
      </c>
      <c r="B174" s="1"/>
      <c r="C174" s="25" t="s">
        <v>277</v>
      </c>
      <c r="D174" s="29" t="s">
        <v>103</v>
      </c>
      <c r="E174" s="9"/>
      <c r="F174" s="9" t="s">
        <v>5</v>
      </c>
      <c r="G174" s="9">
        <f t="shared" ref="G174:H174" si="68">0.35*(G173-0.6)</f>
        <v>0.17921040563908233</v>
      </c>
      <c r="H174" s="9">
        <f t="shared" si="68"/>
        <v>0.28778307834811107</v>
      </c>
    </row>
    <row r="175" spans="1:8" s="12" customFormat="1" x14ac:dyDescent="0.25">
      <c r="A175" s="1" t="s">
        <v>70</v>
      </c>
      <c r="B175" s="1"/>
      <c r="C175" s="25" t="s">
        <v>277</v>
      </c>
      <c r="D175" s="29" t="s">
        <v>99</v>
      </c>
      <c r="E175" s="9" t="s">
        <v>33</v>
      </c>
      <c r="F175" s="9" t="s">
        <v>25</v>
      </c>
      <c r="G175" s="92">
        <f t="shared" ref="G175:H175" si="69">(1+G174+G173^2-SQRT(((1+G174+G173^2)^2-4*G173^2)))/((2*G173^2))*$G$5*$G$8</f>
        <v>139.57359383544667</v>
      </c>
      <c r="H175" s="92">
        <f t="shared" si="69"/>
        <v>93.688245754170836</v>
      </c>
    </row>
    <row r="176" spans="1:8" s="12" customFormat="1" x14ac:dyDescent="0.25">
      <c r="A176" s="1" t="s">
        <v>71</v>
      </c>
      <c r="B176" s="1"/>
      <c r="C176" s="25" t="s">
        <v>277</v>
      </c>
      <c r="D176" s="29" t="s">
        <v>99</v>
      </c>
      <c r="E176" s="9" t="s">
        <v>34</v>
      </c>
      <c r="F176" s="9" t="s">
        <v>25</v>
      </c>
      <c r="G176" s="92">
        <f t="shared" ref="G176:H176" si="70">$G$5*$G$8</f>
        <v>234.41980000000001</v>
      </c>
      <c r="H176" s="92">
        <f t="shared" si="70"/>
        <v>234.41980000000001</v>
      </c>
    </row>
    <row r="177" spans="1:8" s="12" customFormat="1" x14ac:dyDescent="0.25">
      <c r="A177" s="1" t="s">
        <v>75</v>
      </c>
      <c r="B177" s="1"/>
      <c r="C177" s="25" t="s">
        <v>277</v>
      </c>
      <c r="D177" s="31" t="s">
        <v>99</v>
      </c>
      <c r="E177" s="9"/>
      <c r="F177" s="9" t="s">
        <v>25</v>
      </c>
      <c r="G177" s="94">
        <f t="shared" ref="G177:H177" si="71">IF(G174&gt;0.6,G175,G176)</f>
        <v>234.41980000000001</v>
      </c>
      <c r="H177" s="94">
        <f t="shared" si="71"/>
        <v>234.41980000000001</v>
      </c>
    </row>
    <row r="178" spans="1:8" s="12" customFormat="1" x14ac:dyDescent="0.25">
      <c r="A178" s="1"/>
      <c r="B178" s="1"/>
      <c r="C178" s="1"/>
      <c r="D178" s="32"/>
    </row>
    <row r="179" spans="1:8" s="12" customFormat="1" ht="21" customHeight="1" x14ac:dyDescent="0.35">
      <c r="A179" s="1"/>
      <c r="B179" s="1"/>
      <c r="C179" s="1"/>
      <c r="D179" s="28" t="s">
        <v>140</v>
      </c>
      <c r="E179" s="10" t="s">
        <v>94</v>
      </c>
      <c r="F179" s="10" t="s">
        <v>78</v>
      </c>
      <c r="G179" s="9"/>
      <c r="H179" s="9"/>
    </row>
    <row r="180" spans="1:8" s="12" customFormat="1" ht="15" customHeight="1" x14ac:dyDescent="0.25">
      <c r="A180" s="1" t="s">
        <v>73</v>
      </c>
      <c r="B180" s="1"/>
      <c r="C180" s="27" t="s">
        <v>52</v>
      </c>
      <c r="D180" s="29" t="s">
        <v>54</v>
      </c>
      <c r="E180" s="9"/>
      <c r="F180" s="9" t="s">
        <v>25</v>
      </c>
      <c r="G180" s="92">
        <f t="shared" ref="G180:H187" si="72">$G$5*$G$8</f>
        <v>234.41980000000001</v>
      </c>
      <c r="H180" s="92">
        <f t="shared" si="72"/>
        <v>234.41980000000001</v>
      </c>
    </row>
    <row r="181" spans="1:8" s="12" customFormat="1" ht="15" customHeight="1" x14ac:dyDescent="0.25">
      <c r="A181" s="1" t="s">
        <v>74</v>
      </c>
      <c r="B181" s="1"/>
      <c r="C181" s="27" t="s">
        <v>52</v>
      </c>
      <c r="D181" s="29" t="s">
        <v>103</v>
      </c>
      <c r="E181" s="9"/>
      <c r="F181" s="9"/>
      <c r="G181" s="9">
        <f t="shared" ref="G181:H181" si="73">(0.34+0.08*G97/G104)*(G135-0.2)</f>
        <v>-4.5107410526903188E-2</v>
      </c>
      <c r="H181" s="9">
        <f t="shared" si="73"/>
        <v>-3.4783303666445824E-2</v>
      </c>
    </row>
    <row r="182" spans="1:8" s="12" customFormat="1" ht="15" customHeight="1" x14ac:dyDescent="0.25">
      <c r="A182" s="1" t="s">
        <v>73</v>
      </c>
      <c r="B182" s="1"/>
      <c r="C182" s="27" t="s">
        <v>52</v>
      </c>
      <c r="D182" s="9" t="s">
        <v>53</v>
      </c>
      <c r="E182" s="29" t="s">
        <v>35</v>
      </c>
      <c r="F182" s="9" t="s">
        <v>25</v>
      </c>
      <c r="G182" s="92">
        <f t="shared" ref="G182:H182" si="74">G180</f>
        <v>234.41980000000001</v>
      </c>
      <c r="H182" s="92">
        <f t="shared" si="74"/>
        <v>234.41980000000001</v>
      </c>
    </row>
    <row r="183" spans="1:8" s="12" customFormat="1" ht="15" customHeight="1" x14ac:dyDescent="0.25">
      <c r="A183" s="1" t="s">
        <v>73</v>
      </c>
      <c r="B183" s="1"/>
      <c r="C183" s="27" t="s">
        <v>52</v>
      </c>
      <c r="D183" s="9" t="s">
        <v>53</v>
      </c>
      <c r="E183" s="29" t="s">
        <v>36</v>
      </c>
      <c r="F183" s="9" t="s">
        <v>25</v>
      </c>
      <c r="G183" s="92">
        <f t="shared" ref="G183:H183" si="75">(1+G181+G135^2-SQRT((1+G181+G135^2)^2-4*G135^2))/(2*G135^2)*G180</f>
        <v>245.59357410552758</v>
      </c>
      <c r="H183" s="92">
        <f t="shared" si="75"/>
        <v>242.98984326993664</v>
      </c>
    </row>
    <row r="184" spans="1:8" s="12" customFormat="1" ht="15" customHeight="1" x14ac:dyDescent="0.25">
      <c r="A184" s="1" t="s">
        <v>73</v>
      </c>
      <c r="B184" s="1"/>
      <c r="C184" s="27" t="s">
        <v>52</v>
      </c>
      <c r="D184" s="10" t="s">
        <v>53</v>
      </c>
      <c r="E184" s="9"/>
      <c r="F184" s="9" t="s">
        <v>25</v>
      </c>
      <c r="G184" s="94">
        <f t="shared" ref="G184:H184" si="76">IF(G135&gt;0.2,G183,G182)</f>
        <v>234.41980000000001</v>
      </c>
      <c r="H184" s="94">
        <f t="shared" si="76"/>
        <v>234.41980000000001</v>
      </c>
    </row>
    <row r="185" spans="1:8" s="12" customFormat="1" x14ac:dyDescent="0.25">
      <c r="A185" s="26"/>
      <c r="B185" s="69"/>
      <c r="C185" s="27"/>
    </row>
    <row r="186" spans="1:8" s="12" customFormat="1" ht="21" x14ac:dyDescent="0.35">
      <c r="A186" s="1"/>
      <c r="B186" s="1"/>
      <c r="C186" s="27"/>
      <c r="D186" s="28" t="s">
        <v>272</v>
      </c>
      <c r="E186" s="9"/>
      <c r="F186" s="9"/>
      <c r="G186" s="10"/>
      <c r="H186" s="10"/>
    </row>
    <row r="187" spans="1:8" s="12" customFormat="1" ht="15" customHeight="1" x14ac:dyDescent="0.25">
      <c r="A187" s="1" t="s">
        <v>73</v>
      </c>
      <c r="B187" s="1"/>
      <c r="C187" s="27" t="s">
        <v>52</v>
      </c>
      <c r="D187" s="29" t="s">
        <v>54</v>
      </c>
      <c r="E187" s="9"/>
      <c r="F187" s="9" t="s">
        <v>25</v>
      </c>
      <c r="G187" s="92">
        <f t="shared" si="72"/>
        <v>234.41980000000001</v>
      </c>
      <c r="H187" s="92">
        <f t="shared" si="72"/>
        <v>234.41980000000001</v>
      </c>
    </row>
    <row r="188" spans="1:8" s="12" customFormat="1" ht="15" customHeight="1" x14ac:dyDescent="0.25">
      <c r="A188" s="1" t="s">
        <v>74</v>
      </c>
      <c r="B188" s="1"/>
      <c r="C188" s="27" t="s">
        <v>52</v>
      </c>
      <c r="D188" s="29" t="s">
        <v>103</v>
      </c>
      <c r="E188" s="9"/>
      <c r="F188" s="9"/>
      <c r="G188" s="9">
        <f t="shared" ref="G188:H188" si="77">(0.34+0.08*G115/G123)*(G138-0.2)</f>
        <v>-4.3732574842683114E-2</v>
      </c>
      <c r="H188" s="9">
        <f t="shared" si="77"/>
        <v>-3.8133394981452379E-2</v>
      </c>
    </row>
    <row r="189" spans="1:8" s="12" customFormat="1" ht="15" customHeight="1" x14ac:dyDescent="0.25">
      <c r="A189" s="1" t="s">
        <v>73</v>
      </c>
      <c r="B189" s="1"/>
      <c r="C189" s="27" t="s">
        <v>52</v>
      </c>
      <c r="D189" s="9" t="s">
        <v>53</v>
      </c>
      <c r="E189" s="29" t="s">
        <v>35</v>
      </c>
      <c r="F189" s="9" t="s">
        <v>25</v>
      </c>
      <c r="G189" s="92">
        <f t="shared" ref="G189:H189" si="78">G187</f>
        <v>234.41980000000001</v>
      </c>
      <c r="H189" s="92">
        <f t="shared" si="78"/>
        <v>234.41980000000001</v>
      </c>
    </row>
    <row r="190" spans="1:8" s="12" customFormat="1" ht="15" customHeight="1" x14ac:dyDescent="0.25">
      <c r="A190" s="1" t="s">
        <v>73</v>
      </c>
      <c r="B190" s="1"/>
      <c r="C190" s="27" t="s">
        <v>52</v>
      </c>
      <c r="D190" s="9" t="s">
        <v>53</v>
      </c>
      <c r="E190" s="29" t="s">
        <v>36</v>
      </c>
      <c r="F190" s="9" t="s">
        <v>25</v>
      </c>
      <c r="G190" s="92">
        <f t="shared" ref="G190:H190" si="79">(1+G188+G148^2-SQRT((1+G188+G148^2)^2-4*G148^2))/(2*G148^2)*G187</f>
        <v>245.23714933021611</v>
      </c>
      <c r="H190" s="92">
        <f t="shared" si="79"/>
        <v>243.84893486039303</v>
      </c>
    </row>
    <row r="191" spans="1:8" s="12" customFormat="1" ht="15" customHeight="1" x14ac:dyDescent="0.25">
      <c r="A191" s="1" t="s">
        <v>73</v>
      </c>
      <c r="B191" s="1"/>
      <c r="C191" s="27" t="s">
        <v>52</v>
      </c>
      <c r="D191" s="10" t="s">
        <v>53</v>
      </c>
      <c r="E191" s="9"/>
      <c r="F191" s="9" t="s">
        <v>25</v>
      </c>
      <c r="G191" s="94">
        <f t="shared" ref="G191:H191" si="80">IF(G148&gt;0.2,G190,G189)</f>
        <v>234.41980000000001</v>
      </c>
      <c r="H191" s="94">
        <f t="shared" si="80"/>
        <v>234.41980000000001</v>
      </c>
    </row>
    <row r="192" spans="1:8" s="12" customFormat="1" x14ac:dyDescent="0.25"/>
    <row r="193" spans="1:8" s="12" customFormat="1" ht="21" customHeight="1" x14ac:dyDescent="0.35">
      <c r="A193" s="1"/>
      <c r="B193" s="1"/>
      <c r="C193" s="1"/>
      <c r="D193" s="28" t="s">
        <v>270</v>
      </c>
      <c r="E193" s="10" t="s">
        <v>94</v>
      </c>
      <c r="F193" s="9"/>
      <c r="G193" s="9"/>
      <c r="H193" s="9"/>
    </row>
    <row r="194" spans="1:8" s="12" customFormat="1" ht="15" customHeight="1" x14ac:dyDescent="0.25">
      <c r="A194" s="1" t="s">
        <v>73</v>
      </c>
      <c r="B194" s="1"/>
      <c r="C194" s="27" t="s">
        <v>52</v>
      </c>
      <c r="D194" s="29" t="s">
        <v>54</v>
      </c>
      <c r="E194" s="9"/>
      <c r="F194" s="9" t="s">
        <v>25</v>
      </c>
      <c r="G194" s="92">
        <f t="shared" ref="G194:H194" si="81">G169</f>
        <v>216.74985015740987</v>
      </c>
      <c r="H194" s="92">
        <f t="shared" si="81"/>
        <v>186.29058611387683</v>
      </c>
    </row>
    <row r="195" spans="1:8" s="12" customFormat="1" ht="15" customHeight="1" x14ac:dyDescent="0.25">
      <c r="A195" s="1" t="s">
        <v>56</v>
      </c>
      <c r="B195" s="1"/>
      <c r="C195" s="27" t="s">
        <v>52</v>
      </c>
      <c r="D195" s="29" t="s">
        <v>103</v>
      </c>
      <c r="E195" s="9"/>
      <c r="F195" s="9"/>
      <c r="G195" s="9">
        <f t="shared" ref="G195:H195" si="82">(0.34+0.08*G98/G104)*(G135-0.2)</f>
        <v>-5.0334369538999175E-2</v>
      </c>
      <c r="H195" s="9">
        <f t="shared" si="82"/>
        <v>-4.2398750500756983E-2</v>
      </c>
    </row>
    <row r="196" spans="1:8" s="12" customFormat="1" ht="15" customHeight="1" x14ac:dyDescent="0.25">
      <c r="A196" s="1" t="s">
        <v>73</v>
      </c>
      <c r="B196" s="1"/>
      <c r="C196" s="27" t="s">
        <v>52</v>
      </c>
      <c r="D196" s="9" t="s">
        <v>53</v>
      </c>
      <c r="E196" s="29" t="s">
        <v>35</v>
      </c>
      <c r="F196" s="9" t="s">
        <v>25</v>
      </c>
      <c r="G196" s="92">
        <f t="shared" ref="G196:H196" si="83">$G$5*$G$8</f>
        <v>234.41980000000001</v>
      </c>
      <c r="H196" s="92">
        <f t="shared" si="83"/>
        <v>234.41980000000001</v>
      </c>
    </row>
    <row r="197" spans="1:8" s="12" customFormat="1" ht="15" customHeight="1" x14ac:dyDescent="0.25">
      <c r="A197" s="1" t="s">
        <v>73</v>
      </c>
      <c r="B197" s="1"/>
      <c r="C197" s="27" t="s">
        <v>52</v>
      </c>
      <c r="D197" s="9" t="s">
        <v>53</v>
      </c>
      <c r="E197" s="33" t="s">
        <v>36</v>
      </c>
      <c r="F197" s="9" t="s">
        <v>25</v>
      </c>
      <c r="G197" s="92">
        <f t="shared" ref="G197:H197" si="84">(1+G195+G138^2-SQRT((1+G195+G138^2)^2-4*G138^2))/(2*G138^2)*G194</f>
        <v>228.33519498496443</v>
      </c>
      <c r="H197" s="92">
        <f t="shared" si="84"/>
        <v>194.63493496696455</v>
      </c>
    </row>
    <row r="198" spans="1:8" s="12" customFormat="1" ht="15" customHeight="1" x14ac:dyDescent="0.25">
      <c r="A198" s="12" t="s">
        <v>73</v>
      </c>
      <c r="C198" s="27" t="s">
        <v>52</v>
      </c>
      <c r="D198" s="10" t="s">
        <v>53</v>
      </c>
      <c r="E198" s="9"/>
      <c r="F198" s="9" t="s">
        <v>25</v>
      </c>
      <c r="G198" s="94">
        <f t="shared" ref="G198:H198" si="85">IF(G138&gt;0.2,G197,G196)</f>
        <v>234.41980000000001</v>
      </c>
      <c r="H198" s="94">
        <f t="shared" si="85"/>
        <v>234.41980000000001</v>
      </c>
    </row>
    <row r="199" spans="1:8" s="12" customFormat="1" x14ac:dyDescent="0.25">
      <c r="A199" s="26"/>
      <c r="B199" s="69"/>
      <c r="C199" s="27"/>
    </row>
    <row r="200" spans="1:8" s="12" customFormat="1" ht="21" x14ac:dyDescent="0.35">
      <c r="C200" s="27"/>
      <c r="D200" s="28" t="s">
        <v>271</v>
      </c>
      <c r="E200" s="9"/>
      <c r="F200" s="9"/>
      <c r="G200" s="10"/>
      <c r="H200" s="10"/>
    </row>
    <row r="201" spans="1:8" s="12" customFormat="1" ht="15" customHeight="1" x14ac:dyDescent="0.25">
      <c r="A201" s="1" t="s">
        <v>73</v>
      </c>
      <c r="B201" s="1"/>
      <c r="C201" s="27" t="s">
        <v>52</v>
      </c>
      <c r="D201" s="29" t="s">
        <v>54</v>
      </c>
      <c r="E201" s="9"/>
      <c r="F201" s="9" t="s">
        <v>25</v>
      </c>
      <c r="G201" s="92">
        <f t="shared" ref="G201:H201" si="86">G175</f>
        <v>139.57359383544667</v>
      </c>
      <c r="H201" s="92">
        <f t="shared" si="86"/>
        <v>93.688245754170836</v>
      </c>
    </row>
    <row r="202" spans="1:8" s="12" customFormat="1" ht="15" customHeight="1" x14ac:dyDescent="0.25">
      <c r="A202" s="1" t="s">
        <v>56</v>
      </c>
      <c r="B202" s="1"/>
      <c r="C202" s="27" t="s">
        <v>52</v>
      </c>
      <c r="D202" s="29" t="s">
        <v>103</v>
      </c>
      <c r="E202" s="9"/>
      <c r="F202" s="9"/>
      <c r="G202" s="9">
        <f t="shared" ref="G202:H202" si="87">(0.34+0.08*G98/G104)*(G149-0.2)</f>
        <v>-5.9817457407276391E-2</v>
      </c>
      <c r="H202" s="9">
        <f t="shared" si="87"/>
        <v>-6.3618613813003697E-2</v>
      </c>
    </row>
    <row r="203" spans="1:8" s="12" customFormat="1" ht="15" customHeight="1" x14ac:dyDescent="0.25">
      <c r="A203" s="1" t="s">
        <v>73</v>
      </c>
      <c r="C203" s="27" t="s">
        <v>52</v>
      </c>
      <c r="D203" s="9" t="s">
        <v>53</v>
      </c>
      <c r="E203" s="29" t="s">
        <v>35</v>
      </c>
      <c r="F203" s="9" t="s">
        <v>25</v>
      </c>
      <c r="G203" s="92">
        <f t="shared" ref="G203:H203" si="88">$G$5*$G$8</f>
        <v>234.41980000000001</v>
      </c>
      <c r="H203" s="92">
        <f t="shared" si="88"/>
        <v>234.41980000000001</v>
      </c>
    </row>
    <row r="204" spans="1:8" s="12" customFormat="1" ht="15" customHeight="1" x14ac:dyDescent="0.25">
      <c r="A204" s="1" t="s">
        <v>73</v>
      </c>
      <c r="C204" s="27" t="s">
        <v>52</v>
      </c>
      <c r="D204" s="9" t="s">
        <v>53</v>
      </c>
      <c r="E204" s="33" t="s">
        <v>36</v>
      </c>
      <c r="F204" s="9" t="s">
        <v>25</v>
      </c>
      <c r="G204" s="92">
        <f t="shared" ref="G204:H204" si="89">(1+G202+G149^2-SQRT((1+G202+G149^2)^2-4*G149^2))/(2*G149^2)*G201</f>
        <v>148.50289481056964</v>
      </c>
      <c r="H204" s="92">
        <f t="shared" si="89"/>
        <v>100.09231871779146</v>
      </c>
    </row>
    <row r="205" spans="1:8" s="12" customFormat="1" ht="15" customHeight="1" x14ac:dyDescent="0.25">
      <c r="A205" s="12" t="s">
        <v>73</v>
      </c>
      <c r="C205" s="27" t="s">
        <v>52</v>
      </c>
      <c r="D205" s="10" t="s">
        <v>53</v>
      </c>
      <c r="E205" s="9"/>
      <c r="F205" s="9" t="s">
        <v>25</v>
      </c>
      <c r="G205" s="94">
        <f t="shared" ref="G205:H205" si="90">IF(G137&gt;0.2,G204,G203)</f>
        <v>148.50289481056964</v>
      </c>
      <c r="H205" s="94">
        <f t="shared" si="90"/>
        <v>100.09231871779146</v>
      </c>
    </row>
    <row r="206" spans="1:8" s="12" customFormat="1" ht="15" customHeight="1" x14ac:dyDescent="0.25">
      <c r="C206" s="27"/>
      <c r="D206" s="53"/>
      <c r="G206" s="53"/>
      <c r="H206" s="53"/>
    </row>
    <row r="207" spans="1:8" ht="21" x14ac:dyDescent="0.35">
      <c r="A207" s="59"/>
      <c r="C207" s="27"/>
      <c r="D207" s="55" t="s">
        <v>276</v>
      </c>
      <c r="E207" s="56" t="s">
        <v>94</v>
      </c>
      <c r="F207" s="56" t="s">
        <v>78</v>
      </c>
      <c r="G207" s="10"/>
      <c r="H207" s="10"/>
    </row>
    <row r="208" spans="1:8" ht="15" customHeight="1" x14ac:dyDescent="0.25">
      <c r="A208" s="59" t="s">
        <v>86</v>
      </c>
      <c r="B208" s="1"/>
      <c r="C208" s="27" t="s">
        <v>52</v>
      </c>
      <c r="D208" s="20" t="s">
        <v>43</v>
      </c>
      <c r="E208" s="20"/>
      <c r="F208" s="20" t="s">
        <v>25</v>
      </c>
      <c r="G208" s="92">
        <f t="shared" ref="G208:H208" si="91">PI()^2*$G$4*$G$8*(G123/G33)^2</f>
        <v>12129.196547132609</v>
      </c>
      <c r="H208" s="92">
        <f t="shared" si="91"/>
        <v>13884.919258269067</v>
      </c>
    </row>
    <row r="209" spans="1:8" ht="15" customHeight="1" x14ac:dyDescent="0.25">
      <c r="A209" s="59" t="s">
        <v>80</v>
      </c>
      <c r="B209" s="1"/>
      <c r="C209" s="27" t="s">
        <v>52</v>
      </c>
      <c r="D209" s="57" t="s">
        <v>209</v>
      </c>
      <c r="E209" s="20"/>
      <c r="F209" s="20" t="s">
        <v>25</v>
      </c>
      <c r="G209" s="92">
        <f t="shared" ref="G209:H209" si="92">18*$G$4*$G$8/(G17*G24^2)*(G17*G121/G16)^0.75</f>
        <v>17819.246360540001</v>
      </c>
      <c r="H209" s="92">
        <f t="shared" si="92"/>
        <v>11269.081508769765</v>
      </c>
    </row>
    <row r="210" spans="1:8" x14ac:dyDescent="0.25">
      <c r="A210" s="59" t="s">
        <v>80</v>
      </c>
      <c r="B210" s="1"/>
      <c r="C210" s="27" t="s">
        <v>52</v>
      </c>
      <c r="D210" s="57" t="s">
        <v>210</v>
      </c>
      <c r="E210" s="20"/>
      <c r="F210" s="20" t="s">
        <v>25</v>
      </c>
      <c r="G210" s="92">
        <f t="shared" ref="G210:H210" si="93">G209*G24^2/G14^2</f>
        <v>2211.5239057306135</v>
      </c>
      <c r="H210" s="92">
        <f t="shared" si="93"/>
        <v>2447.5137033976193</v>
      </c>
    </row>
    <row r="211" spans="1:8" ht="15" customHeight="1" x14ac:dyDescent="0.25">
      <c r="A211" s="59" t="s">
        <v>80</v>
      </c>
      <c r="B211" s="1"/>
      <c r="C211" s="27" t="s">
        <v>52</v>
      </c>
      <c r="D211" s="57" t="s">
        <v>215</v>
      </c>
      <c r="E211" s="20"/>
      <c r="F211" s="20" t="s">
        <v>275</v>
      </c>
      <c r="G211" s="15">
        <f t="shared" ref="G211:H211" si="94">SQRT(0.6*$G$5*$G$8/G209)</f>
        <v>8.8844000240637599E-2</v>
      </c>
      <c r="H211" s="15">
        <f t="shared" si="94"/>
        <v>0.11171937840477934</v>
      </c>
    </row>
    <row r="212" spans="1:8" ht="15" customHeight="1" x14ac:dyDescent="0.25">
      <c r="A212" s="59" t="s">
        <v>80</v>
      </c>
      <c r="B212" s="1"/>
      <c r="C212" s="27" t="s">
        <v>52</v>
      </c>
      <c r="D212" s="57" t="s">
        <v>113</v>
      </c>
      <c r="E212" s="57" t="s">
        <v>213</v>
      </c>
      <c r="F212" s="20" t="s">
        <v>25</v>
      </c>
      <c r="G212" s="92">
        <f t="shared" ref="G212:H212" si="95">0.6*$G$5*$G$8</f>
        <v>140.65188000000001</v>
      </c>
      <c r="H212" s="92">
        <f t="shared" si="95"/>
        <v>140.65188000000001</v>
      </c>
    </row>
    <row r="213" spans="1:8" x14ac:dyDescent="0.25">
      <c r="A213" s="59" t="s">
        <v>80</v>
      </c>
      <c r="C213" s="27" t="s">
        <v>52</v>
      </c>
      <c r="D213" s="57" t="s">
        <v>113</v>
      </c>
      <c r="E213" s="57" t="s">
        <v>214</v>
      </c>
      <c r="F213" s="20" t="s">
        <v>25</v>
      </c>
      <c r="G213" s="92">
        <f t="shared" ref="G213:H213" si="96">(0.6/G211^2)*$G$5*$G$8</f>
        <v>17819.246360540004</v>
      </c>
      <c r="H213" s="92">
        <f t="shared" si="96"/>
        <v>11269.081508769765</v>
      </c>
    </row>
    <row r="214" spans="1:8" x14ac:dyDescent="0.25">
      <c r="A214" s="59" t="s">
        <v>80</v>
      </c>
      <c r="C214" s="27" t="s">
        <v>52</v>
      </c>
      <c r="D214" s="63" t="s">
        <v>113</v>
      </c>
      <c r="E214" s="57"/>
      <c r="F214" s="20" t="s">
        <v>25</v>
      </c>
      <c r="G214" s="92">
        <f t="shared" ref="G214:H214" si="97">IF(G211&lt;1,G212,G213)</f>
        <v>140.65188000000001</v>
      </c>
      <c r="H214" s="92">
        <f t="shared" si="97"/>
        <v>140.65188000000001</v>
      </c>
    </row>
    <row r="215" spans="1:8" x14ac:dyDescent="0.25">
      <c r="A215" s="59" t="s">
        <v>80</v>
      </c>
      <c r="C215" s="27" t="s">
        <v>52</v>
      </c>
      <c r="D215" s="57" t="s">
        <v>106</v>
      </c>
      <c r="E215" s="57"/>
      <c r="F215" s="20"/>
      <c r="G215" s="15">
        <f t="shared" ref="G215:H215" si="98">SQRT($G$5*$G$8/G208)</f>
        <v>0.13902123066889305</v>
      </c>
      <c r="H215" s="15">
        <f t="shared" si="98"/>
        <v>0.12993479519469547</v>
      </c>
    </row>
    <row r="216" spans="1:8" x14ac:dyDescent="0.25">
      <c r="A216" s="59" t="s">
        <v>81</v>
      </c>
      <c r="C216" s="27" t="s">
        <v>52</v>
      </c>
      <c r="D216" s="65" t="s">
        <v>105</v>
      </c>
      <c r="E216" s="57"/>
      <c r="F216" s="66" t="s">
        <v>5</v>
      </c>
      <c r="G216" s="15">
        <f t="shared" ref="G216:H216" si="99">IF(G215-0.2&lt;0,0)</f>
        <v>0</v>
      </c>
      <c r="H216" s="15">
        <f t="shared" si="99"/>
        <v>0</v>
      </c>
    </row>
    <row r="217" spans="1:8" x14ac:dyDescent="0.25">
      <c r="A217" s="59" t="s">
        <v>81</v>
      </c>
      <c r="B217" s="1"/>
      <c r="C217" s="27" t="s">
        <v>52</v>
      </c>
      <c r="D217" s="65" t="s">
        <v>32</v>
      </c>
      <c r="E217" s="57" t="s">
        <v>216</v>
      </c>
      <c r="F217" s="66" t="s">
        <v>5</v>
      </c>
      <c r="G217" s="61">
        <f t="shared" ref="G217:H217" si="100">G216*(7-5*(G16/G33)^2*((G43-G214)/G209)^2)</f>
        <v>0</v>
      </c>
      <c r="H217" s="61">
        <f t="shared" si="100"/>
        <v>0</v>
      </c>
    </row>
    <row r="218" spans="1:8" x14ac:dyDescent="0.25">
      <c r="A218" s="59" t="s">
        <v>82</v>
      </c>
      <c r="B218" s="1"/>
      <c r="C218" s="27" t="s">
        <v>52</v>
      </c>
      <c r="D218" s="65" t="s">
        <v>32</v>
      </c>
      <c r="E218" s="57" t="s">
        <v>217</v>
      </c>
      <c r="F218" s="66" t="s">
        <v>5</v>
      </c>
      <c r="G218" s="61">
        <v>0</v>
      </c>
      <c r="H218" s="61">
        <v>0</v>
      </c>
    </row>
    <row r="219" spans="1:8" x14ac:dyDescent="0.25">
      <c r="A219" s="59"/>
      <c r="B219" s="1"/>
      <c r="C219" s="27" t="s">
        <v>52</v>
      </c>
      <c r="D219" s="67" t="s">
        <v>32</v>
      </c>
      <c r="E219" s="57"/>
      <c r="F219" s="68" t="s">
        <v>5</v>
      </c>
      <c r="G219" s="61">
        <f t="shared" ref="G219:H219" si="101">IF(G43&gt;G214,G217,G218)</f>
        <v>0</v>
      </c>
      <c r="H219" s="61">
        <f t="shared" si="101"/>
        <v>0</v>
      </c>
    </row>
    <row r="220" spans="1:8" x14ac:dyDescent="0.25">
      <c r="A220"/>
      <c r="B220"/>
      <c r="D220" s="64"/>
      <c r="E220" s="64"/>
      <c r="F220" s="64"/>
    </row>
    <row r="221" spans="1:8" ht="21" x14ac:dyDescent="0.35">
      <c r="D221" s="28" t="s">
        <v>156</v>
      </c>
    </row>
    <row r="222" spans="1:8" x14ac:dyDescent="0.25">
      <c r="A222" s="12" t="s">
        <v>161</v>
      </c>
      <c r="C222" s="27" t="s">
        <v>52</v>
      </c>
      <c r="D222" s="9" t="s">
        <v>157</v>
      </c>
      <c r="E222" s="9"/>
      <c r="F222" s="9" t="s">
        <v>25</v>
      </c>
      <c r="G222" s="92">
        <f t="shared" ref="G222:H222" si="102">$G$5*$G$8/$G$9/SQRT(3)</f>
        <v>117.68898663772023</v>
      </c>
      <c r="H222" s="92">
        <f t="shared" si="102"/>
        <v>117.68898663772023</v>
      </c>
    </row>
    <row r="223" spans="1:8" x14ac:dyDescent="0.25">
      <c r="A223" s="12" t="s">
        <v>163</v>
      </c>
      <c r="C223" s="27" t="s">
        <v>52</v>
      </c>
      <c r="D223" s="9" t="s">
        <v>164</v>
      </c>
      <c r="E223" s="9"/>
      <c r="F223" s="9" t="s">
        <v>25</v>
      </c>
      <c r="G223" s="92">
        <f t="shared" ref="G223:H223" si="103">G137*904*$G$4*$G$8*(G17/G16)^2</f>
        <v>319819.92658148432</v>
      </c>
      <c r="H223" s="92">
        <f t="shared" si="103"/>
        <v>310398.8163987216</v>
      </c>
    </row>
    <row r="224" spans="1:8" x14ac:dyDescent="0.25">
      <c r="A224" s="12" t="s">
        <v>162</v>
      </c>
      <c r="C224" s="27" t="s">
        <v>52</v>
      </c>
      <c r="D224" s="9" t="s">
        <v>158</v>
      </c>
      <c r="E224" s="9"/>
      <c r="F224" s="9" t="s">
        <v>25</v>
      </c>
      <c r="G224" s="92">
        <f t="shared" ref="G224:H224" si="104">G223/$G$9</f>
        <v>278104.28398389946</v>
      </c>
      <c r="H224" s="92">
        <f t="shared" si="104"/>
        <v>269912.01425975794</v>
      </c>
    </row>
    <row r="225" spans="1:8" x14ac:dyDescent="0.25">
      <c r="A225" s="12" t="s">
        <v>161</v>
      </c>
      <c r="C225" s="27" t="s">
        <v>52</v>
      </c>
      <c r="D225" s="9" t="s">
        <v>160</v>
      </c>
      <c r="E225" s="9"/>
      <c r="F225" s="9" t="s">
        <v>25</v>
      </c>
      <c r="G225" s="92">
        <f t="shared" ref="G225:H225" si="105">36*$G$4*$G$8/G16/G17/(G24^2)*(G106*G105^3)^0.25</f>
        <v>22170.333274031178</v>
      </c>
      <c r="H225" s="92">
        <f t="shared" si="105"/>
        <v>13431.107788272995</v>
      </c>
    </row>
    <row r="226" spans="1:8" x14ac:dyDescent="0.25">
      <c r="C226" s="27" t="s">
        <v>52</v>
      </c>
      <c r="D226" s="9" t="s">
        <v>159</v>
      </c>
      <c r="E226" s="9"/>
      <c r="F226" s="9" t="s">
        <v>25</v>
      </c>
      <c r="G226" s="92">
        <f t="shared" ref="G226:H226" si="106">G225/$G$9</f>
        <v>19278.550673070589</v>
      </c>
      <c r="H226" s="92">
        <f t="shared" si="106"/>
        <v>11679.224163715649</v>
      </c>
    </row>
    <row r="227" spans="1:8" x14ac:dyDescent="0.25">
      <c r="C227" s="27" t="s">
        <v>52</v>
      </c>
      <c r="D227" s="9" t="s">
        <v>165</v>
      </c>
      <c r="E227" s="9"/>
      <c r="F227" s="9" t="s">
        <v>25</v>
      </c>
      <c r="G227" s="92">
        <f t="shared" ref="G227:H227" si="107">MIN(G226,G224,G222)</f>
        <v>117.68898663772023</v>
      </c>
      <c r="H227" s="92">
        <f t="shared" si="107"/>
        <v>117.68898663772023</v>
      </c>
    </row>
    <row r="229" spans="1:8" ht="21" x14ac:dyDescent="0.35">
      <c r="A229" s="1"/>
      <c r="B229" s="1"/>
      <c r="C229" s="1"/>
      <c r="D229" s="28" t="s">
        <v>228</v>
      </c>
      <c r="E229" s="10" t="s">
        <v>94</v>
      </c>
      <c r="F229" s="9"/>
      <c r="G229" s="9"/>
      <c r="H229" s="9"/>
    </row>
    <row r="230" spans="1:8" x14ac:dyDescent="0.25">
      <c r="A230" s="12" t="s">
        <v>126</v>
      </c>
      <c r="C230" s="27" t="s">
        <v>52</v>
      </c>
      <c r="D230" s="6" t="s">
        <v>141</v>
      </c>
      <c r="E230" s="6"/>
      <c r="F230" s="19" t="s">
        <v>118</v>
      </c>
      <c r="G230" s="95">
        <f t="shared" ref="G230:H230" si="108">G101*$G$5*$G$8/$G$9</f>
        <v>3750716.8000000007</v>
      </c>
      <c r="H230" s="95">
        <f t="shared" si="108"/>
        <v>3767024.2643478266</v>
      </c>
    </row>
    <row r="231" spans="1:8" x14ac:dyDescent="0.25">
      <c r="A231" s="12" t="s">
        <v>128</v>
      </c>
      <c r="C231" s="27" t="s">
        <v>52</v>
      </c>
      <c r="D231" s="6" t="s">
        <v>142</v>
      </c>
      <c r="E231" s="6"/>
      <c r="F231" s="19" t="s">
        <v>118</v>
      </c>
      <c r="G231" s="95">
        <f t="shared" ref="G231:H231" si="109">G101*G184/$G$9</f>
        <v>3750716.8000000007</v>
      </c>
      <c r="H231" s="95">
        <f t="shared" si="109"/>
        <v>3767024.2643478266</v>
      </c>
    </row>
    <row r="232" spans="1:8" x14ac:dyDescent="0.25">
      <c r="A232" s="12" t="s">
        <v>127</v>
      </c>
      <c r="C232" s="27" t="s">
        <v>52</v>
      </c>
      <c r="D232" s="6" t="s">
        <v>143</v>
      </c>
      <c r="E232" s="6"/>
      <c r="F232" s="19" t="s">
        <v>118</v>
      </c>
      <c r="G232" s="95">
        <f t="shared" ref="G232:H232" si="110">G101*G198/$G$9</f>
        <v>3750716.8000000007</v>
      </c>
      <c r="H232" s="95">
        <f t="shared" si="110"/>
        <v>3767024.2643478266</v>
      </c>
    </row>
    <row r="233" spans="1:8" x14ac:dyDescent="0.25">
      <c r="A233" s="12" t="s">
        <v>129</v>
      </c>
      <c r="C233" s="27" t="s">
        <v>52</v>
      </c>
      <c r="D233" s="6" t="s">
        <v>47</v>
      </c>
      <c r="E233" s="6"/>
      <c r="F233" s="17" t="s">
        <v>11</v>
      </c>
      <c r="G233" s="96">
        <f t="shared" ref="G233:H233" si="111">G102/G97</f>
        <v>5394078.8341909973</v>
      </c>
      <c r="H233" s="96">
        <f t="shared" si="111"/>
        <v>5702580.4942326788</v>
      </c>
    </row>
    <row r="234" spans="1:8" x14ac:dyDescent="0.25">
      <c r="A234" s="12" t="s">
        <v>129</v>
      </c>
      <c r="C234" s="27" t="s">
        <v>52</v>
      </c>
      <c r="D234" s="6" t="s">
        <v>133</v>
      </c>
      <c r="E234" s="6"/>
      <c r="F234" s="17" t="s">
        <v>11</v>
      </c>
      <c r="G234" s="96">
        <f t="shared" ref="G234:H234" si="112">G102/G98</f>
        <v>3237402.5561297215</v>
      </c>
      <c r="H234" s="96">
        <f t="shared" si="112"/>
        <v>2507893.9206237379</v>
      </c>
    </row>
    <row r="235" spans="1:8" ht="30" x14ac:dyDescent="0.25">
      <c r="A235" s="12" t="s">
        <v>129</v>
      </c>
      <c r="C235" s="27" t="s">
        <v>52</v>
      </c>
      <c r="D235" s="16" t="s">
        <v>147</v>
      </c>
      <c r="E235" s="6"/>
      <c r="F235" s="19" t="s">
        <v>122</v>
      </c>
      <c r="G235" s="97">
        <f t="shared" ref="G235:H235" si="113">G233*$G$5*$G$8/$G$9*0.000000001*1000000</f>
        <v>1099546.8534741623</v>
      </c>
      <c r="H235" s="97">
        <f t="shared" si="113"/>
        <v>1162432.8512538488</v>
      </c>
    </row>
    <row r="236" spans="1:8" ht="30" x14ac:dyDescent="0.25">
      <c r="A236" s="12" t="s">
        <v>130</v>
      </c>
      <c r="C236" s="75" t="s">
        <v>203</v>
      </c>
      <c r="D236" s="16" t="s">
        <v>144</v>
      </c>
      <c r="E236" s="13"/>
      <c r="F236" s="19" t="s">
        <v>122</v>
      </c>
      <c r="G236" s="97">
        <f t="shared" ref="G236:H236" si="114">G234*G194/$G$9*0.000000001*1000000</f>
        <v>610179.58168724598</v>
      </c>
      <c r="H236" s="97">
        <f t="shared" si="114"/>
        <v>406258.28555167362</v>
      </c>
    </row>
    <row r="237" spans="1:8" ht="30" x14ac:dyDescent="0.25">
      <c r="A237" s="12" t="s">
        <v>131</v>
      </c>
      <c r="C237" s="75" t="s">
        <v>203</v>
      </c>
      <c r="D237" s="16" t="s">
        <v>145</v>
      </c>
      <c r="E237" s="13"/>
      <c r="F237" s="19" t="s">
        <v>122</v>
      </c>
      <c r="G237" s="97">
        <f t="shared" ref="G237:H237" si="115">G234*G194/$G$9*0.000000001*1000000</f>
        <v>610179.58168724598</v>
      </c>
      <c r="H237" s="97">
        <f t="shared" si="115"/>
        <v>406258.28555167362</v>
      </c>
    </row>
    <row r="238" spans="1:8" ht="30" x14ac:dyDescent="0.25">
      <c r="A238" s="12" t="s">
        <v>132</v>
      </c>
      <c r="C238" s="27" t="s">
        <v>52</v>
      </c>
      <c r="D238" s="16" t="s">
        <v>146</v>
      </c>
      <c r="E238" s="13"/>
      <c r="F238" s="19" t="s">
        <v>122</v>
      </c>
      <c r="G238" s="97">
        <f t="shared" ref="G238:H238" si="116">G234*$G$5*$G$8/$G$9*0.000000001*1000000</f>
        <v>659922.83454558114</v>
      </c>
      <c r="H238" s="97">
        <f t="shared" si="116"/>
        <v>511217.38373376743</v>
      </c>
    </row>
    <row r="239" spans="1:8" x14ac:dyDescent="0.25">
      <c r="A239" s="12" t="s">
        <v>135</v>
      </c>
      <c r="C239" s="27" t="s">
        <v>52</v>
      </c>
      <c r="D239" s="16" t="s">
        <v>134</v>
      </c>
      <c r="E239" s="13"/>
      <c r="F239" s="19" t="s">
        <v>118</v>
      </c>
      <c r="G239" s="95">
        <f t="shared" ref="G239:H239" si="117">PI()^2*$G$4*$G$8*G101/(G26/G104)^2</f>
        <v>527710432.06034416</v>
      </c>
      <c r="H239" s="95">
        <f t="shared" si="117"/>
        <v>325981733.78637165</v>
      </c>
    </row>
    <row r="241" spans="1:8" ht="21" x14ac:dyDescent="0.35">
      <c r="D241" s="83" t="s">
        <v>229</v>
      </c>
    </row>
    <row r="242" spans="1:8" x14ac:dyDescent="0.25">
      <c r="A242" s="12" t="s">
        <v>152</v>
      </c>
      <c r="C242" s="27" t="s">
        <v>52</v>
      </c>
      <c r="D242" s="6" t="s">
        <v>148</v>
      </c>
      <c r="E242" s="9"/>
      <c r="F242" s="39" t="s">
        <v>118</v>
      </c>
      <c r="G242" s="95">
        <f t="shared" ref="G242:H242" si="118">G39*(G101+G16*G23)+G43*G16*G23</f>
        <v>1212000</v>
      </c>
      <c r="H242" s="95">
        <f t="shared" si="118"/>
        <v>2004800</v>
      </c>
    </row>
    <row r="243" spans="1:8" x14ac:dyDescent="0.25">
      <c r="A243" s="12" t="s">
        <v>155</v>
      </c>
      <c r="C243" s="27" t="s">
        <v>52</v>
      </c>
      <c r="D243" s="9" t="s">
        <v>150</v>
      </c>
      <c r="E243" s="9"/>
      <c r="F243" s="39" t="s">
        <v>149</v>
      </c>
      <c r="G243" s="97">
        <f t="shared" ref="G243:H243" si="119">G46*((G24/1000)^2)/12</f>
        <v>0</v>
      </c>
      <c r="H243" s="97">
        <f t="shared" si="119"/>
        <v>0</v>
      </c>
    </row>
    <row r="244" spans="1:8" x14ac:dyDescent="0.25">
      <c r="A244" s="12" t="s">
        <v>155</v>
      </c>
      <c r="C244" s="27" t="s">
        <v>52</v>
      </c>
      <c r="D244" s="9" t="s">
        <v>151</v>
      </c>
      <c r="E244" s="9"/>
      <c r="F244" s="39" t="s">
        <v>149</v>
      </c>
      <c r="G244" s="97">
        <f t="shared" ref="G244:H244" si="120">G46*((G24/1000)^2)/24</f>
        <v>0</v>
      </c>
      <c r="H244" s="97">
        <f t="shared" si="120"/>
        <v>0</v>
      </c>
    </row>
    <row r="245" spans="1:8" x14ac:dyDescent="0.25">
      <c r="A245" s="12" t="s">
        <v>153</v>
      </c>
      <c r="C245" s="27" t="s">
        <v>52</v>
      </c>
      <c r="D245" s="9" t="s">
        <v>154</v>
      </c>
      <c r="E245" s="9"/>
      <c r="F245" s="9" t="s">
        <v>5</v>
      </c>
      <c r="G245" s="9">
        <f t="shared" ref="G245:H245" si="121">(G43/G227)^2</f>
        <v>6.4978676710955498E-4</v>
      </c>
      <c r="H245" s="9">
        <f t="shared" si="121"/>
        <v>6.4978676710955498E-4</v>
      </c>
    </row>
    <row r="247" spans="1:8" ht="21" x14ac:dyDescent="0.35">
      <c r="D247" s="28" t="s">
        <v>230</v>
      </c>
      <c r="E247" s="9"/>
      <c r="F247" s="9"/>
      <c r="G247" s="9"/>
      <c r="H247" s="9"/>
    </row>
    <row r="248" spans="1:8" x14ac:dyDescent="0.25">
      <c r="A248" s="12" t="s">
        <v>166</v>
      </c>
      <c r="C248" s="23" t="s">
        <v>249</v>
      </c>
      <c r="D248" s="9" t="s">
        <v>167</v>
      </c>
      <c r="E248" s="9"/>
      <c r="F248" s="9"/>
      <c r="G248" s="9">
        <f t="shared" ref="G248:H248" si="122">G242/G232+(G243-G242*G47)/(G236*(1-G242/G239))+G245</f>
        <v>0.32378801997096002</v>
      </c>
      <c r="H248" s="9">
        <f t="shared" si="122"/>
        <v>0.53284704893342716</v>
      </c>
    </row>
    <row r="249" spans="1:8" x14ac:dyDescent="0.25">
      <c r="A249" s="12" t="s">
        <v>171</v>
      </c>
      <c r="C249" s="23" t="s">
        <v>249</v>
      </c>
      <c r="D249" s="9" t="s">
        <v>168</v>
      </c>
      <c r="E249" s="9"/>
      <c r="F249" s="9"/>
      <c r="G249" s="9">
        <f t="shared" ref="G249:H249" si="123">G242/G231-2*G242/G230+(G243-G242*G47)/(G235*(1-G242/G239))+G245</f>
        <v>-0.32248844643674096</v>
      </c>
      <c r="H249" s="9">
        <f t="shared" si="123"/>
        <v>-0.53154747539920799</v>
      </c>
    </row>
    <row r="250" spans="1:8" x14ac:dyDescent="0.25">
      <c r="A250" s="12" t="s">
        <v>172</v>
      </c>
      <c r="C250" s="23" t="s">
        <v>249</v>
      </c>
      <c r="D250" s="9" t="s">
        <v>169</v>
      </c>
      <c r="E250" s="9"/>
      <c r="F250" s="9"/>
      <c r="G250" s="9">
        <f t="shared" ref="G250:H250" si="124">G242/G232-2*G242/G230+(G244+G242*G47)/(G238*(1-G242/G239))+G245</f>
        <v>-0.32248844643674096</v>
      </c>
      <c r="H250" s="9">
        <f t="shared" si="124"/>
        <v>-0.53154747539920799</v>
      </c>
    </row>
    <row r="251" spans="1:8" x14ac:dyDescent="0.25">
      <c r="A251" s="12" t="s">
        <v>173</v>
      </c>
      <c r="C251" s="23" t="s">
        <v>249</v>
      </c>
      <c r="D251" s="9" t="s">
        <v>170</v>
      </c>
      <c r="E251" s="9"/>
      <c r="F251" s="9"/>
      <c r="G251" s="9">
        <f t="shared" ref="G251:H251" si="125">G242/G232+(G244+G242*G47)/(G235*(1-G242/G239))+G245</f>
        <v>0.32378801997096002</v>
      </c>
      <c r="H251" s="9">
        <f t="shared" si="125"/>
        <v>0.53284704893342716</v>
      </c>
    </row>
    <row r="252" spans="1:8" x14ac:dyDescent="0.25">
      <c r="C252" s="23" t="s">
        <v>249</v>
      </c>
      <c r="D252" s="9" t="s">
        <v>174</v>
      </c>
      <c r="E252" s="9"/>
      <c r="F252" s="9"/>
      <c r="G252" s="9">
        <f t="shared" ref="G252:H252" si="126">MAX(G248:G251)</f>
        <v>0.32378801997096002</v>
      </c>
      <c r="H252" s="9">
        <f t="shared" si="126"/>
        <v>0.53284704893342716</v>
      </c>
    </row>
    <row r="253" spans="1:8" ht="21" x14ac:dyDescent="0.35">
      <c r="D253" s="28" t="s">
        <v>231</v>
      </c>
      <c r="E253" s="9"/>
      <c r="F253" s="9"/>
      <c r="G253" s="9"/>
      <c r="H253" s="9"/>
    </row>
    <row r="254" spans="1:8" x14ac:dyDescent="0.25">
      <c r="C254" s="23" t="s">
        <v>249</v>
      </c>
      <c r="D254" s="9" t="s">
        <v>167</v>
      </c>
      <c r="E254" s="9"/>
      <c r="F254" s="9"/>
      <c r="G254" s="9">
        <f t="shared" ref="G254:H254" si="127">G242/G232-2*G242/G230+(G243+G242*G47/1000)/(G238*(1-G242/G239))+G245</f>
        <v>-0.32248844643674096</v>
      </c>
      <c r="H254" s="9">
        <f t="shared" si="127"/>
        <v>-0.53154747539920799</v>
      </c>
    </row>
    <row r="255" spans="1:8" x14ac:dyDescent="0.25">
      <c r="C255" s="23" t="s">
        <v>249</v>
      </c>
      <c r="D255" s="9" t="s">
        <v>168</v>
      </c>
      <c r="E255" s="9"/>
      <c r="F255" s="9"/>
      <c r="G255" s="9">
        <f t="shared" ref="G255:H255" si="128">G242/G232+(G243+G242*G47/1000)/(G235*(1-G242/G239))+G245</f>
        <v>0.32378801997096002</v>
      </c>
      <c r="H255" s="9">
        <f t="shared" si="128"/>
        <v>0.53284704893342716</v>
      </c>
    </row>
    <row r="256" spans="1:8" x14ac:dyDescent="0.25">
      <c r="C256" s="23" t="s">
        <v>249</v>
      </c>
      <c r="D256" s="9" t="s">
        <v>169</v>
      </c>
      <c r="E256" s="9"/>
      <c r="F256" s="9"/>
      <c r="G256" s="9">
        <f t="shared" ref="G256:H256" si="129">G242/G232+(G244-G242*G47/1000)/(G237*(1-G242/G239))+G245</f>
        <v>0.32378801997096002</v>
      </c>
      <c r="H256" s="9">
        <f t="shared" si="129"/>
        <v>0.53284704893342716</v>
      </c>
    </row>
    <row r="257" spans="1:8" x14ac:dyDescent="0.25">
      <c r="C257" s="23" t="s">
        <v>249</v>
      </c>
      <c r="D257" s="9" t="s">
        <v>170</v>
      </c>
      <c r="E257" s="9"/>
      <c r="F257" s="9"/>
      <c r="G257" s="9">
        <f t="shared" ref="G257:H257" si="130">G242/G231-2*G242/G230+(G244-G242*G47/1000)/(G235*(1-G242/G239))+G245</f>
        <v>-0.32248844643674096</v>
      </c>
      <c r="H257" s="9">
        <f t="shared" si="130"/>
        <v>-0.53154747539920799</v>
      </c>
    </row>
    <row r="258" spans="1:8" x14ac:dyDescent="0.25">
      <c r="C258" s="23" t="s">
        <v>249</v>
      </c>
      <c r="D258" s="9" t="s">
        <v>174</v>
      </c>
      <c r="E258" s="9"/>
      <c r="F258" s="9"/>
      <c r="G258" s="9">
        <f t="shared" ref="G258:H258" si="131">MAX(G254:G257)</f>
        <v>0.32378801997096002</v>
      </c>
      <c r="H258" s="9">
        <f t="shared" si="131"/>
        <v>0.53284704893342716</v>
      </c>
    </row>
    <row r="260" spans="1:8" ht="21" customHeight="1" x14ac:dyDescent="0.35">
      <c r="A260" s="4"/>
      <c r="B260" s="1"/>
      <c r="C260" s="27"/>
      <c r="D260" s="28" t="s">
        <v>246</v>
      </c>
      <c r="E260" s="5" t="s">
        <v>94</v>
      </c>
      <c r="F260" s="5" t="s">
        <v>78</v>
      </c>
      <c r="G260" s="9"/>
      <c r="H260" s="9"/>
    </row>
    <row r="261" spans="1:8" x14ac:dyDescent="0.25">
      <c r="A261" s="4" t="s">
        <v>87</v>
      </c>
      <c r="C261" s="27" t="s">
        <v>52</v>
      </c>
      <c r="D261" s="6" t="s">
        <v>112</v>
      </c>
      <c r="E261" s="6"/>
      <c r="F261" s="19" t="s">
        <v>118</v>
      </c>
      <c r="G261" s="95">
        <f t="shared" ref="G261:H261" si="132">(G117+G24*G17)*$G$5*$G$8/$G$9</f>
        <v>6800212.6330434792</v>
      </c>
      <c r="H261" s="95">
        <f t="shared" si="132"/>
        <v>8561418.7826086953</v>
      </c>
    </row>
    <row r="262" spans="1:8" x14ac:dyDescent="0.25">
      <c r="A262" s="4" t="s">
        <v>88</v>
      </c>
      <c r="C262" s="27" t="s">
        <v>52</v>
      </c>
      <c r="D262" s="6" t="s">
        <v>111</v>
      </c>
      <c r="E262" s="6"/>
      <c r="F262" s="19" t="s">
        <v>118</v>
      </c>
      <c r="G262" s="95">
        <f t="shared" ref="G262:H262" si="133">(G117+G24*G17)*G191/$G$9</f>
        <v>6800212.6330434792</v>
      </c>
      <c r="H262" s="95">
        <f t="shared" si="133"/>
        <v>8561418.7826086953</v>
      </c>
    </row>
    <row r="263" spans="1:8" x14ac:dyDescent="0.25">
      <c r="A263" s="12" t="s">
        <v>248</v>
      </c>
      <c r="C263" s="27" t="s">
        <v>52</v>
      </c>
      <c r="D263" s="6" t="s">
        <v>247</v>
      </c>
      <c r="E263" s="6"/>
      <c r="F263" s="19" t="s">
        <v>118</v>
      </c>
      <c r="G263" s="95">
        <f t="shared" ref="G263:H263" si="134">(G117+G24*G17)*G205/$G$9</f>
        <v>4307875.2790266117</v>
      </c>
      <c r="H263" s="95">
        <f t="shared" si="134"/>
        <v>3655545.5531715141</v>
      </c>
    </row>
    <row r="264" spans="1:8" ht="15" customHeight="1" x14ac:dyDescent="0.25">
      <c r="A264" s="4" t="s">
        <v>92</v>
      </c>
      <c r="B264" s="1"/>
      <c r="C264" s="27" t="s">
        <v>52</v>
      </c>
      <c r="D264" s="6" t="s">
        <v>47</v>
      </c>
      <c r="E264" s="6"/>
      <c r="F264" s="17" t="s">
        <v>11</v>
      </c>
      <c r="G264" s="96">
        <f t="shared" ref="G264:H264" si="135">G121/G115</f>
        <v>6867904.1412604749</v>
      </c>
      <c r="H264" s="96">
        <f t="shared" si="135"/>
        <v>6588685.4381757881</v>
      </c>
    </row>
    <row r="265" spans="1:8" ht="15" customHeight="1" x14ac:dyDescent="0.25">
      <c r="A265" s="4" t="s">
        <v>91</v>
      </c>
      <c r="B265" s="1"/>
      <c r="C265" s="27" t="s">
        <v>52</v>
      </c>
      <c r="D265" s="6" t="s">
        <v>48</v>
      </c>
      <c r="E265" s="6"/>
      <c r="F265" s="17" t="s">
        <v>11</v>
      </c>
      <c r="G265" s="96">
        <f t="shared" ref="G265:H265" si="136">G121/G116</f>
        <v>2331273.812232451</v>
      </c>
      <c r="H265" s="96">
        <f t="shared" si="136"/>
        <v>2856097.4389763651</v>
      </c>
    </row>
    <row r="266" spans="1:8" ht="30" x14ac:dyDescent="0.25">
      <c r="A266" s="4" t="s">
        <v>91</v>
      </c>
      <c r="B266" s="1"/>
      <c r="C266" s="27" t="s">
        <v>52</v>
      </c>
      <c r="D266" s="16" t="s">
        <v>108</v>
      </c>
      <c r="E266" s="13"/>
      <c r="F266" s="19" t="s">
        <v>122</v>
      </c>
      <c r="G266" s="97">
        <f t="shared" ref="G266:H266" si="137">G264*$G$5*$G$8/$G$9</f>
        <v>1399976274.0986543</v>
      </c>
      <c r="H266" s="97">
        <f t="shared" si="137"/>
        <v>1343059411.0261571</v>
      </c>
    </row>
    <row r="267" spans="1:8" ht="30" x14ac:dyDescent="0.25">
      <c r="A267" s="4" t="s">
        <v>90</v>
      </c>
      <c r="B267" s="1"/>
      <c r="C267" s="27" t="s">
        <v>52</v>
      </c>
      <c r="D267" s="16" t="s">
        <v>109</v>
      </c>
      <c r="E267" s="13"/>
      <c r="F267" s="19" t="s">
        <v>122</v>
      </c>
      <c r="G267" s="97">
        <f t="shared" ref="G267:H267" si="138">G265*G201/$G$9</f>
        <v>282942838.42412657</v>
      </c>
      <c r="H267" s="97">
        <f t="shared" si="138"/>
        <v>232680659.79189187</v>
      </c>
    </row>
    <row r="268" spans="1:8" ht="30" x14ac:dyDescent="0.25">
      <c r="A268" s="4" t="s">
        <v>89</v>
      </c>
      <c r="C268" s="27" t="s">
        <v>52</v>
      </c>
      <c r="D268" s="16" t="s">
        <v>110</v>
      </c>
      <c r="E268" s="13"/>
      <c r="F268" s="19" t="s">
        <v>122</v>
      </c>
      <c r="G268" s="97">
        <f t="shared" ref="G268:H268" si="139">G265*G201/$G$9</f>
        <v>282942838.42412657</v>
      </c>
      <c r="H268" s="97">
        <f t="shared" si="139"/>
        <v>232680659.79189187</v>
      </c>
    </row>
    <row r="269" spans="1:8" ht="30" x14ac:dyDescent="0.25">
      <c r="A269" s="4" t="s">
        <v>92</v>
      </c>
      <c r="B269" s="1"/>
      <c r="C269" s="27" t="s">
        <v>52</v>
      </c>
      <c r="D269" s="16" t="s">
        <v>107</v>
      </c>
      <c r="E269" s="13"/>
      <c r="F269" s="19" t="s">
        <v>122</v>
      </c>
      <c r="G269" s="97">
        <f t="shared" ref="G269:H269" si="140">G265*$G$5*$G$8/$G$9</f>
        <v>475214557.22501636</v>
      </c>
      <c r="H269" s="97">
        <f t="shared" si="140"/>
        <v>582196339.50030589</v>
      </c>
    </row>
    <row r="270" spans="1:8" x14ac:dyDescent="0.25">
      <c r="D270" s="16" t="s">
        <v>134</v>
      </c>
      <c r="E270" s="9"/>
      <c r="F270" s="39" t="s">
        <v>118</v>
      </c>
      <c r="G270" s="95">
        <f t="shared" ref="G270:H270" si="141">PI()^2*$G$4*$G$8*G120/(G35/G123)^2</f>
        <v>181937948.20698917</v>
      </c>
      <c r="H270" s="95">
        <f t="shared" si="141"/>
        <v>208273788.87403598</v>
      </c>
    </row>
    <row r="271" spans="1:8" x14ac:dyDescent="0.25">
      <c r="A271" s="59"/>
      <c r="B271" s="1"/>
      <c r="C271" s="27"/>
      <c r="D271" s="60"/>
      <c r="E271" s="60"/>
      <c r="F271" s="59"/>
    </row>
    <row r="272" spans="1:8" ht="21" customHeight="1" x14ac:dyDescent="0.35">
      <c r="A272" s="4"/>
      <c r="B272" s="1"/>
      <c r="C272" s="25"/>
      <c r="D272" s="28" t="s">
        <v>243</v>
      </c>
      <c r="E272" s="5"/>
      <c r="F272" s="5" t="s">
        <v>78</v>
      </c>
    </row>
    <row r="273" spans="1:8" x14ac:dyDescent="0.25">
      <c r="A273" s="4" t="s">
        <v>93</v>
      </c>
      <c r="B273" s="1"/>
      <c r="C273" s="27" t="s">
        <v>52</v>
      </c>
      <c r="D273" s="6" t="s">
        <v>120</v>
      </c>
      <c r="E273" s="6"/>
      <c r="F273" s="6" t="s">
        <v>118</v>
      </c>
      <c r="G273" s="95">
        <f t="shared" ref="G273:H273" si="142">0.02*G41*(G119+G118/3)</f>
        <v>680</v>
      </c>
      <c r="H273" s="95">
        <f t="shared" si="142"/>
        <v>680</v>
      </c>
    </row>
    <row r="274" spans="1:8" x14ac:dyDescent="0.25">
      <c r="A274" s="4"/>
      <c r="C274" s="27" t="s">
        <v>52</v>
      </c>
      <c r="D274" s="6" t="s">
        <v>121</v>
      </c>
      <c r="E274" s="6"/>
      <c r="F274" s="6" t="s">
        <v>25</v>
      </c>
      <c r="G274" s="98">
        <f t="shared" ref="G274:H274" si="143">G273/G22/G25</f>
        <v>9.7142857142857135E-3</v>
      </c>
      <c r="H274" s="98">
        <f t="shared" si="143"/>
        <v>1.6190476190476189E-2</v>
      </c>
    </row>
    <row r="275" spans="1:8" x14ac:dyDescent="0.25">
      <c r="A275" s="4" t="s">
        <v>83</v>
      </c>
      <c r="C275" s="27" t="s">
        <v>52</v>
      </c>
      <c r="D275" s="6" t="s">
        <v>44</v>
      </c>
      <c r="E275" s="6"/>
      <c r="F275" s="6" t="s">
        <v>25</v>
      </c>
      <c r="G275" s="98">
        <f t="shared" ref="G275:H275" si="144">0.4*(G17+G118/G16)/(1-G16/G33)*($G$5/$G$4)*(G33/G24)^2*(G39+G219*G43)</f>
        <v>0.14735036310596539</v>
      </c>
      <c r="H275" s="98">
        <f t="shared" si="144"/>
        <v>0.16840186628891818</v>
      </c>
    </row>
    <row r="276" spans="1:8" x14ac:dyDescent="0.25">
      <c r="A276" s="4" t="s">
        <v>84</v>
      </c>
      <c r="C276" s="27" t="s">
        <v>52</v>
      </c>
      <c r="D276" s="6" t="s">
        <v>45</v>
      </c>
      <c r="E276" s="6"/>
      <c r="F276" s="6" t="s">
        <v>25</v>
      </c>
      <c r="G276" s="98">
        <f t="shared" ref="G276:H276" si="145">0.4*(G17+G118/G16)/(G29*(1-G16/G33))*($G$5/$G$4)*(G33/G24)^2*(G219*G43)</f>
        <v>0</v>
      </c>
      <c r="H276" s="98">
        <f t="shared" si="145"/>
        <v>0</v>
      </c>
    </row>
    <row r="277" spans="1:8" x14ac:dyDescent="0.25">
      <c r="A277" s="4"/>
      <c r="C277" s="27" t="s">
        <v>52</v>
      </c>
      <c r="D277" s="5" t="s">
        <v>218</v>
      </c>
      <c r="E277" s="9"/>
      <c r="F277" s="6" t="s">
        <v>25</v>
      </c>
      <c r="G277" s="98">
        <f t="shared" ref="G277:H277" si="146">IF(G36="yes",G276,G275)</f>
        <v>0</v>
      </c>
      <c r="H277" s="98">
        <f t="shared" si="146"/>
        <v>0</v>
      </c>
    </row>
    <row r="278" spans="1:8" x14ac:dyDescent="0.25">
      <c r="A278" s="4" t="s">
        <v>85</v>
      </c>
      <c r="B278"/>
      <c r="C278" s="27" t="s">
        <v>52</v>
      </c>
      <c r="D278" s="13" t="s">
        <v>40</v>
      </c>
      <c r="E278" s="13"/>
      <c r="F278" s="13" t="s">
        <v>119</v>
      </c>
      <c r="G278" s="99">
        <f t="shared" ref="G278:H278" si="147">(G274+G275)*G24</f>
        <v>350.25416686915992</v>
      </c>
      <c r="H278" s="99">
        <f t="shared" si="147"/>
        <v>544.54741031421338</v>
      </c>
    </row>
    <row r="279" spans="1:8" x14ac:dyDescent="0.25">
      <c r="D279" s="9" t="s">
        <v>278</v>
      </c>
      <c r="E279" s="9"/>
      <c r="F279" s="9" t="s">
        <v>10</v>
      </c>
      <c r="G279" s="9">
        <f t="shared" ref="G279:H279" si="148">G33/2</f>
        <v>1750</v>
      </c>
      <c r="H279" s="9">
        <f t="shared" si="148"/>
        <v>1750</v>
      </c>
    </row>
    <row r="280" spans="1:8" ht="15" customHeight="1" x14ac:dyDescent="0.25">
      <c r="A280" s="4" t="s">
        <v>79</v>
      </c>
      <c r="B280" s="18"/>
      <c r="C280" s="27" t="s">
        <v>52</v>
      </c>
      <c r="D280" s="6" t="s">
        <v>39</v>
      </c>
      <c r="E280" s="6"/>
      <c r="F280" s="6" t="s">
        <v>118</v>
      </c>
      <c r="G280" s="95">
        <f t="shared" ref="G280:H280" si="149">G41*(G24*G17+G117)</f>
        <v>333600</v>
      </c>
      <c r="H280" s="95">
        <f t="shared" si="149"/>
        <v>420000</v>
      </c>
    </row>
    <row r="281" spans="1:8" ht="15" customHeight="1" x14ac:dyDescent="0.25">
      <c r="A281" s="4"/>
      <c r="B281"/>
      <c r="C281" s="27"/>
      <c r="D281" s="11" t="s">
        <v>150</v>
      </c>
      <c r="E281" s="6"/>
      <c r="F281" s="73" t="s">
        <v>149</v>
      </c>
      <c r="G281" s="99">
        <f t="shared" ref="G281:H281" si="150">G278*((G33/1000)^2)/12</f>
        <v>357.55112867893405</v>
      </c>
      <c r="H281" s="99">
        <f t="shared" si="150"/>
        <v>555.89214802909282</v>
      </c>
    </row>
    <row r="282" spans="1:8" ht="15" customHeight="1" x14ac:dyDescent="0.25">
      <c r="A282" s="4"/>
      <c r="B282"/>
      <c r="C282" s="27"/>
      <c r="D282" s="9" t="s">
        <v>151</v>
      </c>
      <c r="E282" s="6"/>
      <c r="F282" s="39" t="s">
        <v>149</v>
      </c>
      <c r="G282" s="99">
        <f t="shared" ref="G282:H282" si="151">G278*((G33/1000)^2)/24</f>
        <v>178.77556433946702</v>
      </c>
      <c r="H282" s="99">
        <f t="shared" si="151"/>
        <v>277.94607401454641</v>
      </c>
    </row>
    <row r="283" spans="1:8" x14ac:dyDescent="0.25">
      <c r="D283" s="9" t="s">
        <v>154</v>
      </c>
      <c r="E283" s="6"/>
      <c r="F283" s="9" t="s">
        <v>5</v>
      </c>
      <c r="G283" s="9">
        <f t="shared" ref="G283:H283" si="152">(G43/G273)^2</f>
        <v>1.9463667820069203E-5</v>
      </c>
      <c r="H283" s="9">
        <f t="shared" si="152"/>
        <v>1.9463667820069203E-5</v>
      </c>
    </row>
    <row r="284" spans="1:8" s="12" customFormat="1" x14ac:dyDescent="0.25">
      <c r="A284" s="26"/>
      <c r="B284" s="69"/>
      <c r="C284" s="27"/>
    </row>
    <row r="285" spans="1:8" ht="21" x14ac:dyDescent="0.35">
      <c r="D285" s="28" t="s">
        <v>244</v>
      </c>
      <c r="E285" s="9"/>
      <c r="F285" s="9"/>
      <c r="G285" s="9"/>
      <c r="H285" s="9"/>
    </row>
    <row r="286" spans="1:8" x14ac:dyDescent="0.25">
      <c r="D286" s="9" t="s">
        <v>167</v>
      </c>
      <c r="E286" s="9"/>
      <c r="F286" s="9"/>
      <c r="G286" s="9">
        <f t="shared" ref="G286:H286" si="153">G280/G263+(G281-G280*G279/1000)/(G267*(1-G280/G270))+G283</f>
        <v>7.5393193024947389E-2</v>
      </c>
      <c r="H286" s="9">
        <f t="shared" si="153"/>
        <v>0.11175057025527634</v>
      </c>
    </row>
    <row r="287" spans="1:8" x14ac:dyDescent="0.25">
      <c r="D287" s="9" t="s">
        <v>168</v>
      </c>
      <c r="E287" s="9"/>
      <c r="F287" s="9"/>
      <c r="G287" s="9">
        <f t="shared" ref="G287:H287" si="154">G280/G262-2*G280/G261+(G281-G280*G279/1000)/(G266*(1-G280/G270))+G283</f>
        <v>-4.945534308685632E-2</v>
      </c>
      <c r="H287" s="9">
        <f t="shared" si="154"/>
        <v>-4.9585774937408122E-2</v>
      </c>
    </row>
    <row r="288" spans="1:8" x14ac:dyDescent="0.25">
      <c r="D288" s="9" t="s">
        <v>169</v>
      </c>
      <c r="E288" s="9"/>
      <c r="F288" s="9"/>
      <c r="G288" s="9">
        <f t="shared" ref="G288:H288" si="155">G280/G263-2*G280/G261+(G282+G280*G279/1000)/(G269*(1-G280/G270))+G283</f>
        <v>-1.9424416219074748E-2</v>
      </c>
      <c r="H288" s="9">
        <f t="shared" si="155"/>
        <v>1.8064306074737968E-2</v>
      </c>
    </row>
    <row r="289" spans="4:8" x14ac:dyDescent="0.25">
      <c r="D289" s="9" t="s">
        <v>170</v>
      </c>
      <c r="E289" s="9"/>
      <c r="F289" s="9"/>
      <c r="G289" s="9">
        <f t="shared" ref="G289:H289" si="156">G280/G263+(G282+G280*G279/1000)/(G266*(1-G280/G270))+G283</f>
        <v>7.7876932553317402E-2</v>
      </c>
      <c r="H289" s="9">
        <f t="shared" si="156"/>
        <v>0.11546196624382825</v>
      </c>
    </row>
    <row r="290" spans="4:8" x14ac:dyDescent="0.25">
      <c r="D290" s="9" t="s">
        <v>174</v>
      </c>
      <c r="E290" s="9"/>
      <c r="F290" s="9"/>
      <c r="G290" s="9">
        <f t="shared" ref="G290:H290" si="157">MAX(G286:G289)</f>
        <v>7.7876932553317402E-2</v>
      </c>
      <c r="H290" s="9">
        <f t="shared" si="157"/>
        <v>0.11546196624382825</v>
      </c>
    </row>
    <row r="291" spans="4:8" ht="21" x14ac:dyDescent="0.35">
      <c r="D291" s="28" t="s">
        <v>245</v>
      </c>
      <c r="E291" s="9"/>
      <c r="F291" s="9"/>
      <c r="G291" s="9"/>
      <c r="H291" s="9"/>
    </row>
    <row r="292" spans="4:8" x14ac:dyDescent="0.25">
      <c r="D292" s="9" t="s">
        <v>167</v>
      </c>
      <c r="E292" s="9"/>
      <c r="F292" s="9"/>
      <c r="G292" s="9">
        <f t="shared" ref="G292:H292" si="158">G280/G263-2*G280/G261+(G281+G280*G279/1000)/(G269*(1-G280/G270))+G283</f>
        <v>-1.942403932833087E-2</v>
      </c>
      <c r="H292" s="9">
        <f t="shared" si="158"/>
        <v>1.8064784448934397E-2</v>
      </c>
    </row>
    <row r="293" spans="4:8" x14ac:dyDescent="0.25">
      <c r="D293" s="9" t="s">
        <v>168</v>
      </c>
      <c r="E293" s="9"/>
      <c r="F293" s="9"/>
      <c r="G293" s="9">
        <f t="shared" ref="G293:H293" si="159">G280/G263+(G281+G280*G279/1000)/(G266*(1-G280/G270))+G283</f>
        <v>7.7877060486891192E-2</v>
      </c>
      <c r="H293" s="9">
        <f t="shared" si="159"/>
        <v>0.11546217361194897</v>
      </c>
    </row>
    <row r="294" spans="4:8" x14ac:dyDescent="0.25">
      <c r="D294" s="9" t="s">
        <v>169</v>
      </c>
      <c r="E294" s="9"/>
      <c r="F294" s="9"/>
      <c r="G294" s="9">
        <f t="shared" ref="G294:H294" si="160">G280/G263+(G282-G280*G279/1000)/(G268*(1-G280/G270))+G283</f>
        <v>7.5392560020878532E-2</v>
      </c>
      <c r="H294" s="9">
        <f t="shared" si="160"/>
        <v>0.11174937330273924</v>
      </c>
    </row>
    <row r="295" spans="4:8" x14ac:dyDescent="0.25">
      <c r="D295" s="9" t="s">
        <v>170</v>
      </c>
      <c r="E295" s="9"/>
      <c r="F295" s="9"/>
      <c r="G295" s="9">
        <f t="shared" ref="G295:H295" si="161">G280/G262-2*G280/G261+(G282-G280*G279/1000)/(G266*(1-G280/G270))+G283</f>
        <v>-4.9455471020430117E-2</v>
      </c>
      <c r="H295" s="9">
        <f t="shared" si="161"/>
        <v>-4.9585982305528839E-2</v>
      </c>
    </row>
    <row r="296" spans="4:8" x14ac:dyDescent="0.25">
      <c r="D296" s="9" t="s">
        <v>174</v>
      </c>
      <c r="E296" s="9"/>
      <c r="F296" s="9"/>
      <c r="G296" s="9">
        <f t="shared" ref="G296:H296" si="162">MAX(G292:G295)</f>
        <v>7.7877060486891192E-2</v>
      </c>
      <c r="H296" s="9">
        <f t="shared" si="162"/>
        <v>0.11546217361194897</v>
      </c>
    </row>
    <row r="298" spans="4:8" ht="15.75" x14ac:dyDescent="0.25">
      <c r="D298" s="8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2"/>
  <sheetViews>
    <sheetView topLeftCell="A73" zoomScale="85" zoomScaleNormal="85" workbookViewId="0">
      <selection activeCell="J77" sqref="J77"/>
    </sheetView>
  </sheetViews>
  <sheetFormatPr defaultRowHeight="15" x14ac:dyDescent="0.25"/>
  <cols>
    <col min="1" max="1" width="35.42578125" style="12" customWidth="1"/>
    <col min="2" max="2" width="13.140625" style="12" customWidth="1"/>
    <col min="3" max="3" width="38.42578125" style="12" customWidth="1"/>
    <col min="4" max="4" width="20" style="12" customWidth="1"/>
    <col min="5" max="5" width="10.140625" style="12" customWidth="1"/>
    <col min="6" max="6" width="19.5703125" style="12" bestFit="1" customWidth="1"/>
    <col min="7" max="7" width="69.140625" style="12" bestFit="1" customWidth="1"/>
    <col min="8" max="8" width="10.5703125" style="12" bestFit="1" customWidth="1"/>
    <col min="9" max="9" width="9.140625" style="12"/>
    <col min="10" max="22" width="13.85546875" style="12" customWidth="1"/>
    <col min="23" max="16384" width="9.140625" style="12"/>
  </cols>
  <sheetData>
    <row r="1" spans="1:22" ht="21" x14ac:dyDescent="0.35">
      <c r="A1" s="21" t="s">
        <v>139</v>
      </c>
      <c r="B1" s="21"/>
      <c r="C1" s="21"/>
      <c r="D1" s="1"/>
      <c r="E1" s="1"/>
      <c r="F1" s="1"/>
    </row>
    <row r="2" spans="1:22" x14ac:dyDescent="0.25">
      <c r="A2" s="1"/>
      <c r="B2" s="1"/>
      <c r="C2" s="1"/>
      <c r="D2" s="1"/>
      <c r="E2" s="1"/>
      <c r="F2" s="1"/>
    </row>
    <row r="3" spans="1:22" ht="21" x14ac:dyDescent="0.35">
      <c r="D3" s="1"/>
      <c r="E3" s="1"/>
      <c r="F3" s="1"/>
      <c r="G3" s="22" t="s">
        <v>0</v>
      </c>
      <c r="H3" s="9"/>
      <c r="I3" s="10" t="s">
        <v>78</v>
      </c>
      <c r="J3" s="9"/>
    </row>
    <row r="4" spans="1:22" x14ac:dyDescent="0.25">
      <c r="A4" s="1"/>
      <c r="B4" s="1"/>
      <c r="C4" s="1"/>
      <c r="D4" s="27" t="s">
        <v>52</v>
      </c>
      <c r="E4" s="1"/>
      <c r="F4" s="1"/>
      <c r="G4" s="9" t="s">
        <v>1</v>
      </c>
      <c r="H4" s="9"/>
      <c r="I4" s="9" t="s">
        <v>2</v>
      </c>
      <c r="J4" s="102">
        <v>30450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x14ac:dyDescent="0.25">
      <c r="A5" s="1"/>
      <c r="B5" s="1"/>
      <c r="C5" s="1"/>
      <c r="D5" s="27" t="s">
        <v>52</v>
      </c>
      <c r="E5" s="1"/>
      <c r="F5" s="1"/>
      <c r="G5" s="9" t="s">
        <v>3</v>
      </c>
      <c r="H5" s="9"/>
      <c r="I5" s="9" t="s">
        <v>2</v>
      </c>
      <c r="J5" s="102">
        <v>34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x14ac:dyDescent="0.25">
      <c r="A6" s="1"/>
      <c r="B6" s="1"/>
      <c r="C6" s="1"/>
      <c r="D6" s="27" t="s">
        <v>52</v>
      </c>
      <c r="E6" s="1"/>
      <c r="F6" s="1"/>
      <c r="G6" s="9" t="s">
        <v>4</v>
      </c>
      <c r="H6" s="9"/>
      <c r="I6" s="9" t="s">
        <v>5</v>
      </c>
      <c r="J6" s="103">
        <v>0.3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x14ac:dyDescent="0.25">
      <c r="A7" s="1"/>
      <c r="B7" s="1"/>
      <c r="C7" s="1"/>
      <c r="D7" s="27" t="s">
        <v>52</v>
      </c>
      <c r="E7" s="1"/>
      <c r="F7" s="1"/>
      <c r="G7" s="9" t="s">
        <v>37</v>
      </c>
      <c r="H7" s="9"/>
      <c r="I7" s="9" t="s">
        <v>2</v>
      </c>
      <c r="J7" s="93">
        <f>J4/(2*(1+J6))</f>
        <v>11711.538461538461</v>
      </c>
    </row>
    <row r="8" spans="1:22" x14ac:dyDescent="0.25">
      <c r="A8" s="1"/>
      <c r="B8" s="1"/>
      <c r="C8" s="1"/>
      <c r="D8" s="27" t="s">
        <v>52</v>
      </c>
      <c r="E8" s="1"/>
      <c r="F8" s="1"/>
      <c r="G8" s="9" t="s">
        <v>38</v>
      </c>
      <c r="H8" s="9"/>
      <c r="I8" s="9" t="s">
        <v>25</v>
      </c>
      <c r="J8" s="88">
        <v>6.8947000000000003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 x14ac:dyDescent="0.25">
      <c r="G9" s="9" t="s">
        <v>123</v>
      </c>
      <c r="H9" s="9"/>
      <c r="I9" s="9" t="s">
        <v>5</v>
      </c>
      <c r="J9" s="8">
        <v>1.1499999999999999</v>
      </c>
    </row>
    <row r="12" spans="1:22" ht="21" x14ac:dyDescent="0.35">
      <c r="A12" s="3" t="s">
        <v>115</v>
      </c>
      <c r="B12" s="3" t="s">
        <v>335</v>
      </c>
      <c r="C12" s="3" t="s">
        <v>77</v>
      </c>
      <c r="D12" s="24" t="s">
        <v>50</v>
      </c>
      <c r="E12" s="3" t="s">
        <v>334</v>
      </c>
      <c r="F12" s="3" t="s">
        <v>333</v>
      </c>
      <c r="G12" s="22" t="s">
        <v>187</v>
      </c>
      <c r="H12" s="9"/>
      <c r="I12" s="10" t="s">
        <v>78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3"/>
      <c r="B13" s="3"/>
      <c r="C13" s="3"/>
      <c r="D13" s="24"/>
      <c r="E13" s="3"/>
      <c r="F13" s="3"/>
      <c r="G13" s="9" t="s">
        <v>204</v>
      </c>
      <c r="H13" s="9"/>
      <c r="I13" s="9"/>
      <c r="J13" s="51" t="s">
        <v>205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3"/>
      <c r="B14" s="3"/>
      <c r="C14" s="3"/>
      <c r="D14" s="24"/>
      <c r="E14" s="3"/>
      <c r="F14" s="3"/>
      <c r="G14" s="9"/>
      <c r="H14" s="9"/>
      <c r="I14" s="9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x14ac:dyDescent="0.25">
      <c r="A15" s="3"/>
      <c r="B15" s="3"/>
      <c r="C15" s="3"/>
      <c r="D15" s="24"/>
      <c r="E15" s="3"/>
      <c r="F15" s="3"/>
      <c r="G15" s="9" t="s">
        <v>332</v>
      </c>
      <c r="H15" s="9"/>
      <c r="I15" s="9"/>
      <c r="J15" s="48" t="s">
        <v>49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2" x14ac:dyDescent="0.25">
      <c r="A16" s="3"/>
      <c r="B16" s="3"/>
      <c r="C16" s="3"/>
      <c r="D16" s="24"/>
      <c r="E16" s="3"/>
      <c r="F16" s="3"/>
      <c r="G16" s="9" t="s">
        <v>188</v>
      </c>
      <c r="H16" s="9"/>
      <c r="I16" s="9"/>
      <c r="J16" s="48" t="s">
        <v>336</v>
      </c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1:22" ht="15" customHeight="1" x14ac:dyDescent="0.25">
      <c r="B17" s="115" t="s">
        <v>331</v>
      </c>
      <c r="C17" s="71"/>
      <c r="D17" s="27" t="s">
        <v>52</v>
      </c>
      <c r="E17" s="1"/>
      <c r="F17" s="1" t="s">
        <v>49</v>
      </c>
      <c r="G17" s="9" t="s">
        <v>8</v>
      </c>
      <c r="H17" s="9"/>
      <c r="I17" s="9" t="s">
        <v>10</v>
      </c>
      <c r="J17" s="8">
        <v>600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" customHeight="1" x14ac:dyDescent="0.25">
      <c r="B18" s="115"/>
      <c r="C18" s="71"/>
      <c r="D18" s="27" t="s">
        <v>52</v>
      </c>
      <c r="E18" s="1"/>
      <c r="F18" s="1" t="s">
        <v>49</v>
      </c>
      <c r="G18" s="9" t="s">
        <v>9</v>
      </c>
      <c r="H18" s="9"/>
      <c r="I18" s="9" t="s">
        <v>10</v>
      </c>
      <c r="J18" s="8">
        <v>10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" customHeight="1" x14ac:dyDescent="0.25">
      <c r="B19" s="115"/>
      <c r="C19" s="71"/>
      <c r="D19" s="27" t="s">
        <v>52</v>
      </c>
      <c r="E19" s="1"/>
      <c r="F19" s="1" t="s">
        <v>49</v>
      </c>
      <c r="G19" s="9" t="s">
        <v>19</v>
      </c>
      <c r="H19" s="9"/>
      <c r="I19" s="9" t="s">
        <v>10</v>
      </c>
      <c r="J19" s="8">
        <v>20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" customHeight="1" x14ac:dyDescent="0.25">
      <c r="B20" s="115"/>
      <c r="C20" s="71"/>
      <c r="D20" s="27" t="s">
        <v>52</v>
      </c>
      <c r="E20" s="1"/>
      <c r="F20" s="1" t="s">
        <v>49</v>
      </c>
      <c r="G20" s="9" t="s">
        <v>114</v>
      </c>
      <c r="H20" s="9"/>
      <c r="I20" s="9" t="s">
        <v>10</v>
      </c>
      <c r="J20" s="8">
        <v>12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" customHeight="1" x14ac:dyDescent="0.25">
      <c r="B21" s="115"/>
      <c r="C21" s="71"/>
      <c r="D21" s="27" t="s">
        <v>52</v>
      </c>
      <c r="E21" s="1"/>
      <c r="F21" s="1" t="s">
        <v>49</v>
      </c>
      <c r="G21" s="9" t="s">
        <v>28</v>
      </c>
      <c r="H21" s="9"/>
      <c r="I21" s="9" t="s">
        <v>10</v>
      </c>
      <c r="J21" s="8">
        <v>200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" customHeight="1" x14ac:dyDescent="0.25">
      <c r="B22" s="115"/>
      <c r="C22" s="71"/>
      <c r="D22" s="27" t="s">
        <v>52</v>
      </c>
      <c r="E22" s="1"/>
      <c r="F22" s="1" t="s">
        <v>49</v>
      </c>
      <c r="G22" s="9" t="s">
        <v>193</v>
      </c>
      <c r="H22" s="9"/>
      <c r="I22" s="9" t="s">
        <v>10</v>
      </c>
      <c r="J22" s="8">
        <v>2230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5" customHeight="1" x14ac:dyDescent="0.25">
      <c r="A23" s="1" t="s">
        <v>190</v>
      </c>
      <c r="B23" s="115"/>
      <c r="C23" s="71"/>
      <c r="D23" s="27" t="s">
        <v>52</v>
      </c>
      <c r="E23" s="1"/>
      <c r="F23" s="1" t="s">
        <v>49</v>
      </c>
      <c r="G23" s="9" t="s">
        <v>191</v>
      </c>
      <c r="H23" s="9"/>
      <c r="I23" s="9" t="s">
        <v>10</v>
      </c>
      <c r="J23" s="8">
        <v>3500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5">
      <c r="B24" s="26"/>
      <c r="C24" s="71"/>
      <c r="D24" s="25" t="s">
        <v>330</v>
      </c>
      <c r="E24" s="1"/>
      <c r="F24" s="1" t="s">
        <v>49</v>
      </c>
      <c r="G24" s="9" t="s">
        <v>116</v>
      </c>
      <c r="H24" s="9"/>
      <c r="I24" s="9" t="s">
        <v>10</v>
      </c>
      <c r="J24" s="8">
        <v>700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5">
      <c r="A25" s="26"/>
      <c r="B25" s="26"/>
      <c r="C25" s="71"/>
      <c r="D25" s="27" t="s">
        <v>52</v>
      </c>
      <c r="E25" s="1"/>
      <c r="F25" s="1" t="s">
        <v>49</v>
      </c>
      <c r="G25" s="11" t="s">
        <v>189</v>
      </c>
      <c r="H25" s="11"/>
      <c r="I25" s="11" t="s">
        <v>10</v>
      </c>
      <c r="J25" s="11">
        <f>J22*1</f>
        <v>2230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s="80" customFormat="1" x14ac:dyDescent="0.25">
      <c r="A26" s="26"/>
      <c r="B26" s="26"/>
      <c r="C26" s="71"/>
      <c r="D26" s="27"/>
      <c r="E26" s="1"/>
      <c r="F26" s="1"/>
      <c r="G26" s="1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8" customHeight="1" x14ac:dyDescent="0.35">
      <c r="B27" s="115"/>
      <c r="C27" s="71"/>
      <c r="D27" s="27" t="s">
        <v>52</v>
      </c>
      <c r="E27" s="1"/>
      <c r="F27" s="1" t="s">
        <v>207</v>
      </c>
      <c r="G27" s="78" t="s">
        <v>192</v>
      </c>
      <c r="H27" s="78"/>
      <c r="I27" s="78" t="s">
        <v>10</v>
      </c>
      <c r="J27" s="79">
        <v>3500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</row>
    <row r="28" spans="1:22" ht="15" customHeight="1" x14ac:dyDescent="0.25">
      <c r="B28" s="115"/>
      <c r="C28" s="71"/>
      <c r="D28" s="27"/>
      <c r="E28" s="1"/>
      <c r="F28" s="1" t="s">
        <v>207</v>
      </c>
      <c r="G28" s="6" t="s">
        <v>226</v>
      </c>
      <c r="H28" s="6"/>
      <c r="I28" s="6" t="s">
        <v>10</v>
      </c>
      <c r="J28" s="8">
        <v>600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5" customHeight="1" x14ac:dyDescent="0.25">
      <c r="B29" s="115"/>
      <c r="C29" s="71"/>
      <c r="D29" s="27"/>
      <c r="E29" s="1"/>
      <c r="F29" s="1" t="s">
        <v>207</v>
      </c>
      <c r="G29" s="6" t="s">
        <v>225</v>
      </c>
      <c r="H29" s="6"/>
      <c r="I29" s="6" t="s">
        <v>10</v>
      </c>
      <c r="J29" s="8">
        <v>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8" customHeight="1" x14ac:dyDescent="0.35">
      <c r="B30" s="115"/>
      <c r="C30" s="71"/>
      <c r="D30" s="27"/>
      <c r="E30" s="1"/>
      <c r="F30" s="1" t="s">
        <v>207</v>
      </c>
      <c r="G30" s="9" t="s">
        <v>206</v>
      </c>
      <c r="H30" s="9"/>
      <c r="I30" s="9" t="s">
        <v>10</v>
      </c>
      <c r="J30" s="14">
        <f>J27</f>
        <v>3500</v>
      </c>
      <c r="K30" s="14"/>
      <c r="L30" s="14"/>
      <c r="M30" s="14"/>
      <c r="N30" s="8"/>
      <c r="O30" s="8"/>
      <c r="P30" s="8"/>
      <c r="Q30" s="8"/>
      <c r="R30" s="8"/>
      <c r="S30" s="8"/>
      <c r="T30" s="8"/>
      <c r="U30" s="8"/>
      <c r="V30" s="8"/>
    </row>
    <row r="31" spans="1:22" ht="15" customHeight="1" x14ac:dyDescent="0.25">
      <c r="B31" s="115"/>
      <c r="C31" s="71"/>
      <c r="D31" s="27"/>
      <c r="E31" s="1"/>
      <c r="F31" s="1" t="s">
        <v>207</v>
      </c>
      <c r="G31" s="9" t="s">
        <v>212</v>
      </c>
      <c r="H31" s="9"/>
      <c r="I31" s="9" t="s">
        <v>10</v>
      </c>
      <c r="J31" s="8">
        <v>6330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5" customHeight="1" x14ac:dyDescent="0.25">
      <c r="B32" s="115"/>
      <c r="C32" s="71"/>
      <c r="D32" s="27"/>
      <c r="E32" s="1"/>
      <c r="F32" s="1" t="s">
        <v>207</v>
      </c>
      <c r="G32" s="9" t="s">
        <v>19</v>
      </c>
      <c r="H32" s="9"/>
      <c r="I32" s="9" t="s">
        <v>10</v>
      </c>
      <c r="J32" s="8">
        <v>12</v>
      </c>
      <c r="K32" s="14"/>
      <c r="L32" s="14"/>
      <c r="M32" s="14"/>
      <c r="N32" s="8"/>
      <c r="O32" s="8"/>
      <c r="P32" s="8"/>
      <c r="Q32" s="35"/>
      <c r="R32" s="35"/>
      <c r="S32" s="35"/>
      <c r="T32" s="35"/>
      <c r="U32" s="35"/>
      <c r="V32" s="35"/>
    </row>
    <row r="33" spans="1:22" ht="15" customHeight="1" x14ac:dyDescent="0.25">
      <c r="B33" s="115"/>
      <c r="C33" s="71"/>
      <c r="D33" s="27"/>
      <c r="E33" s="1"/>
      <c r="F33" s="1" t="s">
        <v>207</v>
      </c>
      <c r="G33" s="9" t="s">
        <v>114</v>
      </c>
      <c r="H33" s="9"/>
      <c r="I33" s="9" t="s">
        <v>10</v>
      </c>
      <c r="J33" s="8">
        <v>9</v>
      </c>
      <c r="K33" s="8"/>
      <c r="L33" s="8"/>
      <c r="M33" s="8"/>
      <c r="N33" s="8"/>
      <c r="O33" s="8"/>
      <c r="P33" s="8"/>
      <c r="Q33" s="35"/>
      <c r="R33" s="35"/>
      <c r="S33" s="35"/>
      <c r="T33" s="35"/>
      <c r="U33" s="35"/>
      <c r="V33" s="35"/>
    </row>
    <row r="34" spans="1:22" ht="15" customHeight="1" x14ac:dyDescent="0.25">
      <c r="B34" s="115"/>
      <c r="C34" s="71"/>
      <c r="D34" s="27"/>
      <c r="E34" s="1"/>
      <c r="F34" s="1" t="s">
        <v>207</v>
      </c>
      <c r="G34" s="9" t="s">
        <v>28</v>
      </c>
      <c r="H34" s="9"/>
      <c r="I34" s="9" t="s">
        <v>10</v>
      </c>
      <c r="J34" s="8">
        <v>100</v>
      </c>
      <c r="K34" s="14"/>
      <c r="L34" s="14"/>
      <c r="M34" s="14"/>
      <c r="N34" s="8"/>
      <c r="O34" s="8"/>
      <c r="P34" s="8"/>
      <c r="Q34" s="35"/>
      <c r="R34" s="35"/>
      <c r="S34" s="35"/>
      <c r="T34" s="35"/>
      <c r="U34" s="35"/>
      <c r="V34" s="35"/>
    </row>
    <row r="35" spans="1:22" ht="15" customHeight="1" x14ac:dyDescent="0.25">
      <c r="B35" s="115"/>
      <c r="C35" s="71"/>
      <c r="D35" s="27"/>
      <c r="E35" s="1"/>
      <c r="F35" s="1" t="s">
        <v>207</v>
      </c>
      <c r="G35" s="9" t="s">
        <v>193</v>
      </c>
      <c r="H35" s="9"/>
      <c r="I35" s="9" t="s">
        <v>10</v>
      </c>
      <c r="J35" s="8">
        <v>2230</v>
      </c>
      <c r="K35" s="8"/>
      <c r="L35" s="8"/>
      <c r="M35" s="8"/>
      <c r="N35" s="8"/>
      <c r="O35" s="8"/>
      <c r="P35" s="8"/>
      <c r="Q35" s="35"/>
      <c r="R35" s="35"/>
      <c r="S35" s="35"/>
      <c r="T35" s="35"/>
      <c r="U35" s="35"/>
      <c r="V35" s="35"/>
    </row>
    <row r="36" spans="1:22" ht="15" customHeight="1" x14ac:dyDescent="0.25">
      <c r="B36" s="115"/>
      <c r="C36" s="71"/>
      <c r="D36" s="27"/>
      <c r="E36" s="1"/>
      <c r="F36" s="1" t="s">
        <v>207</v>
      </c>
      <c r="G36" s="9" t="s">
        <v>191</v>
      </c>
      <c r="H36" s="9"/>
      <c r="I36" s="9" t="s">
        <v>10</v>
      </c>
      <c r="J36" s="8">
        <v>3500</v>
      </c>
      <c r="K36" s="14"/>
      <c r="L36" s="14"/>
      <c r="M36" s="14"/>
      <c r="N36" s="8"/>
      <c r="O36" s="8"/>
      <c r="P36" s="8"/>
      <c r="Q36" s="35"/>
      <c r="R36" s="35"/>
      <c r="S36" s="35"/>
      <c r="T36" s="35"/>
      <c r="U36" s="35"/>
      <c r="V36" s="35"/>
    </row>
    <row r="37" spans="1:22" x14ac:dyDescent="0.25">
      <c r="A37" s="26"/>
      <c r="B37" s="26"/>
      <c r="C37" s="71"/>
      <c r="D37" s="27"/>
      <c r="E37" s="1"/>
      <c r="F37" s="1" t="s">
        <v>207</v>
      </c>
      <c r="G37" s="9" t="s">
        <v>116</v>
      </c>
      <c r="H37" s="9"/>
      <c r="I37" s="9" t="s">
        <v>10</v>
      </c>
      <c r="J37" s="8">
        <v>700</v>
      </c>
      <c r="K37" s="8"/>
      <c r="L37" s="8"/>
      <c r="M37" s="8"/>
      <c r="N37" s="8"/>
      <c r="O37" s="8"/>
      <c r="P37" s="8"/>
    </row>
    <row r="38" spans="1:22" x14ac:dyDescent="0.25">
      <c r="A38" s="26"/>
      <c r="B38" s="26"/>
      <c r="C38" s="71"/>
      <c r="D38" s="27"/>
      <c r="E38" s="1"/>
      <c r="F38" s="1" t="s">
        <v>207</v>
      </c>
      <c r="G38" s="9" t="s">
        <v>189</v>
      </c>
      <c r="H38" s="9"/>
      <c r="I38" s="9" t="s">
        <v>10</v>
      </c>
      <c r="J38" s="9">
        <v>2230</v>
      </c>
      <c r="K38" s="14"/>
      <c r="L38" s="14"/>
      <c r="M38" s="14"/>
      <c r="N38" s="8"/>
      <c r="O38" s="8"/>
      <c r="P38" s="8"/>
    </row>
    <row r="39" spans="1:22" x14ac:dyDescent="0.25">
      <c r="A39" s="26"/>
      <c r="B39" s="26"/>
      <c r="C39" s="71"/>
      <c r="D39" s="27"/>
      <c r="E39" s="1"/>
      <c r="F39" s="1"/>
    </row>
    <row r="40" spans="1:22" x14ac:dyDescent="0.25">
      <c r="A40" s="26"/>
      <c r="B40" s="26"/>
      <c r="C40" s="71"/>
      <c r="D40" s="27"/>
      <c r="E40" s="1"/>
      <c r="F40" s="1"/>
    </row>
    <row r="41" spans="1:22" x14ac:dyDescent="0.25">
      <c r="A41" s="26"/>
      <c r="B41" s="26"/>
      <c r="C41" s="71"/>
      <c r="D41" s="27"/>
      <c r="E41" s="1"/>
      <c r="F41" s="1"/>
    </row>
    <row r="42" spans="1:22" x14ac:dyDescent="0.25">
      <c r="A42" s="26"/>
      <c r="B42" s="26"/>
      <c r="C42" s="69"/>
      <c r="D42" s="27"/>
      <c r="E42" s="1"/>
      <c r="F42" s="1"/>
    </row>
    <row r="43" spans="1:22" x14ac:dyDescent="0.25">
      <c r="A43" s="26"/>
      <c r="B43" s="26"/>
      <c r="C43" s="69"/>
      <c r="D43" s="27"/>
      <c r="E43" s="1"/>
      <c r="F43" s="1"/>
    </row>
    <row r="44" spans="1:22" ht="21" x14ac:dyDescent="0.35">
      <c r="A44" s="1"/>
      <c r="B44" s="124" t="s">
        <v>329</v>
      </c>
      <c r="C44" s="1"/>
      <c r="D44" s="1"/>
      <c r="E44" s="1"/>
      <c r="F44" s="1"/>
      <c r="G44" s="28" t="s">
        <v>232</v>
      </c>
      <c r="H44" s="10" t="s">
        <v>94</v>
      </c>
      <c r="I44" s="10" t="s">
        <v>78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42" customHeight="1" x14ac:dyDescent="0.25">
      <c r="A45" s="1" t="s">
        <v>76</v>
      </c>
      <c r="B45" s="124"/>
      <c r="C45" s="1"/>
      <c r="D45" s="43" t="s">
        <v>328</v>
      </c>
      <c r="E45" s="1"/>
      <c r="F45" s="1"/>
      <c r="G45" s="29" t="s">
        <v>24</v>
      </c>
      <c r="H45" s="9"/>
      <c r="I45" s="9" t="s">
        <v>25</v>
      </c>
      <c r="J45" s="8">
        <v>10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25">
      <c r="A46" s="1"/>
      <c r="B46" s="124"/>
      <c r="C46" s="1"/>
      <c r="D46" s="43"/>
      <c r="E46" s="1"/>
      <c r="F46" s="1"/>
      <c r="G46" s="29" t="s">
        <v>24</v>
      </c>
      <c r="H46" s="9"/>
      <c r="I46" s="9" t="s">
        <v>136</v>
      </c>
      <c r="J46" s="14">
        <f>J45/$J$8</f>
        <v>1.4503894295618374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x14ac:dyDescent="0.25">
      <c r="A47" s="1" t="s">
        <v>76</v>
      </c>
      <c r="B47" s="124"/>
      <c r="C47" s="1"/>
      <c r="D47" s="43"/>
      <c r="E47" s="1"/>
      <c r="F47" s="1"/>
      <c r="G47" s="29" t="s">
        <v>26</v>
      </c>
      <c r="H47" s="9"/>
      <c r="I47" s="9" t="s">
        <v>25</v>
      </c>
      <c r="J47" s="8">
        <v>5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25">
      <c r="A48" s="1"/>
      <c r="B48" s="124"/>
      <c r="C48" s="1"/>
      <c r="D48" s="42"/>
      <c r="E48" s="1"/>
      <c r="F48" s="1"/>
      <c r="G48" s="29" t="s">
        <v>26</v>
      </c>
      <c r="H48" s="9"/>
      <c r="I48" s="9" t="s">
        <v>136</v>
      </c>
      <c r="J48" s="14">
        <f>J47/$J$8</f>
        <v>0.72519471478091868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x14ac:dyDescent="0.25">
      <c r="A49" s="1" t="s">
        <v>76</v>
      </c>
      <c r="B49" s="124"/>
      <c r="C49" s="1"/>
      <c r="D49" s="42"/>
      <c r="E49" s="1"/>
      <c r="F49" s="1"/>
      <c r="G49" s="29" t="s">
        <v>29</v>
      </c>
      <c r="H49" s="9"/>
      <c r="I49" s="9" t="s">
        <v>25</v>
      </c>
      <c r="J49" s="8">
        <v>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7.25" customHeight="1" x14ac:dyDescent="0.25">
      <c r="A50" s="1"/>
      <c r="B50" s="112"/>
      <c r="C50" s="1"/>
      <c r="D50" s="42"/>
      <c r="E50" s="1"/>
      <c r="F50" s="1"/>
      <c r="G50" s="33" t="s">
        <v>29</v>
      </c>
      <c r="I50" s="11" t="s">
        <v>136</v>
      </c>
      <c r="J50" s="40">
        <f>J49/$J$8</f>
        <v>0.43511682886855119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</row>
    <row r="51" spans="1:22" ht="17.25" customHeight="1" x14ac:dyDescent="0.25">
      <c r="A51" s="1"/>
      <c r="B51" s="112"/>
      <c r="C51" s="1"/>
      <c r="D51" s="42"/>
      <c r="E51" s="1"/>
      <c r="F51" s="1"/>
      <c r="G51" s="72" t="s">
        <v>233</v>
      </c>
      <c r="I51" s="1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</row>
    <row r="52" spans="1:22" ht="17.25" customHeight="1" x14ac:dyDescent="0.35">
      <c r="A52" s="1"/>
      <c r="B52" s="112"/>
      <c r="C52" s="1"/>
      <c r="D52" s="38"/>
      <c r="E52" s="1"/>
      <c r="F52" s="1"/>
      <c r="G52" s="29" t="s">
        <v>234</v>
      </c>
      <c r="H52" s="9"/>
      <c r="I52" s="9" t="s">
        <v>119</v>
      </c>
      <c r="J52" s="41">
        <v>0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22" x14ac:dyDescent="0.25">
      <c r="A53" s="26"/>
      <c r="B53" s="26"/>
      <c r="C53" s="69"/>
      <c r="D53" s="27"/>
      <c r="E53" s="1"/>
      <c r="F53" s="1"/>
      <c r="G53" s="9" t="s">
        <v>235</v>
      </c>
      <c r="H53" s="9"/>
      <c r="I53" s="9" t="s">
        <v>10</v>
      </c>
      <c r="J53" s="8">
        <v>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25">
      <c r="A54" s="26"/>
      <c r="B54" s="26"/>
      <c r="C54" s="69"/>
      <c r="D54" s="27"/>
      <c r="E54" s="1"/>
      <c r="F54" s="1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spans="1:22" x14ac:dyDescent="0.25">
      <c r="A55" s="26"/>
      <c r="B55" s="26"/>
      <c r="C55" s="69"/>
      <c r="D55" s="27"/>
      <c r="E55" s="1"/>
      <c r="F55" s="1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spans="1:22" x14ac:dyDescent="0.25">
      <c r="A56" s="26"/>
      <c r="B56" s="26"/>
      <c r="C56" s="69"/>
      <c r="D56" s="27"/>
      <c r="E56" s="1"/>
      <c r="F56" s="1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spans="1:22" x14ac:dyDescent="0.25">
      <c r="A57" s="26"/>
      <c r="B57" s="26"/>
      <c r="C57" s="69"/>
      <c r="D57" s="27"/>
      <c r="E57" s="1"/>
      <c r="F57" s="1"/>
    </row>
    <row r="58" spans="1:22" ht="21" x14ac:dyDescent="0.35">
      <c r="A58" s="26"/>
      <c r="B58" s="26"/>
      <c r="C58" s="69"/>
      <c r="D58" s="25"/>
      <c r="E58" s="1"/>
      <c r="F58" s="1"/>
      <c r="G58" s="28" t="s">
        <v>327</v>
      </c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25">
      <c r="A59" s="26"/>
      <c r="B59" s="26"/>
      <c r="C59" s="69"/>
      <c r="D59" s="27" t="s">
        <v>52</v>
      </c>
      <c r="E59" s="1"/>
      <c r="F59" s="1" t="s">
        <v>49</v>
      </c>
      <c r="G59" s="9" t="s">
        <v>51</v>
      </c>
      <c r="H59" s="9"/>
      <c r="I59" s="9" t="s">
        <v>10</v>
      </c>
      <c r="J59" s="9">
        <f>J21-J19</f>
        <v>180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25">
      <c r="A60" s="25" t="s">
        <v>326</v>
      </c>
      <c r="B60" s="26"/>
      <c r="C60" s="69"/>
      <c r="D60" s="27" t="s">
        <v>52</v>
      </c>
      <c r="E60" s="1"/>
      <c r="F60" s="1" t="s">
        <v>49</v>
      </c>
      <c r="G60" s="9" t="s">
        <v>314</v>
      </c>
      <c r="H60" s="9"/>
      <c r="I60" s="9" t="s">
        <v>10</v>
      </c>
      <c r="J60" s="9">
        <f>J21-J18/2</f>
        <v>195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25">
      <c r="A61" s="113" t="s">
        <v>325</v>
      </c>
      <c r="B61" s="26"/>
      <c r="C61" s="69"/>
      <c r="D61" s="25" t="s">
        <v>176</v>
      </c>
      <c r="E61" s="1"/>
      <c r="F61" s="1" t="s">
        <v>49</v>
      </c>
      <c r="G61" s="9" t="s">
        <v>17</v>
      </c>
      <c r="H61" s="9"/>
      <c r="I61" s="9" t="s">
        <v>10</v>
      </c>
      <c r="J61" s="9">
        <f>(J21^2+J17*J21)/(2*(J18+J17))</f>
        <v>131.14754098360655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25">
      <c r="A62" s="113" t="s">
        <v>325</v>
      </c>
      <c r="B62" s="26"/>
      <c r="C62" s="69"/>
      <c r="D62" s="25" t="s">
        <v>176</v>
      </c>
      <c r="E62" s="1"/>
      <c r="F62" s="1" t="s">
        <v>49</v>
      </c>
      <c r="G62" s="9" t="s">
        <v>18</v>
      </c>
      <c r="H62" s="9"/>
      <c r="I62" s="9" t="s">
        <v>10</v>
      </c>
      <c r="J62" s="9">
        <f>(J17^2+J19*(J21+2*J17))/(2*(J18+J17))</f>
        <v>318.03278688524591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25">
      <c r="A63" s="25" t="s">
        <v>324</v>
      </c>
      <c r="B63" s="26"/>
      <c r="C63" s="69"/>
      <c r="D63" s="25" t="s">
        <v>323</v>
      </c>
      <c r="E63" s="1"/>
      <c r="F63" s="1" t="s">
        <v>49</v>
      </c>
      <c r="G63" s="9" t="s">
        <v>20</v>
      </c>
      <c r="H63" s="9"/>
      <c r="I63" s="9" t="s">
        <v>10</v>
      </c>
      <c r="J63" s="9">
        <f>J62</f>
        <v>318.03278688524591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25">
      <c r="A64" s="1"/>
      <c r="B64" s="26"/>
      <c r="C64" s="69"/>
      <c r="D64" s="27" t="s">
        <v>52</v>
      </c>
      <c r="E64" s="1"/>
      <c r="F64" s="1" t="s">
        <v>49</v>
      </c>
      <c r="G64" s="9" t="s">
        <v>27</v>
      </c>
      <c r="H64" s="9"/>
      <c r="I64" s="9" t="s">
        <v>10</v>
      </c>
      <c r="J64" s="9">
        <f>J21/2-J18/2</f>
        <v>95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25">
      <c r="A65" s="1" t="s">
        <v>312</v>
      </c>
      <c r="B65" s="26"/>
      <c r="C65" s="69"/>
      <c r="D65" s="25" t="s">
        <v>322</v>
      </c>
      <c r="E65" s="1"/>
      <c r="F65" s="1" t="s">
        <v>49</v>
      </c>
      <c r="G65" s="9" t="s">
        <v>321</v>
      </c>
      <c r="H65" s="9"/>
      <c r="I65" s="9" t="s">
        <v>10</v>
      </c>
      <c r="J65" s="9">
        <f>J17+J20/2-J63</f>
        <v>287.96721311475409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25">
      <c r="A66" s="1" t="s">
        <v>312</v>
      </c>
      <c r="B66" s="26"/>
      <c r="C66" s="69"/>
      <c r="D66" s="25" t="s">
        <v>320</v>
      </c>
      <c r="E66" s="1"/>
      <c r="F66" s="1" t="s">
        <v>49</v>
      </c>
      <c r="G66" s="9" t="s">
        <v>319</v>
      </c>
      <c r="H66" s="9"/>
      <c r="I66" s="9" t="s">
        <v>10</v>
      </c>
      <c r="J66" s="9">
        <f>J17+J19-J65</f>
        <v>332.03278688524591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25">
      <c r="A67" s="1" t="s">
        <v>316</v>
      </c>
      <c r="B67" s="26"/>
      <c r="C67" s="69"/>
      <c r="D67" s="27" t="s">
        <v>52</v>
      </c>
      <c r="E67" s="1"/>
      <c r="F67" s="1" t="s">
        <v>49</v>
      </c>
      <c r="G67" s="9" t="s">
        <v>21</v>
      </c>
      <c r="H67" s="9"/>
      <c r="I67" s="9" t="s">
        <v>16</v>
      </c>
      <c r="J67" s="9">
        <f>J17*J18</f>
        <v>6000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1" t="s">
        <v>55</v>
      </c>
      <c r="B68" s="26"/>
      <c r="C68" s="69"/>
      <c r="D68" s="25" t="s">
        <v>318</v>
      </c>
      <c r="E68" s="1"/>
      <c r="F68" s="1" t="s">
        <v>49</v>
      </c>
      <c r="G68" s="9" t="s">
        <v>6</v>
      </c>
      <c r="H68" s="9"/>
      <c r="I68" s="9" t="s">
        <v>306</v>
      </c>
      <c r="J68" s="7">
        <f>(J18*J17^3/12)*(J19*J21^3/12)+(J20*J24^3/12)</f>
        <v>2400000343000000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25">
      <c r="A69" s="1" t="s">
        <v>307</v>
      </c>
      <c r="B69" s="26"/>
      <c r="C69" s="69"/>
      <c r="D69" s="27" t="s">
        <v>52</v>
      </c>
      <c r="E69" s="1"/>
      <c r="F69" s="1" t="s">
        <v>49</v>
      </c>
      <c r="G69" s="9" t="s">
        <v>177</v>
      </c>
      <c r="H69" s="9"/>
      <c r="I69" s="9" t="s">
        <v>306</v>
      </c>
      <c r="J69" s="7">
        <f>1/12*J72*J21^2+J64*(J72/(1+J72/J67))</f>
        <v>13561333.333333332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x14ac:dyDescent="0.25">
      <c r="A70" s="1" t="s">
        <v>56</v>
      </c>
      <c r="B70" s="26"/>
      <c r="C70" s="69"/>
      <c r="D70" s="27" t="s">
        <v>52</v>
      </c>
      <c r="E70" s="1"/>
      <c r="F70" s="1" t="s">
        <v>49</v>
      </c>
      <c r="G70" s="9" t="s">
        <v>13</v>
      </c>
      <c r="H70" s="9"/>
      <c r="I70" s="9" t="s">
        <v>10</v>
      </c>
      <c r="J70" s="7">
        <f>SQRT(J68/J73)</f>
        <v>361157.58506502392</v>
      </c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25">
      <c r="A71" s="26"/>
      <c r="B71" s="26"/>
      <c r="C71" s="69"/>
      <c r="D71" s="25" t="s">
        <v>317</v>
      </c>
      <c r="E71" s="1"/>
      <c r="F71" s="1" t="s">
        <v>49</v>
      </c>
      <c r="G71" s="9" t="s">
        <v>179</v>
      </c>
      <c r="H71" s="9"/>
      <c r="I71" s="9" t="s">
        <v>306</v>
      </c>
      <c r="J71" s="7">
        <f>J69/2</f>
        <v>6780666.666666666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x14ac:dyDescent="0.25">
      <c r="A72" s="1" t="s">
        <v>316</v>
      </c>
      <c r="B72" s="26"/>
      <c r="C72" s="69"/>
      <c r="D72" s="27" t="s">
        <v>52</v>
      </c>
      <c r="E72" s="1"/>
      <c r="F72" s="1" t="s">
        <v>49</v>
      </c>
      <c r="G72" s="9" t="s">
        <v>22</v>
      </c>
      <c r="H72" s="9"/>
      <c r="I72" s="9" t="s">
        <v>16</v>
      </c>
      <c r="J72" s="9">
        <f>J19*J21</f>
        <v>4000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25">
      <c r="A73" s="1" t="s">
        <v>175</v>
      </c>
      <c r="B73" s="26"/>
      <c r="C73" s="69"/>
      <c r="D73" s="25" t="s">
        <v>315</v>
      </c>
      <c r="E73" s="1"/>
      <c r="F73" s="1" t="s">
        <v>49</v>
      </c>
      <c r="G73" s="9" t="s">
        <v>7</v>
      </c>
      <c r="H73" s="9"/>
      <c r="I73" s="9" t="s">
        <v>16</v>
      </c>
      <c r="J73" s="7">
        <f>J67+J72+(J20*J24)</f>
        <v>18400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x14ac:dyDescent="0.25">
      <c r="A74" s="1"/>
      <c r="B74" s="26"/>
      <c r="C74" s="69"/>
      <c r="D74" s="27"/>
      <c r="E74" s="1"/>
      <c r="F74" s="1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25">
      <c r="A75" s="1"/>
      <c r="B75" s="26"/>
      <c r="C75" s="69"/>
      <c r="D75" s="27"/>
      <c r="E75" s="1"/>
      <c r="F75" s="1" t="s">
        <v>207</v>
      </c>
      <c r="G75" s="9" t="s">
        <v>51</v>
      </c>
      <c r="H75" s="9"/>
      <c r="I75" s="9" t="s">
        <v>10</v>
      </c>
      <c r="J75" s="9">
        <f>J34-J32</f>
        <v>88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25">
      <c r="A76" s="25"/>
      <c r="B76" s="26"/>
      <c r="C76" s="69"/>
      <c r="D76" s="27"/>
      <c r="E76" s="1"/>
      <c r="F76" s="1" t="s">
        <v>207</v>
      </c>
      <c r="G76" s="9" t="s">
        <v>314</v>
      </c>
      <c r="H76" s="9"/>
      <c r="I76" s="9" t="s">
        <v>10</v>
      </c>
      <c r="J76" s="9">
        <f>J21-J29/2</f>
        <v>195.5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25">
      <c r="A77" s="113"/>
      <c r="B77" s="26"/>
      <c r="C77" s="69"/>
      <c r="D77" s="25"/>
      <c r="E77" s="1"/>
      <c r="F77" s="1" t="s">
        <v>207</v>
      </c>
      <c r="G77" s="9" t="s">
        <v>17</v>
      </c>
      <c r="H77" s="9"/>
      <c r="I77" s="9" t="s">
        <v>10</v>
      </c>
      <c r="J77" s="9">
        <f>(J21^2+J28*J21)/(2*(J29+J17))</f>
        <v>131.36288998357963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25">
      <c r="A78" s="113"/>
      <c r="B78" s="26"/>
      <c r="C78" s="69"/>
      <c r="D78" s="25"/>
      <c r="E78" s="1"/>
      <c r="F78" s="1" t="s">
        <v>207</v>
      </c>
      <c r="G78" s="9" t="s">
        <v>18</v>
      </c>
      <c r="H78" s="9"/>
      <c r="I78" s="9" t="s">
        <v>10</v>
      </c>
      <c r="J78" s="9">
        <f>(J28^2+J19*(J21+2*J28))/(2*(J29+J28))</f>
        <v>318.55500821018063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25">
      <c r="A79" s="113"/>
      <c r="B79" s="26"/>
      <c r="C79" s="69"/>
      <c r="D79" s="25"/>
      <c r="E79" s="1"/>
      <c r="F79" s="1" t="s">
        <v>207</v>
      </c>
      <c r="G79" s="9" t="s">
        <v>20</v>
      </c>
      <c r="H79" s="9"/>
      <c r="I79" s="9" t="s">
        <v>10</v>
      </c>
      <c r="J79" s="9">
        <f>J78</f>
        <v>318.55500821018063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25">
      <c r="A80" s="1"/>
      <c r="B80" s="26"/>
      <c r="C80" s="69"/>
      <c r="D80" s="27"/>
      <c r="E80" s="1"/>
      <c r="F80" s="1" t="s">
        <v>207</v>
      </c>
      <c r="G80" s="9" t="s">
        <v>27</v>
      </c>
      <c r="H80" s="9"/>
      <c r="I80" s="9" t="s">
        <v>10</v>
      </c>
      <c r="J80" s="9">
        <f>J21/2-J29/2</f>
        <v>95.5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25">
      <c r="A81" s="1" t="s">
        <v>312</v>
      </c>
      <c r="B81" s="26"/>
      <c r="C81" s="69"/>
      <c r="D81" s="25"/>
      <c r="E81" s="1"/>
      <c r="F81" s="1" t="s">
        <v>207</v>
      </c>
      <c r="G81" s="9" t="s">
        <v>313</v>
      </c>
      <c r="H81" s="9"/>
      <c r="I81" s="9" t="s">
        <v>10</v>
      </c>
      <c r="J81" s="9">
        <f>J28+J33/2-J79</f>
        <v>285.94499178981937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25">
      <c r="A82" s="1" t="s">
        <v>312</v>
      </c>
      <c r="B82" s="26"/>
      <c r="C82" s="69"/>
      <c r="D82" s="25"/>
      <c r="E82" s="1"/>
      <c r="F82" s="1" t="s">
        <v>207</v>
      </c>
      <c r="G82" s="9" t="s">
        <v>311</v>
      </c>
      <c r="H82" s="9"/>
      <c r="I82" s="9" t="s">
        <v>10</v>
      </c>
      <c r="J82" s="9">
        <f>J28+J32-J81</f>
        <v>326.05500821018063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1"/>
      <c r="B83" s="26"/>
      <c r="C83" s="69"/>
      <c r="D83" s="27"/>
      <c r="E83" s="1"/>
      <c r="F83" s="1" t="s">
        <v>207</v>
      </c>
      <c r="G83" s="9" t="s">
        <v>310</v>
      </c>
      <c r="H83" s="9"/>
      <c r="I83" s="9" t="s">
        <v>16</v>
      </c>
      <c r="J83" s="9">
        <f>J29*J28</f>
        <v>5400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t="s">
        <v>79</v>
      </c>
      <c r="B84" s="26"/>
      <c r="C84" s="69"/>
      <c r="D84" s="27"/>
      <c r="E84" s="1"/>
      <c r="F84" s="1" t="s">
        <v>207</v>
      </c>
      <c r="G84" s="9" t="s">
        <v>305</v>
      </c>
      <c r="H84" s="9"/>
      <c r="I84" s="9" t="s">
        <v>16</v>
      </c>
      <c r="J84" s="9">
        <f>J28*J29</f>
        <v>5400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/>
      <c r="B85" s="26"/>
      <c r="C85" s="69"/>
      <c r="D85" s="27"/>
      <c r="E85" s="1"/>
      <c r="F85" s="1" t="s">
        <v>207</v>
      </c>
      <c r="G85" s="9" t="s">
        <v>309</v>
      </c>
      <c r="H85" s="9"/>
      <c r="I85" s="9" t="s">
        <v>16</v>
      </c>
      <c r="J85" s="9">
        <f>J30*J29</f>
        <v>31500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/>
      <c r="B86" s="26"/>
      <c r="C86" s="69"/>
      <c r="D86" s="27"/>
      <c r="E86" s="1"/>
      <c r="F86" s="1" t="s">
        <v>207</v>
      </c>
      <c r="G86" s="9" t="s">
        <v>22</v>
      </c>
      <c r="H86" s="9"/>
      <c r="I86" s="9" t="s">
        <v>16</v>
      </c>
      <c r="J86" s="9">
        <f>J32*J34</f>
        <v>1200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1" t="s">
        <v>175</v>
      </c>
      <c r="B87" s="26"/>
      <c r="C87" s="69"/>
      <c r="D87" s="25"/>
      <c r="E87" s="1"/>
      <c r="F87" s="1" t="s">
        <v>207</v>
      </c>
      <c r="G87" s="9" t="s">
        <v>308</v>
      </c>
      <c r="H87" s="9"/>
      <c r="I87" s="9" t="s">
        <v>16</v>
      </c>
      <c r="J87" s="7">
        <f>J84+J86+(J33*J37)</f>
        <v>12900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x14ac:dyDescent="0.25">
      <c r="A88" s="1" t="s">
        <v>55</v>
      </c>
      <c r="B88" s="26"/>
      <c r="C88" s="69"/>
      <c r="D88" s="25"/>
      <c r="E88" s="1"/>
      <c r="F88" s="1" t="s">
        <v>207</v>
      </c>
      <c r="G88" s="9" t="s">
        <v>42</v>
      </c>
      <c r="H88" s="9"/>
      <c r="I88" s="9" t="s">
        <v>306</v>
      </c>
      <c r="J88" s="7">
        <f>(J29*J28^3/12)*(J19*J21^3/12)+(J20*J24^3/12)</f>
        <v>2160000343000000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x14ac:dyDescent="0.25">
      <c r="A89" s="1" t="s">
        <v>307</v>
      </c>
      <c r="B89" s="26"/>
      <c r="C89" s="69"/>
      <c r="D89" s="27"/>
      <c r="E89" s="1"/>
      <c r="F89" s="1" t="s">
        <v>207</v>
      </c>
      <c r="G89" s="9" t="s">
        <v>177</v>
      </c>
      <c r="H89" s="9"/>
      <c r="I89" s="9" t="s">
        <v>306</v>
      </c>
      <c r="J89" s="7">
        <f>1/12*J86*J34^2+J76*(J86/(1+J86/J84))</f>
        <v>1191945.4545454546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x14ac:dyDescent="0.25">
      <c r="A90" s="1" t="s">
        <v>56</v>
      </c>
      <c r="B90" s="26"/>
      <c r="C90" s="69"/>
      <c r="D90" s="27"/>
      <c r="E90" s="1"/>
      <c r="F90" s="1" t="s">
        <v>207</v>
      </c>
      <c r="G90" s="9" t="s">
        <v>46</v>
      </c>
      <c r="H90" s="9"/>
      <c r="I90" s="9" t="s">
        <v>10</v>
      </c>
      <c r="J90" s="7">
        <f>SQRT(J88/J87)</f>
        <v>409196.63617173536</v>
      </c>
      <c r="K90" s="7"/>
      <c r="L90" s="7"/>
      <c r="M90" s="7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26"/>
      <c r="B91" s="26"/>
      <c r="C91" s="69"/>
      <c r="D91" s="25"/>
      <c r="E91" s="1"/>
      <c r="F91" s="1" t="s">
        <v>207</v>
      </c>
      <c r="G91" s="9" t="s">
        <v>179</v>
      </c>
      <c r="H91" s="9"/>
      <c r="I91" s="9" t="s">
        <v>306</v>
      </c>
      <c r="J91" s="7">
        <f>J89/2</f>
        <v>595972.72727272729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x14ac:dyDescent="0.25">
      <c r="A92" s="26"/>
      <c r="B92" s="26"/>
      <c r="C92" s="69"/>
      <c r="D92" s="27"/>
      <c r="E92" s="1"/>
      <c r="F92" s="1"/>
    </row>
    <row r="93" spans="1:22" x14ac:dyDescent="0.25">
      <c r="A93" s="26"/>
      <c r="B93" s="26"/>
      <c r="C93" s="69"/>
      <c r="D93" s="27"/>
      <c r="E93" s="1"/>
      <c r="F93" s="1"/>
    </row>
    <row r="94" spans="1:22" ht="76.5" x14ac:dyDescent="0.35">
      <c r="A94" s="26"/>
      <c r="B94" s="26"/>
      <c r="C94" s="69"/>
      <c r="D94" s="42" t="s">
        <v>303</v>
      </c>
      <c r="E94" s="1"/>
      <c r="F94" s="1"/>
      <c r="G94" s="28" t="s">
        <v>304</v>
      </c>
      <c r="H94" s="9"/>
      <c r="I94" s="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25">
      <c r="A95" s="1"/>
      <c r="B95" s="1"/>
      <c r="C95" s="1"/>
      <c r="E95" s="1"/>
      <c r="F95" s="1" t="s">
        <v>49</v>
      </c>
      <c r="G95" s="9" t="s">
        <v>51</v>
      </c>
      <c r="H95" s="9"/>
      <c r="I95" s="9" t="s">
        <v>10</v>
      </c>
      <c r="J95" s="9">
        <f>IF($J$16="L",J59,#REF!)</f>
        <v>180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B96" s="25"/>
      <c r="C96" s="25"/>
      <c r="E96" s="1"/>
      <c r="F96" s="1" t="s">
        <v>49</v>
      </c>
      <c r="G96" s="9" t="s">
        <v>14</v>
      </c>
      <c r="H96" s="9"/>
      <c r="I96" s="9" t="s">
        <v>10</v>
      </c>
      <c r="J96" s="39">
        <f>IF($J$16="L",J60,"Not Required")</f>
        <v>195</v>
      </c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x14ac:dyDescent="0.25">
      <c r="B97" s="113"/>
      <c r="C97" s="25"/>
      <c r="E97" s="1"/>
      <c r="F97" s="1" t="s">
        <v>49</v>
      </c>
      <c r="G97" s="9" t="s">
        <v>17</v>
      </c>
      <c r="H97" s="9"/>
      <c r="I97" s="9" t="s">
        <v>10</v>
      </c>
      <c r="J97" s="9">
        <f>IF($J$16="L",J61,#REF!)</f>
        <v>131.14754098360655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B98" s="113"/>
      <c r="C98" s="25"/>
      <c r="E98" s="1"/>
      <c r="F98" s="1" t="s">
        <v>49</v>
      </c>
      <c r="G98" s="9" t="s">
        <v>18</v>
      </c>
      <c r="H98" s="9"/>
      <c r="I98" s="9" t="s">
        <v>10</v>
      </c>
      <c r="J98" s="9">
        <f>IF($J$16="L",J62,#REF!)</f>
        <v>318.03278688524591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B99" s="25"/>
      <c r="C99" s="25"/>
      <c r="E99" s="1"/>
      <c r="F99" s="1" t="s">
        <v>49</v>
      </c>
      <c r="G99" s="9" t="s">
        <v>20</v>
      </c>
      <c r="H99" s="9"/>
      <c r="I99" s="9" t="s">
        <v>10</v>
      </c>
      <c r="J99" s="9">
        <f>IF($J$16="L",J63,#REF!)</f>
        <v>318.03278688524591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B100" s="1"/>
      <c r="C100" s="1"/>
      <c r="E100" s="1"/>
      <c r="F100" s="1" t="s">
        <v>49</v>
      </c>
      <c r="G100" s="9" t="s">
        <v>27</v>
      </c>
      <c r="H100" s="9"/>
      <c r="I100" s="9" t="s">
        <v>10</v>
      </c>
      <c r="J100" s="9">
        <f>IF($J$16="L",J64,#REF!)</f>
        <v>95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B101" s="1"/>
      <c r="C101" s="1"/>
      <c r="E101" s="1"/>
      <c r="F101" s="1" t="s">
        <v>49</v>
      </c>
      <c r="G101" s="9" t="s">
        <v>124</v>
      </c>
      <c r="H101" s="9"/>
      <c r="I101" s="9" t="s">
        <v>10</v>
      </c>
      <c r="J101" s="9">
        <f>IF($J$16="L",J65,#REF!)</f>
        <v>287.96721311475409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B102" s="1"/>
      <c r="C102" s="1"/>
      <c r="E102" s="1"/>
      <c r="F102" s="1" t="s">
        <v>49</v>
      </c>
      <c r="G102" s="9" t="s">
        <v>125</v>
      </c>
      <c r="H102" s="9"/>
      <c r="I102" s="9" t="s">
        <v>10</v>
      </c>
      <c r="J102" s="9">
        <f>IF($J$16="L",J66,#REF!)</f>
        <v>332.03278688524591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5" customHeight="1" x14ac:dyDescent="0.25">
      <c r="B103" s="124" t="s">
        <v>301</v>
      </c>
      <c r="C103" s="1"/>
      <c r="E103" s="1"/>
      <c r="F103" s="1" t="s">
        <v>49</v>
      </c>
      <c r="G103" s="9" t="s">
        <v>21</v>
      </c>
      <c r="H103" s="9"/>
      <c r="I103" s="9" t="s">
        <v>16</v>
      </c>
      <c r="J103" s="9">
        <f>IF($J$16="L",J67,#REF!)</f>
        <v>6000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5" customHeight="1" x14ac:dyDescent="0.25">
      <c r="B104" s="124"/>
      <c r="C104" s="1"/>
      <c r="E104" s="1"/>
      <c r="F104" s="1" t="s">
        <v>49</v>
      </c>
      <c r="G104" s="9" t="s">
        <v>22</v>
      </c>
      <c r="H104" s="9"/>
      <c r="I104" s="9" t="s">
        <v>16</v>
      </c>
      <c r="J104" s="9">
        <f>IF($J$16="L",J72,#REF!)</f>
        <v>4000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5" customHeight="1" x14ac:dyDescent="0.25">
      <c r="B105" s="124"/>
      <c r="C105" s="1"/>
      <c r="E105" s="1"/>
      <c r="F105" s="1" t="s">
        <v>49</v>
      </c>
      <c r="G105" s="9" t="s">
        <v>7</v>
      </c>
      <c r="H105" s="9"/>
      <c r="I105" s="9" t="s">
        <v>12</v>
      </c>
      <c r="J105" s="7">
        <f>IF($J$16="L",J73,#REF!)</f>
        <v>18400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" customHeight="1" x14ac:dyDescent="0.25">
      <c r="B106" s="124"/>
      <c r="C106" s="1"/>
      <c r="E106" s="1"/>
      <c r="F106" s="1" t="s">
        <v>49</v>
      </c>
      <c r="G106" s="9" t="s">
        <v>6</v>
      </c>
      <c r="H106" s="9"/>
      <c r="I106" s="9" t="s">
        <v>23</v>
      </c>
      <c r="J106" s="7">
        <f>IF($J$16="L",J68,#REF!)</f>
        <v>2400000343000000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x14ac:dyDescent="0.25">
      <c r="B107" s="124"/>
      <c r="C107" s="1"/>
      <c r="E107" s="1"/>
      <c r="F107" s="1" t="s">
        <v>49</v>
      </c>
      <c r="G107" s="9" t="s">
        <v>177</v>
      </c>
      <c r="H107" s="9"/>
      <c r="I107" s="9" t="s">
        <v>23</v>
      </c>
      <c r="J107" s="7">
        <f>IF($J$16="L",J69,#REF!)</f>
        <v>13561333.333333332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x14ac:dyDescent="0.25">
      <c r="B108" s="124"/>
      <c r="C108" s="1"/>
      <c r="E108" s="1"/>
      <c r="F108" s="1" t="s">
        <v>49</v>
      </c>
      <c r="G108" s="9" t="s">
        <v>13</v>
      </c>
      <c r="H108" s="9"/>
      <c r="I108" s="9" t="s">
        <v>10</v>
      </c>
      <c r="J108" s="9">
        <f>IF($J$16="L",J70,#REF!)</f>
        <v>361157.58506502392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23.25" x14ac:dyDescent="0.25">
      <c r="A109" s="1"/>
      <c r="B109" s="112"/>
      <c r="C109" s="1"/>
      <c r="E109" s="1"/>
      <c r="F109" s="1" t="s">
        <v>49</v>
      </c>
      <c r="G109" s="9" t="s">
        <v>179</v>
      </c>
      <c r="H109" s="9"/>
      <c r="I109" s="9" t="s">
        <v>23</v>
      </c>
      <c r="J109" s="7">
        <f>IF($J$16="L",J71,#REF!)</f>
        <v>6780666.666666666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23.25" x14ac:dyDescent="0.25">
      <c r="A110" s="1"/>
      <c r="B110" s="112"/>
      <c r="C110" s="3"/>
      <c r="D110" s="25"/>
      <c r="E110" s="1"/>
      <c r="F110" s="1" t="s">
        <v>49</v>
      </c>
      <c r="G110" s="9" t="s">
        <v>178</v>
      </c>
      <c r="H110" s="9"/>
      <c r="I110" s="9" t="s">
        <v>23</v>
      </c>
      <c r="J110" s="7">
        <f>J20^3*J24/10.9</f>
        <v>110972.47706422018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23.25" x14ac:dyDescent="0.25">
      <c r="A111" s="1"/>
      <c r="B111" s="112"/>
      <c r="C111" s="3"/>
      <c r="D111" s="25"/>
      <c r="E111" s="1"/>
      <c r="F111" s="1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</row>
    <row r="112" spans="1:22" ht="76.5" x14ac:dyDescent="0.35">
      <c r="A112" s="26"/>
      <c r="B112" s="26"/>
      <c r="C112" s="69"/>
      <c r="D112" s="42" t="s">
        <v>303</v>
      </c>
      <c r="E112" s="1"/>
      <c r="F112" s="1"/>
      <c r="G112" s="28" t="s">
        <v>302</v>
      </c>
      <c r="H112" s="9"/>
      <c r="I112" s="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x14ac:dyDescent="0.25">
      <c r="A113" s="1"/>
      <c r="B113" s="1"/>
      <c r="C113" s="1"/>
      <c r="E113" s="1"/>
      <c r="F113" s="1" t="s">
        <v>207</v>
      </c>
      <c r="G113" s="9" t="s">
        <v>51</v>
      </c>
      <c r="H113" s="9"/>
      <c r="I113" s="9" t="s">
        <v>10</v>
      </c>
      <c r="J113" s="9">
        <f>IF($J$16="L",J75,#REF!)</f>
        <v>88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B114" s="25"/>
      <c r="C114" s="25"/>
      <c r="E114" s="1"/>
      <c r="F114" s="1" t="s">
        <v>207</v>
      </c>
      <c r="G114" s="9" t="s">
        <v>14</v>
      </c>
      <c r="H114" s="9"/>
      <c r="I114" s="9" t="s">
        <v>10</v>
      </c>
      <c r="J114" s="39">
        <f>IF($J$16="L",J76,"Not Required")</f>
        <v>195.5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x14ac:dyDescent="0.25">
      <c r="B115" s="113"/>
      <c r="C115" s="25"/>
      <c r="E115" s="1"/>
      <c r="F115" s="1" t="s">
        <v>207</v>
      </c>
      <c r="G115" s="9" t="s">
        <v>17</v>
      </c>
      <c r="H115" s="9"/>
      <c r="I115" s="9" t="s">
        <v>10</v>
      </c>
      <c r="J115" s="9">
        <f>IF($J$16="L",J77,#REF!)</f>
        <v>131.36288998357963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B116" s="113"/>
      <c r="C116" s="25"/>
      <c r="E116" s="1"/>
      <c r="F116" s="1" t="s">
        <v>207</v>
      </c>
      <c r="G116" s="9" t="s">
        <v>18</v>
      </c>
      <c r="H116" s="9"/>
      <c r="I116" s="9" t="s">
        <v>10</v>
      </c>
      <c r="J116" s="9">
        <f>IF($J$16="L",J78,#REF!)</f>
        <v>318.55500821018063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B117" s="25"/>
      <c r="C117" s="25"/>
      <c r="E117" s="1"/>
      <c r="F117" s="1" t="s">
        <v>207</v>
      </c>
      <c r="G117" s="9" t="s">
        <v>20</v>
      </c>
      <c r="H117" s="9"/>
      <c r="I117" s="9" t="s">
        <v>10</v>
      </c>
      <c r="J117" s="9">
        <f>IF($J$16="L",J79,#REF!)</f>
        <v>318.55500821018063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B118" s="1"/>
      <c r="C118" s="1"/>
      <c r="E118" s="1"/>
      <c r="F118" s="1" t="s">
        <v>207</v>
      </c>
      <c r="G118" s="9" t="s">
        <v>27</v>
      </c>
      <c r="H118" s="9"/>
      <c r="I118" s="9" t="s">
        <v>10</v>
      </c>
      <c r="J118" s="9">
        <f>IF($J$16="L",J76,#REF!)</f>
        <v>195.5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B119" s="1"/>
      <c r="C119" s="1"/>
      <c r="E119" s="1"/>
      <c r="F119" s="1" t="s">
        <v>207</v>
      </c>
      <c r="G119" s="9" t="s">
        <v>124</v>
      </c>
      <c r="H119" s="9"/>
      <c r="I119" s="9" t="s">
        <v>10</v>
      </c>
      <c r="J119" s="9">
        <f>IF($J$16="L",J81,#REF!)</f>
        <v>285.94499178981937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B120" s="1"/>
      <c r="C120" s="1"/>
      <c r="E120" s="1"/>
      <c r="F120" s="1" t="s">
        <v>207</v>
      </c>
      <c r="G120" s="9" t="s">
        <v>125</v>
      </c>
      <c r="H120" s="9"/>
      <c r="I120" s="9" t="s">
        <v>10</v>
      </c>
      <c r="J120" s="9">
        <f>IF($J$16="L",J82,#REF!)</f>
        <v>326.05500821018063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5" customHeight="1" x14ac:dyDescent="0.25">
      <c r="B121" s="124" t="s">
        <v>301</v>
      </c>
      <c r="C121" s="1"/>
      <c r="E121" s="1"/>
      <c r="F121" s="1" t="s">
        <v>207</v>
      </c>
      <c r="G121" s="9" t="s">
        <v>208</v>
      </c>
      <c r="H121" s="9"/>
      <c r="I121" s="9" t="s">
        <v>16</v>
      </c>
      <c r="J121" s="9">
        <f>IF($J$16="L",J84,#REF!)</f>
        <v>5400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5" customHeight="1" x14ac:dyDescent="0.25">
      <c r="B122" s="124"/>
      <c r="C122" s="1"/>
      <c r="E122" s="1"/>
      <c r="F122" s="1" t="s">
        <v>207</v>
      </c>
      <c r="G122" s="9" t="s">
        <v>41</v>
      </c>
      <c r="H122" s="9"/>
      <c r="I122" s="9" t="s">
        <v>16</v>
      </c>
      <c r="J122" s="9">
        <f>IF($J$16="L",J84,#REF!)</f>
        <v>5400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5" customHeight="1" x14ac:dyDescent="0.25">
      <c r="B123" s="124"/>
      <c r="C123" s="1"/>
      <c r="E123" s="1"/>
      <c r="F123" s="1" t="s">
        <v>207</v>
      </c>
      <c r="G123" s="9" t="s">
        <v>22</v>
      </c>
      <c r="H123" s="9"/>
      <c r="I123" s="9" t="s">
        <v>16</v>
      </c>
      <c r="J123" s="9">
        <f>IF($J$16="L",J86,#REF!)</f>
        <v>1200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5" customHeight="1" x14ac:dyDescent="0.25">
      <c r="B124" s="124"/>
      <c r="C124" s="1"/>
      <c r="E124" s="1"/>
      <c r="F124" s="1" t="s">
        <v>207</v>
      </c>
      <c r="G124" s="9" t="s">
        <v>7</v>
      </c>
      <c r="H124" s="9"/>
      <c r="I124" s="9" t="s">
        <v>12</v>
      </c>
      <c r="J124" s="7" t="e">
        <f>IF($J$16="L",#REF!,J87)</f>
        <v>#REF!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" customHeight="1" x14ac:dyDescent="0.25">
      <c r="B125" s="124"/>
      <c r="C125" s="1"/>
      <c r="E125" s="1"/>
      <c r="F125" s="1" t="s">
        <v>207</v>
      </c>
      <c r="G125" s="9" t="s">
        <v>42</v>
      </c>
      <c r="H125" s="9"/>
      <c r="I125" s="9" t="s">
        <v>23</v>
      </c>
      <c r="J125" s="7">
        <f>IF($J$16="L",J88,#REF!)</f>
        <v>2160000343000000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" customHeight="1" x14ac:dyDescent="0.25">
      <c r="B126" s="124"/>
      <c r="C126" s="1"/>
      <c r="E126" s="1"/>
      <c r="F126" s="1" t="s">
        <v>207</v>
      </c>
      <c r="G126" s="9" t="s">
        <v>177</v>
      </c>
      <c r="H126" s="9"/>
      <c r="I126" s="9" t="s">
        <v>23</v>
      </c>
      <c r="J126" s="7">
        <f>IF($J$16="L",J89,#REF!)</f>
        <v>1191945.4545454546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" customHeight="1" x14ac:dyDescent="0.25">
      <c r="B127" s="124"/>
      <c r="C127" s="1"/>
      <c r="E127" s="1"/>
      <c r="F127" s="1" t="s">
        <v>207</v>
      </c>
      <c r="G127" s="9" t="s">
        <v>46</v>
      </c>
      <c r="H127" s="9"/>
      <c r="I127" s="9" t="s">
        <v>10</v>
      </c>
      <c r="J127" s="7">
        <f>IF($J$16="L",J90,#REF!)</f>
        <v>409196.63617173536</v>
      </c>
      <c r="K127" s="7"/>
      <c r="L127" s="7"/>
      <c r="M127" s="7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23.25" x14ac:dyDescent="0.25">
      <c r="A128" s="1"/>
      <c r="B128" s="112"/>
      <c r="C128" s="1"/>
      <c r="E128" s="1"/>
      <c r="F128" s="1" t="s">
        <v>207</v>
      </c>
      <c r="G128" s="9" t="s">
        <v>219</v>
      </c>
      <c r="H128" s="9"/>
      <c r="I128" s="9" t="s">
        <v>23</v>
      </c>
      <c r="J128" s="7">
        <f>IF($J$16="L",J88,#REF!)</f>
        <v>2160000343000000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23.25" x14ac:dyDescent="0.25">
      <c r="A129" s="1"/>
      <c r="B129" s="112"/>
      <c r="C129" s="3"/>
      <c r="D129" s="25"/>
      <c r="E129" s="1"/>
      <c r="F129" s="1" t="s">
        <v>207</v>
      </c>
      <c r="G129" s="9" t="s">
        <v>178</v>
      </c>
      <c r="H129" s="9"/>
      <c r="I129" s="9" t="s">
        <v>23</v>
      </c>
      <c r="J129" s="7">
        <f>J20^3*J24/10.9</f>
        <v>110972.47706422018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x14ac:dyDescent="0.25">
      <c r="A130" s="1"/>
      <c r="B130" s="1"/>
      <c r="C130" s="1"/>
      <c r="D130" s="1"/>
      <c r="E130" s="1"/>
      <c r="F130" s="1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</row>
    <row r="131" spans="1:22" ht="21" x14ac:dyDescent="0.35">
      <c r="A131" s="1"/>
      <c r="B131" s="1"/>
      <c r="C131" s="1"/>
      <c r="D131" s="1"/>
      <c r="E131" s="1"/>
      <c r="F131" s="1"/>
      <c r="G131" s="28" t="s">
        <v>300</v>
      </c>
      <c r="H131" s="9"/>
      <c r="I131" s="10"/>
    </row>
    <row r="132" spans="1:22" x14ac:dyDescent="0.25">
      <c r="A132" s="1" t="s">
        <v>58</v>
      </c>
      <c r="B132" s="1"/>
      <c r="C132" s="1"/>
      <c r="D132" s="27" t="s">
        <v>52</v>
      </c>
      <c r="E132" s="1"/>
      <c r="F132" s="1" t="s">
        <v>49</v>
      </c>
      <c r="G132" s="29" t="s">
        <v>100</v>
      </c>
      <c r="H132" s="9"/>
      <c r="I132" s="9" t="s">
        <v>25</v>
      </c>
      <c r="J132" s="9">
        <f>SQRT(J45^2+J47^2-J45*J47+3*J49^2)</f>
        <v>10.099504938362077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1" t="s">
        <v>62</v>
      </c>
      <c r="B133" s="1"/>
      <c r="C133" s="1"/>
      <c r="D133" s="27" t="s">
        <v>52</v>
      </c>
      <c r="E133" s="1"/>
      <c r="F133" s="1" t="s">
        <v>49</v>
      </c>
      <c r="G133" s="29" t="s">
        <v>15</v>
      </c>
      <c r="H133" s="9"/>
      <c r="I133" s="9" t="s">
        <v>5</v>
      </c>
      <c r="J133" s="9">
        <f>2-(J24/J22)</f>
        <v>1.6860986547085202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1" t="s">
        <v>137</v>
      </c>
      <c r="B134" s="1"/>
      <c r="C134" s="1"/>
      <c r="D134" s="27" t="s">
        <v>52</v>
      </c>
      <c r="E134" s="1"/>
      <c r="F134" s="1" t="s">
        <v>49</v>
      </c>
      <c r="G134" s="29" t="s">
        <v>101</v>
      </c>
      <c r="H134" s="9"/>
      <c r="I134" s="9" t="s">
        <v>5</v>
      </c>
      <c r="J134" s="9">
        <f>$J$5*$J$8/J132*((J45/J156)^J133+(J47/J157)^J133+(J49/J158)^J133)^(1/J133)</f>
        <v>2.4766531317155107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1" t="s">
        <v>63</v>
      </c>
      <c r="B135" s="1"/>
      <c r="C135" s="1"/>
      <c r="D135" s="27" t="s">
        <v>52</v>
      </c>
      <c r="E135" s="1"/>
      <c r="F135" s="1" t="s">
        <v>49</v>
      </c>
      <c r="G135" s="29" t="s">
        <v>30</v>
      </c>
      <c r="H135" s="9"/>
      <c r="I135" s="9" t="s">
        <v>25</v>
      </c>
      <c r="J135" s="9">
        <f>$J$5*$J$8/SQRT(1+J134^2)</f>
        <v>87.76745385019197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1" t="s">
        <v>64</v>
      </c>
      <c r="B136" s="1"/>
      <c r="C136" s="1"/>
      <c r="D136" s="27" t="s">
        <v>52</v>
      </c>
      <c r="E136" s="1"/>
      <c r="F136" s="1" t="s">
        <v>49</v>
      </c>
      <c r="G136" s="29" t="s">
        <v>31</v>
      </c>
      <c r="H136" s="39" t="s">
        <v>138</v>
      </c>
      <c r="I136" s="9" t="s">
        <v>5</v>
      </c>
      <c r="J136" s="9">
        <f>J132/J135</f>
        <v>0.11507118522089822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1" t="s">
        <v>65</v>
      </c>
      <c r="B137" s="1"/>
      <c r="C137" s="1"/>
      <c r="D137" s="27" t="s">
        <v>52</v>
      </c>
      <c r="E137" s="1"/>
      <c r="F137" s="1" t="s">
        <v>49</v>
      </c>
      <c r="G137" s="29" t="s">
        <v>32</v>
      </c>
      <c r="H137" s="9"/>
      <c r="I137" s="9" t="s">
        <v>5</v>
      </c>
      <c r="J137" s="9">
        <f>J17/J24*(J20/J18)^3*SQRT(1-J136)</f>
        <v>1.3933207884329908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1" t="s">
        <v>66</v>
      </c>
      <c r="B138" s="1"/>
      <c r="C138" s="1"/>
      <c r="D138" s="27" t="s">
        <v>52</v>
      </c>
      <c r="E138" s="1"/>
      <c r="F138" s="1" t="s">
        <v>49</v>
      </c>
      <c r="G138" s="29" t="s">
        <v>102</v>
      </c>
      <c r="H138" s="9"/>
      <c r="I138" s="9" t="s">
        <v>5</v>
      </c>
      <c r="J138" s="9">
        <f>(3*J137+0.2)/(J137+0.2)</f>
        <v>2.7489519983019903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30" x14ac:dyDescent="0.25">
      <c r="A139" s="1" t="s">
        <v>72</v>
      </c>
      <c r="B139" s="1"/>
      <c r="C139" s="1"/>
      <c r="D139" s="42"/>
      <c r="E139" s="1"/>
      <c r="F139" s="1" t="s">
        <v>49</v>
      </c>
      <c r="G139" s="30" t="s">
        <v>180</v>
      </c>
      <c r="H139" s="9"/>
      <c r="I139" s="9" t="s">
        <v>5</v>
      </c>
      <c r="J139" s="9">
        <f>SQRT(J181/J155)</f>
        <v>6.5675601647780055E-5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8" x14ac:dyDescent="0.35">
      <c r="A140" s="26" t="s">
        <v>163</v>
      </c>
      <c r="B140" s="1"/>
      <c r="C140" s="1"/>
      <c r="D140" s="27" t="s">
        <v>52</v>
      </c>
      <c r="E140" s="1"/>
      <c r="F140" s="1" t="s">
        <v>49</v>
      </c>
      <c r="G140" s="30" t="s">
        <v>185</v>
      </c>
      <c r="H140" s="9"/>
      <c r="I140" s="9"/>
      <c r="J140" s="9">
        <f>IF(J22&gt;J27,5.34*(J22/J27)^2+4,5.34+4*(J22/J27)^2)</f>
        <v>6.9638040816326523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8" x14ac:dyDescent="0.35">
      <c r="A141" s="26" t="s">
        <v>186</v>
      </c>
      <c r="B141" s="1"/>
      <c r="C141" s="1"/>
      <c r="D141" s="27" t="s">
        <v>52</v>
      </c>
      <c r="E141" s="1"/>
      <c r="F141" s="1" t="s">
        <v>49</v>
      </c>
      <c r="G141" s="30" t="s">
        <v>184</v>
      </c>
      <c r="H141" s="9"/>
      <c r="I141" s="9"/>
      <c r="J141" s="9">
        <f>IF(J22&lt;J24,5.34*(J24/J22)^2+4,5.34+4*(J24/J22)^2)</f>
        <v>5.7341362183032034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30" x14ac:dyDescent="0.25">
      <c r="A142" s="1" t="s">
        <v>72</v>
      </c>
      <c r="B142" s="1"/>
      <c r="C142" s="1"/>
      <c r="D142" s="42"/>
      <c r="E142" s="1"/>
      <c r="F142" s="1" t="s">
        <v>49</v>
      </c>
      <c r="G142" s="30" t="s">
        <v>181</v>
      </c>
      <c r="H142" s="9"/>
      <c r="I142" s="9" t="s">
        <v>5</v>
      </c>
      <c r="J142" s="9">
        <f>SQRT(J194/J155)</f>
        <v>6.3278637378072941E-5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1"/>
      <c r="B143" s="1"/>
      <c r="C143" s="1"/>
      <c r="D143" s="42"/>
      <c r="E143" s="1"/>
      <c r="F143" s="1"/>
      <c r="G143" s="3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1"/>
      <c r="B144" s="1"/>
      <c r="C144" s="1"/>
      <c r="D144" s="42"/>
      <c r="E144" s="1"/>
      <c r="F144" s="1" t="s">
        <v>207</v>
      </c>
      <c r="G144" s="29" t="s">
        <v>100</v>
      </c>
      <c r="H144" s="9"/>
      <c r="I144" s="9" t="s">
        <v>25</v>
      </c>
      <c r="J144" s="9">
        <f>SQRT(J45^2+J47^2-J45*J47+3*J49^2)</f>
        <v>10.099504938362077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1"/>
      <c r="B145" s="1"/>
      <c r="C145" s="1"/>
      <c r="D145" s="42"/>
      <c r="E145" s="1"/>
      <c r="F145" s="1" t="s">
        <v>207</v>
      </c>
      <c r="G145" s="29" t="s">
        <v>15</v>
      </c>
      <c r="H145" s="9"/>
      <c r="I145" s="9" t="s">
        <v>5</v>
      </c>
      <c r="J145" s="9">
        <f>2-(J37/J35)</f>
        <v>1.6860986547085202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1"/>
      <c r="B146" s="1"/>
      <c r="C146" s="1"/>
      <c r="D146" s="42"/>
      <c r="E146" s="1"/>
      <c r="F146" s="1" t="s">
        <v>207</v>
      </c>
      <c r="G146" s="29" t="s">
        <v>101</v>
      </c>
      <c r="H146" s="9"/>
      <c r="I146" s="9" t="s">
        <v>5</v>
      </c>
      <c r="J146" s="9">
        <f>$J$5*$J$8/J132*((J45/J156)^J145+(J47/J157)^J144+(J49/J158)^J144)^(1/J144)</f>
        <v>13.81924178243643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1"/>
      <c r="B147" s="1"/>
      <c r="C147" s="1"/>
      <c r="D147" s="42"/>
      <c r="E147" s="1"/>
      <c r="F147" s="1" t="s">
        <v>207</v>
      </c>
      <c r="G147" s="29" t="s">
        <v>30</v>
      </c>
      <c r="H147" s="9"/>
      <c r="I147" s="9" t="s">
        <v>25</v>
      </c>
      <c r="J147" s="9">
        <f>$J$5*$J$8/SQRT(1+J146^2)</f>
        <v>16.919050078679341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1"/>
      <c r="B148" s="1"/>
      <c r="C148" s="1"/>
      <c r="D148" s="42"/>
      <c r="E148" s="1"/>
      <c r="F148" s="1" t="s">
        <v>207</v>
      </c>
      <c r="G148" s="29" t="s">
        <v>31</v>
      </c>
      <c r="H148" s="39" t="s">
        <v>138</v>
      </c>
      <c r="I148" s="9" t="s">
        <v>5</v>
      </c>
      <c r="J148" s="9">
        <f>J144/J147</f>
        <v>0.59693096783778887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1"/>
      <c r="B149" s="1"/>
      <c r="C149" s="1"/>
      <c r="D149" s="27"/>
      <c r="E149" s="1"/>
      <c r="F149" s="1" t="s">
        <v>207</v>
      </c>
      <c r="G149" s="29" t="s">
        <v>32</v>
      </c>
      <c r="H149" s="9"/>
      <c r="I149" s="9" t="s">
        <v>5</v>
      </c>
      <c r="J149" s="9">
        <f>J28/J37*(J33/J29)^3*SQRT(1-J148)</f>
        <v>0.54418043897221424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1"/>
      <c r="B150" s="1"/>
      <c r="C150" s="1"/>
      <c r="D150" s="27"/>
      <c r="E150" s="1"/>
      <c r="F150" s="1" t="s">
        <v>207</v>
      </c>
      <c r="G150" s="29" t="s">
        <v>102</v>
      </c>
      <c r="H150" s="9"/>
      <c r="I150" s="9" t="s">
        <v>5</v>
      </c>
      <c r="J150" s="9">
        <f>(3*J149+0.2)/(J149+0.2)</f>
        <v>2.4624959498365224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30" x14ac:dyDescent="0.25">
      <c r="A151" s="1"/>
      <c r="B151" s="1"/>
      <c r="C151" s="1"/>
      <c r="D151" s="42"/>
      <c r="E151" s="1"/>
      <c r="F151" s="1" t="s">
        <v>207</v>
      </c>
      <c r="G151" s="30" t="s">
        <v>180</v>
      </c>
      <c r="H151" s="9"/>
      <c r="I151" s="9" t="s">
        <v>5</v>
      </c>
      <c r="J151" s="9">
        <f>SQRT(J187/J155)</f>
        <v>6.5675601647780055E-5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30" x14ac:dyDescent="0.25">
      <c r="A152" s="1"/>
      <c r="B152" s="1"/>
      <c r="C152" s="1"/>
      <c r="D152" s="42"/>
      <c r="E152" s="1"/>
      <c r="F152" s="1" t="s">
        <v>207</v>
      </c>
      <c r="G152" s="30" t="s">
        <v>181</v>
      </c>
      <c r="H152" s="9"/>
      <c r="I152" s="9" t="s">
        <v>5</v>
      </c>
      <c r="J152" s="9">
        <f>SQRT(J200/J155)</f>
        <v>3.7265732218967841E-5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1"/>
      <c r="B153" s="1"/>
      <c r="C153" s="1"/>
      <c r="D153" s="1"/>
      <c r="E153" s="1"/>
      <c r="F153" s="1"/>
    </row>
    <row r="154" spans="1:22" ht="21" x14ac:dyDescent="0.35">
      <c r="A154" s="1"/>
      <c r="B154" s="1"/>
      <c r="C154" s="1"/>
      <c r="D154" s="1"/>
      <c r="E154" s="1"/>
      <c r="F154" s="1"/>
      <c r="G154" s="28" t="s">
        <v>299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1" t="s">
        <v>57</v>
      </c>
      <c r="B155" s="1"/>
      <c r="C155" s="1"/>
      <c r="D155" s="27" t="s">
        <v>52</v>
      </c>
      <c r="E155" s="1"/>
      <c r="F155" s="1" t="s">
        <v>49</v>
      </c>
      <c r="G155" s="9" t="s">
        <v>117</v>
      </c>
      <c r="H155" s="9"/>
      <c r="I155" s="9" t="s">
        <v>25</v>
      </c>
      <c r="J155" s="34">
        <f>PI()^2*$J$4*$J$8*(J108/J25)^2</f>
        <v>54348325910.344826</v>
      </c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1:22" ht="30" x14ac:dyDescent="0.25">
      <c r="A156" s="1" t="s">
        <v>59</v>
      </c>
      <c r="B156" s="1"/>
      <c r="C156" s="1"/>
      <c r="D156" s="27" t="s">
        <v>52</v>
      </c>
      <c r="E156" s="1"/>
      <c r="F156" s="1" t="s">
        <v>49</v>
      </c>
      <c r="G156" s="30" t="s">
        <v>97</v>
      </c>
      <c r="H156" s="9"/>
      <c r="I156" s="9" t="s">
        <v>25</v>
      </c>
      <c r="J156" s="9">
        <f>3.62*$J$4*$J$8*(J20/J24)^2</f>
        <v>223.34572985142859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30" x14ac:dyDescent="0.25">
      <c r="A157" s="1" t="s">
        <v>60</v>
      </c>
      <c r="B157" s="1"/>
      <c r="C157" s="1"/>
      <c r="D157" s="27" t="s">
        <v>52</v>
      </c>
      <c r="E157" s="1"/>
      <c r="F157" s="1" t="s">
        <v>49</v>
      </c>
      <c r="G157" s="30" t="s">
        <v>96</v>
      </c>
      <c r="H157" s="9"/>
      <c r="I157" s="9" t="s">
        <v>25</v>
      </c>
      <c r="J157" s="9">
        <f>0.9*$J$4*$J$8*(J20/J24)^2</f>
        <v>55.527943885714294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1" t="s">
        <v>61</v>
      </c>
      <c r="B158" s="1"/>
      <c r="C158" s="1"/>
      <c r="D158" s="27" t="s">
        <v>52</v>
      </c>
      <c r="E158" s="1"/>
      <c r="F158" s="1" t="s">
        <v>49</v>
      </c>
      <c r="G158" s="29" t="s">
        <v>95</v>
      </c>
      <c r="H158" s="9"/>
      <c r="I158" s="9" t="s">
        <v>25</v>
      </c>
      <c r="J158" s="9">
        <f>5*$J$4*$J$8*(J20/J24)^2</f>
        <v>308.48857714285714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1"/>
      <c r="B159" s="1"/>
      <c r="C159" s="1"/>
      <c r="D159" s="27"/>
      <c r="E159" s="1"/>
      <c r="F159" s="1"/>
      <c r="G159" s="29"/>
      <c r="H159" s="9"/>
      <c r="I159" s="9"/>
    </row>
    <row r="160" spans="1:22" x14ac:dyDescent="0.25">
      <c r="A160" s="1" t="s">
        <v>57</v>
      </c>
      <c r="B160" s="1"/>
      <c r="C160" s="1"/>
      <c r="D160" s="27"/>
      <c r="E160" s="1"/>
      <c r="F160" s="1" t="s">
        <v>207</v>
      </c>
      <c r="G160" s="9" t="s">
        <v>117</v>
      </c>
      <c r="H160" s="9"/>
      <c r="I160" s="9" t="s">
        <v>25</v>
      </c>
      <c r="J160" s="58">
        <f>PI()^2*$J$4*$J$8*(J127/J38)^2</f>
        <v>69768084602.101273</v>
      </c>
    </row>
    <row r="161" spans="1:22" ht="30" x14ac:dyDescent="0.25">
      <c r="A161" s="1" t="s">
        <v>59</v>
      </c>
      <c r="B161" s="1"/>
      <c r="C161" s="1"/>
      <c r="D161" s="27"/>
      <c r="E161" s="1"/>
      <c r="F161" s="1" t="s">
        <v>207</v>
      </c>
      <c r="G161" s="30" t="s">
        <v>97</v>
      </c>
      <c r="H161" s="9"/>
      <c r="I161" s="9" t="s">
        <v>25</v>
      </c>
      <c r="J161" s="12">
        <f>3.62*$J$4*$J$8*(J33/J37)^2</f>
        <v>125.63197304142857</v>
      </c>
    </row>
    <row r="162" spans="1:22" ht="30" x14ac:dyDescent="0.25">
      <c r="A162" s="1" t="s">
        <v>60</v>
      </c>
      <c r="B162" s="1"/>
      <c r="C162" s="1"/>
      <c r="D162" s="27"/>
      <c r="E162" s="1"/>
      <c r="F162" s="1" t="s">
        <v>207</v>
      </c>
      <c r="G162" s="30" t="s">
        <v>96</v>
      </c>
      <c r="H162" s="9"/>
      <c r="I162" s="9" t="s">
        <v>25</v>
      </c>
      <c r="J162" s="12">
        <f>0.9*$J$4*$J$8*(J33/J37)^2</f>
        <v>31.234468435714287</v>
      </c>
    </row>
    <row r="163" spans="1:22" x14ac:dyDescent="0.25">
      <c r="A163" s="1" t="s">
        <v>61</v>
      </c>
      <c r="B163" s="1"/>
      <c r="C163" s="1"/>
      <c r="D163" s="27"/>
      <c r="E163" s="1"/>
      <c r="F163" s="1" t="s">
        <v>207</v>
      </c>
      <c r="G163" s="29" t="s">
        <v>95</v>
      </c>
      <c r="H163" s="9"/>
      <c r="I163" s="9" t="s">
        <v>25</v>
      </c>
      <c r="J163" s="12">
        <f>5*$J$4*$J$8*(J33/J37)^2</f>
        <v>173.52482464285711</v>
      </c>
    </row>
    <row r="164" spans="1:22" x14ac:dyDescent="0.25">
      <c r="A164" s="1"/>
      <c r="B164" s="1"/>
      <c r="C164" s="1"/>
      <c r="D164" s="1"/>
      <c r="E164" s="1"/>
      <c r="F164" s="1"/>
    </row>
    <row r="165" spans="1:22" ht="21" x14ac:dyDescent="0.35">
      <c r="A165" s="1"/>
      <c r="B165" s="1"/>
      <c r="C165" s="1"/>
      <c r="D165" s="1"/>
      <c r="E165" s="1"/>
      <c r="F165" s="1"/>
      <c r="G165" s="28" t="s">
        <v>298</v>
      </c>
      <c r="H165" s="10" t="s">
        <v>94</v>
      </c>
      <c r="I165" s="10" t="s">
        <v>78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x14ac:dyDescent="0.25">
      <c r="A166" s="1" t="s">
        <v>67</v>
      </c>
      <c r="B166" s="1"/>
      <c r="C166" s="1"/>
      <c r="D166" s="27" t="s">
        <v>52</v>
      </c>
      <c r="E166" s="1"/>
      <c r="F166" s="1" t="s">
        <v>49</v>
      </c>
      <c r="G166" s="29" t="s">
        <v>98</v>
      </c>
      <c r="H166" s="9"/>
      <c r="I166" s="9" t="s">
        <v>25</v>
      </c>
      <c r="J166" s="9">
        <f>(J103+(J19/J18)^2*J104)/(J103+3*J104)*J138*($J$7*$J$8*(J18/J17)^2)+PI()^2*$J$4*$J$8*J107/((J103/3+J104)*J23^2)</f>
        <v>457.67216010365462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x14ac:dyDescent="0.25">
      <c r="A167" s="1" t="s">
        <v>68</v>
      </c>
      <c r="B167" s="1"/>
      <c r="C167" s="1"/>
      <c r="D167" s="27" t="s">
        <v>52</v>
      </c>
      <c r="E167" s="1"/>
      <c r="F167" s="1" t="s">
        <v>49</v>
      </c>
      <c r="G167" s="29" t="s">
        <v>104</v>
      </c>
      <c r="H167" s="9"/>
      <c r="I167" s="9" t="s">
        <v>5</v>
      </c>
      <c r="J167" s="9">
        <f>SQRT($J$5*$J$8/J166)</f>
        <v>0.71568167596446264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x14ac:dyDescent="0.25">
      <c r="A168" s="1" t="s">
        <v>69</v>
      </c>
      <c r="B168" s="1"/>
      <c r="C168" s="1"/>
      <c r="D168" s="27" t="s">
        <v>52</v>
      </c>
      <c r="E168" s="1"/>
      <c r="F168" s="1" t="s">
        <v>49</v>
      </c>
      <c r="G168" s="29" t="s">
        <v>103</v>
      </c>
      <c r="H168" s="9"/>
      <c r="I168" s="9" t="s">
        <v>5</v>
      </c>
      <c r="J168" s="9">
        <f>0.35*(J167-0.6)</f>
        <v>4.048858658756193E-2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x14ac:dyDescent="0.25">
      <c r="A169" s="1" t="s">
        <v>70</v>
      </c>
      <c r="B169" s="1"/>
      <c r="C169" s="1"/>
      <c r="D169" s="27" t="s">
        <v>52</v>
      </c>
      <c r="E169" s="1"/>
      <c r="F169" s="1" t="s">
        <v>49</v>
      </c>
      <c r="G169" s="29" t="s">
        <v>99</v>
      </c>
      <c r="H169" s="9" t="s">
        <v>33</v>
      </c>
      <c r="I169" s="9" t="s">
        <v>25</v>
      </c>
      <c r="J169" s="9">
        <f>(1+J168+J167^2-SQRT(((1+J168+J167^2)^2-4*J167^2)))/((2*J167^2))*$J$5*$J$8</f>
        <v>217.62080293066043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x14ac:dyDescent="0.25">
      <c r="A170" s="1" t="s">
        <v>71</v>
      </c>
      <c r="B170" s="1"/>
      <c r="C170" s="1"/>
      <c r="D170" s="27" t="s">
        <v>52</v>
      </c>
      <c r="E170" s="1"/>
      <c r="F170" s="1" t="s">
        <v>49</v>
      </c>
      <c r="G170" s="29" t="s">
        <v>99</v>
      </c>
      <c r="H170" s="9" t="s">
        <v>34</v>
      </c>
      <c r="I170" s="9" t="s">
        <v>25</v>
      </c>
      <c r="J170" s="9">
        <f>$J$5*$J$8</f>
        <v>234.41980000000001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x14ac:dyDescent="0.25">
      <c r="A171" s="1" t="s">
        <v>75</v>
      </c>
      <c r="B171" s="1"/>
      <c r="C171" s="1"/>
      <c r="D171" s="27" t="s">
        <v>52</v>
      </c>
      <c r="E171" s="1"/>
      <c r="F171" s="1" t="s">
        <v>49</v>
      </c>
      <c r="G171" s="31" t="s">
        <v>99</v>
      </c>
      <c r="H171" s="9"/>
      <c r="I171" s="9" t="s">
        <v>25</v>
      </c>
      <c r="J171" s="10">
        <f>IF(J167&gt;0.6,J169,J170)</f>
        <v>217.62080293066043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x14ac:dyDescent="0.25">
      <c r="A172" s="1"/>
      <c r="B172" s="1"/>
      <c r="C172" s="1"/>
      <c r="D172" s="1"/>
      <c r="E172" s="1"/>
      <c r="F172" s="1"/>
    </row>
    <row r="173" spans="1:22" x14ac:dyDescent="0.25">
      <c r="A173" s="1" t="s">
        <v>67</v>
      </c>
      <c r="B173" s="1"/>
      <c r="C173" s="1"/>
      <c r="D173" s="27"/>
      <c r="E173" s="1"/>
      <c r="F173" s="1" t="s">
        <v>207</v>
      </c>
      <c r="G173" s="29" t="s">
        <v>98</v>
      </c>
      <c r="H173" s="9"/>
      <c r="I173" s="9" t="s">
        <v>25</v>
      </c>
      <c r="J173" s="9">
        <f>(J121+(J19/J29)^2*J123)/(J121+3*J121)*J150*($J$7*$J$8*(J29/J28)^2)+PI()^2*$J$4*$J$8*J126/((J121/3+J123)*J23^2)</f>
        <v>90.663862919918159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x14ac:dyDescent="0.25">
      <c r="A174" s="1" t="s">
        <v>68</v>
      </c>
      <c r="B174" s="1"/>
      <c r="C174" s="1"/>
      <c r="D174" s="27"/>
      <c r="E174" s="1"/>
      <c r="F174" s="1" t="s">
        <v>207</v>
      </c>
      <c r="G174" s="29" t="s">
        <v>104</v>
      </c>
      <c r="H174" s="9"/>
      <c r="I174" s="9" t="s">
        <v>5</v>
      </c>
      <c r="J174" s="9">
        <f>SQRT($J$5*$J$8/J173)</f>
        <v>1.6079777535858288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x14ac:dyDescent="0.25">
      <c r="A175" s="1" t="s">
        <v>69</v>
      </c>
      <c r="B175" s="1"/>
      <c r="C175" s="1"/>
      <c r="D175" s="27"/>
      <c r="E175" s="1"/>
      <c r="F175" s="1" t="s">
        <v>207</v>
      </c>
      <c r="G175" s="29" t="s">
        <v>103</v>
      </c>
      <c r="H175" s="9"/>
      <c r="I175" s="9" t="s">
        <v>5</v>
      </c>
      <c r="J175" s="9">
        <f>0.35*(J174-0.6)</f>
        <v>0.35279221375504005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x14ac:dyDescent="0.25">
      <c r="A176" s="1" t="s">
        <v>70</v>
      </c>
      <c r="B176" s="1"/>
      <c r="C176" s="1"/>
      <c r="D176" s="27"/>
      <c r="E176" s="1"/>
      <c r="F176" s="1" t="s">
        <v>207</v>
      </c>
      <c r="G176" s="29" t="s">
        <v>99</v>
      </c>
      <c r="H176" s="9" t="s">
        <v>33</v>
      </c>
      <c r="I176" s="9" t="s">
        <v>25</v>
      </c>
      <c r="J176" s="9">
        <f>(1+J175+J174^2-SQRT(((1+J175+J174^2)^2-4*J174^2)))/((2*J174^2))*$J$5*$J$8</f>
        <v>75.475411394730884</v>
      </c>
      <c r="K176" s="9"/>
      <c r="L176" s="9"/>
      <c r="M176" s="9"/>
      <c r="N176" s="53"/>
      <c r="O176" s="53"/>
      <c r="P176" s="53"/>
      <c r="Q176" s="53"/>
      <c r="R176" s="53"/>
      <c r="S176" s="53"/>
      <c r="T176" s="53"/>
      <c r="U176" s="53"/>
      <c r="V176" s="53"/>
    </row>
    <row r="177" spans="1:22" x14ac:dyDescent="0.25">
      <c r="A177" s="1" t="s">
        <v>71</v>
      </c>
      <c r="B177" s="1"/>
      <c r="C177" s="1"/>
      <c r="D177" s="27"/>
      <c r="E177" s="1"/>
      <c r="F177" s="1" t="s">
        <v>207</v>
      </c>
      <c r="G177" s="29" t="s">
        <v>99</v>
      </c>
      <c r="H177" s="9" t="s">
        <v>34</v>
      </c>
      <c r="I177" s="9" t="s">
        <v>25</v>
      </c>
      <c r="J177" s="9">
        <f>$J$5*$J$8</f>
        <v>234.41980000000001</v>
      </c>
      <c r="K177" s="9"/>
      <c r="L177" s="9"/>
      <c r="M177" s="9"/>
      <c r="N177" s="53"/>
      <c r="O177" s="53"/>
      <c r="P177" s="53"/>
      <c r="Q177" s="53"/>
      <c r="R177" s="53"/>
      <c r="S177" s="53"/>
      <c r="T177" s="53"/>
      <c r="U177" s="53"/>
      <c r="V177" s="53"/>
    </row>
    <row r="178" spans="1:22" x14ac:dyDescent="0.25">
      <c r="A178" s="1" t="s">
        <v>75</v>
      </c>
      <c r="B178" s="1"/>
      <c r="C178" s="1"/>
      <c r="D178" s="27"/>
      <c r="E178" s="1"/>
      <c r="F178" s="1" t="s">
        <v>207</v>
      </c>
      <c r="G178" s="31" t="s">
        <v>99</v>
      </c>
      <c r="H178" s="9"/>
      <c r="I178" s="9" t="s">
        <v>25</v>
      </c>
      <c r="J178" s="10">
        <f>IF(J175&gt;0.6,J176,J177)</f>
        <v>234.41980000000001</v>
      </c>
      <c r="K178" s="10"/>
      <c r="L178" s="10"/>
      <c r="M178" s="10"/>
      <c r="N178" s="53"/>
      <c r="O178" s="53"/>
      <c r="P178" s="53"/>
      <c r="Q178" s="53"/>
      <c r="R178" s="53"/>
      <c r="S178" s="53"/>
      <c r="T178" s="53"/>
      <c r="U178" s="53"/>
      <c r="V178" s="53"/>
    </row>
    <row r="179" spans="1:22" x14ac:dyDescent="0.25">
      <c r="A179" s="1"/>
      <c r="B179" s="1"/>
      <c r="C179" s="1"/>
      <c r="D179" s="1"/>
      <c r="E179" s="1"/>
      <c r="F179" s="1"/>
      <c r="G179" s="32"/>
    </row>
    <row r="180" spans="1:22" ht="21" customHeight="1" x14ac:dyDescent="0.35">
      <c r="A180" s="1"/>
      <c r="B180" s="111"/>
      <c r="C180" s="1"/>
      <c r="D180" s="1"/>
      <c r="E180" s="1"/>
      <c r="F180" s="1"/>
      <c r="G180" s="28" t="s">
        <v>140</v>
      </c>
      <c r="H180" s="10" t="s">
        <v>94</v>
      </c>
      <c r="I180" s="10" t="s">
        <v>78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5" customHeight="1" x14ac:dyDescent="0.25">
      <c r="A181" s="1" t="s">
        <v>73</v>
      </c>
      <c r="B181" s="111"/>
      <c r="C181" s="1"/>
      <c r="D181" s="27" t="s">
        <v>52</v>
      </c>
      <c r="E181" s="1"/>
      <c r="F181" s="1" t="s">
        <v>49</v>
      </c>
      <c r="G181" s="29" t="s">
        <v>54</v>
      </c>
      <c r="H181" s="9"/>
      <c r="I181" s="9" t="s">
        <v>25</v>
      </c>
      <c r="J181" s="9">
        <f>$J$5*$J$8</f>
        <v>234.41980000000001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5" customHeight="1" x14ac:dyDescent="0.25">
      <c r="A182" s="1" t="s">
        <v>74</v>
      </c>
      <c r="B182" s="111"/>
      <c r="C182" s="1"/>
      <c r="D182" s="27" t="s">
        <v>52</v>
      </c>
      <c r="E182" s="1"/>
      <c r="F182" s="1" t="s">
        <v>49</v>
      </c>
      <c r="G182" s="29" t="s">
        <v>103</v>
      </c>
      <c r="H182" s="9"/>
      <c r="I182" s="9"/>
      <c r="J182" s="9">
        <f>(0.34+0.08*J101/J108)*(J139-0.2)</f>
        <v>-6.7990423626967902E-2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5" customHeight="1" x14ac:dyDescent="0.25">
      <c r="A183" s="1" t="s">
        <v>73</v>
      </c>
      <c r="B183" s="111"/>
      <c r="C183" s="1"/>
      <c r="D183" s="27" t="s">
        <v>52</v>
      </c>
      <c r="E183" s="1"/>
      <c r="F183" s="1" t="s">
        <v>49</v>
      </c>
      <c r="G183" s="9" t="s">
        <v>53</v>
      </c>
      <c r="H183" s="29" t="s">
        <v>35</v>
      </c>
      <c r="I183" s="9" t="s">
        <v>25</v>
      </c>
      <c r="J183" s="9">
        <f>J181</f>
        <v>234.41980000000001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5" customHeight="1" x14ac:dyDescent="0.25">
      <c r="A184" s="1" t="s">
        <v>73</v>
      </c>
      <c r="B184" s="111"/>
      <c r="C184" s="1"/>
      <c r="D184" s="27" t="s">
        <v>52</v>
      </c>
      <c r="E184" s="1"/>
      <c r="F184" s="1" t="s">
        <v>49</v>
      </c>
      <c r="G184" s="9" t="s">
        <v>53</v>
      </c>
      <c r="H184" s="29" t="s">
        <v>36</v>
      </c>
      <c r="I184" s="9" t="s">
        <v>25</v>
      </c>
      <c r="J184" s="9">
        <f>(1+J182+J139^2-SQRT((1+J182+J139^2)^2-4*J139^2))/(2*J139^2)*J181</f>
        <v>251.52080517687739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5" customHeight="1" x14ac:dyDescent="0.25">
      <c r="A185" s="1" t="s">
        <v>73</v>
      </c>
      <c r="B185" s="111"/>
      <c r="C185" s="1"/>
      <c r="D185" s="27" t="s">
        <v>52</v>
      </c>
      <c r="E185" s="1"/>
      <c r="F185" s="1" t="s">
        <v>49</v>
      </c>
      <c r="G185" s="10" t="s">
        <v>53</v>
      </c>
      <c r="H185" s="9"/>
      <c r="I185" s="9" t="s">
        <v>25</v>
      </c>
      <c r="J185" s="10">
        <f>IF(J139&gt;0.2,J184,J183)</f>
        <v>234.41980000000001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 ht="15" customHeight="1" x14ac:dyDescent="0.25">
      <c r="A186" s="1"/>
      <c r="B186" s="111"/>
      <c r="C186" s="1"/>
      <c r="D186" s="27"/>
      <c r="E186" s="1"/>
      <c r="F186" s="1"/>
      <c r="G186" s="10"/>
      <c r="H186" s="9"/>
      <c r="I186" s="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 ht="15" customHeight="1" x14ac:dyDescent="0.25">
      <c r="A187" s="1" t="s">
        <v>73</v>
      </c>
      <c r="B187" s="111"/>
      <c r="C187" s="1"/>
      <c r="D187" s="27"/>
      <c r="E187" s="1"/>
      <c r="F187" s="1" t="s">
        <v>207</v>
      </c>
      <c r="G187" s="29" t="s">
        <v>54</v>
      </c>
      <c r="H187" s="9"/>
      <c r="I187" s="9" t="s">
        <v>25</v>
      </c>
      <c r="J187" s="9">
        <f>$J$5*$J$8</f>
        <v>234.41980000000001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5" customHeight="1" x14ac:dyDescent="0.25">
      <c r="A188" s="1" t="s">
        <v>74</v>
      </c>
      <c r="B188" s="111"/>
      <c r="C188" s="1"/>
      <c r="D188" s="27"/>
      <c r="E188" s="1"/>
      <c r="F188" s="1" t="s">
        <v>207</v>
      </c>
      <c r="G188" s="29" t="s">
        <v>103</v>
      </c>
      <c r="H188" s="9"/>
      <c r="I188" s="9"/>
      <c r="J188" s="9">
        <f>(0.34+0.08*J119/J127)*(J142-0.2)</f>
        <v>-6.7989662462534031E-2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5" customHeight="1" x14ac:dyDescent="0.25">
      <c r="A189" s="1" t="s">
        <v>73</v>
      </c>
      <c r="B189" s="111"/>
      <c r="C189" s="1"/>
      <c r="D189" s="27"/>
      <c r="E189" s="1"/>
      <c r="F189" s="1" t="s">
        <v>207</v>
      </c>
      <c r="G189" s="9" t="s">
        <v>53</v>
      </c>
      <c r="H189" s="29" t="s">
        <v>35</v>
      </c>
      <c r="I189" s="9" t="s">
        <v>25</v>
      </c>
      <c r="J189" s="9">
        <f>J187</f>
        <v>234.41980000000001</v>
      </c>
      <c r="K189" s="9"/>
      <c r="L189" s="9"/>
      <c r="M189" s="9"/>
      <c r="N189" s="53"/>
      <c r="O189" s="53"/>
      <c r="P189" s="53"/>
      <c r="Q189" s="53"/>
      <c r="R189" s="53"/>
      <c r="S189" s="53"/>
      <c r="T189" s="53"/>
      <c r="U189" s="53"/>
      <c r="V189" s="53"/>
    </row>
    <row r="190" spans="1:22" ht="15" customHeight="1" x14ac:dyDescent="0.25">
      <c r="A190" s="1" t="s">
        <v>73</v>
      </c>
      <c r="B190" s="111"/>
      <c r="C190" s="1"/>
      <c r="D190" s="27"/>
      <c r="E190" s="1"/>
      <c r="F190" s="1" t="s">
        <v>207</v>
      </c>
      <c r="G190" s="9" t="s">
        <v>53</v>
      </c>
      <c r="H190" s="29" t="s">
        <v>36</v>
      </c>
      <c r="I190" s="9" t="s">
        <v>25</v>
      </c>
      <c r="J190" s="62">
        <f>(1+J188+J151^2-SQRT((1+J188+J151^2)^2-4*J151^2))/(2*J151^2)*J187</f>
        <v>251.52060002508398</v>
      </c>
      <c r="K190" s="62"/>
      <c r="L190" s="62"/>
      <c r="M190" s="62"/>
      <c r="N190" s="53"/>
      <c r="O190" s="53"/>
      <c r="P190" s="53"/>
      <c r="Q190" s="53"/>
      <c r="R190" s="53"/>
      <c r="S190" s="53"/>
      <c r="T190" s="53"/>
      <c r="U190" s="53"/>
      <c r="V190" s="53"/>
    </row>
    <row r="191" spans="1:22" ht="15" customHeight="1" x14ac:dyDescent="0.25">
      <c r="A191" s="1" t="s">
        <v>73</v>
      </c>
      <c r="B191" s="111"/>
      <c r="C191" s="1"/>
      <c r="D191" s="27"/>
      <c r="E191" s="1"/>
      <c r="F191" s="1" t="s">
        <v>207</v>
      </c>
      <c r="G191" s="10" t="s">
        <v>53</v>
      </c>
      <c r="H191" s="9"/>
      <c r="I191" s="9" t="s">
        <v>25</v>
      </c>
      <c r="J191" s="10">
        <f>IF(J151&gt;0.2,J190,J189)</f>
        <v>234.41980000000001</v>
      </c>
      <c r="K191" s="10"/>
      <c r="L191" s="10"/>
      <c r="M191" s="10"/>
      <c r="N191" s="53"/>
      <c r="O191" s="53"/>
      <c r="P191" s="53"/>
      <c r="Q191" s="53"/>
      <c r="R191" s="53"/>
      <c r="S191" s="53"/>
      <c r="T191" s="53"/>
      <c r="U191" s="53"/>
      <c r="V191" s="53"/>
    </row>
    <row r="192" spans="1:22" x14ac:dyDescent="0.25">
      <c r="F192" s="1"/>
    </row>
    <row r="193" spans="1:22" ht="21" customHeight="1" x14ac:dyDescent="0.35">
      <c r="A193" s="1"/>
      <c r="B193" s="111"/>
      <c r="C193" s="1"/>
      <c r="D193" s="1"/>
      <c r="E193" s="1"/>
      <c r="F193" s="1"/>
      <c r="G193" s="28" t="s">
        <v>297</v>
      </c>
      <c r="H193" s="10" t="s">
        <v>94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5" customHeight="1" x14ac:dyDescent="0.25">
      <c r="A194" s="1" t="s">
        <v>73</v>
      </c>
      <c r="B194" s="111"/>
      <c r="C194" s="1"/>
      <c r="D194" s="27" t="s">
        <v>52</v>
      </c>
      <c r="E194" s="1"/>
      <c r="F194" s="1" t="s">
        <v>49</v>
      </c>
      <c r="G194" s="29" t="s">
        <v>54</v>
      </c>
      <c r="H194" s="9"/>
      <c r="I194" s="9" t="s">
        <v>25</v>
      </c>
      <c r="J194" s="9">
        <f>J171</f>
        <v>217.62080293066043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5" customHeight="1" x14ac:dyDescent="0.25">
      <c r="A195" s="1" t="s">
        <v>56</v>
      </c>
      <c r="B195" s="111"/>
      <c r="C195" s="1"/>
      <c r="D195" s="27" t="s">
        <v>52</v>
      </c>
      <c r="E195" s="1"/>
      <c r="F195" s="1" t="s">
        <v>49</v>
      </c>
      <c r="G195" s="29" t="s">
        <v>103</v>
      </c>
      <c r="H195" s="9"/>
      <c r="I195" s="9"/>
      <c r="J195" s="9">
        <f>(0.34+0.08*J102/J108)*(J139-0.2)</f>
        <v>-6.7992375178553222E-2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5" customHeight="1" x14ac:dyDescent="0.25">
      <c r="A196" s="1" t="s">
        <v>73</v>
      </c>
      <c r="B196" s="111"/>
      <c r="C196" s="1"/>
      <c r="D196" s="27" t="s">
        <v>52</v>
      </c>
      <c r="E196" s="1"/>
      <c r="F196" s="1" t="s">
        <v>49</v>
      </c>
      <c r="G196" s="9" t="s">
        <v>53</v>
      </c>
      <c r="H196" s="29" t="s">
        <v>35</v>
      </c>
      <c r="I196" s="9" t="s">
        <v>25</v>
      </c>
      <c r="J196" s="9">
        <f>$J$5*$J$8</f>
        <v>234.41980000000001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5" customHeight="1" x14ac:dyDescent="0.25">
      <c r="A197" s="1" t="s">
        <v>73</v>
      </c>
      <c r="B197" s="111"/>
      <c r="C197" s="1"/>
      <c r="D197" s="27" t="s">
        <v>52</v>
      </c>
      <c r="E197" s="1"/>
      <c r="F197" s="1" t="s">
        <v>49</v>
      </c>
      <c r="G197" s="9" t="s">
        <v>53</v>
      </c>
      <c r="H197" s="33" t="s">
        <v>36</v>
      </c>
      <c r="I197" s="9" t="s">
        <v>25</v>
      </c>
      <c r="J197" s="9">
        <f>(1+J195+J142^2-SQRT((1+J195+J142^2)^2-4*J142^2))/(2*J142^2)*J194</f>
        <v>233.49680517947715</v>
      </c>
      <c r="K197" s="9"/>
      <c r="L197" s="9"/>
      <c r="M197" s="9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5" customHeight="1" x14ac:dyDescent="0.25">
      <c r="A198" s="12" t="s">
        <v>73</v>
      </c>
      <c r="B198" s="111"/>
      <c r="D198" s="27" t="s">
        <v>52</v>
      </c>
      <c r="F198" s="1" t="s">
        <v>49</v>
      </c>
      <c r="G198" s="10" t="s">
        <v>53</v>
      </c>
      <c r="H198" s="9"/>
      <c r="I198" s="9" t="s">
        <v>25</v>
      </c>
      <c r="J198" s="10">
        <f>IF(J142&gt;0.2,J197,J196)</f>
        <v>234.41980000000001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ht="15" customHeight="1" x14ac:dyDescent="0.25">
      <c r="B199" s="111"/>
      <c r="D199" s="27"/>
      <c r="F199" s="1"/>
      <c r="G199" s="10"/>
      <c r="H199" s="9"/>
      <c r="I199" s="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ht="15" customHeight="1" x14ac:dyDescent="0.25">
      <c r="A200" s="1" t="s">
        <v>73</v>
      </c>
      <c r="B200" s="111"/>
      <c r="C200" s="1"/>
      <c r="D200" s="27"/>
      <c r="E200" s="1"/>
      <c r="F200" s="1" t="s">
        <v>207</v>
      </c>
      <c r="G200" s="29" t="s">
        <v>54</v>
      </c>
      <c r="H200" s="9"/>
      <c r="I200" s="9" t="s">
        <v>25</v>
      </c>
      <c r="J200" s="9">
        <f>J176</f>
        <v>75.475411394730884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5" customHeight="1" x14ac:dyDescent="0.25">
      <c r="A201" s="1" t="s">
        <v>56</v>
      </c>
      <c r="B201" s="111"/>
      <c r="C201" s="1"/>
      <c r="D201" s="27"/>
      <c r="E201" s="1"/>
      <c r="F201" s="1" t="s">
        <v>207</v>
      </c>
      <c r="G201" s="29" t="s">
        <v>103</v>
      </c>
      <c r="H201" s="9"/>
      <c r="I201" s="9"/>
      <c r="J201" s="9">
        <f>(0.34+0.08*J102/J108)*(J152-0.2)</f>
        <v>-6.8002036623664219E-2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5" customHeight="1" x14ac:dyDescent="0.25">
      <c r="A202" s="1" t="s">
        <v>73</v>
      </c>
      <c r="B202" s="111"/>
      <c r="D202" s="27"/>
      <c r="F202" s="1" t="s">
        <v>207</v>
      </c>
      <c r="G202" s="9" t="s">
        <v>53</v>
      </c>
      <c r="H202" s="29" t="s">
        <v>35</v>
      </c>
      <c r="I202" s="9" t="s">
        <v>25</v>
      </c>
      <c r="J202" s="9">
        <f>$J$5*$J$8</f>
        <v>234.41980000000001</v>
      </c>
      <c r="K202" s="9"/>
      <c r="L202" s="9"/>
      <c r="M202" s="9"/>
      <c r="N202" s="53"/>
      <c r="O202" s="53"/>
      <c r="P202" s="53"/>
      <c r="Q202" s="53"/>
      <c r="R202" s="53"/>
      <c r="S202" s="53"/>
      <c r="T202" s="53"/>
      <c r="U202" s="53"/>
      <c r="V202" s="53"/>
    </row>
    <row r="203" spans="1:22" ht="15" customHeight="1" x14ac:dyDescent="0.25">
      <c r="A203" s="1" t="s">
        <v>73</v>
      </c>
      <c r="B203" s="111"/>
      <c r="D203" s="27"/>
      <c r="F203" s="1" t="s">
        <v>207</v>
      </c>
      <c r="G203" s="9" t="s">
        <v>53</v>
      </c>
      <c r="H203" s="33" t="s">
        <v>36</v>
      </c>
      <c r="I203" s="9" t="s">
        <v>25</v>
      </c>
      <c r="J203" s="62">
        <f>(1+J201+J152^2-SQRT((1+J201+J152^2)^2-4*J152^2))/(2*J152^2)*J200</f>
        <v>80.982379209609604</v>
      </c>
      <c r="K203" s="62"/>
      <c r="L203" s="62"/>
      <c r="M203" s="62"/>
      <c r="N203" s="53"/>
      <c r="O203" s="53"/>
      <c r="P203" s="53"/>
      <c r="Q203" s="53"/>
      <c r="R203" s="53"/>
      <c r="S203" s="53"/>
      <c r="T203" s="53"/>
      <c r="U203" s="53"/>
      <c r="V203" s="53"/>
    </row>
    <row r="204" spans="1:22" ht="15" customHeight="1" x14ac:dyDescent="0.25">
      <c r="A204" s="12" t="s">
        <v>73</v>
      </c>
      <c r="B204" s="111"/>
      <c r="D204" s="27"/>
      <c r="F204" s="1" t="s">
        <v>207</v>
      </c>
      <c r="G204" s="10" t="s">
        <v>53</v>
      </c>
      <c r="H204" s="9"/>
      <c r="I204" s="9" t="s">
        <v>25</v>
      </c>
      <c r="J204" s="10">
        <f>IF(J141&gt;0.2,J203,J202)</f>
        <v>80.982379209609604</v>
      </c>
      <c r="K204" s="10"/>
      <c r="L204" s="10"/>
      <c r="M204" s="10"/>
      <c r="N204" s="53"/>
      <c r="O204" s="53"/>
      <c r="P204" s="53"/>
      <c r="Q204" s="53"/>
      <c r="R204" s="53"/>
      <c r="S204" s="53"/>
      <c r="T204" s="53"/>
      <c r="U204" s="53"/>
      <c r="V204" s="53"/>
    </row>
    <row r="205" spans="1:22" ht="15" customHeight="1" x14ac:dyDescent="0.25">
      <c r="B205" s="111"/>
      <c r="D205" s="27"/>
      <c r="F205" s="1"/>
      <c r="G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</row>
    <row r="206" spans="1:22" s="9" customFormat="1" ht="21" x14ac:dyDescent="0.35">
      <c r="A206" s="59"/>
      <c r="B206" s="59"/>
      <c r="C206" s="12"/>
      <c r="D206" s="27"/>
      <c r="E206" s="1"/>
      <c r="F206" s="1"/>
      <c r="G206" s="55" t="s">
        <v>296</v>
      </c>
      <c r="H206" s="56" t="s">
        <v>94</v>
      </c>
      <c r="I206" s="56" t="s">
        <v>78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s="9" customFormat="1" ht="15" customHeight="1" x14ac:dyDescent="0.25">
      <c r="A207" s="59" t="s">
        <v>86</v>
      </c>
      <c r="B207" s="59"/>
      <c r="C207" s="1"/>
      <c r="D207" s="27"/>
      <c r="E207" s="1"/>
      <c r="F207" s="1" t="s">
        <v>207</v>
      </c>
      <c r="G207" s="20" t="s">
        <v>43</v>
      </c>
      <c r="H207" s="20"/>
      <c r="I207" s="20" t="s">
        <v>25</v>
      </c>
      <c r="J207" s="110">
        <f>PI()^2*$J$4*$J$8*(J127/J27)^2</f>
        <v>28322425136.146076</v>
      </c>
      <c r="K207" s="110"/>
      <c r="L207" s="110"/>
      <c r="M207" s="1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 s="9" customFormat="1" ht="15" customHeight="1" x14ac:dyDescent="0.25">
      <c r="A208" s="59" t="s">
        <v>80</v>
      </c>
      <c r="B208" s="59"/>
      <c r="C208" s="1"/>
      <c r="D208" s="27"/>
      <c r="E208" s="1"/>
      <c r="F208" s="1" t="s">
        <v>207</v>
      </c>
      <c r="G208" s="57" t="s">
        <v>209</v>
      </c>
      <c r="H208" s="20"/>
      <c r="I208" s="20" t="s">
        <v>25</v>
      </c>
      <c r="J208" s="110">
        <f>18*$J$4*$J$8/(J33*J35^2)*(J33*J128/J37)^0.75</f>
        <v>1021460689.706485</v>
      </c>
      <c r="K208" s="110"/>
      <c r="L208" s="110"/>
      <c r="M208" s="1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 s="9" customFormat="1" x14ac:dyDescent="0.25">
      <c r="A209" s="59" t="s">
        <v>80</v>
      </c>
      <c r="B209" s="59"/>
      <c r="C209" s="1"/>
      <c r="D209" s="27"/>
      <c r="E209" s="1"/>
      <c r="F209" s="1" t="s">
        <v>207</v>
      </c>
      <c r="G209" s="57" t="s">
        <v>210</v>
      </c>
      <c r="H209" s="20"/>
      <c r="I209" s="20" t="s">
        <v>25</v>
      </c>
      <c r="J209" s="110">
        <f>J208*J22^2/J31^2</f>
        <v>126772181.51337768</v>
      </c>
      <c r="K209" s="110"/>
      <c r="L209" s="110"/>
      <c r="M209" s="110"/>
    </row>
    <row r="210" spans="1:22" s="9" customFormat="1" ht="15" customHeight="1" x14ac:dyDescent="0.25">
      <c r="A210" s="59" t="s">
        <v>80</v>
      </c>
      <c r="B210" s="59"/>
      <c r="C210" s="1"/>
      <c r="D210" s="27"/>
      <c r="E210" s="1"/>
      <c r="F210" s="1" t="s">
        <v>207</v>
      </c>
      <c r="G210" s="57" t="s">
        <v>215</v>
      </c>
      <c r="H210" s="20"/>
      <c r="I210" s="20" t="s">
        <v>25</v>
      </c>
      <c r="J210" s="61">
        <f>SQRT(0.6*$J$5*$J$8/J208)</f>
        <v>3.7107520997201531E-4</v>
      </c>
      <c r="K210" s="61"/>
      <c r="L210" s="61"/>
      <c r="M210" s="61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s="9" customFormat="1" ht="15" customHeight="1" x14ac:dyDescent="0.25">
      <c r="A211" s="59" t="s">
        <v>80</v>
      </c>
      <c r="B211" s="59"/>
      <c r="C211" s="1"/>
      <c r="D211" s="27"/>
      <c r="E211" s="1"/>
      <c r="F211" s="1" t="s">
        <v>207</v>
      </c>
      <c r="G211" s="57" t="s">
        <v>113</v>
      </c>
      <c r="H211" s="57" t="s">
        <v>213</v>
      </c>
      <c r="I211" s="20" t="s">
        <v>25</v>
      </c>
      <c r="J211" s="110">
        <f>0.6*$J$5*$J$8</f>
        <v>140.65188000000001</v>
      </c>
      <c r="K211" s="110"/>
      <c r="L211" s="110"/>
      <c r="M211" s="1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 s="9" customFormat="1" x14ac:dyDescent="0.25">
      <c r="A212" s="59" t="s">
        <v>80</v>
      </c>
      <c r="B212" s="12"/>
      <c r="C212" s="12"/>
      <c r="D212" s="27"/>
      <c r="E212" s="12"/>
      <c r="F212" s="1" t="s">
        <v>207</v>
      </c>
      <c r="G212" s="57" t="s">
        <v>113</v>
      </c>
      <c r="H212" s="57" t="s">
        <v>214</v>
      </c>
      <c r="I212" s="20" t="s">
        <v>25</v>
      </c>
      <c r="J212" s="61">
        <f>(0.6/J210^2)*$J$5*$J$8</f>
        <v>1021460689.706485</v>
      </c>
      <c r="K212" s="61"/>
      <c r="L212" s="61"/>
      <c r="M212" s="61"/>
    </row>
    <row r="213" spans="1:22" s="9" customFormat="1" x14ac:dyDescent="0.25">
      <c r="A213" s="59" t="s">
        <v>80</v>
      </c>
      <c r="B213" s="12"/>
      <c r="C213" s="12"/>
      <c r="D213" s="27"/>
      <c r="E213" s="12"/>
      <c r="F213" s="1" t="s">
        <v>207</v>
      </c>
      <c r="G213" s="63" t="s">
        <v>113</v>
      </c>
      <c r="H213" s="57"/>
      <c r="I213" s="20" t="s">
        <v>25</v>
      </c>
      <c r="J213" s="61">
        <f>IF(J210&lt;1,J211,IF(J210=1,J211,IF(J210&gt;1,J212,"Check")))</f>
        <v>140.65188000000001</v>
      </c>
      <c r="K213" s="61"/>
      <c r="L213" s="61"/>
      <c r="M213" s="61"/>
    </row>
    <row r="214" spans="1:22" s="9" customFormat="1" x14ac:dyDescent="0.25">
      <c r="A214" s="59" t="s">
        <v>80</v>
      </c>
      <c r="B214" s="12"/>
      <c r="C214" s="12"/>
      <c r="D214" s="27"/>
      <c r="E214" s="12"/>
      <c r="F214" s="1" t="s">
        <v>207</v>
      </c>
      <c r="G214" s="57" t="s">
        <v>106</v>
      </c>
      <c r="H214" s="57"/>
      <c r="I214" s="20"/>
      <c r="J214" s="15">
        <f>SQRT($J$5*$J$8/J207)</f>
        <v>9.0977066002624325E-5</v>
      </c>
      <c r="K214" s="15"/>
      <c r="L214" s="15"/>
      <c r="M214" s="15"/>
    </row>
    <row r="215" spans="1:22" s="9" customFormat="1" x14ac:dyDescent="0.25">
      <c r="A215" s="59" t="s">
        <v>81</v>
      </c>
      <c r="B215" s="12"/>
      <c r="C215" s="12"/>
      <c r="D215" s="27"/>
      <c r="E215" s="12"/>
      <c r="F215" s="1" t="s">
        <v>207</v>
      </c>
      <c r="G215" s="65" t="s">
        <v>105</v>
      </c>
      <c r="H215" s="57"/>
      <c r="I215" s="66" t="s">
        <v>5</v>
      </c>
      <c r="J215" s="15">
        <f>J214-0.2</f>
        <v>-0.1999090229339974</v>
      </c>
      <c r="K215" s="15"/>
      <c r="L215" s="15"/>
      <c r="M215" s="15"/>
    </row>
    <row r="216" spans="1:22" s="9" customFormat="1" x14ac:dyDescent="0.25">
      <c r="A216" s="59" t="s">
        <v>81</v>
      </c>
      <c r="B216" s="12"/>
      <c r="C216" s="1"/>
      <c r="D216" s="27"/>
      <c r="E216" s="1"/>
      <c r="F216" s="1" t="s">
        <v>207</v>
      </c>
      <c r="G216" s="65" t="s">
        <v>32</v>
      </c>
      <c r="H216" s="57" t="s">
        <v>216</v>
      </c>
      <c r="I216" s="66" t="s">
        <v>5</v>
      </c>
      <c r="J216" s="61">
        <f>J215*(7-5*(J37/J35)^2*((J49-J213)/J208)^2)</f>
        <v>-1.3993631605379799</v>
      </c>
      <c r="K216" s="61"/>
      <c r="L216" s="61"/>
      <c r="M216" s="61"/>
    </row>
    <row r="217" spans="1:22" s="9" customFormat="1" x14ac:dyDescent="0.25">
      <c r="A217" s="59" t="s">
        <v>82</v>
      </c>
      <c r="B217" s="12"/>
      <c r="C217" s="1"/>
      <c r="D217" s="27"/>
      <c r="E217" s="1"/>
      <c r="F217" s="1" t="s">
        <v>207</v>
      </c>
      <c r="G217" s="65" t="s">
        <v>32</v>
      </c>
      <c r="H217" s="57" t="s">
        <v>217</v>
      </c>
      <c r="I217" s="66" t="s">
        <v>5</v>
      </c>
      <c r="J217" s="61">
        <v>0</v>
      </c>
      <c r="K217" s="61"/>
      <c r="L217" s="61"/>
      <c r="M217" s="61"/>
    </row>
    <row r="218" spans="1:22" s="9" customFormat="1" x14ac:dyDescent="0.25">
      <c r="A218" s="59"/>
      <c r="B218" s="12"/>
      <c r="C218" s="1"/>
      <c r="D218" s="27"/>
      <c r="E218" s="1"/>
      <c r="F218" s="1" t="s">
        <v>207</v>
      </c>
      <c r="G218" s="67" t="s">
        <v>32</v>
      </c>
      <c r="H218" s="57"/>
      <c r="I218" s="68" t="s">
        <v>5</v>
      </c>
      <c r="J218" s="61">
        <f>IF(J49&gt;J213,J216,IF(J49&lt;J109,J217,"Check"))</f>
        <v>0</v>
      </c>
      <c r="K218" s="61"/>
      <c r="L218" s="61"/>
      <c r="M218" s="61"/>
    </row>
    <row r="219" spans="1:22" ht="23.25" x14ac:dyDescent="0.25">
      <c r="A219"/>
      <c r="B219" s="109"/>
      <c r="C219"/>
      <c r="F219" s="1"/>
      <c r="G219" s="64"/>
      <c r="H219" s="64"/>
      <c r="I219" s="64"/>
    </row>
    <row r="220" spans="1:22" ht="21" x14ac:dyDescent="0.35">
      <c r="G220" s="28" t="s">
        <v>156</v>
      </c>
    </row>
    <row r="221" spans="1:22" x14ac:dyDescent="0.25">
      <c r="A221" s="12" t="s">
        <v>161</v>
      </c>
      <c r="D221" s="23" t="s">
        <v>295</v>
      </c>
      <c r="F221" s="1" t="s">
        <v>49</v>
      </c>
      <c r="G221" s="9" t="s">
        <v>157</v>
      </c>
      <c r="H221" s="9"/>
      <c r="I221" s="9" t="s">
        <v>25</v>
      </c>
      <c r="J221" s="9">
        <f>$J$5*$J$8/$J$9/SQRT(3)</f>
        <v>117.68898663772023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x14ac:dyDescent="0.25">
      <c r="A222" s="12" t="s">
        <v>163</v>
      </c>
      <c r="D222" s="23" t="s">
        <v>295</v>
      </c>
      <c r="F222" s="1" t="s">
        <v>49</v>
      </c>
      <c r="G222" s="9" t="s">
        <v>164</v>
      </c>
      <c r="H222" s="9"/>
      <c r="I222" s="9" t="s">
        <v>25</v>
      </c>
      <c r="J222" s="9">
        <f>J141*904*$J$4*$J$8*(J20/J24)^2</f>
        <v>319819.92658148432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x14ac:dyDescent="0.25">
      <c r="A223" s="12" t="s">
        <v>162</v>
      </c>
      <c r="D223" s="23" t="s">
        <v>295</v>
      </c>
      <c r="F223" s="1" t="s">
        <v>49</v>
      </c>
      <c r="G223" s="9" t="s">
        <v>158</v>
      </c>
      <c r="H223" s="9"/>
      <c r="I223" s="9" t="s">
        <v>25</v>
      </c>
      <c r="J223" s="9">
        <f>J222/$J$9</f>
        <v>278104.28398389946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x14ac:dyDescent="0.25">
      <c r="A224" s="12" t="s">
        <v>161</v>
      </c>
      <c r="D224" s="23" t="s">
        <v>295</v>
      </c>
      <c r="F224" s="1" t="s">
        <v>49</v>
      </c>
      <c r="G224" s="9" t="s">
        <v>160</v>
      </c>
      <c r="H224" s="9"/>
      <c r="I224" s="9" t="s">
        <v>25</v>
      </c>
      <c r="J224" s="9">
        <f>36*$J$4*$J$8/J24/J20/(J22^2)*(J110*J109^3)^0.25</f>
        <v>438.80773671778439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x14ac:dyDescent="0.25">
      <c r="D225" s="23" t="s">
        <v>295</v>
      </c>
      <c r="F225" s="1" t="s">
        <v>49</v>
      </c>
      <c r="G225" s="9" t="s">
        <v>159</v>
      </c>
      <c r="H225" s="9"/>
      <c r="I225" s="9" t="s">
        <v>25</v>
      </c>
      <c r="J225" s="9">
        <f>J224/$J$9</f>
        <v>381.57194497198645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x14ac:dyDescent="0.25">
      <c r="D226" s="23" t="s">
        <v>295</v>
      </c>
      <c r="F226" s="1" t="s">
        <v>49</v>
      </c>
      <c r="G226" s="9" t="s">
        <v>165</v>
      </c>
      <c r="H226" s="9"/>
      <c r="I226" s="9" t="s">
        <v>25</v>
      </c>
      <c r="J226" s="9">
        <f>MIN(J225,J223,J221)</f>
        <v>117.68898663772023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8" spans="1:22" ht="21" x14ac:dyDescent="0.35">
      <c r="A228" s="1"/>
      <c r="C228" s="1"/>
      <c r="D228" s="1"/>
      <c r="E228" s="1"/>
      <c r="F228" s="1"/>
      <c r="G228" s="28" t="s">
        <v>228</v>
      </c>
      <c r="H228" s="10" t="s">
        <v>94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x14ac:dyDescent="0.25">
      <c r="A229" s="12" t="s">
        <v>126</v>
      </c>
      <c r="D229" s="27" t="s">
        <v>52</v>
      </c>
      <c r="F229" s="1" t="s">
        <v>49</v>
      </c>
      <c r="G229" s="6" t="s">
        <v>141</v>
      </c>
      <c r="H229" s="6"/>
      <c r="I229" s="19" t="s">
        <v>118</v>
      </c>
      <c r="J229" s="7">
        <f>J105*$J$5*$J$8/$J$9</f>
        <v>3750716.8000000007</v>
      </c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x14ac:dyDescent="0.25">
      <c r="A230" s="12" t="s">
        <v>128</v>
      </c>
      <c r="D230" s="27" t="s">
        <v>52</v>
      </c>
      <c r="F230" s="1" t="s">
        <v>49</v>
      </c>
      <c r="G230" s="6" t="s">
        <v>142</v>
      </c>
      <c r="H230" s="6"/>
      <c r="I230" s="19" t="s">
        <v>118</v>
      </c>
      <c r="J230" s="7">
        <f>J105*J185/$J$9</f>
        <v>3750716.8000000007</v>
      </c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x14ac:dyDescent="0.25">
      <c r="A231" s="12" t="s">
        <v>127</v>
      </c>
      <c r="D231" s="27" t="s">
        <v>52</v>
      </c>
      <c r="F231" s="1" t="s">
        <v>49</v>
      </c>
      <c r="G231" s="6" t="s">
        <v>143</v>
      </c>
      <c r="H231" s="6"/>
      <c r="I231" s="19" t="s">
        <v>118</v>
      </c>
      <c r="J231" s="7">
        <f>J105*J198/$J$9</f>
        <v>3750716.8000000007</v>
      </c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x14ac:dyDescent="0.25">
      <c r="A232" s="12" t="s">
        <v>129</v>
      </c>
      <c r="D232" s="27" t="s">
        <v>52</v>
      </c>
      <c r="F232" s="1" t="s">
        <v>49</v>
      </c>
      <c r="G232" s="6" t="s">
        <v>47</v>
      </c>
      <c r="H232" s="6"/>
      <c r="I232" s="17" t="s">
        <v>11</v>
      </c>
      <c r="J232" s="7">
        <f>J106/J101</f>
        <v>8334283327052.2607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x14ac:dyDescent="0.25">
      <c r="A233" s="12" t="s">
        <v>129</v>
      </c>
      <c r="D233" s="27" t="s">
        <v>52</v>
      </c>
      <c r="F233" s="1" t="s">
        <v>49</v>
      </c>
      <c r="G233" s="6" t="s">
        <v>133</v>
      </c>
      <c r="H233" s="6"/>
      <c r="I233" s="17" t="s">
        <v>11</v>
      </c>
      <c r="J233" s="7">
        <f>J106/J102</f>
        <v>7228202869704.749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30" x14ac:dyDescent="0.25">
      <c r="A234" s="12" t="s">
        <v>129</v>
      </c>
      <c r="D234" s="27" t="s">
        <v>52</v>
      </c>
      <c r="F234" s="1" t="s">
        <v>49</v>
      </c>
      <c r="G234" s="16" t="s">
        <v>147</v>
      </c>
      <c r="H234" s="6"/>
      <c r="I234" s="19" t="s">
        <v>122</v>
      </c>
      <c r="J234" s="7">
        <f>J232*$J$5*$J$8/$J$9*0.000000001*1000000</f>
        <v>1698887852757.3269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30" x14ac:dyDescent="0.25">
      <c r="A235" s="12" t="s">
        <v>130</v>
      </c>
      <c r="D235" s="75" t="s">
        <v>203</v>
      </c>
      <c r="F235" s="1" t="s">
        <v>49</v>
      </c>
      <c r="G235" s="16" t="s">
        <v>144</v>
      </c>
      <c r="H235" s="13"/>
      <c r="I235" s="19" t="s">
        <v>122</v>
      </c>
      <c r="J235" s="7">
        <f>J233*J194/$J$9*0.000000001*1000000</f>
        <v>1367832445435.5232</v>
      </c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30" x14ac:dyDescent="0.25">
      <c r="A236" s="12" t="s">
        <v>131</v>
      </c>
      <c r="D236" s="75" t="s">
        <v>203</v>
      </c>
      <c r="F236" s="1" t="s">
        <v>49</v>
      </c>
      <c r="G236" s="16" t="s">
        <v>145</v>
      </c>
      <c r="H236" s="13"/>
      <c r="I236" s="19" t="s">
        <v>122</v>
      </c>
      <c r="J236" s="7">
        <f>J233*J194/$J$9*0.000000001*1000000</f>
        <v>1367832445435.5232</v>
      </c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30" x14ac:dyDescent="0.25">
      <c r="A237" s="12" t="s">
        <v>132</v>
      </c>
      <c r="D237" s="27" t="s">
        <v>52</v>
      </c>
      <c r="F237" s="1" t="s">
        <v>49</v>
      </c>
      <c r="G237" s="16" t="s">
        <v>146</v>
      </c>
      <c r="H237" s="13"/>
      <c r="I237" s="19" t="s">
        <v>122</v>
      </c>
      <c r="J237" s="7">
        <f>J233*$J$5*$J$8/$J$9*0.000000001*1000000</f>
        <v>1473420757457.0554</v>
      </c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x14ac:dyDescent="0.25">
      <c r="A238" s="12" t="s">
        <v>135</v>
      </c>
      <c r="D238" s="27" t="s">
        <v>52</v>
      </c>
      <c r="F238" s="1" t="s">
        <v>49</v>
      </c>
      <c r="G238" s="16" t="s">
        <v>134</v>
      </c>
      <c r="H238" s="13"/>
      <c r="I238" s="19" t="s">
        <v>118</v>
      </c>
      <c r="J238" s="7">
        <f>PI()^2*$J$4*$J$8*J105/(J25/J108)^2</f>
        <v>1000009196750344.7</v>
      </c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40" spans="1:22" ht="21" x14ac:dyDescent="0.35">
      <c r="G240" s="28" t="s">
        <v>229</v>
      </c>
    </row>
    <row r="241" spans="1:22" x14ac:dyDescent="0.25">
      <c r="A241" s="12" t="s">
        <v>152</v>
      </c>
      <c r="D241" s="23" t="s">
        <v>295</v>
      </c>
      <c r="F241" s="1" t="s">
        <v>49</v>
      </c>
      <c r="G241" s="6" t="s">
        <v>148</v>
      </c>
      <c r="I241" s="39" t="s">
        <v>118</v>
      </c>
      <c r="J241" s="7">
        <f>J45*(J105+J24*J21)+J49*J24*J21</f>
        <v>2004000</v>
      </c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x14ac:dyDescent="0.25">
      <c r="A242" s="12" t="s">
        <v>155</v>
      </c>
      <c r="D242" s="23" t="s">
        <v>295</v>
      </c>
      <c r="F242" s="1" t="s">
        <v>49</v>
      </c>
      <c r="G242" s="11" t="s">
        <v>150</v>
      </c>
      <c r="I242" s="73" t="s">
        <v>149</v>
      </c>
      <c r="J242" s="74">
        <f>J52*((J22/1000)^2)/12</f>
        <v>0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x14ac:dyDescent="0.25">
      <c r="A243" s="12" t="s">
        <v>155</v>
      </c>
      <c r="D243" s="23" t="s">
        <v>295</v>
      </c>
      <c r="F243" s="1" t="s">
        <v>49</v>
      </c>
      <c r="G243" s="9" t="s">
        <v>151</v>
      </c>
      <c r="H243" s="9"/>
      <c r="I243" s="39" t="s">
        <v>149</v>
      </c>
      <c r="J243" s="7">
        <f>J52*((J22/1000)^2)/24</f>
        <v>0</v>
      </c>
      <c r="K243" s="108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x14ac:dyDescent="0.25">
      <c r="A244" s="12" t="s">
        <v>153</v>
      </c>
      <c r="D244" s="23" t="s">
        <v>295</v>
      </c>
      <c r="F244" s="1" t="s">
        <v>49</v>
      </c>
      <c r="G244" s="9" t="s">
        <v>154</v>
      </c>
      <c r="H244" s="9"/>
      <c r="I244" s="9" t="s">
        <v>5</v>
      </c>
      <c r="J244" s="9">
        <f>(J49/J226)^2</f>
        <v>6.4978676710955498E-4</v>
      </c>
    </row>
    <row r="246" spans="1:22" ht="21" x14ac:dyDescent="0.35">
      <c r="G246" s="28" t="s">
        <v>230</v>
      </c>
    </row>
    <row r="247" spans="1:22" x14ac:dyDescent="0.25">
      <c r="A247" s="12" t="s">
        <v>166</v>
      </c>
      <c r="D247" s="23" t="s">
        <v>249</v>
      </c>
      <c r="F247" s="1"/>
      <c r="G247" s="12" t="s">
        <v>167</v>
      </c>
      <c r="J247" s="12">
        <f>J241/J231+(J242-J241*J53)/(J235*(1-J241/J238))+J244</f>
        <v>0.53494765751010986</v>
      </c>
    </row>
    <row r="248" spans="1:22" x14ac:dyDescent="0.25">
      <c r="A248" s="12" t="s">
        <v>171</v>
      </c>
      <c r="D248" s="23" t="s">
        <v>249</v>
      </c>
      <c r="G248" s="12" t="s">
        <v>168</v>
      </c>
      <c r="J248" s="12">
        <f>J241/J230-2*J241/J229+(J242-J241*J53)/(J234*(1-J241/J238))+J244</f>
        <v>-0.5336480839758907</v>
      </c>
    </row>
    <row r="249" spans="1:22" x14ac:dyDescent="0.25">
      <c r="A249" s="12" t="s">
        <v>172</v>
      </c>
      <c r="D249" s="23" t="s">
        <v>249</v>
      </c>
      <c r="G249" s="12" t="s">
        <v>169</v>
      </c>
      <c r="J249" s="12">
        <f>J241/J231-2*J241/J229+(J243+J241*J53)/(J237*(1-J241/J238))+J244</f>
        <v>-0.5336480839758907</v>
      </c>
    </row>
    <row r="250" spans="1:22" x14ac:dyDescent="0.25">
      <c r="A250" s="12" t="s">
        <v>173</v>
      </c>
      <c r="D250" s="23" t="s">
        <v>249</v>
      </c>
      <c r="G250" s="12" t="s">
        <v>170</v>
      </c>
      <c r="J250" s="12">
        <f>J241/J231+(J243+J241*J53)/(J234*(1-J241/J238))+J244</f>
        <v>0.53494765751010986</v>
      </c>
    </row>
    <row r="251" spans="1:22" x14ac:dyDescent="0.25">
      <c r="D251" s="23" t="s">
        <v>249</v>
      </c>
      <c r="G251" s="12" t="s">
        <v>174</v>
      </c>
      <c r="J251" s="12">
        <f>MAX(J247:J250)</f>
        <v>0.53494765751010986</v>
      </c>
    </row>
    <row r="252" spans="1:22" ht="21" x14ac:dyDescent="0.35">
      <c r="G252" s="28" t="s">
        <v>231</v>
      </c>
    </row>
    <row r="253" spans="1:22" x14ac:dyDescent="0.25">
      <c r="D253" s="23" t="s">
        <v>249</v>
      </c>
      <c r="G253" s="12" t="s">
        <v>167</v>
      </c>
      <c r="J253" s="12">
        <f>J241/J231-2*J241/J229+(J242+J241*J53)/(J237*(1-J241/J238))+J244</f>
        <v>-0.5336480839758907</v>
      </c>
    </row>
    <row r="254" spans="1:22" x14ac:dyDescent="0.25">
      <c r="D254" s="23" t="s">
        <v>249</v>
      </c>
      <c r="G254" s="12" t="s">
        <v>168</v>
      </c>
      <c r="J254" s="12">
        <f>J241/J231+(J242+J241*J53)/(J234*(1-J241/J238))+J244</f>
        <v>0.53494765751010986</v>
      </c>
    </row>
    <row r="255" spans="1:22" x14ac:dyDescent="0.25">
      <c r="D255" s="23" t="s">
        <v>249</v>
      </c>
      <c r="G255" s="12" t="s">
        <v>169</v>
      </c>
      <c r="J255" s="12">
        <f>J241/J231+(J243-J241*J53)/(J236*(1-J241/J238))+J244</f>
        <v>0.53494765751010986</v>
      </c>
    </row>
    <row r="256" spans="1:22" x14ac:dyDescent="0.25">
      <c r="D256" s="23" t="s">
        <v>249</v>
      </c>
      <c r="G256" s="12" t="s">
        <v>170</v>
      </c>
      <c r="J256" s="12">
        <f>J241/J230-2*J241/J229+(J243-J241*J53)/(J234*(1-J241/J238))+J244</f>
        <v>-0.5336480839758907</v>
      </c>
    </row>
    <row r="257" spans="1:13" x14ac:dyDescent="0.25">
      <c r="D257" s="23" t="s">
        <v>249</v>
      </c>
      <c r="G257" s="12" t="s">
        <v>174</v>
      </c>
      <c r="J257" s="12">
        <f>MAX(J253:J256)</f>
        <v>0.53494765751010986</v>
      </c>
    </row>
    <row r="259" spans="1:13" s="9" customFormat="1" ht="21" customHeight="1" x14ac:dyDescent="0.35">
      <c r="A259" s="4"/>
      <c r="B259" s="107"/>
      <c r="C259" s="1"/>
      <c r="D259" s="27"/>
      <c r="E259" s="1"/>
      <c r="F259" s="1"/>
      <c r="G259" s="28" t="s">
        <v>246</v>
      </c>
      <c r="H259" s="5" t="s">
        <v>94</v>
      </c>
      <c r="I259" s="5" t="s">
        <v>78</v>
      </c>
    </row>
    <row r="260" spans="1:13" s="9" customFormat="1" x14ac:dyDescent="0.25">
      <c r="A260" s="4" t="s">
        <v>87</v>
      </c>
      <c r="B260" s="4"/>
      <c r="C260" s="12"/>
      <c r="D260" s="25" t="s">
        <v>292</v>
      </c>
      <c r="E260" s="12"/>
      <c r="F260" s="1" t="s">
        <v>207</v>
      </c>
      <c r="G260" s="6" t="s">
        <v>112</v>
      </c>
      <c r="H260" s="6"/>
      <c r="I260" s="19" t="s">
        <v>118</v>
      </c>
      <c r="J260" s="7">
        <f>(J121+J22*J20)*$J$5/$J$9*$J$8</f>
        <v>6555600.6678260881</v>
      </c>
      <c r="K260" s="7"/>
      <c r="L260" s="7"/>
      <c r="M260" s="7"/>
    </row>
    <row r="261" spans="1:13" s="9" customFormat="1" x14ac:dyDescent="0.25">
      <c r="A261" s="4" t="s">
        <v>88</v>
      </c>
      <c r="B261" s="4"/>
      <c r="C261" s="12"/>
      <c r="E261" s="12"/>
      <c r="F261" s="1" t="s">
        <v>207</v>
      </c>
      <c r="G261" s="6" t="s">
        <v>111</v>
      </c>
      <c r="H261" s="6"/>
      <c r="I261" s="19" t="s">
        <v>118</v>
      </c>
      <c r="J261" s="7">
        <f>(J121+J22*J20)*J204/$J$9</f>
        <v>2264689.8394617783</v>
      </c>
      <c r="K261" s="7"/>
      <c r="L261" s="7"/>
      <c r="M261" s="7"/>
    </row>
    <row r="262" spans="1:13" s="9" customFormat="1" x14ac:dyDescent="0.25">
      <c r="A262" s="12" t="s">
        <v>248</v>
      </c>
      <c r="B262" s="4"/>
      <c r="C262" s="12"/>
      <c r="D262" s="25" t="s">
        <v>292</v>
      </c>
      <c r="E262" s="12"/>
      <c r="F262" s="1" t="s">
        <v>207</v>
      </c>
      <c r="G262" s="6" t="s">
        <v>247</v>
      </c>
      <c r="H262" s="6"/>
      <c r="I262" s="19" t="s">
        <v>118</v>
      </c>
      <c r="J262" s="7">
        <f>(J121+J22*J20)*J191/$J$9</f>
        <v>6555600.6678260872</v>
      </c>
      <c r="K262" s="7"/>
      <c r="L262" s="7"/>
      <c r="M262" s="7"/>
    </row>
    <row r="263" spans="1:13" s="9" customFormat="1" ht="15" customHeight="1" x14ac:dyDescent="0.25">
      <c r="A263" s="4" t="s">
        <v>92</v>
      </c>
      <c r="B263" s="107"/>
      <c r="C263" s="1"/>
      <c r="D263" s="25" t="s">
        <v>292</v>
      </c>
      <c r="E263" s="1"/>
      <c r="F263" s="1" t="s">
        <v>207</v>
      </c>
      <c r="G263" s="6" t="s">
        <v>47</v>
      </c>
      <c r="H263" s="6"/>
      <c r="I263" s="17" t="s">
        <v>11</v>
      </c>
      <c r="J263" s="7">
        <f>J129/J119</f>
        <v>388.09029796118705</v>
      </c>
      <c r="K263" s="7"/>
      <c r="L263" s="7"/>
      <c r="M263" s="7"/>
    </row>
    <row r="264" spans="1:13" s="9" customFormat="1" ht="15" customHeight="1" x14ac:dyDescent="0.25">
      <c r="A264" s="4" t="s">
        <v>91</v>
      </c>
      <c r="B264" s="107"/>
      <c r="C264" s="1"/>
      <c r="D264" s="25" t="s">
        <v>292</v>
      </c>
      <c r="E264" s="1"/>
      <c r="F264" s="1" t="s">
        <v>207</v>
      </c>
      <c r="G264" s="6" t="s">
        <v>48</v>
      </c>
      <c r="H264" s="6"/>
      <c r="I264" s="17" t="s">
        <v>11</v>
      </c>
      <c r="J264" s="7">
        <f>J128/J120</f>
        <v>6624650100781.8496</v>
      </c>
      <c r="K264" s="7"/>
      <c r="L264" s="7"/>
      <c r="M264" s="7"/>
    </row>
    <row r="265" spans="1:13" s="9" customFormat="1" ht="30" x14ac:dyDescent="0.25">
      <c r="A265" s="4" t="s">
        <v>91</v>
      </c>
      <c r="B265" s="107"/>
      <c r="C265" s="1"/>
      <c r="D265" s="25" t="s">
        <v>292</v>
      </c>
      <c r="E265" s="1"/>
      <c r="F265" s="1" t="s">
        <v>207</v>
      </c>
      <c r="G265" s="16" t="s">
        <v>108</v>
      </c>
      <c r="H265" s="13"/>
      <c r="I265" s="19" t="s">
        <v>122</v>
      </c>
      <c r="J265" s="7">
        <f>J263*$J$5*$J$8/$J$9</f>
        <v>79109.608721740777</v>
      </c>
      <c r="K265" s="7"/>
      <c r="L265" s="7"/>
      <c r="M265" s="7"/>
    </row>
    <row r="266" spans="1:13" s="9" customFormat="1" ht="30" x14ac:dyDescent="0.25">
      <c r="A266" s="4" t="s">
        <v>90</v>
      </c>
      <c r="B266" s="107"/>
      <c r="C266" s="1"/>
      <c r="D266" s="25" t="s">
        <v>292</v>
      </c>
      <c r="E266" s="1"/>
      <c r="F266" s="1" t="s">
        <v>207</v>
      </c>
      <c r="G266" s="16" t="s">
        <v>109</v>
      </c>
      <c r="H266" s="13"/>
      <c r="I266" s="19" t="s">
        <v>122</v>
      </c>
      <c r="J266" s="7">
        <f>J264*J200/$J$9</f>
        <v>434781036263178.75</v>
      </c>
      <c r="K266" s="7"/>
      <c r="L266" s="7"/>
      <c r="M266" s="7"/>
    </row>
    <row r="267" spans="1:13" s="9" customFormat="1" ht="30" x14ac:dyDescent="0.25">
      <c r="A267" s="4" t="s">
        <v>89</v>
      </c>
      <c r="B267" s="107"/>
      <c r="C267" s="12"/>
      <c r="D267" s="25" t="s">
        <v>292</v>
      </c>
      <c r="E267" s="12"/>
      <c r="F267" s="1" t="s">
        <v>207</v>
      </c>
      <c r="G267" s="16" t="s">
        <v>110</v>
      </c>
      <c r="H267" s="13"/>
      <c r="I267" s="19" t="s">
        <v>122</v>
      </c>
      <c r="J267" s="7">
        <f>J264*J187/$J$9</f>
        <v>1350390566691531.5</v>
      </c>
      <c r="K267" s="7"/>
      <c r="L267" s="7"/>
      <c r="M267" s="7"/>
    </row>
    <row r="268" spans="1:13" s="9" customFormat="1" ht="30" x14ac:dyDescent="0.25">
      <c r="A268" s="4" t="s">
        <v>92</v>
      </c>
      <c r="B268" s="107"/>
      <c r="C268" s="1"/>
      <c r="D268" s="25" t="s">
        <v>292</v>
      </c>
      <c r="E268" s="1"/>
      <c r="F268" s="1" t="s">
        <v>207</v>
      </c>
      <c r="G268" s="16" t="s">
        <v>107</v>
      </c>
      <c r="H268" s="13"/>
      <c r="I268" s="19" t="s">
        <v>122</v>
      </c>
      <c r="J268" s="7">
        <f>J264*$J$5*$J$8/$J$9</f>
        <v>1350390566691531.5</v>
      </c>
      <c r="K268" s="7"/>
      <c r="L268" s="7"/>
      <c r="M268" s="7"/>
    </row>
    <row r="269" spans="1:13" x14ac:dyDescent="0.25">
      <c r="G269" s="16" t="s">
        <v>134</v>
      </c>
      <c r="J269" s="58" t="e">
        <f>PI()^2*$J$4*$J$8*J124/(J38/J127)^2</f>
        <v>#REF!</v>
      </c>
    </row>
    <row r="270" spans="1:13" x14ac:dyDescent="0.25">
      <c r="A270" s="59"/>
      <c r="C270" s="1"/>
      <c r="D270" s="27"/>
      <c r="E270" s="1"/>
      <c r="F270" s="1"/>
      <c r="G270" s="60"/>
      <c r="H270" s="60"/>
      <c r="I270" s="59"/>
    </row>
    <row r="271" spans="1:13" ht="21" x14ac:dyDescent="0.35">
      <c r="A271" s="4"/>
      <c r="B271" s="123" t="s">
        <v>294</v>
      </c>
      <c r="C271" s="1"/>
      <c r="D271" s="25" t="s">
        <v>293</v>
      </c>
      <c r="E271" s="1"/>
      <c r="F271" s="1"/>
      <c r="G271" s="28" t="s">
        <v>243</v>
      </c>
      <c r="H271" s="5"/>
      <c r="I271" s="5" t="s">
        <v>78</v>
      </c>
    </row>
    <row r="272" spans="1:13" x14ac:dyDescent="0.25">
      <c r="A272" s="4" t="s">
        <v>93</v>
      </c>
      <c r="B272" s="123"/>
      <c r="C272" s="1"/>
      <c r="D272" s="25" t="s">
        <v>292</v>
      </c>
      <c r="E272" s="1"/>
      <c r="F272" s="1" t="s">
        <v>207</v>
      </c>
      <c r="G272" s="6" t="s">
        <v>120</v>
      </c>
      <c r="H272" s="6"/>
      <c r="I272" s="6" t="s">
        <v>118</v>
      </c>
      <c r="J272" s="9">
        <f>0.02*J47*(J123+J122/3)</f>
        <v>300</v>
      </c>
      <c r="K272" s="9"/>
      <c r="L272" s="9"/>
      <c r="M272" s="9"/>
    </row>
    <row r="273" spans="1:13" x14ac:dyDescent="0.25">
      <c r="A273" s="4"/>
      <c r="B273" s="123"/>
      <c r="D273" s="25" t="s">
        <v>292</v>
      </c>
      <c r="F273" s="1" t="s">
        <v>207</v>
      </c>
      <c r="G273" s="6" t="s">
        <v>121</v>
      </c>
      <c r="H273" s="6"/>
      <c r="I273" s="6" t="s">
        <v>25</v>
      </c>
      <c r="J273" s="9">
        <f>J272/J19/J23</f>
        <v>4.2857142857142859E-3</v>
      </c>
      <c r="K273" s="9"/>
      <c r="L273" s="9"/>
      <c r="M273" s="9"/>
    </row>
    <row r="274" spans="1:13" x14ac:dyDescent="0.25">
      <c r="A274" s="4" t="s">
        <v>83</v>
      </c>
      <c r="B274" s="123"/>
      <c r="D274" s="25" t="s">
        <v>292</v>
      </c>
      <c r="F274" s="1" t="s">
        <v>207</v>
      </c>
      <c r="G274" s="6" t="s">
        <v>44</v>
      </c>
      <c r="H274" s="6"/>
      <c r="I274" s="6" t="s">
        <v>25</v>
      </c>
      <c r="J274" s="9">
        <f>0.4*(J20+J122/J24)/(1-J24/J27)*($J$5/$J$4)*(J27/J22)^2*(J45+J218*J49)</f>
        <v>0.27112466811497632</v>
      </c>
      <c r="K274" s="9"/>
      <c r="L274" s="9"/>
      <c r="M274" s="9"/>
    </row>
    <row r="275" spans="1:13" x14ac:dyDescent="0.25">
      <c r="A275" s="4" t="s">
        <v>84</v>
      </c>
      <c r="B275" s="123"/>
      <c r="D275" s="25" t="s">
        <v>292</v>
      </c>
      <c r="F275" s="1" t="s">
        <v>207</v>
      </c>
      <c r="G275" s="6" t="s">
        <v>45</v>
      </c>
      <c r="H275" s="6"/>
      <c r="I275" s="6" t="s">
        <v>25</v>
      </c>
      <c r="J275" s="9">
        <f>0.4*(J20+J122/J24)/(J28*(1-J24/J27))*($J$5/$J$4)*(J27/J22)^2*(J218*J49)</f>
        <v>0</v>
      </c>
      <c r="K275" s="9"/>
      <c r="L275" s="9"/>
      <c r="M275" s="9"/>
    </row>
    <row r="276" spans="1:13" x14ac:dyDescent="0.25">
      <c r="A276" s="4"/>
      <c r="B276" s="123"/>
      <c r="D276" s="25" t="s">
        <v>292</v>
      </c>
      <c r="F276" s="1" t="s">
        <v>207</v>
      </c>
      <c r="G276" s="5" t="s">
        <v>218</v>
      </c>
      <c r="H276" s="9">
        <v>1</v>
      </c>
      <c r="I276" s="6" t="s">
        <v>25</v>
      </c>
      <c r="J276" s="9">
        <f>IF($H$276=1,J275,J274)</f>
        <v>0</v>
      </c>
      <c r="K276" s="9"/>
      <c r="L276" s="9"/>
      <c r="M276" s="9"/>
    </row>
    <row r="277" spans="1:13" x14ac:dyDescent="0.25">
      <c r="A277" s="4" t="s">
        <v>79</v>
      </c>
      <c r="B277" s="123"/>
      <c r="C277" s="18"/>
      <c r="D277" s="25" t="s">
        <v>292</v>
      </c>
      <c r="F277" s="1" t="s">
        <v>207</v>
      </c>
      <c r="G277" s="6" t="s">
        <v>39</v>
      </c>
      <c r="H277" s="6"/>
      <c r="I277" s="6" t="s">
        <v>118</v>
      </c>
      <c r="J277" s="9">
        <f>J45*(J22*J20+J121)</f>
        <v>321600</v>
      </c>
      <c r="K277" s="9"/>
      <c r="L277" s="9"/>
      <c r="M277" s="9"/>
    </row>
    <row r="278" spans="1:13" x14ac:dyDescent="0.25">
      <c r="A278" s="4" t="s">
        <v>85</v>
      </c>
      <c r="B278" s="123"/>
      <c r="C278"/>
      <c r="D278" s="25" t="s">
        <v>292</v>
      </c>
      <c r="F278" s="1" t="s">
        <v>207</v>
      </c>
      <c r="G278" s="13" t="s">
        <v>40</v>
      </c>
      <c r="H278" s="13"/>
      <c r="I278" s="13" t="s">
        <v>119</v>
      </c>
      <c r="J278" s="9">
        <f>(J273+J274)*J22</f>
        <v>614.16515275354004</v>
      </c>
      <c r="K278" s="9"/>
      <c r="L278" s="9"/>
      <c r="M278" s="9"/>
    </row>
    <row r="279" spans="1:13" x14ac:dyDescent="0.25">
      <c r="F279" s="1"/>
      <c r="G279" s="12" t="s">
        <v>154</v>
      </c>
      <c r="I279" s="12" t="s">
        <v>5</v>
      </c>
      <c r="J279" s="12">
        <f>(J49/J272)^2</f>
        <v>1E-4</v>
      </c>
    </row>
    <row r="281" spans="1:13" ht="21" x14ac:dyDescent="0.35">
      <c r="G281" s="28" t="s">
        <v>244</v>
      </c>
    </row>
    <row r="282" spans="1:13" x14ac:dyDescent="0.25">
      <c r="G282" s="12" t="s">
        <v>167</v>
      </c>
      <c r="J282" s="58" t="e">
        <f>J277/J262+(J266-J277*J53)/(J266*(1-J277/J269))+J279</f>
        <v>#REF!</v>
      </c>
    </row>
    <row r="283" spans="1:13" x14ac:dyDescent="0.25">
      <c r="G283" s="12" t="s">
        <v>168</v>
      </c>
      <c r="J283" s="12" t="e">
        <f>J277/J261-2*J260/J260+(J266-J260*J53)/(J268*(1-J260/J269))+J279</f>
        <v>#REF!</v>
      </c>
    </row>
    <row r="284" spans="1:13" x14ac:dyDescent="0.25">
      <c r="G284" s="12" t="s">
        <v>169</v>
      </c>
      <c r="J284" s="12" t="e">
        <f>J277/J262-2*J277/J260+(J267+J277*J53)/(J268*(1-J277/J269))+J279</f>
        <v>#REF!</v>
      </c>
    </row>
    <row r="285" spans="1:13" x14ac:dyDescent="0.25">
      <c r="G285" s="12" t="s">
        <v>170</v>
      </c>
      <c r="J285" s="12" t="e">
        <f>J277/J262+(J267+J277*J53)/(J265*(1-J277/J269))+J279</f>
        <v>#REF!</v>
      </c>
    </row>
    <row r="286" spans="1:13" x14ac:dyDescent="0.25">
      <c r="G286" s="12" t="s">
        <v>174</v>
      </c>
      <c r="J286" s="12" t="e">
        <f>MAX(J282:J286)</f>
        <v>#REF!</v>
      </c>
    </row>
    <row r="287" spans="1:13" ht="21" x14ac:dyDescent="0.35">
      <c r="G287" s="28" t="s">
        <v>245</v>
      </c>
    </row>
    <row r="288" spans="1:13" x14ac:dyDescent="0.25">
      <c r="G288" s="12" t="s">
        <v>167</v>
      </c>
      <c r="J288" s="12" t="e">
        <f>J277/J262-2*J277/J260+(J277+J277*J53)/(J268*(1-J277/J269))+J279</f>
        <v>#REF!</v>
      </c>
    </row>
    <row r="289" spans="7:10" x14ac:dyDescent="0.25">
      <c r="G289" s="12" t="s">
        <v>168</v>
      </c>
      <c r="J289" s="12" t="e">
        <f>J277/J262+(J277+J277*J53)/(J265*(1-J277/J269))+J279</f>
        <v>#REF!</v>
      </c>
    </row>
    <row r="290" spans="7:10" x14ac:dyDescent="0.25">
      <c r="G290" s="12" t="s">
        <v>169</v>
      </c>
      <c r="J290" s="12" t="e">
        <f>J277/J262+(J267-J277*J53)/(J267*(1-J277/J269))+J279</f>
        <v>#REF!</v>
      </c>
    </row>
    <row r="291" spans="7:10" x14ac:dyDescent="0.25">
      <c r="G291" s="12" t="s">
        <v>170</v>
      </c>
      <c r="J291" s="12" t="e">
        <f>J277/J261-2*J277/J260+(J267-J277*J53)/(J265*(1-J277/J269))+J279</f>
        <v>#REF!</v>
      </c>
    </row>
    <row r="292" spans="7:10" x14ac:dyDescent="0.25">
      <c r="G292" s="12" t="s">
        <v>174</v>
      </c>
      <c r="J292" s="12" t="e">
        <f>MAX(J288:J292)</f>
        <v>#REF!</v>
      </c>
    </row>
  </sheetData>
  <mergeCells count="4">
    <mergeCell ref="B271:B278"/>
    <mergeCell ref="B121:B127"/>
    <mergeCell ref="B44:B49"/>
    <mergeCell ref="B103:B108"/>
  </mergeCells>
  <hyperlinks>
    <hyperlink ref="A61" r:id="rId1"/>
    <hyperlink ref="A62" r:id="rId2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Panel Buckling - T Flange</vt:lpstr>
      <vt:lpstr>Panel Buckling - L Flange </vt:lpstr>
      <vt:lpstr>Panel Buckling - L Flange_Ref</vt:lpstr>
      <vt:lpstr>Web Stiffener</vt:lpstr>
      <vt:lpstr>Stringer</vt:lpstr>
      <vt:lpstr>hw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2016-05-30T11:26:14Z</dcterms:modified>
</cp:coreProperties>
</file>