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Inputs" sheetId="1" r:id="rId1"/>
    <sheet name="Limits" sheetId="2" r:id="rId2"/>
    <sheet name="Structures" sheetId="3" r:id="rId3"/>
  </sheets>
  <calcPr calcId="152511"/>
</workbook>
</file>

<file path=xl/calcChain.xml><?xml version="1.0" encoding="utf-8"?>
<calcChain xmlns="http://schemas.openxmlformats.org/spreadsheetml/2006/main">
  <c r="M70" i="2" l="1"/>
  <c r="M69" i="2"/>
  <c r="M68" i="2"/>
  <c r="L53" i="2"/>
  <c r="M47" i="2"/>
  <c r="L41" i="2"/>
  <c r="L34" i="2"/>
  <c r="H34" i="2"/>
  <c r="H41" i="2"/>
  <c r="I111" i="2"/>
  <c r="I106" i="2"/>
  <c r="H88" i="2"/>
  <c r="I117" i="2"/>
  <c r="D91" i="2"/>
  <c r="F88" i="2"/>
  <c r="E88" i="2"/>
  <c r="D88" i="2"/>
  <c r="I130" i="2" l="1"/>
  <c r="I128" i="2"/>
  <c r="H22" i="2"/>
  <c r="D12" i="2" l="1"/>
  <c r="E91" i="2" l="1"/>
  <c r="J88" i="2"/>
  <c r="I88" i="2"/>
  <c r="H85" i="2"/>
  <c r="J91" i="2" l="1"/>
  <c r="J92" i="2" s="1"/>
  <c r="I91" i="2"/>
  <c r="I92" i="2" s="1"/>
  <c r="H91" i="2"/>
  <c r="H92" i="2" s="1"/>
  <c r="F91" i="2"/>
  <c r="D16" i="2" l="1"/>
  <c r="F19" i="1" l="1"/>
  <c r="D8" i="2" l="1"/>
  <c r="E8" i="2"/>
  <c r="D14" i="2" l="1"/>
  <c r="D17" i="2"/>
  <c r="D15" i="2"/>
  <c r="F84" i="1"/>
  <c r="I68" i="2" l="1"/>
  <c r="I79" i="2" s="1"/>
  <c r="I47" i="2"/>
  <c r="H53" i="2"/>
  <c r="I77" i="2" s="1"/>
  <c r="I76" i="2"/>
  <c r="L23" i="2"/>
  <c r="M23" i="2" s="1"/>
  <c r="F82" i="1"/>
  <c r="F79" i="1"/>
  <c r="H78" i="2" l="1"/>
  <c r="H81" i="2" s="1"/>
  <c r="H83" i="2" s="1"/>
  <c r="I69" i="2"/>
  <c r="I70" i="2"/>
  <c r="F50" i="1"/>
  <c r="F34" i="1"/>
  <c r="F20" i="1"/>
  <c r="F16" i="1"/>
  <c r="F22" i="1" s="1"/>
  <c r="F39" i="1" s="1"/>
  <c r="F9" i="1"/>
  <c r="F18" i="1" l="1"/>
  <c r="F28" i="1"/>
  <c r="F24" i="1"/>
  <c r="F38" i="1" l="1"/>
  <c r="P20" i="2" l="1"/>
  <c r="F45" i="1"/>
  <c r="F42" i="1"/>
  <c r="F55" i="1" s="1"/>
  <c r="F59" i="1" s="1"/>
  <c r="F61" i="1" s="1"/>
</calcChain>
</file>

<file path=xl/sharedStrings.xml><?xml version="1.0" encoding="utf-8"?>
<sst xmlns="http://schemas.openxmlformats.org/spreadsheetml/2006/main" count="144" uniqueCount="100">
  <si>
    <t>pipeNominalOD</t>
  </si>
  <si>
    <t>pipeNominalWT</t>
  </si>
  <si>
    <t>pipeMinimumWT</t>
  </si>
  <si>
    <t>pipeNominalID</t>
  </si>
  <si>
    <t>pipeExternalPressure</t>
  </si>
  <si>
    <t>pipeInternalPressure</t>
  </si>
  <si>
    <t>pipeTensionEffective</t>
  </si>
  <si>
    <t>pipeYieldStrength</t>
  </si>
  <si>
    <t>pipeMoment</t>
  </si>
  <si>
    <t>pipeMinimumID</t>
  </si>
  <si>
    <t>m</t>
  </si>
  <si>
    <t>pipeA</t>
  </si>
  <si>
    <t>pipeAi</t>
  </si>
  <si>
    <t>pipeAo</t>
  </si>
  <si>
    <t>m^2</t>
  </si>
  <si>
    <t xml:space="preserve">pipeI </t>
  </si>
  <si>
    <t>m^4</t>
  </si>
  <si>
    <t>pipeTensionTrue</t>
  </si>
  <si>
    <t>T/A</t>
  </si>
  <si>
    <t>M/2I</t>
  </si>
  <si>
    <t xml:space="preserve">Considering Addition </t>
  </si>
  <si>
    <t xml:space="preserve">Considering Subtraction </t>
  </si>
  <si>
    <t>L.H.S of Equation(5)</t>
  </si>
  <si>
    <t>Cf</t>
  </si>
  <si>
    <t>Considering Survival load category</t>
  </si>
  <si>
    <t>R.H.S of Equation(5)</t>
  </si>
  <si>
    <t>pipeTensionEffective + (pipeInternalPressure*pipeAi) - (pipeExternalPressure*pipeAo)</t>
  </si>
  <si>
    <t>Pa</t>
  </si>
  <si>
    <t>Ksi</t>
  </si>
  <si>
    <t>N</t>
  </si>
  <si>
    <t>Geometry</t>
  </si>
  <si>
    <t>Internal Pressure</t>
  </si>
  <si>
    <t>Loading</t>
  </si>
  <si>
    <t>Material Properties</t>
  </si>
  <si>
    <t>Yield Strength</t>
  </si>
  <si>
    <t>Data structures are vital in programming to help in modular design and also for code re-use</t>
  </si>
  <si>
    <t>A pipe is a pressure vessel. It is one of the widely analyzed stucture in offshore industry. Therefore a pipe should be defined with a decent data structure as a first attempt</t>
  </si>
  <si>
    <t>Get the Matlab structure to start with!</t>
  </si>
  <si>
    <t>pipePerfect</t>
  </si>
  <si>
    <t>pipeMeasured</t>
  </si>
  <si>
    <t>Tension</t>
  </si>
  <si>
    <t>Units</t>
  </si>
  <si>
    <t>ksi</t>
  </si>
  <si>
    <t>Moment</t>
  </si>
  <si>
    <t>External Pressure</t>
  </si>
  <si>
    <t>Solve For?</t>
  </si>
  <si>
    <t>PipeTrueTension</t>
  </si>
  <si>
    <t>Tensile Yield Strength</t>
  </si>
  <si>
    <t>Pi*Ai</t>
  </si>
  <si>
    <t>T</t>
  </si>
  <si>
    <t>Pi</t>
  </si>
  <si>
    <t>Ai</t>
  </si>
  <si>
    <t>Ao</t>
  </si>
  <si>
    <t>I</t>
  </si>
  <si>
    <t>Po</t>
  </si>
  <si>
    <t>^</t>
  </si>
  <si>
    <t>+</t>
  </si>
  <si>
    <t>LHS</t>
  </si>
  <si>
    <t>RHS</t>
  </si>
  <si>
    <t>Nm</t>
  </si>
  <si>
    <t>-Po*Ao</t>
  </si>
  <si>
    <t>kPa</t>
  </si>
  <si>
    <t>T^2</t>
  </si>
  <si>
    <t>1/A</t>
  </si>
  <si>
    <t>{[Pi(Do/2t)-Pi]-(T/A)}^2</t>
  </si>
  <si>
    <t>(T/A)+[(Pi*Di)/(Do+Di)]}^2</t>
  </si>
  <si>
    <t>(SIGMApr-SIGMApo)^2+{[Pi(Do/2t)-Pi]-(T/A)}^2+{(T/A)+[(Pi*Di)/(Do+Di)]}^2</t>
  </si>
  <si>
    <t>(T/A)^2+[(Pi*Di)/(Do+Di)]^2+2*([(Pi*Di)/(Do+Di)]*(T/A)</t>
  </si>
  <si>
    <t>[Pi(Do/2t)-Pi]^2+ (T/A)^2 - 2*([Pi(Do/2t)-Pi])*(T/A)</t>
  </si>
  <si>
    <t>(SIGMApr-SIGMApo)^2+[Pi(Do/2t)-Pi]^2+ (T/A)^2 - 2*([Pi(Do/2t)-Pi])*(T/A)+(T/A)^2+[(Pi*Di)/(Do+Di)]^2+2*([(Pi*Di)/(Do+Di)]*(T/A)</t>
  </si>
  <si>
    <t>2*(T/A)^2 + (2T/A) {[(Pi*Di)/(Do+Di)]- [Pi(Do/2t)-Pi]} + (SIGMApr-SIGMApo)^2 + [Pi(Do/2t)-Pi]^2 + [(Pi*Di)/(Do+Di)]^2</t>
  </si>
  <si>
    <t>(SIGMApr-SIGMApo)^2 + [Pi(Do/2t)-Pi]^2 + [(Pi*Di)/(Do+Di)]^2</t>
  </si>
  <si>
    <t>{[(Pi*Di)/(Do+Di)]- [Pi(Do/2t)-Pi]}</t>
  </si>
  <si>
    <t>(1/A)^2</t>
  </si>
  <si>
    <t>2*(1/A)</t>
  </si>
  <si>
    <t>Ca</t>
  </si>
  <si>
    <t>pa</t>
  </si>
  <si>
    <t>=</t>
  </si>
  <si>
    <t>Square on both sides</t>
  </si>
  <si>
    <t>(SIGMApr-SIGMApo)^2+{[Pi(Do/2t)-Pi]-(T/A)}^2+{(T/A)+[(Pi*Di)/(Do+Di)]}^2  = 2*{Cf*SigmaA}^2</t>
  </si>
  <si>
    <t>(SIGMApr-SIGMApo)^2+[Pi(Do/2t)-Pi]^2+ (T/A)^2 - 2*([Pi(Do/2t)-Pi])*(T/A)+(T/A)^2+[(Pi*Di)/(Do+Di)]^2+2*([(Pi*Di)/(Do+Di)]*(T/A) = 2*{Cf*SigmaA}^2</t>
  </si>
  <si>
    <t>2*(T/A)^2 + (2T/A) {[(Pi*Di)/(Do+Di)]- [Pi(Do/2t)-Pi]} = 2*{Cf*SigmaA}^2 - { (SIGMApr-SIGMApo)^2 + [Pi(Do/2t)-Pi]^2 + [(Pi*Di)/(Do+Di)]^2 }</t>
  </si>
  <si>
    <t>{Cf*SigmaA}^2 - { (SIGMApr-SIGMApo)^2 + [Pi(Do/2t)-Pi]^2 + [(Pi*Di)/(Do+Di)]^2 }</t>
  </si>
  <si>
    <t>(T/A)^2 + (T/A) {[(Pi*Di)/(Do+Di)]- [Pi(Do/2t)-Pi]} = {Cf*SigmaA}^2 - { (SIGMApr-SIGMApo)^2 + [Pi(Do/2t)-Pi]^2 + [(Pi*Di)/(Do+Di)]^2 }</t>
  </si>
  <si>
    <t>(1/A) {[(Pi*Di)/(Do+Di)]- [Pi(Do/2t)-Pi]}</t>
  </si>
  <si>
    <t xml:space="preserve">or </t>
  </si>
  <si>
    <t>-(PiDi)/(Do+Di)</t>
  </si>
  <si>
    <t>PiDo/(2t) - Pi</t>
  </si>
  <si>
    <t>M/2I * (Do-t)</t>
  </si>
  <si>
    <t>1/2I * (Do-t)</t>
  </si>
  <si>
    <t>{[Pi(Do/2t)-Pi]-M/2I(Do-t)}^2</t>
  </si>
  <si>
    <t>[Pi(Do/2t)-Pi]^2 + [M/2I(Do-t)]^2 - 2*[Pi(Do/2t)-Pi]*[M/2I(Do-t)]</t>
  </si>
  <si>
    <t>{ [M/2I(Do-t)] + [(PiDi)/(Do+Di)] }^2</t>
  </si>
  <si>
    <t>[M/2I(Do-t)]^2 + [(PiDi)/(Do+Di)]^2 +2* [M/2I(Do-t)]*[(PiDi)/(Do+Di)]</t>
  </si>
  <si>
    <t>[1/2I * (Do-t)] ^2</t>
  </si>
  <si>
    <t>[1/2I * (Do-t)] * [(PiDi)/(Do+Di)]</t>
  </si>
  <si>
    <t>(SIGMApr-SIGMApo)^2 + {[Pi(Do/2t)-Pi]-M/2I(Do-t)}^2 + { [M/2I(Do-t)] + [(PiDi)/(Do+Di)] }^2</t>
  </si>
  <si>
    <t>(SIGMApr-SIGMApo)^2 + [Pi(Do/2t)-Pi]^2 + [M/2I(Do-t)]^2 - 2*[Pi(Do/2t)-Pi]*[M/2I(Do-t)] + [M/2I(Do-t)]^2 + [(PiDi)/(Do+Di)]^2 +2* [M/2I(Do-t)]*[(PiDi)/(Do+Di)]</t>
  </si>
  <si>
    <t>2*[M/2I(Do-t)]^2  + {2* [M/2I(Do-t)]*[(PiDi)/(Do+Di)] } - {2*[Pi(Do/2t)-Pi]*[M/2I(Do-t)] } + (SIGMApr-SIGMApo)^2 + [Pi(Do/2t)-Pi]^2  + [(PiDi)/(Do+Di)]^2</t>
  </si>
  <si>
    <t>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</si>
</sst>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1" fillId="0" borderId="0" xfId="0" applyFont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5" fontId="0" fillId="0" borderId="0" xfId="0" quotePrefix="1" applyNumberFormat="1"/>
    <xf numFmtId="0" fontId="1" fillId="2" borderId="2" xfId="0" applyFont="1" applyFill="1" applyBorder="1"/>
    <xf numFmtId="0" fontId="0" fillId="0" borderId="0" xfId="0" quotePrefix="1" applyAlignment="1">
      <alignment horizontal="center"/>
    </xf>
    <xf numFmtId="0" fontId="3" fillId="0" borderId="0" xfId="0" applyNumberFormat="1" applyFont="1"/>
    <xf numFmtId="1" fontId="0" fillId="0" borderId="0" xfId="0" applyNumberFormat="1" applyAlignment="1">
      <alignment horizontal="center"/>
    </xf>
    <xf numFmtId="3" fontId="4" fillId="0" borderId="0" xfId="0" applyNumberFormat="1" applyFont="1"/>
    <xf numFmtId="166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3" fillId="0" borderId="0" xfId="0" applyNumberFormat="1" applyFont="1"/>
    <xf numFmtId="2" fontId="1" fillId="0" borderId="0" xfId="0" applyNumberFormat="1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6.png"/><Relationship Id="rId4" Type="http://schemas.openxmlformats.org/officeDocument/2006/relationships/image" Target="../media/image11.png"/><Relationship Id="rId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26</xdr:row>
      <xdr:rowOff>0</xdr:rowOff>
    </xdr:from>
    <xdr:to>
      <xdr:col>4</xdr:col>
      <xdr:colOff>514110</xdr:colOff>
      <xdr:row>29</xdr:row>
      <xdr:rowOff>28500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334000"/>
          <a:ext cx="1923810" cy="6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4</xdr:col>
      <xdr:colOff>428395</xdr:colOff>
      <xdr:row>35</xdr:row>
      <xdr:rowOff>18976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6477000"/>
          <a:ext cx="1838095" cy="5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409575</xdr:colOff>
      <xdr:row>40</xdr:row>
      <xdr:rowOff>152400</xdr:rowOff>
    </xdr:from>
    <xdr:to>
      <xdr:col>4</xdr:col>
      <xdr:colOff>314085</xdr:colOff>
      <xdr:row>45</xdr:row>
      <xdr:rowOff>57043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8775" y="8915400"/>
          <a:ext cx="1923810" cy="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56</xdr:row>
      <xdr:rowOff>19050</xdr:rowOff>
    </xdr:from>
    <xdr:to>
      <xdr:col>4</xdr:col>
      <xdr:colOff>409151</xdr:colOff>
      <xdr:row>60</xdr:row>
      <xdr:rowOff>9431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10687050"/>
          <a:ext cx="3390476" cy="7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47</xdr:row>
      <xdr:rowOff>123825</xdr:rowOff>
    </xdr:from>
    <xdr:to>
      <xdr:col>3</xdr:col>
      <xdr:colOff>828633</xdr:colOff>
      <xdr:row>51</xdr:row>
      <xdr:rowOff>18968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24100" y="10220325"/>
          <a:ext cx="333333" cy="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53</xdr:row>
      <xdr:rowOff>133350</xdr:rowOff>
    </xdr:from>
    <xdr:to>
      <xdr:col>4</xdr:col>
      <xdr:colOff>475880</xdr:colOff>
      <xdr:row>55</xdr:row>
      <xdr:rowOff>95207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2475" y="11372850"/>
          <a:ext cx="2961905" cy="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63</xdr:row>
      <xdr:rowOff>19050</xdr:rowOff>
    </xdr:from>
    <xdr:to>
      <xdr:col>6</xdr:col>
      <xdr:colOff>399532</xdr:colOff>
      <xdr:row>73</xdr:row>
      <xdr:rowOff>180717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4875" y="12020550"/>
          <a:ext cx="4142857" cy="20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961905</xdr:colOff>
      <xdr:row>79</xdr:row>
      <xdr:rowOff>66643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4859000"/>
          <a:ext cx="961905" cy="2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657225</xdr:colOff>
      <xdr:row>62</xdr:row>
      <xdr:rowOff>41041</xdr:rowOff>
    </xdr:from>
    <xdr:to>
      <xdr:col>18</xdr:col>
      <xdr:colOff>419100</xdr:colOff>
      <xdr:row>76</xdr:row>
      <xdr:rowOff>56010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05525" y="11909191"/>
          <a:ext cx="6848475" cy="268196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400000</xdr:colOff>
      <xdr:row>82</xdr:row>
      <xdr:rowOff>133310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5430500"/>
          <a:ext cx="400000" cy="3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212914</xdr:colOff>
      <xdr:row>31</xdr:row>
      <xdr:rowOff>102535</xdr:rowOff>
    </xdr:from>
    <xdr:to>
      <xdr:col>5</xdr:col>
      <xdr:colOff>41224</xdr:colOff>
      <xdr:row>34</xdr:row>
      <xdr:rowOff>131035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2032" y="6008035"/>
          <a:ext cx="1923810" cy="6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100855</xdr:colOff>
      <xdr:row>38</xdr:row>
      <xdr:rowOff>6164</xdr:rowOff>
    </xdr:from>
    <xdr:to>
      <xdr:col>4</xdr:col>
      <xdr:colOff>470980</xdr:colOff>
      <xdr:row>41</xdr:row>
      <xdr:rowOff>25140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29973" y="7245164"/>
          <a:ext cx="1838095" cy="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291353</xdr:colOff>
      <xdr:row>43</xdr:row>
      <xdr:rowOff>165847</xdr:rowOff>
    </xdr:from>
    <xdr:to>
      <xdr:col>4</xdr:col>
      <xdr:colOff>433428</xdr:colOff>
      <xdr:row>48</xdr:row>
      <xdr:rowOff>70490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6706" y="8357347"/>
          <a:ext cx="1923810" cy="857143"/>
        </a:xfrm>
        <a:prstGeom prst="rect">
          <a:avLst/>
        </a:prstGeom>
      </xdr:spPr>
    </xdr:pic>
    <xdr:clientData/>
  </xdr:twoCellAnchor>
  <xdr:twoCellAnchor editAs="oneCell">
    <xdr:from>
      <xdr:col>26</xdr:col>
      <xdr:colOff>590550</xdr:colOff>
      <xdr:row>15</xdr:row>
      <xdr:rowOff>152400</xdr:rowOff>
    </xdr:from>
    <xdr:to>
      <xdr:col>32</xdr:col>
      <xdr:colOff>494855</xdr:colOff>
      <xdr:row>25</xdr:row>
      <xdr:rowOff>142638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92475" y="3009900"/>
          <a:ext cx="3561905" cy="18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246529</xdr:colOff>
      <xdr:row>51</xdr:row>
      <xdr:rowOff>6725</xdr:rowOff>
    </xdr:from>
    <xdr:to>
      <xdr:col>3</xdr:col>
      <xdr:colOff>459440</xdr:colOff>
      <xdr:row>52</xdr:row>
      <xdr:rowOff>134472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69308" b="7177"/>
        <a:stretch/>
      </xdr:blipFill>
      <xdr:spPr>
        <a:xfrm>
          <a:off x="2061882" y="9722225"/>
          <a:ext cx="907676" cy="318247"/>
        </a:xfrm>
        <a:prstGeom prst="rect">
          <a:avLst/>
        </a:prstGeom>
      </xdr:spPr>
    </xdr:pic>
    <xdr:clientData/>
  </xdr:twoCellAnchor>
  <xdr:twoCellAnchor editAs="oneCell">
    <xdr:from>
      <xdr:col>0</xdr:col>
      <xdr:colOff>145676</xdr:colOff>
      <xdr:row>94</xdr:row>
      <xdr:rowOff>79563</xdr:rowOff>
    </xdr:from>
    <xdr:to>
      <xdr:col>3</xdr:col>
      <xdr:colOff>1017069</xdr:colOff>
      <xdr:row>98</xdr:row>
      <xdr:rowOff>69944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5676" y="19701063"/>
          <a:ext cx="3381511" cy="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828675</xdr:colOff>
      <xdr:row>86</xdr:row>
      <xdr:rowOff>47625</xdr:rowOff>
    </xdr:from>
    <xdr:to>
      <xdr:col>0</xdr:col>
      <xdr:colOff>1790580</xdr:colOff>
      <xdr:row>87</xdr:row>
      <xdr:rowOff>114268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8675" y="11096625"/>
          <a:ext cx="961905" cy="2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257734</xdr:colOff>
      <xdr:row>57</xdr:row>
      <xdr:rowOff>123265</xdr:rowOff>
    </xdr:from>
    <xdr:to>
      <xdr:col>4</xdr:col>
      <xdr:colOff>67235</xdr:colOff>
      <xdr:row>59</xdr:row>
      <xdr:rowOff>103052</xdr:rowOff>
    </xdr:to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5238" t="-5230" r="34449"/>
        <a:stretch/>
      </xdr:blipFill>
      <xdr:spPr>
        <a:xfrm>
          <a:off x="2767852" y="10981765"/>
          <a:ext cx="896471" cy="360787"/>
        </a:xfrm>
        <a:prstGeom prst="rect">
          <a:avLst/>
        </a:prstGeom>
      </xdr:spPr>
    </xdr:pic>
    <xdr:clientData/>
  </xdr:twoCellAnchor>
  <xdr:twoCellAnchor editAs="oneCell">
    <xdr:from>
      <xdr:col>2</xdr:col>
      <xdr:colOff>313765</xdr:colOff>
      <xdr:row>63</xdr:row>
      <xdr:rowOff>112060</xdr:rowOff>
    </xdr:from>
    <xdr:to>
      <xdr:col>3</xdr:col>
      <xdr:colOff>794688</xdr:colOff>
      <xdr:row>65</xdr:row>
      <xdr:rowOff>136671</xdr:rowOff>
    </xdr:to>
    <xdr:pic>
      <xdr:nvPicPr>
        <xdr:cNvPr id="13" name="Picture 12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70856" t="-18302" b="-1"/>
        <a:stretch/>
      </xdr:blipFill>
      <xdr:spPr>
        <a:xfrm>
          <a:off x="2442883" y="12113560"/>
          <a:ext cx="861923" cy="405611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190501</xdr:colOff>
      <xdr:row>95</xdr:row>
      <xdr:rowOff>112059</xdr:rowOff>
    </xdr:from>
    <xdr:to>
      <xdr:col>7</xdr:col>
      <xdr:colOff>3152406</xdr:colOff>
      <xdr:row>97</xdr:row>
      <xdr:rowOff>73916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65913" y="18971559"/>
          <a:ext cx="2961905" cy="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3664882</xdr:colOff>
      <xdr:row>95</xdr:row>
      <xdr:rowOff>98050</xdr:rowOff>
    </xdr:from>
    <xdr:to>
      <xdr:col>7</xdr:col>
      <xdr:colOff>5324055</xdr:colOff>
      <xdr:row>97</xdr:row>
      <xdr:rowOff>168088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40294" y="18957550"/>
          <a:ext cx="1659173" cy="451038"/>
        </a:xfrm>
        <a:prstGeom prst="rect">
          <a:avLst/>
        </a:prstGeom>
      </xdr:spPr>
    </xdr:pic>
    <xdr:clientData/>
  </xdr:twoCellAnchor>
  <xdr:twoCellAnchor editAs="oneCell">
    <xdr:from>
      <xdr:col>0</xdr:col>
      <xdr:colOff>750795</xdr:colOff>
      <xdr:row>70</xdr:row>
      <xdr:rowOff>156882</xdr:rowOff>
    </xdr:from>
    <xdr:to>
      <xdr:col>4</xdr:col>
      <xdr:colOff>115612</xdr:colOff>
      <xdr:row>72</xdr:row>
      <xdr:rowOff>118739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0795" y="13491882"/>
          <a:ext cx="2961905" cy="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1176616</xdr:colOff>
      <xdr:row>108</xdr:row>
      <xdr:rowOff>33618</xdr:rowOff>
    </xdr:from>
    <xdr:to>
      <xdr:col>7</xdr:col>
      <xdr:colOff>6281378</xdr:colOff>
      <xdr:row>119</xdr:row>
      <xdr:rowOff>128594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43381" y="20607618"/>
          <a:ext cx="5104762" cy="2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84"/>
  <sheetViews>
    <sheetView topLeftCell="A7" workbookViewId="0">
      <selection activeCell="F13" sqref="F13"/>
    </sheetView>
  </sheetViews>
  <sheetFormatPr defaultRowHeight="15" x14ac:dyDescent="0.25"/>
  <cols>
    <col min="4" max="4" width="21.140625" customWidth="1"/>
    <col min="6" max="8" width="12" bestFit="1" customWidth="1"/>
    <col min="11" max="11" width="12" bestFit="1" customWidth="1"/>
  </cols>
  <sheetData>
    <row r="6" spans="4:7" x14ac:dyDescent="0.25">
      <c r="D6" t="s">
        <v>0</v>
      </c>
      <c r="F6">
        <v>0.24765000000000001</v>
      </c>
      <c r="G6" t="s">
        <v>10</v>
      </c>
    </row>
    <row r="7" spans="4:7" x14ac:dyDescent="0.25">
      <c r="D7" t="s">
        <v>1</v>
      </c>
      <c r="F7">
        <v>3.4924999999999998E-2</v>
      </c>
      <c r="G7" t="s">
        <v>10</v>
      </c>
    </row>
    <row r="8" spans="4:7" x14ac:dyDescent="0.25">
      <c r="D8" t="s">
        <v>2</v>
      </c>
      <c r="F8">
        <v>3.4924999999999998E-2</v>
      </c>
      <c r="G8" t="s">
        <v>10</v>
      </c>
    </row>
    <row r="9" spans="4:7" x14ac:dyDescent="0.25">
      <c r="D9" t="s">
        <v>3</v>
      </c>
      <c r="F9">
        <f>F6-(2*F7)</f>
        <v>0.17780000000000001</v>
      </c>
    </row>
    <row r="10" spans="4:7" x14ac:dyDescent="0.25">
      <c r="D10" t="s">
        <v>4</v>
      </c>
      <c r="F10">
        <v>0</v>
      </c>
    </row>
    <row r="11" spans="4:7" x14ac:dyDescent="0.25">
      <c r="D11" t="s">
        <v>5</v>
      </c>
      <c r="F11" s="1">
        <v>0</v>
      </c>
    </row>
    <row r="12" spans="4:7" x14ac:dyDescent="0.25">
      <c r="D12" t="s">
        <v>6</v>
      </c>
      <c r="F12">
        <v>6674724</v>
      </c>
      <c r="G12" t="s">
        <v>29</v>
      </c>
    </row>
    <row r="13" spans="4:7" x14ac:dyDescent="0.25">
      <c r="D13" t="s">
        <v>8</v>
      </c>
      <c r="F13">
        <v>0</v>
      </c>
    </row>
    <row r="14" spans="4:7" ht="19.5" customHeight="1" x14ac:dyDescent="0.25">
      <c r="D14" t="s">
        <v>7</v>
      </c>
      <c r="F14" s="1">
        <v>551579600</v>
      </c>
      <c r="G14" t="s">
        <v>27</v>
      </c>
    </row>
    <row r="16" spans="4:7" x14ac:dyDescent="0.25">
      <c r="D16" t="s">
        <v>9</v>
      </c>
      <c r="F16">
        <f>F6-(2*F8)</f>
        <v>0.17780000000000001</v>
      </c>
      <c r="G16" t="s">
        <v>10</v>
      </c>
    </row>
    <row r="18" spans="3:7" x14ac:dyDescent="0.25">
      <c r="D18" t="s">
        <v>11</v>
      </c>
      <c r="F18">
        <f>(PI()/4)*(F6^2-F16^2)</f>
        <v>2.3340213255928492E-2</v>
      </c>
      <c r="G18" t="s">
        <v>14</v>
      </c>
    </row>
    <row r="19" spans="3:7" x14ac:dyDescent="0.25">
      <c r="D19" t="s">
        <v>12</v>
      </c>
      <c r="F19">
        <f>(PI()/4)*(F16^2)</f>
        <v>2.4828666475777392E-2</v>
      </c>
      <c r="G19" t="s">
        <v>14</v>
      </c>
    </row>
    <row r="20" spans="3:7" x14ac:dyDescent="0.25">
      <c r="D20" t="s">
        <v>13</v>
      </c>
      <c r="F20">
        <f>(PI()/4)*(F6^2)</f>
        <v>4.8168879731705881E-2</v>
      </c>
      <c r="G20" t="s">
        <v>14</v>
      </c>
    </row>
    <row r="22" spans="3:7" x14ac:dyDescent="0.25">
      <c r="D22" t="s">
        <v>15</v>
      </c>
      <c r="F22">
        <f>(PI()/64)*(F6^4-F16^4)</f>
        <v>1.355823688420667E-4</v>
      </c>
      <c r="G22" t="s">
        <v>16</v>
      </c>
    </row>
    <row r="23" spans="3:7" x14ac:dyDescent="0.25">
      <c r="C23" t="s">
        <v>17</v>
      </c>
      <c r="D23" t="s">
        <v>26</v>
      </c>
    </row>
    <row r="24" spans="3:7" x14ac:dyDescent="0.25">
      <c r="D24" t="s">
        <v>17</v>
      </c>
      <c r="F24">
        <f>F12+((F11*F19)-(F10*F20))</f>
        <v>6674724</v>
      </c>
    </row>
    <row r="28" spans="3:7" x14ac:dyDescent="0.25">
      <c r="F28">
        <f>-((F10*F6)+(F11*F16))/(F6+F16)</f>
        <v>0</v>
      </c>
    </row>
    <row r="34" spans="4:8" x14ac:dyDescent="0.25">
      <c r="F34" s="2">
        <f>((F11-F10)*F6)/(2*F8)-F11</f>
        <v>0</v>
      </c>
    </row>
    <row r="38" spans="4:8" x14ac:dyDescent="0.25">
      <c r="D38" t="s">
        <v>18</v>
      </c>
      <c r="F38">
        <f>F24/F18</f>
        <v>285975279.09495848</v>
      </c>
    </row>
    <row r="39" spans="4:8" x14ac:dyDescent="0.25">
      <c r="D39" t="s">
        <v>19</v>
      </c>
      <c r="F39">
        <f>F13/(2*F22)</f>
        <v>0</v>
      </c>
    </row>
    <row r="42" spans="4:8" x14ac:dyDescent="0.25">
      <c r="F42">
        <f>F38+(F39*(F6-F8))</f>
        <v>285975279.09495848</v>
      </c>
      <c r="H42" t="s">
        <v>20</v>
      </c>
    </row>
    <row r="45" spans="4:8" x14ac:dyDescent="0.25">
      <c r="F45">
        <f>F38-((F39*(F6-F8)))</f>
        <v>285975279.09495848</v>
      </c>
      <c r="H45" t="s">
        <v>21</v>
      </c>
    </row>
    <row r="50" spans="6:9" x14ac:dyDescent="0.25">
      <c r="F50">
        <f>1/SQRT(2)</f>
        <v>0.70710678118654746</v>
      </c>
    </row>
    <row r="55" spans="6:9" x14ac:dyDescent="0.25">
      <c r="F55">
        <f>(F28-F34)^2+(F34-F42)^2+(F42-F28)^2</f>
        <v>1.6356372050687878E+17</v>
      </c>
    </row>
    <row r="59" spans="6:9" x14ac:dyDescent="0.25">
      <c r="F59" s="2">
        <f>F50*SQRT(F55)</f>
        <v>285975279.09495842</v>
      </c>
      <c r="G59" t="s">
        <v>27</v>
      </c>
      <c r="I59" t="s">
        <v>22</v>
      </c>
    </row>
    <row r="61" spans="6:9" x14ac:dyDescent="0.25">
      <c r="F61">
        <f>F59*0.000000145037738007</f>
        <v>41.47720760585328</v>
      </c>
      <c r="G61" t="s">
        <v>28</v>
      </c>
      <c r="I61" t="s">
        <v>22</v>
      </c>
    </row>
    <row r="76" spans="3:7" x14ac:dyDescent="0.25">
      <c r="C76" t="s">
        <v>23</v>
      </c>
      <c r="E76">
        <v>1.5</v>
      </c>
      <c r="G76" t="s">
        <v>24</v>
      </c>
    </row>
    <row r="79" spans="3:7" x14ac:dyDescent="0.25">
      <c r="F79" s="1">
        <f>(2/3)*F14</f>
        <v>367719733.33333331</v>
      </c>
    </row>
    <row r="82" spans="6:8" x14ac:dyDescent="0.25">
      <c r="F82" s="1">
        <f>F79*E76</f>
        <v>551579600</v>
      </c>
      <c r="H82" t="s">
        <v>25</v>
      </c>
    </row>
    <row r="84" spans="6:8" x14ac:dyDescent="0.25">
      <c r="F84" s="2">
        <f>F82*0.000000145037738007</f>
        <v>79.999857514805853</v>
      </c>
      <c r="G84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"/>
  <sheetViews>
    <sheetView tabSelected="1" topLeftCell="I99" zoomScale="85" zoomScaleNormal="85" workbookViewId="0">
      <selection activeCell="J130" sqref="J130"/>
    </sheetView>
  </sheetViews>
  <sheetFormatPr defaultRowHeight="15" x14ac:dyDescent="0.25"/>
  <cols>
    <col min="1" max="1" width="27.28515625" customWidth="1"/>
    <col min="2" max="2" width="4.7109375" customWidth="1"/>
    <col min="3" max="3" width="5.7109375" customWidth="1"/>
    <col min="4" max="4" width="16.28515625" customWidth="1"/>
    <col min="5" max="5" width="9.42578125" customWidth="1"/>
    <col min="6" max="6" width="9" customWidth="1"/>
    <col min="7" max="7" width="6.5703125" style="7" customWidth="1"/>
    <col min="8" max="8" width="107.5703125" customWidth="1"/>
    <col min="9" max="9" width="12.28515625" bestFit="1" customWidth="1"/>
    <col min="11" max="11" width="4.42578125" style="7" customWidth="1"/>
    <col min="12" max="12" width="48.140625" customWidth="1"/>
    <col min="13" max="13" width="11.7109375" customWidth="1"/>
    <col min="15" max="15" width="4.42578125" style="7" customWidth="1"/>
    <col min="16" max="16" width="24.85546875" customWidth="1"/>
  </cols>
  <sheetData>
    <row r="1" spans="1:18" x14ac:dyDescent="0.25">
      <c r="A1" s="9"/>
      <c r="B1" s="9"/>
      <c r="C1" s="10" t="s">
        <v>45</v>
      </c>
      <c r="D1" s="27" t="s">
        <v>31</v>
      </c>
      <c r="E1" s="27"/>
      <c r="F1" s="27"/>
      <c r="G1" s="11"/>
      <c r="H1" s="27" t="s">
        <v>40</v>
      </c>
      <c r="I1" s="27"/>
      <c r="J1" s="27"/>
      <c r="K1" s="11"/>
      <c r="L1" s="27" t="s">
        <v>43</v>
      </c>
      <c r="M1" s="27"/>
      <c r="N1" s="27"/>
      <c r="O1" s="11"/>
      <c r="P1" s="27" t="s">
        <v>44</v>
      </c>
      <c r="Q1" s="27"/>
      <c r="R1" s="27"/>
    </row>
    <row r="2" spans="1:18" x14ac:dyDescent="0.25">
      <c r="C2" s="8"/>
      <c r="D2" s="4"/>
      <c r="E2" s="4"/>
      <c r="F2" s="4"/>
      <c r="G2" s="6"/>
      <c r="H2" s="4"/>
      <c r="I2" s="4" t="s">
        <v>47</v>
      </c>
      <c r="J2" s="4"/>
      <c r="K2" s="6"/>
      <c r="L2" s="4"/>
      <c r="M2" s="4"/>
      <c r="N2" s="4"/>
      <c r="O2" s="6"/>
      <c r="P2" s="4"/>
      <c r="Q2" s="4"/>
      <c r="R2" s="4"/>
    </row>
    <row r="3" spans="1:18" x14ac:dyDescent="0.25">
      <c r="C3" s="3" t="s">
        <v>41</v>
      </c>
      <c r="D3" s="4"/>
      <c r="E3" s="4"/>
      <c r="F3" s="4"/>
      <c r="G3" s="6"/>
      <c r="K3" s="6"/>
      <c r="O3" s="6"/>
    </row>
    <row r="4" spans="1:18" x14ac:dyDescent="0.25">
      <c r="A4" s="3" t="s">
        <v>30</v>
      </c>
      <c r="B4" s="3"/>
      <c r="C4" s="3"/>
    </row>
    <row r="5" spans="1:18" x14ac:dyDescent="0.25">
      <c r="A5" t="s">
        <v>0</v>
      </c>
      <c r="C5" t="s">
        <v>10</v>
      </c>
      <c r="D5">
        <v>0.24765000000000001</v>
      </c>
      <c r="E5">
        <v>0.24765000000000001</v>
      </c>
    </row>
    <row r="6" spans="1:18" x14ac:dyDescent="0.25">
      <c r="A6" t="s">
        <v>1</v>
      </c>
      <c r="C6" t="s">
        <v>10</v>
      </c>
      <c r="D6">
        <v>3.4924999999999998E-2</v>
      </c>
      <c r="E6">
        <v>3.4924999999999998E-2</v>
      </c>
    </row>
    <row r="7" spans="1:18" x14ac:dyDescent="0.25">
      <c r="A7" t="s">
        <v>2</v>
      </c>
      <c r="C7" t="s">
        <v>10</v>
      </c>
      <c r="D7">
        <v>3.4924999999999998E-2</v>
      </c>
      <c r="E7">
        <v>3.4924999999999998E-2</v>
      </c>
    </row>
    <row r="8" spans="1:18" x14ac:dyDescent="0.25">
      <c r="A8" t="s">
        <v>3</v>
      </c>
      <c r="D8">
        <f>D5-(2*D6)</f>
        <v>0.17780000000000001</v>
      </c>
      <c r="E8">
        <f>E5-(2*E6)</f>
        <v>0.17780000000000001</v>
      </c>
    </row>
    <row r="10" spans="1:18" x14ac:dyDescent="0.25">
      <c r="A10" s="3" t="s">
        <v>33</v>
      </c>
      <c r="B10" s="3"/>
      <c r="C10" s="3"/>
    </row>
    <row r="11" spans="1:18" x14ac:dyDescent="0.25">
      <c r="A11" t="s">
        <v>34</v>
      </c>
      <c r="C11" t="s">
        <v>42</v>
      </c>
      <c r="D11" s="4">
        <v>80</v>
      </c>
    </row>
    <row r="12" spans="1:18" x14ac:dyDescent="0.25">
      <c r="C12" t="s">
        <v>27</v>
      </c>
      <c r="D12" s="1">
        <f>D11*6894757.293178</f>
        <v>551580583.45423996</v>
      </c>
    </row>
    <row r="14" spans="1:18" x14ac:dyDescent="0.25">
      <c r="A14" t="s">
        <v>11</v>
      </c>
      <c r="C14" t="s">
        <v>14</v>
      </c>
      <c r="D14">
        <f>(PI()/4)*(D5^2-D8^2)</f>
        <v>2.3340213255928492E-2</v>
      </c>
    </row>
    <row r="15" spans="1:18" x14ac:dyDescent="0.25">
      <c r="A15" t="s">
        <v>12</v>
      </c>
      <c r="B15" t="s">
        <v>51</v>
      </c>
      <c r="C15" t="s">
        <v>14</v>
      </c>
      <c r="D15">
        <f>(PI()/4)*(D8^2)</f>
        <v>2.4828666475777392E-2</v>
      </c>
    </row>
    <row r="16" spans="1:18" x14ac:dyDescent="0.25">
      <c r="A16" t="s">
        <v>13</v>
      </c>
      <c r="B16" t="s">
        <v>52</v>
      </c>
      <c r="C16" t="s">
        <v>14</v>
      </c>
      <c r="D16">
        <f>(PI()/4)*(D5^2)</f>
        <v>4.8168879731705881E-2</v>
      </c>
    </row>
    <row r="17" spans="1:18" x14ac:dyDescent="0.25">
      <c r="A17" t="s">
        <v>15</v>
      </c>
      <c r="B17" t="s">
        <v>53</v>
      </c>
      <c r="C17" t="s">
        <v>16</v>
      </c>
      <c r="D17">
        <f>PI()/64*(D5^4-D8^4)</f>
        <v>1.355823688420667E-4</v>
      </c>
    </row>
    <row r="19" spans="1:18" x14ac:dyDescent="0.25">
      <c r="A19" s="3" t="s">
        <v>32</v>
      </c>
      <c r="B19" s="3"/>
      <c r="C19" s="3"/>
    </row>
    <row r="20" spans="1:18" x14ac:dyDescent="0.25">
      <c r="A20" t="s">
        <v>4</v>
      </c>
      <c r="B20" t="s">
        <v>54</v>
      </c>
      <c r="D20">
        <v>0</v>
      </c>
      <c r="F20" s="4"/>
      <c r="G20" s="6"/>
      <c r="H20" s="4">
        <v>0</v>
      </c>
      <c r="J20" s="4"/>
      <c r="K20" s="6"/>
      <c r="L20" s="4">
        <v>0</v>
      </c>
      <c r="N20" s="4"/>
      <c r="O20" s="6"/>
      <c r="P20" s="19" t="e">
        <f>#REF!</f>
        <v>#REF!</v>
      </c>
      <c r="R20" s="4"/>
    </row>
    <row r="21" spans="1:18" x14ac:dyDescent="0.25">
      <c r="A21" t="s">
        <v>5</v>
      </c>
      <c r="B21" t="s">
        <v>50</v>
      </c>
      <c r="C21" t="s">
        <v>42</v>
      </c>
      <c r="D21" s="21">
        <v>10</v>
      </c>
      <c r="F21" s="4"/>
      <c r="G21" s="6"/>
      <c r="H21" s="4">
        <v>0</v>
      </c>
      <c r="J21" s="4"/>
      <c r="K21" s="6"/>
      <c r="L21" s="4">
        <v>0</v>
      </c>
      <c r="N21" s="4"/>
      <c r="O21" s="6"/>
      <c r="P21" s="4">
        <v>0</v>
      </c>
      <c r="R21" s="4"/>
    </row>
    <row r="22" spans="1:18" x14ac:dyDescent="0.25">
      <c r="A22" t="s">
        <v>6</v>
      </c>
      <c r="C22" s="4" t="s">
        <v>29</v>
      </c>
      <c r="D22">
        <v>0</v>
      </c>
      <c r="F22" s="4"/>
      <c r="G22" s="6"/>
      <c r="H22" s="25">
        <f>I117</f>
        <v>1.4158713919635657</v>
      </c>
      <c r="J22" s="4"/>
      <c r="K22" s="6"/>
      <c r="L22" s="4">
        <v>0</v>
      </c>
      <c r="N22" s="4"/>
      <c r="O22" s="6"/>
      <c r="P22" s="4">
        <v>0</v>
      </c>
      <c r="R22" s="4"/>
    </row>
    <row r="23" spans="1:18" x14ac:dyDescent="0.25">
      <c r="A23" t="s">
        <v>8</v>
      </c>
      <c r="C23" s="4" t="s">
        <v>59</v>
      </c>
      <c r="D23" s="4">
        <v>0</v>
      </c>
      <c r="F23" s="4"/>
      <c r="G23" s="6"/>
      <c r="H23" s="4">
        <v>0</v>
      </c>
      <c r="I23" s="4">
        <v>0</v>
      </c>
      <c r="J23" s="4"/>
      <c r="K23" s="6"/>
      <c r="L23" s="19" t="e">
        <f>#REF!</f>
        <v>#REF!</v>
      </c>
      <c r="M23" s="4" t="e">
        <f>L23/1000</f>
        <v>#REF!</v>
      </c>
      <c r="N23" s="4"/>
      <c r="O23" s="6"/>
      <c r="P23" s="4">
        <v>0</v>
      </c>
      <c r="Q23" s="4">
        <v>0</v>
      </c>
      <c r="R23" s="4"/>
    </row>
    <row r="24" spans="1:18" x14ac:dyDescent="0.25">
      <c r="C24" s="4"/>
      <c r="D24" s="4"/>
      <c r="F24" s="4"/>
      <c r="G24" s="6"/>
      <c r="H24" s="4"/>
      <c r="I24" s="4"/>
      <c r="J24" s="4"/>
      <c r="K24" s="6"/>
      <c r="L24" s="4"/>
      <c r="M24" s="4"/>
      <c r="N24" s="4"/>
      <c r="O24" s="6"/>
      <c r="P24" s="4"/>
      <c r="Q24" s="4"/>
      <c r="R24" s="4"/>
    </row>
    <row r="25" spans="1:18" x14ac:dyDescent="0.25">
      <c r="A25" t="s">
        <v>46</v>
      </c>
      <c r="C25" s="4"/>
      <c r="D25" t="s">
        <v>26</v>
      </c>
      <c r="F25" s="4"/>
      <c r="G25" s="6"/>
      <c r="H25" s="4" t="s">
        <v>49</v>
      </c>
      <c r="I25" s="4"/>
      <c r="J25" s="4"/>
      <c r="K25" s="6"/>
      <c r="L25" s="4"/>
      <c r="M25" s="4"/>
      <c r="N25" s="4"/>
      <c r="O25" s="6"/>
      <c r="P25" s="4"/>
      <c r="Q25" s="4"/>
      <c r="R25" s="4"/>
    </row>
    <row r="26" spans="1:18" x14ac:dyDescent="0.25">
      <c r="A26" t="s">
        <v>49</v>
      </c>
      <c r="C26" s="4"/>
      <c r="D26" t="s">
        <v>48</v>
      </c>
      <c r="F26" s="4"/>
      <c r="G26" s="6"/>
      <c r="H26" s="4"/>
      <c r="I26" s="4"/>
      <c r="J26" s="4"/>
      <c r="K26" s="6"/>
      <c r="L26" s="4"/>
      <c r="M26" s="4"/>
      <c r="N26" s="4"/>
      <c r="O26" s="6"/>
      <c r="P26" s="18" t="s">
        <v>60</v>
      </c>
      <c r="Q26" s="4"/>
      <c r="R26" s="4"/>
    </row>
    <row r="27" spans="1:18" x14ac:dyDescent="0.25">
      <c r="C27" s="4"/>
      <c r="F27" s="4"/>
      <c r="G27" s="6"/>
      <c r="H27" s="4"/>
      <c r="I27" s="4"/>
      <c r="J27" s="4"/>
      <c r="K27" s="6"/>
      <c r="L27" s="4"/>
      <c r="M27" s="4"/>
      <c r="N27" s="4"/>
      <c r="O27" s="6"/>
      <c r="P27" s="4"/>
      <c r="Q27" s="4"/>
      <c r="R27" s="4"/>
    </row>
    <row r="28" spans="1:18" x14ac:dyDescent="0.25">
      <c r="B28" t="s">
        <v>55</v>
      </c>
      <c r="C28" t="s">
        <v>56</v>
      </c>
      <c r="D28" s="4"/>
      <c r="E28" s="4"/>
      <c r="F28" s="4"/>
      <c r="G28" s="6"/>
      <c r="H28" s="4"/>
      <c r="I28" s="4"/>
      <c r="J28" s="4"/>
      <c r="K28" s="6"/>
      <c r="L28" s="4"/>
      <c r="M28" s="4"/>
      <c r="N28" s="4"/>
      <c r="O28" s="6"/>
      <c r="P28" s="4"/>
      <c r="Q28" s="4"/>
      <c r="R28" s="4"/>
    </row>
    <row r="29" spans="1:18" x14ac:dyDescent="0.25">
      <c r="A29" t="s">
        <v>23</v>
      </c>
      <c r="C29" s="4"/>
      <c r="D29" s="12">
        <v>1.5</v>
      </c>
      <c r="E29" s="12">
        <v>1.2</v>
      </c>
      <c r="F29" s="12">
        <v>1</v>
      </c>
      <c r="G29" s="6"/>
      <c r="H29" s="4">
        <v>1.5</v>
      </c>
      <c r="I29" s="4">
        <v>1.2</v>
      </c>
      <c r="J29" s="4">
        <v>1</v>
      </c>
      <c r="K29" s="6"/>
      <c r="L29" s="4">
        <v>1.5</v>
      </c>
      <c r="M29" s="4">
        <v>1.2</v>
      </c>
      <c r="N29" s="4">
        <v>1</v>
      </c>
      <c r="O29" s="6"/>
      <c r="P29" s="4">
        <v>1.5</v>
      </c>
      <c r="Q29" s="4">
        <v>1.2</v>
      </c>
      <c r="R29" s="4">
        <v>1</v>
      </c>
    </row>
    <row r="33" spans="4:16" x14ac:dyDescent="0.25">
      <c r="H33" s="5" t="s">
        <v>86</v>
      </c>
    </row>
    <row r="34" spans="4:16" x14ac:dyDescent="0.25">
      <c r="H34">
        <f>-(D21*D8)/(D5+D8)</f>
        <v>-4.1791044776119408</v>
      </c>
      <c r="L34">
        <f>H34</f>
        <v>-4.1791044776119408</v>
      </c>
    </row>
    <row r="35" spans="4:16" x14ac:dyDescent="0.25">
      <c r="P35" s="5"/>
    </row>
    <row r="40" spans="4:16" x14ac:dyDescent="0.25">
      <c r="D40" s="5"/>
      <c r="H40" t="s">
        <v>87</v>
      </c>
      <c r="P40" s="5"/>
    </row>
    <row r="41" spans="4:16" x14ac:dyDescent="0.25">
      <c r="H41">
        <f>D21*(D5/(2*D7))-D21</f>
        <v>25.45454545454546</v>
      </c>
      <c r="L41">
        <f>H41</f>
        <v>25.45454545454546</v>
      </c>
    </row>
    <row r="42" spans="4:16" x14ac:dyDescent="0.25">
      <c r="D42" s="1"/>
    </row>
    <row r="46" spans="4:16" x14ac:dyDescent="0.25">
      <c r="H46" t="s">
        <v>18</v>
      </c>
      <c r="I46" t="s">
        <v>63</v>
      </c>
      <c r="L46" t="s">
        <v>88</v>
      </c>
    </row>
    <row r="47" spans="4:16" x14ac:dyDescent="0.25">
      <c r="H47" s="15" t="s">
        <v>49</v>
      </c>
      <c r="I47">
        <f>1/D14</f>
        <v>42.844509989470495</v>
      </c>
      <c r="L47" t="s">
        <v>89</v>
      </c>
      <c r="M47">
        <f>(1/(2*D17))*(D5-D7)</f>
        <v>784.48621976723609</v>
      </c>
    </row>
    <row r="48" spans="4:16" x14ac:dyDescent="0.25">
      <c r="H48" s="1"/>
    </row>
    <row r="49" spans="1:16" x14ac:dyDescent="0.25">
      <c r="D49" s="3"/>
      <c r="H49" s="1"/>
    </row>
    <row r="51" spans="1:16" x14ac:dyDescent="0.25">
      <c r="D51" s="5"/>
      <c r="P51" s="5"/>
    </row>
    <row r="52" spans="1:16" x14ac:dyDescent="0.25">
      <c r="D52" s="5"/>
      <c r="P52" s="5"/>
    </row>
    <row r="53" spans="1:16" x14ac:dyDescent="0.25">
      <c r="H53">
        <f>(H34-H41)^2</f>
        <v>878.15320830165228</v>
      </c>
      <c r="L53">
        <f>(L34-L41)^2</f>
        <v>878.15320830165228</v>
      </c>
    </row>
    <row r="54" spans="1:16" x14ac:dyDescent="0.25">
      <c r="D54" s="14"/>
    </row>
    <row r="55" spans="1:16" x14ac:dyDescent="0.25">
      <c r="A55" s="15"/>
    </row>
    <row r="57" spans="1:16" x14ac:dyDescent="0.25">
      <c r="D57" s="5"/>
      <c r="P57" s="5"/>
    </row>
    <row r="58" spans="1:16" x14ac:dyDescent="0.25">
      <c r="D58" s="5"/>
      <c r="P58" s="5"/>
    </row>
    <row r="59" spans="1:16" x14ac:dyDescent="0.25">
      <c r="H59" t="s">
        <v>64</v>
      </c>
      <c r="L59" t="s">
        <v>90</v>
      </c>
    </row>
    <row r="60" spans="1:16" x14ac:dyDescent="0.25">
      <c r="H60" t="s">
        <v>68</v>
      </c>
      <c r="L60" t="s">
        <v>91</v>
      </c>
    </row>
    <row r="61" spans="1:16" x14ac:dyDescent="0.25">
      <c r="A61" s="15"/>
    </row>
    <row r="63" spans="1:16" x14ac:dyDescent="0.25">
      <c r="D63" s="5"/>
      <c r="P63" s="5"/>
    </row>
    <row r="64" spans="1:16" x14ac:dyDescent="0.25">
      <c r="D64" s="5"/>
      <c r="P64" s="5"/>
    </row>
    <row r="65" spans="1:16" x14ac:dyDescent="0.25">
      <c r="D65" s="5"/>
      <c r="H65" t="s">
        <v>65</v>
      </c>
      <c r="L65" t="s">
        <v>92</v>
      </c>
      <c r="P65" s="5"/>
    </row>
    <row r="66" spans="1:16" x14ac:dyDescent="0.25">
      <c r="D66" s="5"/>
      <c r="H66" t="s">
        <v>67</v>
      </c>
      <c r="L66" t="s">
        <v>93</v>
      </c>
    </row>
    <row r="67" spans="1:16" x14ac:dyDescent="0.25">
      <c r="A67" s="15"/>
      <c r="D67" s="5"/>
    </row>
    <row r="68" spans="1:16" x14ac:dyDescent="0.25">
      <c r="A68" s="15"/>
      <c r="D68" s="5"/>
      <c r="H68" t="s">
        <v>63</v>
      </c>
      <c r="I68">
        <f>1/D14</f>
        <v>42.844509989470495</v>
      </c>
      <c r="L68" t="s">
        <v>89</v>
      </c>
      <c r="M68">
        <f>M47</f>
        <v>784.48621976723609</v>
      </c>
    </row>
    <row r="69" spans="1:16" x14ac:dyDescent="0.25">
      <c r="A69" s="15"/>
      <c r="D69" s="5"/>
      <c r="H69" t="s">
        <v>74</v>
      </c>
      <c r="I69">
        <f>2*I68</f>
        <v>85.689019978940991</v>
      </c>
      <c r="L69" t="s">
        <v>94</v>
      </c>
      <c r="M69">
        <f>M68^2</f>
        <v>615418.62900468823</v>
      </c>
    </row>
    <row r="70" spans="1:16" x14ac:dyDescent="0.25">
      <c r="A70" s="15"/>
      <c r="D70" s="5"/>
      <c r="H70" t="s">
        <v>73</v>
      </c>
      <c r="I70">
        <f>I68^2</f>
        <v>1835.6520362378371</v>
      </c>
      <c r="L70" t="s">
        <v>95</v>
      </c>
      <c r="M70">
        <f>M68*L34</f>
        <v>-3278.4498736541213</v>
      </c>
    </row>
    <row r="71" spans="1:16" x14ac:dyDescent="0.25">
      <c r="A71" s="15"/>
      <c r="D71" s="5"/>
    </row>
    <row r="72" spans="1:16" x14ac:dyDescent="0.25">
      <c r="A72" s="15"/>
      <c r="D72" s="5"/>
      <c r="H72" t="s">
        <v>66</v>
      </c>
      <c r="L72" t="s">
        <v>96</v>
      </c>
    </row>
    <row r="73" spans="1:16" x14ac:dyDescent="0.25">
      <c r="A73" s="15"/>
      <c r="D73" s="5"/>
      <c r="H73" t="s">
        <v>69</v>
      </c>
      <c r="L73" t="s">
        <v>97</v>
      </c>
    </row>
    <row r="74" spans="1:16" x14ac:dyDescent="0.25">
      <c r="A74" s="15"/>
      <c r="D74" s="5"/>
      <c r="H74" t="s">
        <v>70</v>
      </c>
      <c r="L74" t="s">
        <v>98</v>
      </c>
      <c r="P74" s="5"/>
    </row>
    <row r="75" spans="1:16" x14ac:dyDescent="0.25">
      <c r="A75" s="15"/>
      <c r="D75" s="5"/>
    </row>
    <row r="76" spans="1:16" x14ac:dyDescent="0.25">
      <c r="D76" s="16"/>
      <c r="H76" t="s">
        <v>72</v>
      </c>
      <c r="I76">
        <f>H34-H41</f>
        <v>-29.6336499321574</v>
      </c>
      <c r="P76" s="16"/>
    </row>
    <row r="77" spans="1:16" x14ac:dyDescent="0.25">
      <c r="A77" s="15"/>
      <c r="D77" s="16"/>
      <c r="H77" t="s">
        <v>71</v>
      </c>
      <c r="I77">
        <f>H53+H41^2+H34^2</f>
        <v>1543.5520068339695</v>
      </c>
    </row>
    <row r="78" spans="1:16" x14ac:dyDescent="0.25">
      <c r="A78" s="15"/>
      <c r="D78" s="16"/>
      <c r="H78">
        <f>I77</f>
        <v>1543.5520068339695</v>
      </c>
      <c r="I78" t="s">
        <v>62</v>
      </c>
    </row>
    <row r="79" spans="1:16" x14ac:dyDescent="0.25">
      <c r="A79" s="15"/>
      <c r="D79" s="16"/>
      <c r="H79" t="s">
        <v>84</v>
      </c>
      <c r="I79" s="2">
        <f>I68*(H34-H41)</f>
        <v>-1269.6392105427894</v>
      </c>
    </row>
    <row r="81" spans="1:10" x14ac:dyDescent="0.25">
      <c r="H81">
        <f>(1/SQRT(2))*SQRT(H78)</f>
        <v>27.780856779750053</v>
      </c>
    </row>
    <row r="83" spans="1:10" x14ac:dyDescent="0.25">
      <c r="A83" s="15"/>
      <c r="E83" s="3"/>
      <c r="H83" t="str">
        <f>H81&amp;H25</f>
        <v>27.7808567797501T</v>
      </c>
      <c r="I83" s="3" t="s">
        <v>57</v>
      </c>
    </row>
    <row r="85" spans="1:10" x14ac:dyDescent="0.25">
      <c r="A85" t="s">
        <v>75</v>
      </c>
      <c r="D85">
        <v>0.67</v>
      </c>
      <c r="E85" s="4">
        <v>0.8</v>
      </c>
      <c r="F85" s="4">
        <v>1</v>
      </c>
      <c r="H85" s="13">
        <f>2/3</f>
        <v>0.66666666666666663</v>
      </c>
      <c r="I85" s="4">
        <v>0.8</v>
      </c>
      <c r="J85" s="4">
        <v>1</v>
      </c>
    </row>
    <row r="88" spans="1:10" x14ac:dyDescent="0.25">
      <c r="C88" t="s">
        <v>76</v>
      </c>
      <c r="D88" s="1">
        <f>D85*D11</f>
        <v>53.6</v>
      </c>
      <c r="E88" s="1">
        <f>E85*D11</f>
        <v>64</v>
      </c>
      <c r="F88" s="1">
        <f>F85*$D$11</f>
        <v>80</v>
      </c>
      <c r="H88">
        <f>H85*$D$11</f>
        <v>53.333333333333329</v>
      </c>
      <c r="I88">
        <f>I85*$D$11</f>
        <v>64</v>
      </c>
      <c r="J88">
        <f>J85*$D$11</f>
        <v>80</v>
      </c>
    </row>
    <row r="91" spans="1:10" x14ac:dyDescent="0.25">
      <c r="C91" t="s">
        <v>28</v>
      </c>
      <c r="D91" s="20">
        <f>D29*$D88</f>
        <v>80.400000000000006</v>
      </c>
      <c r="E91" s="4">
        <f>E29*$E88</f>
        <v>76.8</v>
      </c>
      <c r="F91" s="4">
        <f>F29*$D88</f>
        <v>53.6</v>
      </c>
      <c r="G91" s="17" t="s">
        <v>58</v>
      </c>
      <c r="H91" s="4">
        <f>H29*$D88</f>
        <v>80.400000000000006</v>
      </c>
      <c r="I91" s="4">
        <f>I29*$D88</f>
        <v>64.319999999999993</v>
      </c>
      <c r="J91" s="4">
        <f>J29*$D88</f>
        <v>53.6</v>
      </c>
    </row>
    <row r="92" spans="1:10" x14ac:dyDescent="0.25">
      <c r="D92" s="1"/>
      <c r="E92" s="1"/>
      <c r="F92" s="1"/>
      <c r="G92" s="17" t="s">
        <v>61</v>
      </c>
      <c r="H92" s="1">
        <f>H91/0.000145037738007</f>
        <v>554338.4853128338</v>
      </c>
      <c r="I92" s="1">
        <f>I91/0.000145037738007</f>
        <v>443470.78825026692</v>
      </c>
      <c r="J92" s="1">
        <f>J91/0.000145037738007</f>
        <v>369558.99020855583</v>
      </c>
    </row>
    <row r="93" spans="1:10" x14ac:dyDescent="0.25">
      <c r="D93" s="1"/>
      <c r="E93" s="1"/>
      <c r="F93" s="1"/>
      <c r="G93" s="17"/>
      <c r="H93" s="1"/>
      <c r="I93" s="1"/>
      <c r="J93" s="1"/>
    </row>
    <row r="94" spans="1:10" x14ac:dyDescent="0.25">
      <c r="H94" t="s">
        <v>78</v>
      </c>
    </row>
    <row r="97" spans="5:9" x14ac:dyDescent="0.25">
      <c r="E97" t="s">
        <v>77</v>
      </c>
      <c r="H97" s="4" t="s">
        <v>77</v>
      </c>
    </row>
    <row r="100" spans="5:9" x14ac:dyDescent="0.25">
      <c r="G100" s="7" t="s">
        <v>62</v>
      </c>
    </row>
    <row r="101" spans="5:9" x14ac:dyDescent="0.25">
      <c r="H101" t="s">
        <v>79</v>
      </c>
    </row>
    <row r="102" spans="5:9" x14ac:dyDescent="0.25">
      <c r="H102" t="s">
        <v>80</v>
      </c>
    </row>
    <row r="103" spans="5:9" x14ac:dyDescent="0.25">
      <c r="H103" t="s">
        <v>81</v>
      </c>
    </row>
    <row r="104" spans="5:9" x14ac:dyDescent="0.25">
      <c r="H104" t="s">
        <v>83</v>
      </c>
    </row>
    <row r="106" spans="5:9" x14ac:dyDescent="0.25">
      <c r="H106" t="s">
        <v>82</v>
      </c>
      <c r="I106" s="24">
        <f>(F91^2)-(I77)</f>
        <v>1329.4079931660306</v>
      </c>
    </row>
    <row r="108" spans="5:9" x14ac:dyDescent="0.25">
      <c r="H108" t="s">
        <v>83</v>
      </c>
    </row>
    <row r="111" spans="5:9" x14ac:dyDescent="0.25">
      <c r="I111" s="23">
        <f>I106-I79</f>
        <v>2599.0472037088202</v>
      </c>
    </row>
    <row r="117" spans="8:10" x14ac:dyDescent="0.25">
      <c r="I117" s="22">
        <f>I111/I70</f>
        <v>1.4158713919635657</v>
      </c>
    </row>
    <row r="128" spans="8:10" x14ac:dyDescent="0.25">
      <c r="H128" s="3" t="s">
        <v>40</v>
      </c>
      <c r="I128" s="26">
        <f>I117</f>
        <v>1.4158713919635657</v>
      </c>
      <c r="J128" t="s">
        <v>99</v>
      </c>
    </row>
    <row r="129" spans="9:10" x14ac:dyDescent="0.25">
      <c r="I129" t="s">
        <v>85</v>
      </c>
    </row>
    <row r="130" spans="9:10" x14ac:dyDescent="0.25">
      <c r="I130" s="26">
        <f>I106</f>
        <v>1329.4079931660306</v>
      </c>
      <c r="J130" t="s">
        <v>99</v>
      </c>
    </row>
  </sheetData>
  <mergeCells count="4">
    <mergeCell ref="D1:F1"/>
    <mergeCell ref="H1:J1"/>
    <mergeCell ref="L1:N1"/>
    <mergeCell ref="P1:R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t="s">
        <v>35</v>
      </c>
    </row>
    <row r="3" spans="1:1" x14ac:dyDescent="0.25">
      <c r="A3" t="s">
        <v>36</v>
      </c>
    </row>
    <row r="5" spans="1:1" x14ac:dyDescent="0.25">
      <c r="A5" t="s">
        <v>37</v>
      </c>
    </row>
    <row r="7" spans="1:1" x14ac:dyDescent="0.25">
      <c r="A7" t="s">
        <v>38</v>
      </c>
    </row>
    <row r="9" spans="1:1" x14ac:dyDescent="0.25">
      <c r="A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Limits</vt:lpstr>
      <vt:lpstr>Structures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2017-08-08T03:58:04Z</dcterms:modified>
</cp:coreProperties>
</file>