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Inputs" sheetId="1" r:id="rId1"/>
    <sheet name="Limits" sheetId="2" r:id="rId2"/>
    <sheet name="Structures" sheetId="3" r:id="rId3"/>
    <sheet name="ResultsTable" sheetId="4" r:id="rId4"/>
    <sheet name="BM Vs Tension plot" sheetId="6" r:id="rId5"/>
  </sheets>
  <calcPr calcId="152511"/>
</workbook>
</file>

<file path=xl/calcChain.xml><?xml version="1.0" encoding="utf-8"?>
<calcChain xmlns="http://schemas.openxmlformats.org/spreadsheetml/2006/main">
  <c r="D83" i="2" l="1"/>
  <c r="D86" i="2" s="1"/>
  <c r="D87" i="2" s="1"/>
  <c r="F83" i="2"/>
  <c r="F86" i="2" l="1"/>
  <c r="F87" i="2" s="1"/>
  <c r="H41" i="2"/>
  <c r="AB12" i="4" l="1"/>
  <c r="AA12" i="4"/>
  <c r="Z12" i="4"/>
  <c r="AF12" i="4"/>
  <c r="AE12" i="4"/>
  <c r="AD12" i="4"/>
  <c r="AC12" i="4"/>
  <c r="O13" i="4"/>
  <c r="U13" i="4" s="1"/>
  <c r="AD13" i="4" s="1"/>
  <c r="K13" i="4"/>
  <c r="Y13" i="4" s="1"/>
  <c r="Z13" i="4" s="1"/>
  <c r="J13" i="4"/>
  <c r="I13" i="4"/>
  <c r="L13" i="4" s="1"/>
  <c r="X13" i="4" s="1"/>
  <c r="AA13" i="4" s="1"/>
  <c r="H13" i="4"/>
  <c r="M13" i="4" s="1"/>
  <c r="W13" i="4" s="1"/>
  <c r="AB13" i="4" s="1"/>
  <c r="G13" i="4"/>
  <c r="N13" i="4" s="1"/>
  <c r="V13" i="4" s="1"/>
  <c r="AC13" i="4" s="1"/>
  <c r="F13" i="4"/>
  <c r="E13" i="4"/>
  <c r="P13" i="4" s="1"/>
  <c r="T13" i="4" s="1"/>
  <c r="AE13" i="4" s="1"/>
  <c r="D13" i="4"/>
  <c r="Q13" i="4" s="1"/>
  <c r="S13" i="4" s="1"/>
  <c r="AF13" i="4" s="1"/>
  <c r="C13" i="4"/>
  <c r="R13" i="4" s="1"/>
  <c r="AG13" i="4" s="1"/>
  <c r="O12" i="4"/>
  <c r="K12" i="4"/>
  <c r="J12" i="4"/>
  <c r="I12" i="4"/>
  <c r="L12" i="4" s="1"/>
  <c r="H12" i="4"/>
  <c r="M12" i="4" s="1"/>
  <c r="G12" i="4"/>
  <c r="N12" i="4" s="1"/>
  <c r="F12" i="4"/>
  <c r="E12" i="4"/>
  <c r="P12" i="4" s="1"/>
  <c r="D12" i="4"/>
  <c r="Q12" i="4" s="1"/>
  <c r="C12" i="4"/>
  <c r="R12" i="4" s="1"/>
  <c r="AG12" i="4" s="1"/>
  <c r="E83" i="2" l="1"/>
  <c r="E86" i="2" s="1"/>
  <c r="E87" i="2" s="1"/>
  <c r="D12" i="2" l="1"/>
  <c r="D16" i="2" l="1"/>
  <c r="D8" i="2" l="1"/>
  <c r="H34" i="2" s="1"/>
  <c r="H53" i="2" s="1"/>
  <c r="E8" i="2"/>
  <c r="I77" i="2" l="1"/>
  <c r="D14" i="2"/>
  <c r="I68" i="2" s="1"/>
  <c r="I110" i="2" s="1"/>
  <c r="D17" i="2"/>
  <c r="I47" i="2" s="1"/>
  <c r="I75" i="2" s="1"/>
  <c r="D15" i="2"/>
  <c r="I99" i="2" l="1"/>
  <c r="I102" i="2" s="1"/>
  <c r="I111" i="2"/>
  <c r="F82" i="1"/>
  <c r="F84" i="1" s="1"/>
  <c r="F79" i="1"/>
  <c r="I76" i="2" l="1"/>
  <c r="I112" i="2"/>
  <c r="I116" i="2" s="1"/>
  <c r="K116" i="2" s="1"/>
  <c r="I69" i="2"/>
  <c r="I70" i="2"/>
  <c r="F50" i="1"/>
  <c r="F34" i="1"/>
  <c r="F20" i="1"/>
  <c r="F16" i="1"/>
  <c r="F9" i="1"/>
  <c r="F22" i="1" l="1"/>
  <c r="F39" i="1" s="1"/>
  <c r="F19" i="1"/>
  <c r="I115" i="2"/>
  <c r="F18" i="1"/>
  <c r="F28" i="1"/>
  <c r="F24" i="1"/>
  <c r="K115" i="2" l="1"/>
  <c r="H22" i="2"/>
  <c r="F38" i="1"/>
  <c r="F45" i="1" l="1"/>
  <c r="F42" i="1"/>
  <c r="F55" i="1" s="1"/>
  <c r="F59" i="1" s="1"/>
  <c r="F61" i="1" s="1"/>
</calcChain>
</file>

<file path=xl/sharedStrings.xml><?xml version="1.0" encoding="utf-8"?>
<sst xmlns="http://schemas.openxmlformats.org/spreadsheetml/2006/main" count="136" uniqueCount="94">
  <si>
    <t>pipeNominalOD</t>
  </si>
  <si>
    <t>pipeNominalWT</t>
  </si>
  <si>
    <t>pipeMinimumWT</t>
  </si>
  <si>
    <t>pipeNominalID</t>
  </si>
  <si>
    <t>pipeExternalPressure</t>
  </si>
  <si>
    <t>pipeInternalPressure</t>
  </si>
  <si>
    <t>pipeTensionEffective</t>
  </si>
  <si>
    <t>pipeYieldStrength</t>
  </si>
  <si>
    <t>pipeMoment</t>
  </si>
  <si>
    <t>pipeMinimumID</t>
  </si>
  <si>
    <t>m</t>
  </si>
  <si>
    <t>pipeA</t>
  </si>
  <si>
    <t>pipeAi</t>
  </si>
  <si>
    <t>pipeAo</t>
  </si>
  <si>
    <t>m^2</t>
  </si>
  <si>
    <t xml:space="preserve">pipeI </t>
  </si>
  <si>
    <t>m^4</t>
  </si>
  <si>
    <t>pipeTensionTrue</t>
  </si>
  <si>
    <t>T/A</t>
  </si>
  <si>
    <t>M/2I</t>
  </si>
  <si>
    <t xml:space="preserve">Considering Addition </t>
  </si>
  <si>
    <t xml:space="preserve">Considering Subtraction </t>
  </si>
  <si>
    <t>L.H.S of Equation(5)</t>
  </si>
  <si>
    <t>Cf</t>
  </si>
  <si>
    <t>Considering Survival load category</t>
  </si>
  <si>
    <t>R.H.S of Equation(5)</t>
  </si>
  <si>
    <t>pipeTensionEffective + (pipeInternalPressure*pipeAi) - (pipeExternalPressure*pipeAo)</t>
  </si>
  <si>
    <t>Pa</t>
  </si>
  <si>
    <t>Ksi</t>
  </si>
  <si>
    <t>N</t>
  </si>
  <si>
    <t>Geometry</t>
  </si>
  <si>
    <t>Internal Pressure</t>
  </si>
  <si>
    <t>Loading</t>
  </si>
  <si>
    <t>Material Properties</t>
  </si>
  <si>
    <t>Yield Strength</t>
  </si>
  <si>
    <t>Data structures are vital in programming to help in modular design and also for code re-use</t>
  </si>
  <si>
    <t>A pipe is a pressure vessel. It is one of the widely analyzed stucture in offshore industry. Therefore a pipe should be defined with a decent data structure as a first attempt</t>
  </si>
  <si>
    <t>Get the Matlab structure to start with!</t>
  </si>
  <si>
    <t>pipePerfect</t>
  </si>
  <si>
    <t>pipeMeasured</t>
  </si>
  <si>
    <t>Tension</t>
  </si>
  <si>
    <t>Units</t>
  </si>
  <si>
    <t>ksi</t>
  </si>
  <si>
    <t>Solve For?</t>
  </si>
  <si>
    <t>PipeTrueTension</t>
  </si>
  <si>
    <t>Tensile Yield Strength</t>
  </si>
  <si>
    <t>Pi*Ai</t>
  </si>
  <si>
    <t>T</t>
  </si>
  <si>
    <t>Pi</t>
  </si>
  <si>
    <t>Ai</t>
  </si>
  <si>
    <t>Ao</t>
  </si>
  <si>
    <t>I</t>
  </si>
  <si>
    <t>Po</t>
  </si>
  <si>
    <t>^</t>
  </si>
  <si>
    <t>+</t>
  </si>
  <si>
    <t>LHS</t>
  </si>
  <si>
    <t>RHS</t>
  </si>
  <si>
    <t>T^2</t>
  </si>
  <si>
    <t>1/A</t>
  </si>
  <si>
    <t>(1/A)^2</t>
  </si>
  <si>
    <t>2*(1/A)</t>
  </si>
  <si>
    <t>Ca</t>
  </si>
  <si>
    <t>pa</t>
  </si>
  <si>
    <t>=</t>
  </si>
  <si>
    <t>Square on both sides</t>
  </si>
  <si>
    <t>kN</t>
  </si>
  <si>
    <t>T/A+(M/2I)(Do-t)</t>
  </si>
  <si>
    <t>{[Pi(Do/2t)-Pi]-[T/A+(M/2I)(Do-t)]}^2</t>
  </si>
  <si>
    <t>T/A+(M/2I)(Do-t) ]^2</t>
  </si>
  <si>
    <t>(M/2I)(Do-t)</t>
  </si>
  <si>
    <t>(T/A)^2 + (M/2I)(Do-t) ]^2  + 2*(M/2I)(Do-t) ]*(T/A)</t>
  </si>
  <si>
    <t>2*(M/2I)(Do-t) ]^2</t>
  </si>
  <si>
    <t>(SIGMApr-SIGMApo)^2  + 2*(M/2I)(Do-t) ]^2</t>
  </si>
  <si>
    <t xml:space="preserve"> 2*{Cf*SigmaA}^2 - 2*(M/2I)(Do-t) ]^2  - (SIGMApr-SIGMApo)^2 </t>
  </si>
  <si>
    <t xml:space="preserve">2* (T/A)^2  =   2*{Cf*SigmaA}^2 - 2*(M/2I)(Do-t) ]^2  - (SIGMApr-SIGMApo)^2 </t>
  </si>
  <si>
    <t>Bend Moment (Kips-ft)</t>
  </si>
  <si>
    <t>Effective Tension (kips)</t>
  </si>
  <si>
    <t>When we are increasing bend moment more than 350 kips we get negative tension</t>
  </si>
  <si>
    <t>Blue Colour</t>
  </si>
  <si>
    <t>Input Values</t>
  </si>
  <si>
    <t>Calculating values Through Python</t>
  </si>
  <si>
    <t>-(PoDo+PiDi)/(Do+Di)</t>
  </si>
  <si>
    <t>(Pi-Po)Do/(2t) - Pi</t>
  </si>
  <si>
    <t>(SIGMApr-SIGMApo)^2+(T/A)^2 + (M/2I)(Do-t) ]^2  + 2*(M/2I)(Do-t) ]*(T/A) + (T/A)^2 + (M/2I)(Do-t) ]^2  + 2*(M/2I)(Do-t) ]*(T/A)</t>
  </si>
  <si>
    <t>(SIGMApr-SIGMApo)^2 + 2*(T/A)^2 + 2*(M/2I)(Do-t) ]^2 + 4*(M/2I)(Do-t) ]*(T/A)</t>
  </si>
  <si>
    <t>(SIGMApr-SIGMApo)^2 + 2*(T/A)^2 + 2*(M/2I)(Do-t) ]^2 + 4*(M/2I)(Do-t) ]*(T/A) = 2*{Cf*SigmaA}^2</t>
  </si>
  <si>
    <t xml:space="preserve">2*(T/A)^2 +  4*(M/2I)(Do-t) ]*(T/A)  = 2*{Cf*SigmaA}^2 - 2*(M/2I)(Do-t) ]^2  - (SIGMApr-SIGMApo)^2 </t>
  </si>
  <si>
    <t>(T/A)^2  +  2*(M/2I)(Do-t) ]*(T/A) =  [2*{Cf*SigmaA}^2 - 2*(M/2I)(Do-t) ]^2  - (SIGMApr-SIGMApo)^2  ] / 2</t>
  </si>
  <si>
    <t>a =  (1/A)^2</t>
  </si>
  <si>
    <t>b=  2*(M/2I)(Do-t) ]*(1/A)</t>
  </si>
  <si>
    <t>c=   RHS</t>
  </si>
  <si>
    <t>x1</t>
  </si>
  <si>
    <t>x2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</si>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</sst>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000"/>
    <numFmt numFmtId="166" formatCode="0.0000"/>
    <numFmt numFmtId="167" formatCode="0.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222222"/>
      <name val="Arial"/>
      <family val="2"/>
    </font>
    <font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1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5" fontId="0" fillId="0" borderId="0" xfId="0" quotePrefix="1" applyNumberFormat="1"/>
    <xf numFmtId="0" fontId="1" fillId="2" borderId="2" xfId="0" applyFont="1" applyFill="1" applyBorder="1"/>
    <xf numFmtId="1" fontId="0" fillId="0" borderId="0" xfId="0" applyNumberFormat="1" applyAlignment="1">
      <alignment horizontal="center"/>
    </xf>
    <xf numFmtId="3" fontId="4" fillId="0" borderId="0" xfId="0" applyNumberFormat="1" applyFont="1"/>
    <xf numFmtId="166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7" fontId="0" fillId="0" borderId="0" xfId="0" applyNumberFormat="1"/>
    <xf numFmtId="164" fontId="5" fillId="0" borderId="0" xfId="0" applyNumberFormat="1" applyFont="1"/>
    <xf numFmtId="11" fontId="0" fillId="0" borderId="0" xfId="0" applyNumberFormat="1" applyAlignment="1">
      <alignment horizontal="center"/>
    </xf>
    <xf numFmtId="164" fontId="6" fillId="0" borderId="0" xfId="0" applyNumberFormat="1" applyFont="1"/>
    <xf numFmtId="0" fontId="6" fillId="0" borderId="0" xfId="0" applyFont="1"/>
    <xf numFmtId="0" fontId="0" fillId="3" borderId="0" xfId="0" applyFill="1"/>
    <xf numFmtId="0" fontId="1" fillId="0" borderId="1" xfId="0" applyFont="1" applyBorder="1"/>
    <xf numFmtId="2" fontId="2" fillId="0" borderId="1" xfId="0" applyNumberFormat="1" applyFont="1" applyBorder="1"/>
    <xf numFmtId="2" fontId="3" fillId="0" borderId="1" xfId="0" applyNumberFormat="1" applyFont="1" applyBorder="1"/>
    <xf numFmtId="0" fontId="0" fillId="4" borderId="0" xfId="0" applyFill="1"/>
    <xf numFmtId="0" fontId="0" fillId="0" borderId="0" xfId="0"/>
    <xf numFmtId="2" fontId="0" fillId="0" borderId="1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11" fontId="0" fillId="2" borderId="2" xfId="0" applyNumberFormat="1" applyFill="1" applyBorder="1"/>
    <xf numFmtId="164" fontId="5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Pipe Capacity Utilization Chart</a:t>
            </a:r>
          </a:p>
          <a:p>
            <a:pPr>
              <a:defRPr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8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15 ksi Pressure, 6-5/8" Pipe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ResultsTable!$C$12:$AG$12</c:f>
              <c:numCache>
                <c:formatCode>0.00</c:formatCode>
                <c:ptCount val="31"/>
                <c:pt idx="0">
                  <c:v>0</c:v>
                </c:pt>
                <c:pt idx="1">
                  <c:v>-74</c:v>
                </c:pt>
                <c:pt idx="2">
                  <c:v>-118.4</c:v>
                </c:pt>
                <c:pt idx="3">
                  <c:v>-177.6</c:v>
                </c:pt>
                <c:pt idx="4">
                  <c:v>-222</c:v>
                </c:pt>
                <c:pt idx="5">
                  <c:v>-266.39999999999998</c:v>
                </c:pt>
                <c:pt idx="6">
                  <c:v>-310.8</c:v>
                </c:pt>
                <c:pt idx="7">
                  <c:v>-344.1</c:v>
                </c:pt>
                <c:pt idx="8">
                  <c:v>-344.1</c:v>
                </c:pt>
                <c:pt idx="9">
                  <c:v>-310.8</c:v>
                </c:pt>
                <c:pt idx="10">
                  <c:v>-266.39999999999998</c:v>
                </c:pt>
                <c:pt idx="11">
                  <c:v>-222</c:v>
                </c:pt>
                <c:pt idx="12">
                  <c:v>-177.6</c:v>
                </c:pt>
                <c:pt idx="13">
                  <c:v>-118.4</c:v>
                </c:pt>
                <c:pt idx="14">
                  <c:v>-74</c:v>
                </c:pt>
                <c:pt idx="15">
                  <c:v>0</c:v>
                </c:pt>
                <c:pt idx="16" formatCode="General">
                  <c:v>74</c:v>
                </c:pt>
                <c:pt idx="17" formatCode="General">
                  <c:v>118.4</c:v>
                </c:pt>
                <c:pt idx="18" formatCode="General">
                  <c:v>177.6</c:v>
                </c:pt>
                <c:pt idx="19" formatCode="General">
                  <c:v>222</c:v>
                </c:pt>
                <c:pt idx="20" formatCode="General">
                  <c:v>266.39999999999998</c:v>
                </c:pt>
                <c:pt idx="21" formatCode="General">
                  <c:v>310.8</c:v>
                </c:pt>
                <c:pt idx="22" formatCode="General">
                  <c:v>344.1</c:v>
                </c:pt>
                <c:pt idx="23" formatCode="General">
                  <c:v>344.1</c:v>
                </c:pt>
                <c:pt idx="24" formatCode="General">
                  <c:v>310.8</c:v>
                </c:pt>
                <c:pt idx="25" formatCode="General">
                  <c:v>266.39999999999998</c:v>
                </c:pt>
                <c:pt idx="26" formatCode="General">
                  <c:v>222</c:v>
                </c:pt>
                <c:pt idx="27" formatCode="General">
                  <c:v>177.6</c:v>
                </c:pt>
                <c:pt idx="28" formatCode="General">
                  <c:v>118.4</c:v>
                </c:pt>
                <c:pt idx="29" formatCode="General">
                  <c:v>74</c:v>
                </c:pt>
                <c:pt idx="30">
                  <c:v>0</c:v>
                </c:pt>
              </c:numCache>
            </c:numRef>
          </c:xVal>
          <c:yVal>
            <c:numRef>
              <c:f>ResultsTable!$C$13:$AG$13</c:f>
              <c:numCache>
                <c:formatCode>0.00</c:formatCode>
                <c:ptCount val="31"/>
                <c:pt idx="0">
                  <c:v>1929.09381288298</c:v>
                </c:pt>
                <c:pt idx="1">
                  <c:v>1884.66160614565</c:v>
                </c:pt>
                <c:pt idx="2">
                  <c:v>1813.17450944199</c:v>
                </c:pt>
                <c:pt idx="3">
                  <c:v>1656.9098889721699</c:v>
                </c:pt>
                <c:pt idx="4">
                  <c:v>1481.99892573792</c:v>
                </c:pt>
                <c:pt idx="5">
                  <c:v>1235.0241624202099</c:v>
                </c:pt>
                <c:pt idx="6">
                  <c:v>855.71138697222398</c:v>
                </c:pt>
                <c:pt idx="7">
                  <c:v>239.568650619766</c:v>
                </c:pt>
                <c:pt idx="8">
                  <c:v>-239.568650619766</c:v>
                </c:pt>
                <c:pt idx="9">
                  <c:v>-855.71138697222398</c:v>
                </c:pt>
                <c:pt idx="10">
                  <c:v>-1235.0241624202099</c:v>
                </c:pt>
                <c:pt idx="11">
                  <c:v>-1481.99892573792</c:v>
                </c:pt>
                <c:pt idx="12">
                  <c:v>-1656.9098889721699</c:v>
                </c:pt>
                <c:pt idx="13">
                  <c:v>-1813.17450944199</c:v>
                </c:pt>
                <c:pt idx="14">
                  <c:v>-1884.66160614565</c:v>
                </c:pt>
                <c:pt idx="15">
                  <c:v>-1929.09381288298</c:v>
                </c:pt>
                <c:pt idx="16">
                  <c:v>-1884.66160614565</c:v>
                </c:pt>
                <c:pt idx="17">
                  <c:v>-1813.17450944199</c:v>
                </c:pt>
                <c:pt idx="18">
                  <c:v>-1656.9098889721699</c:v>
                </c:pt>
                <c:pt idx="19">
                  <c:v>-1481.99892573792</c:v>
                </c:pt>
                <c:pt idx="20">
                  <c:v>-1235.0241624202099</c:v>
                </c:pt>
                <c:pt idx="21">
                  <c:v>-855.71138697222398</c:v>
                </c:pt>
                <c:pt idx="22">
                  <c:v>-239.568650619766</c:v>
                </c:pt>
                <c:pt idx="23">
                  <c:v>239.568650619766</c:v>
                </c:pt>
                <c:pt idx="24">
                  <c:v>855.71138697222398</c:v>
                </c:pt>
                <c:pt idx="25">
                  <c:v>1235.0241624202099</c:v>
                </c:pt>
                <c:pt idx="26">
                  <c:v>1481.99892573792</c:v>
                </c:pt>
                <c:pt idx="27">
                  <c:v>1656.9098889721699</c:v>
                </c:pt>
                <c:pt idx="28">
                  <c:v>1813.17450944199</c:v>
                </c:pt>
                <c:pt idx="29">
                  <c:v>1884.66160614565</c:v>
                </c:pt>
                <c:pt idx="30">
                  <c:v>1929.09381288298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82368"/>
        <c:axId val="666870400"/>
      </c:scatterChart>
      <c:valAx>
        <c:axId val="6668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Bending Moment (kips-ft)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6870400"/>
        <c:crosses val="autoZero"/>
        <c:crossBetween val="midCat"/>
      </c:valAx>
      <c:valAx>
        <c:axId val="6668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Effective Tension (kips)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688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11.png"/><Relationship Id="rId9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26</xdr:row>
      <xdr:rowOff>0</xdr:rowOff>
    </xdr:from>
    <xdr:to>
      <xdr:col>4</xdr:col>
      <xdr:colOff>514110</xdr:colOff>
      <xdr:row>29</xdr:row>
      <xdr:rowOff>28500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334000"/>
          <a:ext cx="1923810" cy="6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4</xdr:col>
      <xdr:colOff>428395</xdr:colOff>
      <xdr:row>35</xdr:row>
      <xdr:rowOff>18976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6477000"/>
          <a:ext cx="1838095" cy="5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409575</xdr:colOff>
      <xdr:row>40</xdr:row>
      <xdr:rowOff>152400</xdr:rowOff>
    </xdr:from>
    <xdr:to>
      <xdr:col>4</xdr:col>
      <xdr:colOff>314085</xdr:colOff>
      <xdr:row>45</xdr:row>
      <xdr:rowOff>57043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28775" y="8915400"/>
          <a:ext cx="1923810" cy="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56</xdr:row>
      <xdr:rowOff>19050</xdr:rowOff>
    </xdr:from>
    <xdr:to>
      <xdr:col>4</xdr:col>
      <xdr:colOff>409151</xdr:colOff>
      <xdr:row>60</xdr:row>
      <xdr:rowOff>9431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10687050"/>
          <a:ext cx="3390476" cy="7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495300</xdr:colOff>
      <xdr:row>47</xdr:row>
      <xdr:rowOff>123825</xdr:rowOff>
    </xdr:from>
    <xdr:to>
      <xdr:col>3</xdr:col>
      <xdr:colOff>828633</xdr:colOff>
      <xdr:row>51</xdr:row>
      <xdr:rowOff>18968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24100" y="10220325"/>
          <a:ext cx="333333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53</xdr:row>
      <xdr:rowOff>133350</xdr:rowOff>
    </xdr:from>
    <xdr:to>
      <xdr:col>4</xdr:col>
      <xdr:colOff>475880</xdr:colOff>
      <xdr:row>55</xdr:row>
      <xdr:rowOff>95207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2475" y="11372850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63</xdr:row>
      <xdr:rowOff>19050</xdr:rowOff>
    </xdr:from>
    <xdr:to>
      <xdr:col>6</xdr:col>
      <xdr:colOff>399532</xdr:colOff>
      <xdr:row>73</xdr:row>
      <xdr:rowOff>180717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4875" y="12020550"/>
          <a:ext cx="4142857" cy="20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78</xdr:row>
      <xdr:rowOff>0</xdr:rowOff>
    </xdr:from>
    <xdr:to>
      <xdr:col>3</xdr:col>
      <xdr:colOff>961905</xdr:colOff>
      <xdr:row>79</xdr:row>
      <xdr:rowOff>66643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4859000"/>
          <a:ext cx="961905" cy="2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657225</xdr:colOff>
      <xdr:row>62</xdr:row>
      <xdr:rowOff>41041</xdr:rowOff>
    </xdr:from>
    <xdr:to>
      <xdr:col>18</xdr:col>
      <xdr:colOff>419100</xdr:colOff>
      <xdr:row>76</xdr:row>
      <xdr:rowOff>56010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05525" y="11909191"/>
          <a:ext cx="6848475" cy="26819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3</xdr:col>
      <xdr:colOff>400000</xdr:colOff>
      <xdr:row>82</xdr:row>
      <xdr:rowOff>133310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828800" y="15430500"/>
          <a:ext cx="400000" cy="3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212914</xdr:colOff>
      <xdr:row>31</xdr:row>
      <xdr:rowOff>102535</xdr:rowOff>
    </xdr:from>
    <xdr:to>
      <xdr:col>4</xdr:col>
      <xdr:colOff>299760</xdr:colOff>
      <xdr:row>34</xdr:row>
      <xdr:rowOff>131035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2032" y="6008035"/>
          <a:ext cx="1923810" cy="6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100855</xdr:colOff>
      <xdr:row>38</xdr:row>
      <xdr:rowOff>6164</xdr:rowOff>
    </xdr:from>
    <xdr:to>
      <xdr:col>4</xdr:col>
      <xdr:colOff>103588</xdr:colOff>
      <xdr:row>41</xdr:row>
      <xdr:rowOff>25140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29973" y="7245164"/>
          <a:ext cx="1838095" cy="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291353</xdr:colOff>
      <xdr:row>43</xdr:row>
      <xdr:rowOff>165847</xdr:rowOff>
    </xdr:from>
    <xdr:to>
      <xdr:col>3</xdr:col>
      <xdr:colOff>909678</xdr:colOff>
      <xdr:row>48</xdr:row>
      <xdr:rowOff>70490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6706" y="8357347"/>
          <a:ext cx="1923810" cy="8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590550</xdr:colOff>
      <xdr:row>15</xdr:row>
      <xdr:rowOff>152400</xdr:rowOff>
    </xdr:from>
    <xdr:to>
      <xdr:col>18</xdr:col>
      <xdr:colOff>494855</xdr:colOff>
      <xdr:row>25</xdr:row>
      <xdr:rowOff>142638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92475" y="3009900"/>
          <a:ext cx="3561905" cy="1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246529</xdr:colOff>
      <xdr:row>51</xdr:row>
      <xdr:rowOff>6725</xdr:rowOff>
    </xdr:from>
    <xdr:to>
      <xdr:col>2</xdr:col>
      <xdr:colOff>595511</xdr:colOff>
      <xdr:row>52</xdr:row>
      <xdr:rowOff>134472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69308" b="7177"/>
        <a:stretch/>
      </xdr:blipFill>
      <xdr:spPr>
        <a:xfrm>
          <a:off x="2061882" y="9722225"/>
          <a:ext cx="907676" cy="318247"/>
        </a:xfrm>
        <a:prstGeom prst="rect">
          <a:avLst/>
        </a:prstGeom>
      </xdr:spPr>
    </xdr:pic>
    <xdr:clientData/>
  </xdr:twoCellAnchor>
  <xdr:twoCellAnchor editAs="oneCell">
    <xdr:from>
      <xdr:col>0</xdr:col>
      <xdr:colOff>145676</xdr:colOff>
      <xdr:row>89</xdr:row>
      <xdr:rowOff>79563</xdr:rowOff>
    </xdr:from>
    <xdr:to>
      <xdr:col>3</xdr:col>
      <xdr:colOff>404747</xdr:colOff>
      <xdr:row>93</xdr:row>
      <xdr:rowOff>69944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5676" y="19701063"/>
          <a:ext cx="3381511" cy="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828675</xdr:colOff>
      <xdr:row>81</xdr:row>
      <xdr:rowOff>47625</xdr:rowOff>
    </xdr:from>
    <xdr:to>
      <xdr:col>0</xdr:col>
      <xdr:colOff>1790580</xdr:colOff>
      <xdr:row>82</xdr:row>
      <xdr:rowOff>114268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8675" y="11096625"/>
          <a:ext cx="961905" cy="2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257734</xdr:colOff>
      <xdr:row>57</xdr:row>
      <xdr:rowOff>123265</xdr:rowOff>
    </xdr:from>
    <xdr:to>
      <xdr:col>4</xdr:col>
      <xdr:colOff>67236</xdr:colOff>
      <xdr:row>59</xdr:row>
      <xdr:rowOff>103052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5238" t="-5230" r="34449"/>
        <a:stretch/>
      </xdr:blipFill>
      <xdr:spPr>
        <a:xfrm>
          <a:off x="2767852" y="10981765"/>
          <a:ext cx="896471" cy="360787"/>
        </a:xfrm>
        <a:prstGeom prst="rect">
          <a:avLst/>
        </a:prstGeom>
      </xdr:spPr>
    </xdr:pic>
    <xdr:clientData/>
  </xdr:twoCellAnchor>
  <xdr:twoCellAnchor editAs="oneCell">
    <xdr:from>
      <xdr:col>2</xdr:col>
      <xdr:colOff>313765</xdr:colOff>
      <xdr:row>63</xdr:row>
      <xdr:rowOff>112060</xdr:rowOff>
    </xdr:from>
    <xdr:to>
      <xdr:col>3</xdr:col>
      <xdr:colOff>427295</xdr:colOff>
      <xdr:row>65</xdr:row>
      <xdr:rowOff>136671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70856" t="-18302" b="-1"/>
        <a:stretch/>
      </xdr:blipFill>
      <xdr:spPr>
        <a:xfrm>
          <a:off x="2442883" y="12113560"/>
          <a:ext cx="861923" cy="405611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190501</xdr:colOff>
      <xdr:row>90</xdr:row>
      <xdr:rowOff>112059</xdr:rowOff>
    </xdr:from>
    <xdr:to>
      <xdr:col>7</xdr:col>
      <xdr:colOff>3152406</xdr:colOff>
      <xdr:row>92</xdr:row>
      <xdr:rowOff>73916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65913" y="18971559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3664882</xdr:colOff>
      <xdr:row>90</xdr:row>
      <xdr:rowOff>98050</xdr:rowOff>
    </xdr:from>
    <xdr:to>
      <xdr:col>7</xdr:col>
      <xdr:colOff>5324055</xdr:colOff>
      <xdr:row>92</xdr:row>
      <xdr:rowOff>168088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40294" y="18957550"/>
          <a:ext cx="1659173" cy="451038"/>
        </a:xfrm>
        <a:prstGeom prst="rect">
          <a:avLst/>
        </a:prstGeom>
      </xdr:spPr>
    </xdr:pic>
    <xdr:clientData/>
  </xdr:twoCellAnchor>
  <xdr:twoCellAnchor editAs="oneCell">
    <xdr:from>
      <xdr:col>0</xdr:col>
      <xdr:colOff>750795</xdr:colOff>
      <xdr:row>70</xdr:row>
      <xdr:rowOff>156882</xdr:rowOff>
    </xdr:from>
    <xdr:to>
      <xdr:col>3</xdr:col>
      <xdr:colOff>591862</xdr:colOff>
      <xdr:row>72</xdr:row>
      <xdr:rowOff>118739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0795" y="13491882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224118</xdr:colOff>
      <xdr:row>90</xdr:row>
      <xdr:rowOff>123265</xdr:rowOff>
    </xdr:from>
    <xdr:to>
      <xdr:col>7</xdr:col>
      <xdr:colOff>3186023</xdr:colOff>
      <xdr:row>92</xdr:row>
      <xdr:rowOff>85122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90883" y="18220765"/>
          <a:ext cx="2961905" cy="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168089</xdr:colOff>
      <xdr:row>103</xdr:row>
      <xdr:rowOff>22413</xdr:rowOff>
    </xdr:from>
    <xdr:to>
      <xdr:col>7</xdr:col>
      <xdr:colOff>3625232</xdr:colOff>
      <xdr:row>108</xdr:row>
      <xdr:rowOff>9879</xdr:rowOff>
    </xdr:to>
    <xdr:pic>
      <xdr:nvPicPr>
        <xdr:cNvPr id="21" name="Picture 20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43278"/>
        <a:stretch/>
      </xdr:blipFill>
      <xdr:spPr>
        <a:xfrm>
          <a:off x="6701118" y="20596413"/>
          <a:ext cx="3457143" cy="9399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84"/>
  <sheetViews>
    <sheetView topLeftCell="A7" workbookViewId="0">
      <selection activeCell="F13" sqref="F13"/>
    </sheetView>
  </sheetViews>
  <sheetFormatPr defaultRowHeight="15" x14ac:dyDescent="0.25"/>
  <cols>
    <col min="4" max="4" width="21.140625" customWidth="1"/>
    <col min="6" max="8" width="12" bestFit="1" customWidth="1"/>
    <col min="11" max="11" width="12" bestFit="1" customWidth="1"/>
  </cols>
  <sheetData>
    <row r="6" spans="4:7" x14ac:dyDescent="0.25">
      <c r="D6" t="s">
        <v>0</v>
      </c>
      <c r="F6">
        <v>0.24765000000000001</v>
      </c>
      <c r="G6" t="s">
        <v>10</v>
      </c>
    </row>
    <row r="7" spans="4:7" x14ac:dyDescent="0.25">
      <c r="D7" t="s">
        <v>1</v>
      </c>
      <c r="F7">
        <v>3.4924999999999998E-2</v>
      </c>
      <c r="G7" t="s">
        <v>10</v>
      </c>
    </row>
    <row r="8" spans="4:7" x14ac:dyDescent="0.25">
      <c r="D8" t="s">
        <v>2</v>
      </c>
      <c r="F8">
        <v>3.4924999999999998E-2</v>
      </c>
      <c r="G8" t="s">
        <v>10</v>
      </c>
    </row>
    <row r="9" spans="4:7" x14ac:dyDescent="0.25">
      <c r="D9" t="s">
        <v>3</v>
      </c>
      <c r="F9">
        <f>F6-(2*F7)</f>
        <v>0.17780000000000001</v>
      </c>
    </row>
    <row r="10" spans="4:7" x14ac:dyDescent="0.25">
      <c r="D10" t="s">
        <v>4</v>
      </c>
      <c r="F10">
        <v>0</v>
      </c>
    </row>
    <row r="11" spans="4:7" x14ac:dyDescent="0.25">
      <c r="D11" t="s">
        <v>5</v>
      </c>
      <c r="F11" s="1">
        <v>0</v>
      </c>
    </row>
    <row r="12" spans="4:7" x14ac:dyDescent="0.25">
      <c r="D12" t="s">
        <v>6</v>
      </c>
      <c r="F12">
        <v>6674724</v>
      </c>
      <c r="G12" t="s">
        <v>29</v>
      </c>
    </row>
    <row r="13" spans="4:7" x14ac:dyDescent="0.25">
      <c r="D13" t="s">
        <v>8</v>
      </c>
      <c r="F13">
        <v>0</v>
      </c>
    </row>
    <row r="14" spans="4:7" ht="19.5" customHeight="1" x14ac:dyDescent="0.25">
      <c r="D14" t="s">
        <v>7</v>
      </c>
      <c r="F14" s="1">
        <v>551579600</v>
      </c>
      <c r="G14" t="s">
        <v>27</v>
      </c>
    </row>
    <row r="16" spans="4:7" x14ac:dyDescent="0.25">
      <c r="D16" t="s">
        <v>9</v>
      </c>
      <c r="F16">
        <f>F6-(2*F8)</f>
        <v>0.17780000000000001</v>
      </c>
      <c r="G16" t="s">
        <v>10</v>
      </c>
    </row>
    <row r="18" spans="3:7" x14ac:dyDescent="0.25">
      <c r="D18" t="s">
        <v>11</v>
      </c>
      <c r="F18">
        <f>(PI()/4)*(F6^2-F16^2)</f>
        <v>2.3340213255928492E-2</v>
      </c>
      <c r="G18" t="s">
        <v>14</v>
      </c>
    </row>
    <row r="19" spans="3:7" x14ac:dyDescent="0.25">
      <c r="D19" t="s">
        <v>12</v>
      </c>
      <c r="F19">
        <f>(PI()/4)*(F16^2)</f>
        <v>2.4828666475777392E-2</v>
      </c>
      <c r="G19" t="s">
        <v>14</v>
      </c>
    </row>
    <row r="20" spans="3:7" x14ac:dyDescent="0.25">
      <c r="D20" t="s">
        <v>13</v>
      </c>
      <c r="F20">
        <f>(PI()/4)*(F6^2)</f>
        <v>4.8168879731705881E-2</v>
      </c>
      <c r="G20" t="s">
        <v>14</v>
      </c>
    </row>
    <row r="22" spans="3:7" x14ac:dyDescent="0.25">
      <c r="D22" t="s">
        <v>15</v>
      </c>
      <c r="F22">
        <f>(PI()/64)*(F6^4-F16^4)</f>
        <v>1.355823688420667E-4</v>
      </c>
      <c r="G22" t="s">
        <v>16</v>
      </c>
    </row>
    <row r="23" spans="3:7" x14ac:dyDescent="0.25">
      <c r="C23" t="s">
        <v>17</v>
      </c>
      <c r="D23" t="s">
        <v>26</v>
      </c>
    </row>
    <row r="24" spans="3:7" x14ac:dyDescent="0.25">
      <c r="D24" t="s">
        <v>17</v>
      </c>
      <c r="F24">
        <f>F12+((F11*F19)-(F10*F20))</f>
        <v>6674724</v>
      </c>
    </row>
    <row r="28" spans="3:7" x14ac:dyDescent="0.25">
      <c r="F28">
        <f>-((F10*F6)+(F11*F16))/(F6+F16)</f>
        <v>0</v>
      </c>
    </row>
    <row r="34" spans="4:8" x14ac:dyDescent="0.25">
      <c r="F34" s="2">
        <f>((F11-F10)*F6)/(2*F8)-F11</f>
        <v>0</v>
      </c>
    </row>
    <row r="38" spans="4:8" x14ac:dyDescent="0.25">
      <c r="D38" t="s">
        <v>18</v>
      </c>
      <c r="F38">
        <f>F24/F18</f>
        <v>285975279.09495848</v>
      </c>
    </row>
    <row r="39" spans="4:8" x14ac:dyDescent="0.25">
      <c r="D39" t="s">
        <v>19</v>
      </c>
      <c r="F39">
        <f>F13/(2*F22)</f>
        <v>0</v>
      </c>
    </row>
    <row r="42" spans="4:8" x14ac:dyDescent="0.25">
      <c r="F42">
        <f>F38+(F39*(F6-F8))</f>
        <v>285975279.09495848</v>
      </c>
      <c r="H42" t="s">
        <v>20</v>
      </c>
    </row>
    <row r="45" spans="4:8" x14ac:dyDescent="0.25">
      <c r="F45">
        <f>F38-((F39*(F6-F8)))</f>
        <v>285975279.09495848</v>
      </c>
      <c r="H45" t="s">
        <v>21</v>
      </c>
    </row>
    <row r="50" spans="6:9" x14ac:dyDescent="0.25">
      <c r="F50">
        <f>1/SQRT(2)</f>
        <v>0.70710678118654746</v>
      </c>
    </row>
    <row r="55" spans="6:9" x14ac:dyDescent="0.25">
      <c r="F55">
        <f>(F28-F34)^2+(F34-F42)^2+(F42-F28)^2</f>
        <v>1.6356372050687878E+17</v>
      </c>
    </row>
    <row r="59" spans="6:9" x14ac:dyDescent="0.25">
      <c r="F59" s="2">
        <f>F50*SQRT(F55)</f>
        <v>285975279.09495842</v>
      </c>
      <c r="G59" t="s">
        <v>27</v>
      </c>
      <c r="I59" t="s">
        <v>22</v>
      </c>
    </row>
    <row r="61" spans="6:9" x14ac:dyDescent="0.25">
      <c r="F61">
        <f>F59*0.000000145037738007</f>
        <v>41.47720760585328</v>
      </c>
      <c r="G61" t="s">
        <v>28</v>
      </c>
      <c r="I61" t="s">
        <v>22</v>
      </c>
    </row>
    <row r="76" spans="3:7" x14ac:dyDescent="0.25">
      <c r="C76" t="s">
        <v>23</v>
      </c>
      <c r="E76">
        <v>1.5</v>
      </c>
      <c r="G76" t="s">
        <v>24</v>
      </c>
    </row>
    <row r="79" spans="3:7" x14ac:dyDescent="0.25">
      <c r="F79" s="1">
        <f>(2/3)*F14</f>
        <v>367719733.33333331</v>
      </c>
    </row>
    <row r="82" spans="6:8" x14ac:dyDescent="0.25">
      <c r="F82" s="1">
        <f>F79*E76</f>
        <v>551579600</v>
      </c>
      <c r="H82" t="s">
        <v>25</v>
      </c>
    </row>
    <row r="84" spans="6:8" x14ac:dyDescent="0.25">
      <c r="F84" s="2">
        <f>F82*0.000000145037738007</f>
        <v>79.999857514805853</v>
      </c>
      <c r="G84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abSelected="1" topLeftCell="A95" zoomScale="85" zoomScaleNormal="85" workbookViewId="0">
      <selection activeCell="F118" sqref="F118"/>
    </sheetView>
  </sheetViews>
  <sheetFormatPr defaultRowHeight="15" x14ac:dyDescent="0.25"/>
  <cols>
    <col min="1" max="1" width="27.28515625" customWidth="1"/>
    <col min="2" max="2" width="8.28515625" customWidth="1"/>
    <col min="3" max="3" width="11.28515625" customWidth="1"/>
    <col min="4" max="4" width="16.28515625" customWidth="1"/>
    <col min="5" max="5" width="11.85546875" customWidth="1"/>
    <col min="6" max="6" width="12.85546875" customWidth="1"/>
    <col min="7" max="7" width="10.140625" style="7" customWidth="1"/>
    <col min="8" max="8" width="107.5703125" customWidth="1"/>
    <col min="9" max="9" width="17.140625" customWidth="1"/>
  </cols>
  <sheetData>
    <row r="1" spans="1:9" x14ac:dyDescent="0.25">
      <c r="A1" s="9"/>
      <c r="B1" s="9"/>
      <c r="C1" s="10" t="s">
        <v>43</v>
      </c>
      <c r="D1" s="42" t="s">
        <v>31</v>
      </c>
      <c r="E1" s="42"/>
      <c r="F1" s="42"/>
      <c r="G1" s="11"/>
      <c r="H1" s="42" t="s">
        <v>40</v>
      </c>
      <c r="I1" s="42"/>
    </row>
    <row r="2" spans="1:9" x14ac:dyDescent="0.25">
      <c r="C2" s="8"/>
      <c r="D2" s="4"/>
      <c r="E2" s="4"/>
      <c r="F2" s="4"/>
      <c r="G2" s="6"/>
      <c r="H2" s="4"/>
      <c r="I2" s="4" t="s">
        <v>45</v>
      </c>
    </row>
    <row r="3" spans="1:9" x14ac:dyDescent="0.25">
      <c r="C3" s="3" t="s">
        <v>41</v>
      </c>
      <c r="D3" s="4"/>
      <c r="E3" s="4"/>
      <c r="F3" s="4"/>
      <c r="G3" s="6"/>
    </row>
    <row r="4" spans="1:9" x14ac:dyDescent="0.25">
      <c r="A4" s="3" t="s">
        <v>30</v>
      </c>
      <c r="B4" s="3"/>
      <c r="C4" s="3"/>
    </row>
    <row r="5" spans="1:9" x14ac:dyDescent="0.25">
      <c r="A5" t="s">
        <v>0</v>
      </c>
      <c r="C5" t="s">
        <v>10</v>
      </c>
      <c r="D5">
        <v>0.24765000000000001</v>
      </c>
      <c r="E5">
        <v>0.24765000000000001</v>
      </c>
    </row>
    <row r="6" spans="1:9" x14ac:dyDescent="0.25">
      <c r="A6" t="s">
        <v>1</v>
      </c>
      <c r="C6" t="s">
        <v>10</v>
      </c>
      <c r="D6">
        <v>3.4924999999999998E-2</v>
      </c>
      <c r="E6">
        <v>3.4924999999999998E-2</v>
      </c>
    </row>
    <row r="7" spans="1:9" x14ac:dyDescent="0.25">
      <c r="A7" t="s">
        <v>2</v>
      </c>
      <c r="C7" t="s">
        <v>10</v>
      </c>
      <c r="D7">
        <v>3.4924999999999998E-2</v>
      </c>
      <c r="E7">
        <v>3.4924999999999998E-2</v>
      </c>
    </row>
    <row r="8" spans="1:9" x14ac:dyDescent="0.25">
      <c r="A8" t="s">
        <v>3</v>
      </c>
      <c r="D8">
        <f>D5-(2*D6)</f>
        <v>0.17780000000000001</v>
      </c>
      <c r="E8">
        <f>E5-(2*E6)</f>
        <v>0.17780000000000001</v>
      </c>
    </row>
    <row r="10" spans="1:9" x14ac:dyDescent="0.25">
      <c r="A10" s="3" t="s">
        <v>33</v>
      </c>
      <c r="B10" s="3"/>
      <c r="C10" s="3"/>
    </row>
    <row r="11" spans="1:9" x14ac:dyDescent="0.25">
      <c r="A11" t="s">
        <v>34</v>
      </c>
      <c r="C11" t="s">
        <v>42</v>
      </c>
      <c r="D11" s="4">
        <v>80</v>
      </c>
    </row>
    <row r="12" spans="1:9" x14ac:dyDescent="0.25">
      <c r="C12" t="s">
        <v>27</v>
      </c>
      <c r="D12" s="1">
        <f>D11*6894757.293178</f>
        <v>551580583.45423996</v>
      </c>
      <c r="E12" s="1"/>
    </row>
    <row r="14" spans="1:9" x14ac:dyDescent="0.25">
      <c r="A14" t="s">
        <v>11</v>
      </c>
      <c r="C14" t="s">
        <v>14</v>
      </c>
      <c r="D14">
        <f>(PI()/4)*(D5^2-D8^2)</f>
        <v>2.3340213255928492E-2</v>
      </c>
    </row>
    <row r="15" spans="1:9" x14ac:dyDescent="0.25">
      <c r="A15" t="s">
        <v>12</v>
      </c>
      <c r="B15" t="s">
        <v>49</v>
      </c>
      <c r="C15" t="s">
        <v>14</v>
      </c>
      <c r="D15">
        <f>(PI()/4)*(D8^2)</f>
        <v>2.4828666475777392E-2</v>
      </c>
    </row>
    <row r="16" spans="1:9" x14ac:dyDescent="0.25">
      <c r="A16" t="s">
        <v>13</v>
      </c>
      <c r="B16" t="s">
        <v>50</v>
      </c>
      <c r="C16" t="s">
        <v>14</v>
      </c>
      <c r="D16">
        <f>(PI()/4)*(D5^2)</f>
        <v>4.8168879731705881E-2</v>
      </c>
    </row>
    <row r="17" spans="1:9" x14ac:dyDescent="0.25">
      <c r="A17" t="s">
        <v>15</v>
      </c>
      <c r="B17" t="s">
        <v>51</v>
      </c>
      <c r="C17" t="s">
        <v>16</v>
      </c>
      <c r="D17">
        <f>PI()/64*(D5^4-D8^4)</f>
        <v>1.355823688420667E-4</v>
      </c>
    </row>
    <row r="19" spans="1:9" x14ac:dyDescent="0.25">
      <c r="A19" s="3" t="s">
        <v>32</v>
      </c>
      <c r="B19" s="3"/>
      <c r="C19" s="3"/>
    </row>
    <row r="20" spans="1:9" x14ac:dyDescent="0.25">
      <c r="A20" t="s">
        <v>4</v>
      </c>
      <c r="B20" t="s">
        <v>52</v>
      </c>
      <c r="D20">
        <v>0</v>
      </c>
      <c r="F20" s="4"/>
      <c r="G20" s="6"/>
      <c r="H20" s="4">
        <v>0</v>
      </c>
    </row>
    <row r="21" spans="1:9" x14ac:dyDescent="0.25">
      <c r="A21" t="s">
        <v>5</v>
      </c>
      <c r="B21" t="s">
        <v>48</v>
      </c>
      <c r="C21" t="s">
        <v>42</v>
      </c>
      <c r="D21" s="19">
        <v>0</v>
      </c>
      <c r="F21" s="4"/>
      <c r="G21" s="6"/>
      <c r="H21" s="4">
        <v>0</v>
      </c>
    </row>
    <row r="22" spans="1:9" x14ac:dyDescent="0.25">
      <c r="A22" t="s">
        <v>6</v>
      </c>
      <c r="C22" s="4" t="s">
        <v>29</v>
      </c>
      <c r="D22">
        <v>0</v>
      </c>
      <c r="F22" s="4"/>
      <c r="G22" s="6"/>
      <c r="H22" s="41">
        <f>I115</f>
        <v>16996724.431027908</v>
      </c>
    </row>
    <row r="23" spans="1:9" x14ac:dyDescent="0.25">
      <c r="A23" t="s">
        <v>8</v>
      </c>
      <c r="C23" s="4" t="s">
        <v>93</v>
      </c>
      <c r="D23" s="40">
        <v>-460000</v>
      </c>
      <c r="F23" s="4"/>
      <c r="G23" s="6"/>
      <c r="H23" s="4">
        <v>0</v>
      </c>
      <c r="I23" s="4">
        <v>0</v>
      </c>
    </row>
    <row r="24" spans="1:9" x14ac:dyDescent="0.25">
      <c r="C24" s="4"/>
      <c r="D24" s="4"/>
      <c r="F24" s="4"/>
      <c r="G24" s="6"/>
      <c r="H24" s="4"/>
      <c r="I24" s="4"/>
    </row>
    <row r="25" spans="1:9" x14ac:dyDescent="0.25">
      <c r="A25" t="s">
        <v>44</v>
      </c>
      <c r="C25" s="4"/>
      <c r="D25" t="s">
        <v>26</v>
      </c>
      <c r="F25" s="4"/>
      <c r="G25" s="6"/>
      <c r="H25" s="4" t="s">
        <v>47</v>
      </c>
      <c r="I25" s="4"/>
    </row>
    <row r="26" spans="1:9" x14ac:dyDescent="0.25">
      <c r="A26" t="s">
        <v>47</v>
      </c>
      <c r="C26" s="4"/>
      <c r="D26" t="s">
        <v>46</v>
      </c>
      <c r="F26" s="4"/>
      <c r="G26" s="6"/>
      <c r="H26" s="4"/>
      <c r="I26" s="4"/>
    </row>
    <row r="27" spans="1:9" x14ac:dyDescent="0.25">
      <c r="C27" s="4"/>
      <c r="F27" s="4"/>
      <c r="G27" s="6"/>
      <c r="H27" s="4"/>
      <c r="I27" s="4"/>
    </row>
    <row r="28" spans="1:9" x14ac:dyDescent="0.25">
      <c r="B28" t="s">
        <v>53</v>
      </c>
      <c r="C28" t="s">
        <v>54</v>
      </c>
      <c r="D28" s="4"/>
      <c r="E28" s="4"/>
      <c r="F28" s="4"/>
      <c r="G28" s="6"/>
      <c r="H28" s="4"/>
      <c r="I28" s="4"/>
    </row>
    <row r="29" spans="1:9" x14ac:dyDescent="0.25">
      <c r="A29" t="s">
        <v>23</v>
      </c>
      <c r="C29" s="4"/>
      <c r="D29" s="12">
        <v>1.5</v>
      </c>
      <c r="E29" s="12">
        <v>1.2</v>
      </c>
      <c r="F29" s="12">
        <v>1</v>
      </c>
      <c r="G29" s="6"/>
      <c r="H29" s="4">
        <v>1.5</v>
      </c>
      <c r="I29" s="4">
        <v>1.2</v>
      </c>
    </row>
    <row r="33" spans="4:9" x14ac:dyDescent="0.25">
      <c r="H33" s="5" t="s">
        <v>81</v>
      </c>
    </row>
    <row r="34" spans="4:9" x14ac:dyDescent="0.25">
      <c r="H34" s="20">
        <f>-((D20*D5)+(D21*D8))/(D5+D8)</f>
        <v>0</v>
      </c>
    </row>
    <row r="40" spans="4:9" x14ac:dyDescent="0.25">
      <c r="D40" s="5"/>
      <c r="H40" t="s">
        <v>82</v>
      </c>
    </row>
    <row r="41" spans="4:9" x14ac:dyDescent="0.25">
      <c r="H41" s="21">
        <f>(((D21-D20)*D5)/(2*D7))-D21</f>
        <v>0</v>
      </c>
    </row>
    <row r="42" spans="4:9" x14ac:dyDescent="0.25">
      <c r="D42" s="1"/>
    </row>
    <row r="46" spans="4:9" x14ac:dyDescent="0.25">
      <c r="H46" t="s">
        <v>66</v>
      </c>
      <c r="I46" t="s">
        <v>58</v>
      </c>
    </row>
    <row r="47" spans="4:9" x14ac:dyDescent="0.25">
      <c r="H47" s="15" t="s">
        <v>69</v>
      </c>
      <c r="I47" s="21">
        <f>((D23/(2*D17))*(D5-D7))</f>
        <v>-360863661.09292859</v>
      </c>
    </row>
    <row r="48" spans="4:9" x14ac:dyDescent="0.25">
      <c r="H48" s="1"/>
    </row>
    <row r="49" spans="1:8" x14ac:dyDescent="0.25">
      <c r="D49" s="3"/>
      <c r="H49" s="1"/>
    </row>
    <row r="51" spans="1:8" x14ac:dyDescent="0.25">
      <c r="D51" s="5"/>
    </row>
    <row r="52" spans="1:8" x14ac:dyDescent="0.25">
      <c r="D52" s="5"/>
    </row>
    <row r="53" spans="1:8" x14ac:dyDescent="0.25">
      <c r="H53" s="21">
        <f>(H34-H41)^2</f>
        <v>0</v>
      </c>
    </row>
    <row r="54" spans="1:8" x14ac:dyDescent="0.25">
      <c r="D54" s="14"/>
    </row>
    <row r="55" spans="1:8" x14ac:dyDescent="0.25">
      <c r="A55" s="15"/>
    </row>
    <row r="57" spans="1:8" x14ac:dyDescent="0.25">
      <c r="D57" s="5"/>
    </row>
    <row r="58" spans="1:8" x14ac:dyDescent="0.25">
      <c r="D58" s="5"/>
    </row>
    <row r="59" spans="1:8" x14ac:dyDescent="0.25">
      <c r="H59" t="s">
        <v>67</v>
      </c>
    </row>
    <row r="60" spans="1:8" x14ac:dyDescent="0.25">
      <c r="H60" t="s">
        <v>68</v>
      </c>
    </row>
    <row r="61" spans="1:8" x14ac:dyDescent="0.25">
      <c r="A61" s="15"/>
      <c r="H61" t="s">
        <v>70</v>
      </c>
    </row>
    <row r="63" spans="1:8" x14ac:dyDescent="0.25">
      <c r="D63" s="5"/>
    </row>
    <row r="64" spans="1:8" x14ac:dyDescent="0.25">
      <c r="D64" s="5"/>
    </row>
    <row r="65" spans="1:9" x14ac:dyDescent="0.25">
      <c r="D65" s="5"/>
      <c r="H65" t="s">
        <v>70</v>
      </c>
    </row>
    <row r="66" spans="1:9" x14ac:dyDescent="0.25">
      <c r="D66" s="5"/>
    </row>
    <row r="67" spans="1:9" x14ac:dyDescent="0.25">
      <c r="A67" s="15"/>
      <c r="D67" s="5"/>
    </row>
    <row r="68" spans="1:9" x14ac:dyDescent="0.25">
      <c r="A68" s="15"/>
      <c r="D68" s="5"/>
      <c r="H68" t="s">
        <v>58</v>
      </c>
      <c r="I68" s="21">
        <f>1/D14</f>
        <v>42.844509989470495</v>
      </c>
    </row>
    <row r="69" spans="1:9" x14ac:dyDescent="0.25">
      <c r="A69" s="15"/>
      <c r="D69" s="5"/>
      <c r="H69" t="s">
        <v>60</v>
      </c>
      <c r="I69" s="27">
        <f>2*I68</f>
        <v>85.689019978940991</v>
      </c>
    </row>
    <row r="70" spans="1:9" x14ac:dyDescent="0.25">
      <c r="A70" s="15"/>
      <c r="D70" s="5"/>
      <c r="H70" t="s">
        <v>59</v>
      </c>
      <c r="I70" s="21">
        <f>I68^2</f>
        <v>1835.6520362378371</v>
      </c>
    </row>
    <row r="71" spans="1:9" x14ac:dyDescent="0.25">
      <c r="A71" s="15"/>
      <c r="D71" s="5"/>
    </row>
    <row r="72" spans="1:9" x14ac:dyDescent="0.25">
      <c r="A72" s="15"/>
      <c r="D72" s="5"/>
      <c r="H72" t="s">
        <v>83</v>
      </c>
    </row>
    <row r="73" spans="1:9" x14ac:dyDescent="0.25">
      <c r="A73" s="15"/>
      <c r="D73" s="5"/>
      <c r="H73" t="s">
        <v>84</v>
      </c>
    </row>
    <row r="74" spans="1:9" x14ac:dyDescent="0.25">
      <c r="A74" s="15"/>
      <c r="D74" s="5"/>
    </row>
    <row r="75" spans="1:9" x14ac:dyDescent="0.25">
      <c r="A75" s="15"/>
      <c r="D75" s="5"/>
      <c r="H75" t="s">
        <v>71</v>
      </c>
      <c r="I75" s="2">
        <f>2*(I47^2)</f>
        <v>2.6044516379478403E+17</v>
      </c>
    </row>
    <row r="76" spans="1:9" x14ac:dyDescent="0.25">
      <c r="D76" s="16"/>
      <c r="H76" t="s">
        <v>72</v>
      </c>
      <c r="I76" s="2">
        <f>I75+H53</f>
        <v>2.6044516379478403E+17</v>
      </c>
    </row>
    <row r="77" spans="1:9" x14ac:dyDescent="0.25">
      <c r="A77" s="15"/>
      <c r="D77" s="16"/>
      <c r="I77" s="21">
        <f>H53+H41^2+H34^2</f>
        <v>0</v>
      </c>
    </row>
    <row r="78" spans="1:9" x14ac:dyDescent="0.25">
      <c r="A78" s="15"/>
      <c r="E78" s="3"/>
      <c r="I78" s="3" t="s">
        <v>55</v>
      </c>
    </row>
    <row r="80" spans="1:9" x14ac:dyDescent="0.25">
      <c r="A80" t="s">
        <v>61</v>
      </c>
      <c r="D80">
        <v>0.66600000000000004</v>
      </c>
      <c r="E80" s="4">
        <v>0.8</v>
      </c>
      <c r="F80" s="4">
        <v>1</v>
      </c>
      <c r="H80" s="13"/>
      <c r="I80" s="4"/>
    </row>
    <row r="83" spans="3:9" x14ac:dyDescent="0.25">
      <c r="C83" t="s">
        <v>62</v>
      </c>
      <c r="D83" s="2">
        <f>D80*D11</f>
        <v>53.28</v>
      </c>
      <c r="E83" s="1">
        <f>E80*D11</f>
        <v>64</v>
      </c>
      <c r="F83" s="1">
        <f>F80*$D$11</f>
        <v>80</v>
      </c>
    </row>
    <row r="86" spans="3:9" x14ac:dyDescent="0.25">
      <c r="C86" t="s">
        <v>28</v>
      </c>
      <c r="D86" s="18">
        <f>D29*$D83</f>
        <v>79.92</v>
      </c>
      <c r="E86" s="26">
        <f>E29*$E83</f>
        <v>76.8</v>
      </c>
      <c r="F86" s="4">
        <f>F29*$D83</f>
        <v>53.28</v>
      </c>
      <c r="G86" s="17" t="s">
        <v>56</v>
      </c>
      <c r="H86" s="4"/>
      <c r="I86" s="4"/>
    </row>
    <row r="87" spans="3:9" x14ac:dyDescent="0.25">
      <c r="C87" t="s">
        <v>62</v>
      </c>
      <c r="D87" s="1">
        <f>D86*6894757.293178</f>
        <v>551029002.87078571</v>
      </c>
      <c r="E87" s="1">
        <f>E86*6894757.293178</f>
        <v>529517360.11607033</v>
      </c>
      <c r="F87" s="1">
        <f>F86*6894757.293178</f>
        <v>367352668.58052385</v>
      </c>
      <c r="G87" s="17"/>
      <c r="H87" s="1"/>
      <c r="I87" s="1"/>
    </row>
    <row r="88" spans="3:9" x14ac:dyDescent="0.25">
      <c r="D88" s="1"/>
      <c r="E88" s="1"/>
      <c r="F88" s="1"/>
      <c r="G88" s="17"/>
      <c r="H88" s="1"/>
      <c r="I88" s="1"/>
    </row>
    <row r="89" spans="3:9" x14ac:dyDescent="0.25">
      <c r="H89" t="s">
        <v>64</v>
      </c>
    </row>
    <row r="92" spans="3:9" x14ac:dyDescent="0.25">
      <c r="E92" t="s">
        <v>63</v>
      </c>
      <c r="H92" s="4" t="s">
        <v>63</v>
      </c>
    </row>
    <row r="95" spans="3:9" x14ac:dyDescent="0.25">
      <c r="G95" s="7" t="s">
        <v>57</v>
      </c>
    </row>
    <row r="96" spans="3:9" x14ac:dyDescent="0.25">
      <c r="H96" t="s">
        <v>85</v>
      </c>
    </row>
    <row r="97" spans="8:10" x14ac:dyDescent="0.25">
      <c r="H97" t="s">
        <v>86</v>
      </c>
    </row>
    <row r="99" spans="8:10" x14ac:dyDescent="0.25">
      <c r="H99" t="s">
        <v>73</v>
      </c>
      <c r="I99" s="1">
        <f>2*(F87^2)-I75-H53</f>
        <v>9450802431680352</v>
      </c>
    </row>
    <row r="101" spans="8:10" x14ac:dyDescent="0.25">
      <c r="H101" t="s">
        <v>74</v>
      </c>
    </row>
    <row r="102" spans="8:10" x14ac:dyDescent="0.25">
      <c r="H102" t="s">
        <v>87</v>
      </c>
      <c r="I102" s="1">
        <f>(I99)/2</f>
        <v>4725401215840176</v>
      </c>
    </row>
    <row r="106" spans="8:10" x14ac:dyDescent="0.25">
      <c r="J106" s="38"/>
    </row>
    <row r="108" spans="8:10" x14ac:dyDescent="0.25">
      <c r="I108" s="20"/>
    </row>
    <row r="110" spans="8:10" x14ac:dyDescent="0.25">
      <c r="H110" t="s">
        <v>88</v>
      </c>
      <c r="I110" s="22">
        <f>I68^2</f>
        <v>1835.6520362378371</v>
      </c>
    </row>
    <row r="111" spans="8:10" x14ac:dyDescent="0.25">
      <c r="H111" s="39" t="s">
        <v>89</v>
      </c>
      <c r="I111" s="22">
        <f>2*I47*(I68)</f>
        <v>-30922053465.06575</v>
      </c>
    </row>
    <row r="112" spans="8:10" x14ac:dyDescent="0.25">
      <c r="H112" s="39" t="s">
        <v>90</v>
      </c>
      <c r="I112" s="2">
        <f>-(I102)</f>
        <v>-4725401215840176</v>
      </c>
    </row>
    <row r="113" spans="8:12" x14ac:dyDescent="0.25">
      <c r="H113" s="15"/>
      <c r="I113" s="1"/>
    </row>
    <row r="114" spans="8:12" x14ac:dyDescent="0.25">
      <c r="I114" s="21"/>
    </row>
    <row r="115" spans="8:12" x14ac:dyDescent="0.25">
      <c r="H115" s="22" t="s">
        <v>91</v>
      </c>
      <c r="I115" s="22">
        <f>(-I111+(SQRT(I111^2-(4*I110*I112))))/(2*I110)</f>
        <v>16996724.431027908</v>
      </c>
      <c r="J115" t="s">
        <v>29</v>
      </c>
      <c r="K115">
        <f>I115/1000</f>
        <v>16996.724431027909</v>
      </c>
      <c r="L115" t="s">
        <v>65</v>
      </c>
    </row>
    <row r="116" spans="8:12" x14ac:dyDescent="0.25">
      <c r="H116" s="22" t="s">
        <v>92</v>
      </c>
      <c r="I116" s="22">
        <f>(-I111-(SQRT(I111^2-(4*I110*I112))))/(2*I110)</f>
        <v>-151454.81857979088</v>
      </c>
      <c r="J116" s="37" t="s">
        <v>29</v>
      </c>
      <c r="K116" s="37">
        <f>I116/1000</f>
        <v>-151.45481857979087</v>
      </c>
      <c r="L116" s="37" t="s">
        <v>65</v>
      </c>
    </row>
    <row r="123" spans="8:12" x14ac:dyDescent="0.25">
      <c r="K123" s="3"/>
    </row>
    <row r="124" spans="8:12" x14ac:dyDescent="0.25">
      <c r="K124" s="3"/>
    </row>
    <row r="126" spans="8:12" x14ac:dyDescent="0.25">
      <c r="H126" s="3"/>
      <c r="I126" s="23"/>
    </row>
    <row r="128" spans="8:12" x14ac:dyDescent="0.25">
      <c r="I128" s="23"/>
    </row>
    <row r="135" spans="3:9" x14ac:dyDescent="0.25">
      <c r="C135" s="22"/>
      <c r="G135"/>
      <c r="I135" s="25"/>
    </row>
    <row r="136" spans="3:9" x14ac:dyDescent="0.25">
      <c r="G136"/>
    </row>
    <row r="137" spans="3:9" x14ac:dyDescent="0.25">
      <c r="G137"/>
      <c r="I137" s="7"/>
    </row>
    <row r="138" spans="3:9" x14ac:dyDescent="0.25">
      <c r="C138" s="28"/>
      <c r="G138"/>
    </row>
    <row r="139" spans="3:9" x14ac:dyDescent="0.25">
      <c r="G139"/>
    </row>
    <row r="140" spans="3:9" x14ac:dyDescent="0.25">
      <c r="G140"/>
    </row>
    <row r="141" spans="3:9" x14ac:dyDescent="0.25">
      <c r="H141" s="24"/>
    </row>
    <row r="142" spans="3:9" x14ac:dyDescent="0.25">
      <c r="H142" s="24"/>
    </row>
  </sheetData>
  <mergeCells count="2">
    <mergeCell ref="D1:F1"/>
    <mergeCell ref="H1:I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1" sqref="A11"/>
    </sheetView>
  </sheetViews>
  <sheetFormatPr defaultRowHeight="15" x14ac:dyDescent="0.25"/>
  <sheetData>
    <row r="1" spans="1:1" x14ac:dyDescent="0.25">
      <c r="A1" t="s">
        <v>35</v>
      </c>
    </row>
    <row r="3" spans="1:1" x14ac:dyDescent="0.25">
      <c r="A3" t="s">
        <v>36</v>
      </c>
    </row>
    <row r="5" spans="1:1" x14ac:dyDescent="0.25">
      <c r="A5" t="s">
        <v>37</v>
      </c>
    </row>
    <row r="7" spans="1:1" x14ac:dyDescent="0.25">
      <c r="A7" t="s">
        <v>38</v>
      </c>
    </row>
    <row r="9" spans="1:1" x14ac:dyDescent="0.25">
      <c r="A9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G16"/>
  <sheetViews>
    <sheetView workbookViewId="0">
      <selection activeCell="D6" sqref="D6:K6"/>
    </sheetView>
  </sheetViews>
  <sheetFormatPr defaultRowHeight="15" x14ac:dyDescent="0.25"/>
  <cols>
    <col min="1" max="2" width="9.5703125" bestFit="1" customWidth="1"/>
    <col min="3" max="3" width="21.28515625" customWidth="1"/>
    <col min="4" max="5" width="9.5703125" bestFit="1" customWidth="1"/>
    <col min="6" max="6" width="9.28515625" bestFit="1" customWidth="1"/>
  </cols>
  <sheetData>
    <row r="1" spans="3:33" x14ac:dyDescent="0.25">
      <c r="C1" s="29" t="s">
        <v>78</v>
      </c>
      <c r="D1" t="s">
        <v>79</v>
      </c>
    </row>
    <row r="2" spans="3:33" x14ac:dyDescent="0.25">
      <c r="C2" s="33"/>
      <c r="D2" t="s">
        <v>80</v>
      </c>
    </row>
    <row r="3" spans="3:33" x14ac:dyDescent="0.25">
      <c r="C3" s="36"/>
      <c r="D3" s="36"/>
      <c r="E3" s="36"/>
      <c r="F3" s="36"/>
    </row>
    <row r="6" spans="3:33" x14ac:dyDescent="0.25"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</row>
    <row r="7" spans="3:33" x14ac:dyDescent="0.25">
      <c r="C7" s="30" t="s">
        <v>75</v>
      </c>
      <c r="D7" s="31">
        <v>0</v>
      </c>
      <c r="E7" s="31">
        <v>74</v>
      </c>
      <c r="F7" s="31">
        <v>118.4</v>
      </c>
      <c r="G7" s="31">
        <v>177.6</v>
      </c>
      <c r="H7" s="31">
        <v>222</v>
      </c>
      <c r="I7" s="31">
        <v>266.39999999999998</v>
      </c>
      <c r="J7" s="31">
        <v>310.8</v>
      </c>
      <c r="K7" s="31">
        <v>344.1</v>
      </c>
      <c r="L7" s="34"/>
      <c r="M7" s="36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3:33" x14ac:dyDescent="0.25">
      <c r="C8" s="30" t="s">
        <v>76</v>
      </c>
      <c r="D8" s="32">
        <v>1929.09381288298</v>
      </c>
      <c r="E8" s="32">
        <v>1884.66160614565</v>
      </c>
      <c r="F8" s="32">
        <v>1813.17450944199</v>
      </c>
      <c r="G8" s="32">
        <v>1656.9098889721699</v>
      </c>
      <c r="H8" s="32">
        <v>1481.99892573792</v>
      </c>
      <c r="I8" s="32">
        <v>1235.0241624202099</v>
      </c>
      <c r="J8" s="32">
        <v>855.71138697222398</v>
      </c>
      <c r="K8" s="32">
        <v>239.568650619766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11" spans="3:33" x14ac:dyDescent="0.25">
      <c r="C11" s="3" t="s">
        <v>77</v>
      </c>
    </row>
    <row r="12" spans="3:33" x14ac:dyDescent="0.25">
      <c r="C12" s="35">
        <f t="shared" ref="C12:J12" si="0">-D7</f>
        <v>0</v>
      </c>
      <c r="D12" s="35">
        <f t="shared" si="0"/>
        <v>-74</v>
      </c>
      <c r="E12" s="35">
        <f t="shared" si="0"/>
        <v>-118.4</v>
      </c>
      <c r="F12" s="35">
        <f t="shared" si="0"/>
        <v>-177.6</v>
      </c>
      <c r="G12" s="35">
        <f t="shared" si="0"/>
        <v>-222</v>
      </c>
      <c r="H12" s="35">
        <f t="shared" si="0"/>
        <v>-266.39999999999998</v>
      </c>
      <c r="I12" s="35">
        <f t="shared" si="0"/>
        <v>-310.8</v>
      </c>
      <c r="J12" s="35">
        <f t="shared" si="0"/>
        <v>-344.1</v>
      </c>
      <c r="K12" s="35">
        <f>J12</f>
        <v>-344.1</v>
      </c>
      <c r="L12" s="35">
        <f>I12</f>
        <v>-310.8</v>
      </c>
      <c r="M12" s="35">
        <f>H12</f>
        <v>-266.39999999999998</v>
      </c>
      <c r="N12" s="35">
        <f>G12</f>
        <v>-222</v>
      </c>
      <c r="O12" s="35">
        <f>F12</f>
        <v>-177.6</v>
      </c>
      <c r="P12" s="35">
        <f>E12</f>
        <v>-118.4</v>
      </c>
      <c r="Q12" s="35">
        <f>D12</f>
        <v>-74</v>
      </c>
      <c r="R12" s="35">
        <f>C12</f>
        <v>0</v>
      </c>
      <c r="S12" s="9">
        <v>74</v>
      </c>
      <c r="T12" s="9">
        <v>118.4</v>
      </c>
      <c r="U12" s="9">
        <v>177.6</v>
      </c>
      <c r="V12" s="9">
        <v>222</v>
      </c>
      <c r="W12" s="9">
        <v>266.39999999999998</v>
      </c>
      <c r="X12" s="9">
        <v>310.8</v>
      </c>
      <c r="Y12" s="9">
        <v>344.1</v>
      </c>
      <c r="Z12" s="9">
        <f>Y12</f>
        <v>344.1</v>
      </c>
      <c r="AA12" s="9">
        <f>X12</f>
        <v>310.8</v>
      </c>
      <c r="AB12" s="9">
        <f>W12</f>
        <v>266.39999999999998</v>
      </c>
      <c r="AC12" s="9">
        <f>V12</f>
        <v>222</v>
      </c>
      <c r="AD12" s="9">
        <f>U12</f>
        <v>177.6</v>
      </c>
      <c r="AE12" s="9">
        <f>T12</f>
        <v>118.4</v>
      </c>
      <c r="AF12" s="9">
        <f>S12</f>
        <v>74</v>
      </c>
      <c r="AG12" s="35">
        <f>R12</f>
        <v>0</v>
      </c>
    </row>
    <row r="13" spans="3:33" x14ac:dyDescent="0.25">
      <c r="C13" s="35">
        <f t="shared" ref="C13:J13" si="1">D8</f>
        <v>1929.09381288298</v>
      </c>
      <c r="D13" s="35">
        <f t="shared" si="1"/>
        <v>1884.66160614565</v>
      </c>
      <c r="E13" s="35">
        <f t="shared" si="1"/>
        <v>1813.17450944199</v>
      </c>
      <c r="F13" s="35">
        <f t="shared" si="1"/>
        <v>1656.9098889721699</v>
      </c>
      <c r="G13" s="35">
        <f t="shared" si="1"/>
        <v>1481.99892573792</v>
      </c>
      <c r="H13" s="35">
        <f t="shared" si="1"/>
        <v>1235.0241624202099</v>
      </c>
      <c r="I13" s="35">
        <f t="shared" si="1"/>
        <v>855.71138697222398</v>
      </c>
      <c r="J13" s="35">
        <f t="shared" si="1"/>
        <v>239.568650619766</v>
      </c>
      <c r="K13" s="35">
        <f>-J13</f>
        <v>-239.568650619766</v>
      </c>
      <c r="L13" s="35">
        <f>-I13</f>
        <v>-855.71138697222398</v>
      </c>
      <c r="M13" s="35">
        <f>-H13</f>
        <v>-1235.0241624202099</v>
      </c>
      <c r="N13" s="35">
        <f>-G13</f>
        <v>-1481.99892573792</v>
      </c>
      <c r="O13" s="35">
        <f>-F13</f>
        <v>-1656.9098889721699</v>
      </c>
      <c r="P13" s="35">
        <f>-E13</f>
        <v>-1813.17450944199</v>
      </c>
      <c r="Q13" s="35">
        <f>-D13</f>
        <v>-1884.66160614565</v>
      </c>
      <c r="R13" s="35">
        <f>-C13</f>
        <v>-1929.09381288298</v>
      </c>
      <c r="S13" s="35">
        <f>Q13</f>
        <v>-1884.66160614565</v>
      </c>
      <c r="T13" s="35">
        <f>P13</f>
        <v>-1813.17450944199</v>
      </c>
      <c r="U13" s="35">
        <f>O13</f>
        <v>-1656.9098889721699</v>
      </c>
      <c r="V13" s="35">
        <f>N13</f>
        <v>-1481.99892573792</v>
      </c>
      <c r="W13" s="35">
        <f>M13</f>
        <v>-1235.0241624202099</v>
      </c>
      <c r="X13" s="35">
        <f>L13</f>
        <v>-855.71138697222398</v>
      </c>
      <c r="Y13" s="35">
        <f>K13</f>
        <v>-239.568650619766</v>
      </c>
      <c r="Z13" s="35">
        <f>-Y13</f>
        <v>239.568650619766</v>
      </c>
      <c r="AA13" s="35">
        <f>-X13</f>
        <v>855.71138697222398</v>
      </c>
      <c r="AB13" s="35">
        <f>-W13</f>
        <v>1235.0241624202099</v>
      </c>
      <c r="AC13" s="35">
        <f>-V13</f>
        <v>1481.99892573792</v>
      </c>
      <c r="AD13" s="35">
        <f>-U13</f>
        <v>1656.9098889721699</v>
      </c>
      <c r="AE13" s="35">
        <f>-T13</f>
        <v>1813.17450944199</v>
      </c>
      <c r="AF13" s="35">
        <f>-S13</f>
        <v>1884.66160614565</v>
      </c>
      <c r="AG13" s="35">
        <f>-R13</f>
        <v>1929.09381288298</v>
      </c>
    </row>
    <row r="15" spans="3:33" x14ac:dyDescent="0.25"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3:33" x14ac:dyDescent="0.25"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</sheetData>
  <mergeCells count="2">
    <mergeCell ref="D6:K6"/>
    <mergeCell ref="L6:P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Inputs</vt:lpstr>
      <vt:lpstr>Limits</vt:lpstr>
      <vt:lpstr>Structures</vt:lpstr>
      <vt:lpstr>ResultsTable</vt:lpstr>
      <vt:lpstr>BM Vs Tension 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2018-02-15T17:03:45Z</dcterms:modified>
</cp:coreProperties>
</file>